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sncf.sharepoint.com/sites/MECA-MakeEarthCoolAgainGrpO365/Documents partages/05 - Mesurer/2026 - Impact IA/Lot 1.2 Calculatrice/Publication OpenSource/"/>
    </mc:Choice>
  </mc:AlternateContent>
  <xr:revisionPtr revIDLastSave="1384" documentId="13_ncr:1_{C275806A-94A6-4D78-920D-B7E71A3CAF48}" xr6:coauthVersionLast="47" xr6:coauthVersionMax="47" xr10:uidLastSave="{9378DC80-B205-4F16-AC0D-6A198B3E522C}"/>
  <bookViews>
    <workbookView xWindow="-120" yWindow="-120" windowWidth="51840" windowHeight="21120" tabRatio="787" xr2:uid="{00000000-000D-0000-FFFF-FFFF00000000}"/>
  </bookViews>
  <sheets>
    <sheet name="📓Notice" sheetId="2" r:id="rId1"/>
    <sheet name="⚙️Données" sheetId="8" r:id="rId2"/>
    <sheet name="📊Résultats" sheetId="4" r:id="rId3"/>
    <sheet name="♻️Bonnes pratiques" sheetId="10" r:id="rId4"/>
    <sheet name="Calcul" sheetId="3" r:id="rId5"/>
    <sheet name="Bibliothèque_FE" sheetId="5" r:id="rId6"/>
    <sheet name="Modèles_IA" sheetId="6" r:id="rId7"/>
    <sheet name="Paramètres" sheetId="11" r:id="rId8"/>
  </sheets>
  <definedNames>
    <definedName name="Anthropic">Paramètres!$P$2:$P$8</definedName>
    <definedName name="Google">Paramètres!$Q$3:$Q$6</definedName>
    <definedName name="MistralAI">Paramètres!$R$2:$R$8</definedName>
    <definedName name="Nb_requests" localSheetId="1">'⚙️Données'!$J$33:$L$33</definedName>
    <definedName name="Nb_tokens" localSheetId="1">'⚙️Données'!$J$36:$K$36</definedName>
    <definedName name="Nb_users" localSheetId="1">'⚙️Données'!$F$33:$H$33</definedName>
    <definedName name="OpenAI">Paramètres!$S$2:$S$16</definedName>
    <definedName name="Phase_conception" localSheetId="1">'⚙️Données'!$F$33:$L$33</definedName>
    <definedName name="Phase_production" localSheetId="1">'⚙️Données'!$J$36:$K$36</definedName>
    <definedName name="_xlnm.Print_Area" localSheetId="1">'⚙️Données'!$A$1:$N$45</definedName>
    <definedName name="_xlnm.Print_Area" localSheetId="6">Tableau1[#All]</definedName>
    <definedName name="_xlnm.Print_Area" localSheetId="2">📊Résultats!$A$1:$U$261</definedName>
    <definedName name="_xlnm.Print_Area" localSheetId="0">📓Notice!$A$1:$O$110</definedName>
    <definedName name="ZoneSaisie" localSheetId="1">'⚙️Données'!$F$26,'⚙️Données'!#REF!,'⚙️Données'!$J$26,'⚙️Données'!#REF!,'⚙️Données'!$L$26,'⚙️Données'!#REF!,'⚙️Données'!$K$36,'⚙️Données'!$L$33,'⚙️Données'!$H$33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 i="5" l="1"/>
  <c r="D5" i="5"/>
  <c r="D45" i="5"/>
  <c r="M148" i="3"/>
  <c r="N119" i="3"/>
  <c r="M84" i="3"/>
  <c r="L23" i="4" a="1"/>
  <c r="L23" i="4" s="1"/>
  <c r="AB2" i="11" a="1"/>
  <c r="AB2" i="11" s="1"/>
  <c r="D54" i="5"/>
  <c r="AB33" i="6"/>
  <c r="AB34" i="6"/>
  <c r="AB35" i="6"/>
  <c r="AB36" i="6"/>
  <c r="AB37" i="6"/>
  <c r="AB38" i="6"/>
  <c r="AB39" i="6"/>
  <c r="AB40" i="6"/>
  <c r="AB41" i="6"/>
  <c r="U34" i="6"/>
  <c r="U35" i="6"/>
  <c r="U40" i="6"/>
  <c r="U41" i="6"/>
  <c r="H45" i="8"/>
  <c r="X41" i="6"/>
  <c r="R41" i="6"/>
  <c r="Q41" i="6"/>
  <c r="Y41" i="6" s="1"/>
  <c r="X40" i="6"/>
  <c r="R40" i="6"/>
  <c r="Q40" i="6"/>
  <c r="Y40" i="6" s="1"/>
  <c r="O40" i="6"/>
  <c r="M40" i="6"/>
  <c r="X39" i="6"/>
  <c r="T39" i="6"/>
  <c r="U39" i="6" s="1"/>
  <c r="S39" i="6"/>
  <c r="R39" i="6"/>
  <c r="Q39" i="6"/>
  <c r="Y39" i="6" s="1"/>
  <c r="O39" i="6"/>
  <c r="M39" i="6"/>
  <c r="X38" i="6"/>
  <c r="T38" i="6"/>
  <c r="U38" i="6" s="1"/>
  <c r="S38" i="6"/>
  <c r="R38" i="6"/>
  <c r="Q38" i="6"/>
  <c r="Y38" i="6" s="1"/>
  <c r="X37" i="6"/>
  <c r="T37" i="6"/>
  <c r="U37" i="6" s="1"/>
  <c r="S37" i="6"/>
  <c r="R37" i="6"/>
  <c r="Q37" i="6"/>
  <c r="Y37" i="6" s="1"/>
  <c r="X36" i="6"/>
  <c r="T36" i="6"/>
  <c r="U36" i="6" s="1"/>
  <c r="S36" i="6"/>
  <c r="R36" i="6"/>
  <c r="Q36" i="6"/>
  <c r="Y36" i="6" s="1"/>
  <c r="D48" i="5"/>
  <c r="D47" i="5"/>
  <c r="D41" i="5"/>
  <c r="D39" i="5"/>
  <c r="D37" i="5"/>
  <c r="D46" i="5"/>
  <c r="M149" i="3" s="1"/>
  <c r="X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M244" i="3" l="1"/>
  <c r="D14" i="5"/>
  <c r="Z2" i="11" a="1"/>
  <c r="Z2" i="11" s="1"/>
  <c r="Y2" i="11" a="1"/>
  <c r="Y2" i="11" s="1"/>
  <c r="X2" i="11" a="1"/>
  <c r="X2" i="11" s="1"/>
  <c r="W2" i="11" a="1"/>
  <c r="W2" i="11" s="1"/>
  <c r="V2" i="11" a="1"/>
  <c r="V2" i="11" s="1"/>
  <c r="Q1" i="11" a="1"/>
  <c r="Q1" i="11" s="1"/>
  <c r="Q2" i="11" s="1" a="1"/>
  <c r="Q2" i="11" s="1"/>
  <c r="M1" i="11" a="1"/>
  <c r="M1" i="11" s="1"/>
  <c r="O1" i="11" a="1"/>
  <c r="O1" i="11" s="1"/>
  <c r="E2" i="11" a="1"/>
  <c r="E2" i="11" s="1"/>
  <c r="N2" i="11" a="1"/>
  <c r="N2" i="11" s="1"/>
  <c r="K19" i="3"/>
  <c r="K18" i="3"/>
  <c r="K14" i="3"/>
  <c r="K13" i="3"/>
  <c r="K9" i="3"/>
  <c r="K8" i="3"/>
  <c r="O24" i="3"/>
  <c r="P24" i="3"/>
  <c r="P190" i="3" s="1"/>
  <c r="Q24" i="3"/>
  <c r="Q190" i="3" s="1"/>
  <c r="N24" i="3"/>
  <c r="R119" i="3"/>
  <c r="Q119" i="3"/>
  <c r="P119" i="3"/>
  <c r="O119" i="3"/>
  <c r="M238" i="3"/>
  <c r="M229" i="3"/>
  <c r="M226" i="3"/>
  <c r="M224" i="3"/>
  <c r="M223" i="3"/>
  <c r="M217" i="3"/>
  <c r="M203" i="3"/>
  <c r="M202" i="3"/>
  <c r="M201" i="3"/>
  <c r="M200" i="3"/>
  <c r="M199" i="3"/>
  <c r="M198" i="3"/>
  <c r="M195" i="3"/>
  <c r="M186" i="3"/>
  <c r="M185" i="3"/>
  <c r="M184" i="3"/>
  <c r="M179" i="3"/>
  <c r="M171" i="3"/>
  <c r="M170" i="3"/>
  <c r="M153" i="3"/>
  <c r="M133" i="3"/>
  <c r="M131" i="3"/>
  <c r="M130" i="3"/>
  <c r="I24" i="4"/>
  <c r="M73" i="3"/>
  <c r="M70" i="3"/>
  <c r="M69" i="3"/>
  <c r="R24" i="3"/>
  <c r="M31" i="3"/>
  <c r="M30" i="3"/>
  <c r="M27" i="3" s="1"/>
  <c r="M28" i="3"/>
  <c r="N200" i="3" l="1"/>
  <c r="N190" i="3"/>
  <c r="R29" i="3"/>
  <c r="R183" i="3" s="1"/>
  <c r="R190" i="3"/>
  <c r="O165" i="3"/>
  <c r="O190" i="3"/>
  <c r="N117" i="3"/>
  <c r="N94" i="3"/>
  <c r="R165" i="3"/>
  <c r="P165" i="3"/>
  <c r="S2" i="11" a="1"/>
  <c r="S2" i="11" s="1"/>
  <c r="T2" i="11" a="1"/>
  <c r="T2" i="11" s="1"/>
  <c r="R2" i="11" a="1"/>
  <c r="R2" i="11" s="1"/>
  <c r="O237" i="3"/>
  <c r="P237" i="3"/>
  <c r="R237" i="3"/>
  <c r="P29" i="3"/>
  <c r="P183" i="3" s="1"/>
  <c r="P187" i="3" s="1"/>
  <c r="P4" i="3"/>
  <c r="P3" i="3" s="1"/>
  <c r="O120" i="3"/>
  <c r="R4" i="3"/>
  <c r="R3" i="3" s="1"/>
  <c r="R120" i="3"/>
  <c r="R94" i="3"/>
  <c r="Q94" i="3"/>
  <c r="N29" i="3"/>
  <c r="N183" i="3" s="1"/>
  <c r="R117" i="3"/>
  <c r="Q4" i="3"/>
  <c r="Q3" i="3" s="1"/>
  <c r="Q29" i="3"/>
  <c r="Q183" i="3" s="1"/>
  <c r="Q189" i="3" s="1"/>
  <c r="Q117" i="3"/>
  <c r="Q120" i="3"/>
  <c r="P120" i="3"/>
  <c r="P94" i="3"/>
  <c r="P117" i="3"/>
  <c r="O4" i="3"/>
  <c r="O3" i="3" s="1"/>
  <c r="O94" i="3"/>
  <c r="O29" i="3"/>
  <c r="O183" i="3" s="1"/>
  <c r="O187" i="3" s="1"/>
  <c r="O117" i="3"/>
  <c r="N4" i="3"/>
  <c r="N3" i="3" s="1"/>
  <c r="R189" i="3" l="1"/>
  <c r="R182" i="3" s="1"/>
  <c r="P189" i="3"/>
  <c r="P182" i="3" s="1"/>
  <c r="O189" i="3"/>
  <c r="O182" i="3" s="1"/>
  <c r="N187" i="3"/>
  <c r="N189" i="3"/>
  <c r="N182" i="3" s="1"/>
  <c r="R187" i="3"/>
  <c r="Q187" i="3"/>
  <c r="Q182" i="3"/>
  <c r="M159" i="3"/>
  <c r="D50" i="5"/>
  <c r="M147" i="3" l="1"/>
  <c r="N146" i="3" s="1"/>
  <c r="M152" i="3"/>
  <c r="B32" i="3"/>
  <c r="B31" i="3"/>
  <c r="B30" i="3"/>
  <c r="B29" i="3"/>
  <c r="B28" i="3"/>
  <c r="B27" i="3"/>
  <c r="N156" i="3" l="1"/>
  <c r="M245" i="3"/>
  <c r="M246" i="3"/>
  <c r="M77" i="3"/>
  <c r="D27" i="5"/>
  <c r="M241" i="3" s="1"/>
  <c r="D43" i="5"/>
  <c r="M118" i="3"/>
  <c r="N116" i="3" s="1"/>
  <c r="AB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N158" i="3" l="1"/>
  <c r="N155" i="3" s="1"/>
  <c r="R116" i="3"/>
  <c r="N115" i="3"/>
  <c r="M225" i="3"/>
  <c r="M127" i="3"/>
  <c r="R35" i="6"/>
  <c r="Q35" i="6"/>
  <c r="Y35" i="6" s="1"/>
  <c r="G2" i="11"/>
  <c r="V2" i="6"/>
  <c r="F2" i="11" a="1"/>
  <c r="F2" i="11" s="1"/>
  <c r="H1" i="11"/>
  <c r="D9" i="5"/>
  <c r="M74" i="3" s="1"/>
  <c r="D40" i="5"/>
  <c r="D38" i="5"/>
  <c r="D36" i="5"/>
  <c r="G43" i="3"/>
  <c r="U2" i="6"/>
  <c r="P158" i="3" l="1"/>
  <c r="O158" i="3"/>
  <c r="Q158" i="3"/>
  <c r="R158" i="3"/>
  <c r="P146" i="3"/>
  <c r="P156" i="3" s="1"/>
  <c r="Q146" i="3"/>
  <c r="O146" i="3"/>
  <c r="R146" i="3"/>
  <c r="R156" i="3" s="1"/>
  <c r="M230" i="3"/>
  <c r="M231" i="3"/>
  <c r="M232" i="3"/>
  <c r="O116" i="3"/>
  <c r="Q116" i="3"/>
  <c r="P116" i="3"/>
  <c r="M211" i="3"/>
  <c r="M210" i="3" s="1" a="1"/>
  <c r="M210" i="3" s="1"/>
  <c r="M125" i="3"/>
  <c r="M126" i="3" s="1"/>
  <c r="M134" i="3" s="1"/>
  <c r="M29" i="3"/>
  <c r="H2" i="11" a="1"/>
  <c r="H2" i="11" s="1"/>
  <c r="I1" i="11"/>
  <c r="I2" i="11" s="1" a="1"/>
  <c r="I2" i="11" s="1"/>
  <c r="J1" i="11"/>
  <c r="J2" i="11" s="1" a="1"/>
  <c r="J2" i="11" s="1"/>
  <c r="K1" i="11"/>
  <c r="K2" i="11" s="1" a="1"/>
  <c r="K2" i="11" s="1"/>
  <c r="L24" i="4" l="1"/>
  <c r="N151" i="3"/>
  <c r="O151" i="3"/>
  <c r="P151" i="3"/>
  <c r="R151" i="3"/>
  <c r="Q151" i="3"/>
  <c r="M142" i="3"/>
  <c r="M132" i="3"/>
  <c r="Q156" i="3"/>
  <c r="O156" i="3"/>
  <c r="O155" i="3" s="1"/>
  <c r="P155" i="3"/>
  <c r="R155" i="3"/>
  <c r="R129" i="3" l="1"/>
  <c r="P129" i="3"/>
  <c r="O129" i="3"/>
  <c r="O137" i="3" s="1"/>
  <c r="O141" i="3" l="1"/>
  <c r="O140" i="3" s="1"/>
  <c r="P141" i="3"/>
  <c r="P140" i="3" s="1"/>
  <c r="P137" i="3"/>
  <c r="R141" i="3"/>
  <c r="R140" i="3" s="1"/>
  <c r="R137" i="3"/>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Q2" i="6"/>
  <c r="Y2" i="6" s="1"/>
  <c r="Q3" i="6"/>
  <c r="Y3" i="6" s="1"/>
  <c r="Q4" i="6"/>
  <c r="Y4" i="6" s="1"/>
  <c r="Q5" i="6"/>
  <c r="Y5" i="6" s="1"/>
  <c r="Q6" i="6"/>
  <c r="Y6" i="6" s="1"/>
  <c r="Q7" i="6"/>
  <c r="Y7" i="6" s="1"/>
  <c r="Q8" i="6"/>
  <c r="Y8" i="6" s="1"/>
  <c r="Q9" i="6"/>
  <c r="Y9" i="6" s="1"/>
  <c r="Q10" i="6"/>
  <c r="Y10" i="6" s="1"/>
  <c r="Q11" i="6"/>
  <c r="Y11" i="6" s="1"/>
  <c r="Q12" i="6"/>
  <c r="Y12" i="6" s="1"/>
  <c r="Q13" i="6"/>
  <c r="Y13" i="6" s="1"/>
  <c r="Q14" i="6"/>
  <c r="Y14" i="6" s="1"/>
  <c r="Q15" i="6"/>
  <c r="Y15" i="6" s="1"/>
  <c r="Q16" i="6"/>
  <c r="Y16" i="6" s="1"/>
  <c r="Q17" i="6"/>
  <c r="Y17" i="6" s="1"/>
  <c r="Q18" i="6"/>
  <c r="Y18" i="6" s="1"/>
  <c r="Q19" i="6"/>
  <c r="Y19" i="6" s="1"/>
  <c r="Q20" i="6"/>
  <c r="Y20" i="6" s="1"/>
  <c r="Q21" i="6"/>
  <c r="Y21" i="6" s="1"/>
  <c r="Q22" i="6"/>
  <c r="Y22" i="6" s="1"/>
  <c r="Q23" i="6"/>
  <c r="Y23" i="6" s="1"/>
  <c r="Q24" i="6"/>
  <c r="Y24" i="6" s="1"/>
  <c r="Q25" i="6"/>
  <c r="Y25" i="6" s="1"/>
  <c r="Q26" i="6"/>
  <c r="Y26" i="6" s="1"/>
  <c r="Q27" i="6"/>
  <c r="Y27" i="6" s="1"/>
  <c r="Q28" i="6"/>
  <c r="Y28" i="6" s="1"/>
  <c r="Q29" i="6"/>
  <c r="Y29" i="6" s="1"/>
  <c r="Q30" i="6"/>
  <c r="Y30" i="6" s="1"/>
  <c r="Q31" i="6"/>
  <c r="Y31" i="6" s="1"/>
  <c r="Q32" i="6"/>
  <c r="Y32" i="6" s="1"/>
  <c r="Q33" i="6"/>
  <c r="Y33" i="6" s="1"/>
  <c r="Q34" i="6"/>
  <c r="Y34" i="6" s="1"/>
  <c r="N25" i="3" l="1"/>
  <c r="N92" i="3" s="1"/>
  <c r="N65" i="3" s="1"/>
  <c r="R25" i="3"/>
  <c r="O26" i="3"/>
  <c r="P26" i="3"/>
  <c r="O25" i="3"/>
  <c r="P25" i="3"/>
  <c r="Q25" i="3"/>
  <c r="R26" i="3"/>
  <c r="N26" i="3"/>
  <c r="N114" i="3" s="1"/>
  <c r="Q26" i="3"/>
  <c r="L25" i="8" a="1"/>
  <c r="L25" i="8" s="1"/>
  <c r="N168" i="3" l="1"/>
  <c r="N169" i="3" s="1"/>
  <c r="N167" i="3" s="1"/>
  <c r="R168" i="3"/>
  <c r="R169" i="3" s="1"/>
  <c r="R167" i="3" s="1"/>
  <c r="R92" i="3"/>
  <c r="R65" i="3" s="1"/>
  <c r="Q168" i="3"/>
  <c r="Q169" i="3" s="1"/>
  <c r="Q167" i="3" s="1"/>
  <c r="Q92" i="3"/>
  <c r="Q65" i="3" s="1"/>
  <c r="P168" i="3"/>
  <c r="P169" i="3" s="1"/>
  <c r="P167" i="3" s="1"/>
  <c r="P92" i="3"/>
  <c r="P65" i="3" s="1"/>
  <c r="O168" i="3"/>
  <c r="O169" i="3" s="1"/>
  <c r="O167" i="3" s="1"/>
  <c r="O92" i="3"/>
  <c r="O65" i="3" s="1"/>
  <c r="R115" i="3"/>
  <c r="R114" i="3" s="1"/>
  <c r="O115" i="3"/>
  <c r="D10" i="5"/>
  <c r="U20" i="6"/>
  <c r="U21" i="6"/>
  <c r="U22" i="6"/>
  <c r="U23" i="6"/>
  <c r="U24" i="6"/>
  <c r="U25" i="6"/>
  <c r="U26" i="6"/>
  <c r="U27" i="6"/>
  <c r="U28" i="6"/>
  <c r="U29" i="6"/>
  <c r="U30" i="6"/>
  <c r="U31" i="6"/>
  <c r="U32" i="6"/>
  <c r="U33" i="6"/>
  <c r="U13" i="6"/>
  <c r="U14" i="6"/>
  <c r="U15" i="6"/>
  <c r="U16" i="6"/>
  <c r="U17" i="6"/>
  <c r="U18" i="6"/>
  <c r="U19" i="6"/>
  <c r="U3" i="6"/>
  <c r="U4" i="6"/>
  <c r="U5" i="6"/>
  <c r="Q191" i="3" s="1"/>
  <c r="U6" i="6"/>
  <c r="U7" i="6"/>
  <c r="U8" i="6"/>
  <c r="U9" i="6"/>
  <c r="U10" i="6"/>
  <c r="U11" i="6"/>
  <c r="U12" i="6"/>
  <c r="D21" i="5"/>
  <c r="D20" i="5"/>
  <c r="D19" i="5"/>
  <c r="M3" i="6"/>
  <c r="O3" i="6"/>
  <c r="M4" i="6"/>
  <c r="O4" i="6"/>
  <c r="M5" i="6"/>
  <c r="Q165" i="3" s="1"/>
  <c r="O5" i="6"/>
  <c r="Q237" i="3" s="1"/>
  <c r="M6" i="6"/>
  <c r="O6" i="6"/>
  <c r="M7" i="6"/>
  <c r="O7" i="6"/>
  <c r="M8" i="6"/>
  <c r="O8" i="6"/>
  <c r="O2" i="6"/>
  <c r="M2" i="6"/>
  <c r="O191" i="3" l="1"/>
  <c r="N191" i="3"/>
  <c r="N188" i="3" s="1"/>
  <c r="N181" i="3" s="1"/>
  <c r="N243" i="3" s="1"/>
  <c r="R191" i="3"/>
  <c r="R188" i="3" s="1"/>
  <c r="R181" i="3" s="1"/>
  <c r="R240" i="3" s="1"/>
  <c r="P191" i="3"/>
  <c r="P188" i="3" s="1"/>
  <c r="P181" i="3" s="1"/>
  <c r="P240" i="3" s="1"/>
  <c r="N194" i="3"/>
  <c r="N237" i="3"/>
  <c r="N165" i="3"/>
  <c r="N129" i="3" s="1"/>
  <c r="Q155" i="3"/>
  <c r="G31" i="3"/>
  <c r="N93" i="3"/>
  <c r="P115" i="3"/>
  <c r="P114" i="3" s="1"/>
  <c r="Q194" i="3"/>
  <c r="O194" i="3"/>
  <c r="P194" i="3"/>
  <c r="R194" i="3"/>
  <c r="Q115" i="3"/>
  <c r="Q114" i="3" s="1"/>
  <c r="Q129" i="3"/>
  <c r="O93" i="3"/>
  <c r="O114" i="3"/>
  <c r="M176" i="3"/>
  <c r="P93" i="3"/>
  <c r="Q93" i="3"/>
  <c r="M177" i="3"/>
  <c r="M178" i="3"/>
  <c r="R93" i="3"/>
  <c r="P66" i="3"/>
  <c r="P67" i="3" s="1"/>
  <c r="P68" i="3" s="1"/>
  <c r="O66" i="3"/>
  <c r="O67" i="3" s="1"/>
  <c r="O68" i="3" s="1"/>
  <c r="O188" i="3"/>
  <c r="O181" i="3" s="1"/>
  <c r="O240" i="3" s="1"/>
  <c r="R66" i="3"/>
  <c r="R67" i="3" s="1"/>
  <c r="R68" i="3" s="1"/>
  <c r="Q188" i="3"/>
  <c r="Q181" i="3" s="1"/>
  <c r="Q240" i="3" s="1"/>
  <c r="Q66" i="3"/>
  <c r="Q67" i="3" s="1"/>
  <c r="Q68" i="3" s="1"/>
  <c r="M138" i="3" l="1"/>
  <c r="N137" i="3"/>
  <c r="N240" i="3"/>
  <c r="N141" i="3"/>
  <c r="N228" i="3"/>
  <c r="P193" i="3"/>
  <c r="P243" i="3"/>
  <c r="O193" i="3"/>
  <c r="O243" i="3"/>
  <c r="Q193" i="3"/>
  <c r="Q243" i="3"/>
  <c r="R193" i="3"/>
  <c r="R243" i="3"/>
  <c r="E31" i="3"/>
  <c r="Q141" i="3"/>
  <c r="Q140" i="3" s="1"/>
  <c r="Q137" i="3"/>
  <c r="Q136" i="3" s="1"/>
  <c r="C31" i="3"/>
  <c r="O175" i="3"/>
  <c r="O174" i="3" s="1"/>
  <c r="P175" i="3"/>
  <c r="P174" i="3" s="1"/>
  <c r="Q175" i="3"/>
  <c r="Q174" i="3" s="1"/>
  <c r="R175" i="3"/>
  <c r="R174" i="3" s="1"/>
  <c r="N175" i="3"/>
  <c r="N174" i="3" s="1"/>
  <c r="N197" i="3"/>
  <c r="N193" i="3"/>
  <c r="O197" i="3"/>
  <c r="P197" i="3"/>
  <c r="Q197" i="3"/>
  <c r="R197" i="3"/>
  <c r="P64" i="3"/>
  <c r="O64" i="3"/>
  <c r="P228" i="3"/>
  <c r="P221" i="3"/>
  <c r="O222" i="3"/>
  <c r="O220" i="3"/>
  <c r="O214" i="3" s="1"/>
  <c r="O221" i="3"/>
  <c r="O228" i="3"/>
  <c r="P220" i="3"/>
  <c r="P214" i="3" s="1"/>
  <c r="P222" i="3"/>
  <c r="Q64" i="3"/>
  <c r="R64" i="3"/>
  <c r="R228" i="3"/>
  <c r="R220" i="3"/>
  <c r="R214" i="3" s="1"/>
  <c r="R222" i="3"/>
  <c r="R221" i="3"/>
  <c r="Q228" i="3"/>
  <c r="Q222" i="3"/>
  <c r="Q221" i="3"/>
  <c r="Q220" i="3"/>
  <c r="Q214" i="3" s="1"/>
  <c r="N222" i="3"/>
  <c r="N221" i="3"/>
  <c r="N220" i="3"/>
  <c r="N214" i="3" s="1"/>
  <c r="N136" i="3" l="1"/>
  <c r="O136" i="3"/>
  <c r="P136" i="3"/>
  <c r="R136" i="3"/>
  <c r="C30" i="3"/>
  <c r="N140" i="3"/>
  <c r="G30" i="3" s="1"/>
  <c r="E30" i="3"/>
  <c r="N173" i="3"/>
  <c r="N91" i="3" s="1"/>
  <c r="N90" i="3" s="1"/>
  <c r="N164" i="3"/>
  <c r="R164" i="3"/>
  <c r="R173" i="3"/>
  <c r="Q173" i="3"/>
  <c r="Q91" i="3" s="1"/>
  <c r="Q164" i="3"/>
  <c r="P173" i="3"/>
  <c r="P91" i="3" s="1"/>
  <c r="P164" i="3"/>
  <c r="O164" i="3"/>
  <c r="O173" i="3"/>
  <c r="O91" i="3" s="1"/>
  <c r="Q72" i="3"/>
  <c r="Q76" i="3"/>
  <c r="P72" i="3"/>
  <c r="P76" i="3"/>
  <c r="R72" i="3"/>
  <c r="R76" i="3"/>
  <c r="O72" i="3"/>
  <c r="O76" i="3"/>
  <c r="C38" i="3"/>
  <c r="P219" i="3"/>
  <c r="O219" i="3"/>
  <c r="C37" i="3"/>
  <c r="R219" i="3"/>
  <c r="Q219" i="3"/>
  <c r="N219" i="3"/>
  <c r="F142" i="6"/>
  <c r="F135" i="6" s="1"/>
  <c r="F128" i="6"/>
  <c r="F121" i="6"/>
  <c r="N236" i="3" l="1"/>
  <c r="N235" i="3" s="1"/>
  <c r="R91" i="3"/>
  <c r="R90" i="3" s="1"/>
  <c r="C36" i="3"/>
  <c r="R216" i="3"/>
  <c r="R213" i="3" s="1"/>
  <c r="O236" i="3"/>
  <c r="O235" i="3" s="1"/>
  <c r="O110" i="3" s="1"/>
  <c r="O111" i="3" s="1"/>
  <c r="N216" i="3"/>
  <c r="N213" i="3" s="1"/>
  <c r="Q236" i="3"/>
  <c r="Q235" i="3" s="1"/>
  <c r="Q110" i="3" s="1"/>
  <c r="Q111" i="3" s="1"/>
  <c r="P236" i="3"/>
  <c r="P235" i="3" s="1"/>
  <c r="P110" i="3" s="1"/>
  <c r="P111" i="3" s="1"/>
  <c r="R236" i="3"/>
  <c r="R235" i="3" s="1"/>
  <c r="R110" i="3" s="1"/>
  <c r="R111" i="3" s="1"/>
  <c r="N163" i="3"/>
  <c r="O216" i="3"/>
  <c r="O213" i="3" s="1"/>
  <c r="O163" i="3"/>
  <c r="O104" i="3" s="1"/>
  <c r="O105" i="3" s="1"/>
  <c r="Q234" i="3"/>
  <c r="Q209" i="3"/>
  <c r="Q206" i="3" s="1"/>
  <c r="Q216" i="3"/>
  <c r="Q213" i="3" s="1"/>
  <c r="P163" i="3"/>
  <c r="P208" i="3" s="1"/>
  <c r="P216" i="3"/>
  <c r="P213" i="3" s="1"/>
  <c r="R163" i="3"/>
  <c r="R234" i="3"/>
  <c r="R209" i="3"/>
  <c r="R206" i="3" s="1"/>
  <c r="Q163" i="3"/>
  <c r="N234" i="3"/>
  <c r="N209" i="3"/>
  <c r="N206" i="3" s="1"/>
  <c r="O234" i="3"/>
  <c r="O209" i="3"/>
  <c r="O206" i="3" s="1"/>
  <c r="Q90" i="3"/>
  <c r="O90" i="3"/>
  <c r="P234" i="3"/>
  <c r="P209" i="3"/>
  <c r="P206" i="3" s="1"/>
  <c r="P90" i="3"/>
  <c r="F122" i="6"/>
  <c r="F127" i="6"/>
  <c r="N100" i="3" l="1"/>
  <c r="N97" i="3"/>
  <c r="N96" i="3" s="1"/>
  <c r="O100" i="3"/>
  <c r="O99" i="3" s="1"/>
  <c r="O86" i="3" s="1"/>
  <c r="Q100" i="3"/>
  <c r="Q99" i="3" s="1"/>
  <c r="Q86" i="3" s="1"/>
  <c r="P100" i="3"/>
  <c r="P99" i="3" s="1"/>
  <c r="P86" i="3" s="1"/>
  <c r="G32" i="3"/>
  <c r="R81" i="3"/>
  <c r="R53" i="3" s="1"/>
  <c r="R54" i="3" s="1"/>
  <c r="R100" i="3"/>
  <c r="R99" i="3" s="1"/>
  <c r="R86" i="3" s="1"/>
  <c r="C39" i="3"/>
  <c r="N104" i="3"/>
  <c r="N105" i="3" s="1"/>
  <c r="N81" i="3"/>
  <c r="N208" i="3"/>
  <c r="N205" i="3" s="1"/>
  <c r="C32" i="3"/>
  <c r="O208" i="3"/>
  <c r="O205" i="3" s="1"/>
  <c r="O107" i="3" s="1"/>
  <c r="O108" i="3" s="1"/>
  <c r="N110" i="3"/>
  <c r="N111" i="3" s="1"/>
  <c r="R104" i="3"/>
  <c r="R105" i="3" s="1"/>
  <c r="P81" i="3"/>
  <c r="O81" i="3"/>
  <c r="Q81" i="3"/>
  <c r="P97" i="3"/>
  <c r="Q104" i="3"/>
  <c r="Q105" i="3" s="1"/>
  <c r="Q97" i="3"/>
  <c r="Q96" i="3" s="1"/>
  <c r="Q83" i="3" s="1"/>
  <c r="Q208" i="3"/>
  <c r="Q205" i="3" s="1"/>
  <c r="Q107" i="3" s="1"/>
  <c r="Q108" i="3" s="1"/>
  <c r="R208" i="3"/>
  <c r="R205" i="3" s="1"/>
  <c r="R107" i="3" s="1"/>
  <c r="R108" i="3" s="1"/>
  <c r="O97" i="3"/>
  <c r="R97" i="3"/>
  <c r="R96" i="3" s="1"/>
  <c r="R83" i="3" s="1"/>
  <c r="P104" i="3"/>
  <c r="P105" i="3" s="1"/>
  <c r="P205" i="3"/>
  <c r="P107" i="3" s="1"/>
  <c r="P108" i="3" s="1"/>
  <c r="F134" i="6"/>
  <c r="F120" i="6"/>
  <c r="N99" i="3" l="1"/>
  <c r="N86" i="3" s="1"/>
  <c r="N83" i="3"/>
  <c r="R56" i="3"/>
  <c r="E32" i="3"/>
  <c r="N107" i="3"/>
  <c r="N108" i="3" s="1"/>
  <c r="Q59" i="3"/>
  <c r="Q60" i="3" s="1"/>
  <c r="Q53" i="3"/>
  <c r="Q54" i="3" s="1"/>
  <c r="P53" i="3"/>
  <c r="O53" i="3"/>
  <c r="O54" i="3" s="1"/>
  <c r="O59" i="3"/>
  <c r="O60" i="3" s="1"/>
  <c r="P59" i="3"/>
  <c r="P60" i="3" s="1"/>
  <c r="Q56" i="3"/>
  <c r="Q57" i="3" s="1"/>
  <c r="R33" i="3"/>
  <c r="R35" i="3" s="1"/>
  <c r="O96" i="3"/>
  <c r="O83" i="3" s="1"/>
  <c r="P96" i="3"/>
  <c r="P83" i="3" s="1"/>
  <c r="R59" i="3"/>
  <c r="R60" i="3" s="1"/>
  <c r="F126" i="6"/>
  <c r="F146" i="6"/>
  <c r="F147" i="6"/>
  <c r="F159" i="6" s="1"/>
  <c r="R57" i="3" l="1"/>
  <c r="R37" i="3"/>
  <c r="R38" i="3" s="1"/>
  <c r="O56" i="3"/>
  <c r="Q33" i="3"/>
  <c r="Q35" i="3" s="1"/>
  <c r="O33" i="3"/>
  <c r="O34" i="3" s="1"/>
  <c r="Q37" i="3"/>
  <c r="Q39" i="3" s="1"/>
  <c r="P41" i="3"/>
  <c r="P56" i="3"/>
  <c r="P57" i="3" s="1"/>
  <c r="O41" i="3"/>
  <c r="P54" i="3"/>
  <c r="P33" i="3"/>
  <c r="R41" i="3"/>
  <c r="Q41" i="3"/>
  <c r="R34" i="3"/>
  <c r="F163" i="6"/>
  <c r="R39" i="3" l="1"/>
  <c r="P42" i="3"/>
  <c r="R42" i="3"/>
  <c r="Q43" i="3"/>
  <c r="Q19" i="3" s="1"/>
  <c r="O42" i="3"/>
  <c r="O37" i="3"/>
  <c r="O38" i="3" s="1"/>
  <c r="O57" i="3"/>
  <c r="Q38" i="3"/>
  <c r="Q34" i="3"/>
  <c r="P43" i="3"/>
  <c r="P19" i="3" s="1"/>
  <c r="O35" i="3"/>
  <c r="P37" i="3"/>
  <c r="P38" i="3" s="1"/>
  <c r="O43" i="3"/>
  <c r="O19" i="3" s="1"/>
  <c r="P35" i="3"/>
  <c r="P34" i="3"/>
  <c r="R43" i="3"/>
  <c r="R19" i="3" s="1"/>
  <c r="Q42" i="3"/>
  <c r="C40" i="3"/>
  <c r="F164" i="6"/>
  <c r="O39" i="3" l="1"/>
  <c r="P39" i="3"/>
  <c r="F182" i="6"/>
  <c r="F198" i="6" l="1"/>
  <c r="F193" i="6" s="1"/>
  <c r="F197" i="6"/>
  <c r="F194" i="6" l="1"/>
  <c r="N66" i="3" l="1"/>
  <c r="N67" i="3" s="1"/>
  <c r="N68" i="3" l="1"/>
  <c r="N64" i="3" s="1"/>
  <c r="G29" i="3"/>
  <c r="C29" i="3"/>
  <c r="N76" i="3" l="1"/>
  <c r="E28" i="3"/>
  <c r="C28" i="3"/>
  <c r="G28" i="3"/>
  <c r="E29" i="3"/>
  <c r="C27" i="3" l="1"/>
  <c r="N72" i="3"/>
  <c r="N56" i="3" s="1"/>
  <c r="N53" i="3"/>
  <c r="N59" i="3"/>
  <c r="G27" i="3"/>
  <c r="N54" i="3" l="1"/>
  <c r="N33" i="3"/>
  <c r="Q7" i="3" s="1"/>
  <c r="E27" i="3"/>
  <c r="N37" i="3"/>
  <c r="N57" i="3"/>
  <c r="N41" i="3"/>
  <c r="L16" i="3" s="1"/>
  <c r="N60" i="3"/>
  <c r="N34" i="3" l="1"/>
  <c r="L8" i="3" s="1"/>
  <c r="R8" i="3" s="1"/>
  <c r="O7" i="3"/>
  <c r="C26" i="3"/>
  <c r="D32" i="3" s="1"/>
  <c r="E36" i="3"/>
  <c r="E37" i="3" s="1"/>
  <c r="H37" i="3" s="1"/>
  <c r="L6" i="3"/>
  <c r="K6" i="3" s="1"/>
  <c r="N35" i="3"/>
  <c r="L9" i="3" s="1"/>
  <c r="R9" i="3" s="1"/>
  <c r="N7" i="3"/>
  <c r="R7" i="3"/>
  <c r="P7" i="3"/>
  <c r="O16" i="3"/>
  <c r="N12" i="3"/>
  <c r="Q12" i="3"/>
  <c r="O12" i="3"/>
  <c r="L11" i="3"/>
  <c r="K11" i="3" s="1"/>
  <c r="N39" i="3"/>
  <c r="E41" i="3"/>
  <c r="N38" i="3"/>
  <c r="E26" i="3"/>
  <c r="R12" i="3"/>
  <c r="P12" i="3"/>
  <c r="Q17" i="3"/>
  <c r="N42" i="3"/>
  <c r="N18" i="3" s="1"/>
  <c r="N43" i="3"/>
  <c r="N19" i="3" s="1"/>
  <c r="O17" i="3"/>
  <c r="E46" i="3"/>
  <c r="G26" i="3"/>
  <c r="R17" i="3"/>
  <c r="P17" i="3"/>
  <c r="N17" i="3"/>
  <c r="N16" i="3" l="1"/>
  <c r="D30" i="3"/>
  <c r="Q6" i="3"/>
  <c r="P6" i="3"/>
  <c r="R6" i="3"/>
  <c r="N6" i="3"/>
  <c r="O6" i="3"/>
  <c r="D29" i="3"/>
  <c r="D31" i="3"/>
  <c r="E38" i="3"/>
  <c r="H38" i="3" s="1"/>
  <c r="D27" i="3"/>
  <c r="D28" i="3"/>
  <c r="D26" i="3"/>
  <c r="R16" i="3"/>
  <c r="P16" i="3"/>
  <c r="Q16" i="3"/>
  <c r="K16" i="3"/>
  <c r="P11" i="3"/>
  <c r="Q8" i="3"/>
  <c r="P9" i="3"/>
  <c r="O9" i="3"/>
  <c r="N9" i="3"/>
  <c r="N8" i="3"/>
  <c r="R11" i="3"/>
  <c r="E47" i="3"/>
  <c r="H47" i="3" s="1"/>
  <c r="E48" i="3"/>
  <c r="H48" i="3" s="1"/>
  <c r="Q9" i="3"/>
  <c r="F30" i="3"/>
  <c r="F26" i="3"/>
  <c r="F31" i="3"/>
  <c r="F32" i="3"/>
  <c r="F29" i="3"/>
  <c r="F28" i="3"/>
  <c r="F27" i="3"/>
  <c r="O8" i="3"/>
  <c r="L14" i="3"/>
  <c r="Q14" i="3" s="1"/>
  <c r="O11" i="3"/>
  <c r="H30" i="3"/>
  <c r="H32" i="3"/>
  <c r="H31" i="3"/>
  <c r="H26" i="3"/>
  <c r="H29" i="3"/>
  <c r="H28" i="3"/>
  <c r="H27" i="3"/>
  <c r="Q11" i="3"/>
  <c r="N11" i="3"/>
  <c r="L13" i="3"/>
  <c r="N13" i="3" s="1"/>
  <c r="P8" i="3"/>
  <c r="E43" i="3"/>
  <c r="H43" i="3" s="1"/>
  <c r="E42" i="3"/>
  <c r="H42" i="3" s="1"/>
  <c r="R18" i="3" l="1"/>
  <c r="P18" i="3"/>
  <c r="O18" i="3"/>
  <c r="Q18" i="3"/>
  <c r="N14" i="3"/>
  <c r="Q13" i="3"/>
  <c r="R14" i="3"/>
  <c r="O14" i="3"/>
  <c r="P14" i="3"/>
  <c r="P13" i="3"/>
  <c r="R13" i="3"/>
  <c r="O1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<sst xmlns="http://schemas.openxmlformats.org/spreadsheetml/2006/main" count="1437" uniqueCount="503">
  <si>
    <r>
      <rPr>
        <b/>
        <sz val="72"/>
        <color theme="6"/>
        <rFont val="Avenir Next LT Pro Light"/>
        <family val="2"/>
        <scheme val="minor"/>
      </rPr>
      <t>Impact'</t>
    </r>
    <r>
      <rPr>
        <b/>
        <sz val="72"/>
        <color theme="1"/>
        <rFont val="Avenir Next LT Pro Light"/>
        <family val="2"/>
        <scheme val="minor"/>
      </rPr>
      <t>IA</t>
    </r>
  </si>
  <si>
    <t>Calculatrice des impacts environnementaux des projets mobilisant des modèles d'IA Générative</t>
  </si>
  <si>
    <t>Présentation du document</t>
  </si>
  <si>
    <t xml:space="preserve">Précisions sur les 3 indicateurs environnementaux modélisés dans cette calculatrice : </t>
  </si>
  <si>
    <t>Consommation d'électricité</t>
  </si>
  <si>
    <t>Potentiel de Réchauffement Climatique</t>
  </si>
  <si>
    <t>Utilisation d'eau</t>
  </si>
  <si>
    <r>
      <t xml:space="preserve">mWh </t>
    </r>
    <r>
      <rPr>
        <i/>
        <sz val="9"/>
        <color theme="1"/>
        <rFont val="Avenir Next LT Pro"/>
        <family val="2"/>
        <scheme val="major"/>
      </rPr>
      <t>ou</t>
    </r>
    <r>
      <rPr>
        <i/>
        <sz val="12"/>
        <color theme="1"/>
        <rFont val="Avenir Next LT Pro"/>
        <family val="2"/>
        <scheme val="major"/>
      </rPr>
      <t xml:space="preserve"> Wh </t>
    </r>
    <r>
      <rPr>
        <i/>
        <sz val="9"/>
        <color theme="1"/>
        <rFont val="Avenir Next LT Pro"/>
        <family val="2"/>
        <scheme val="major"/>
      </rPr>
      <t>ou</t>
    </r>
    <r>
      <rPr>
        <i/>
        <sz val="12"/>
        <color theme="1"/>
        <rFont val="Avenir Next LT Pro"/>
        <family val="2"/>
        <scheme val="major"/>
      </rPr>
      <t xml:space="preserve"> kWh</t>
    </r>
  </si>
  <si>
    <r>
      <t xml:space="preserve">mg CO₂e </t>
    </r>
    <r>
      <rPr>
        <i/>
        <sz val="9"/>
        <color theme="1"/>
        <rFont val="Avenir Next LT Pro"/>
        <family val="2"/>
        <scheme val="major"/>
      </rPr>
      <t>ou</t>
    </r>
    <r>
      <rPr>
        <i/>
        <sz val="12"/>
        <color theme="1"/>
        <rFont val="Avenir Next LT Pro"/>
        <family val="2"/>
        <scheme val="major"/>
      </rPr>
      <t xml:space="preserve"> g CO₂e </t>
    </r>
    <r>
      <rPr>
        <i/>
        <sz val="9"/>
        <color theme="1"/>
        <rFont val="Avenir Next LT Pro"/>
        <family val="2"/>
        <scheme val="major"/>
      </rPr>
      <t>ou</t>
    </r>
    <r>
      <rPr>
        <i/>
        <sz val="12"/>
        <color theme="1"/>
        <rFont val="Avenir Next LT Pro"/>
        <family val="2"/>
        <scheme val="major"/>
      </rPr>
      <t xml:space="preserve"> kg CO₂e</t>
    </r>
  </si>
  <si>
    <r>
      <t xml:space="preserve">mL </t>
    </r>
    <r>
      <rPr>
        <i/>
        <sz val="9"/>
        <color theme="1"/>
        <rFont val="Avenir Next LT Pro"/>
        <family val="2"/>
        <scheme val="major"/>
      </rPr>
      <t>ou</t>
    </r>
    <r>
      <rPr>
        <i/>
        <sz val="12"/>
        <color theme="1"/>
        <rFont val="Avenir Next LT Pro"/>
        <family val="2"/>
        <scheme val="major"/>
      </rPr>
      <t xml:space="preserve"> L </t>
    </r>
    <r>
      <rPr>
        <i/>
        <sz val="9"/>
        <color theme="1"/>
        <rFont val="Avenir Next LT Pro"/>
        <family val="2"/>
        <scheme val="major"/>
      </rPr>
      <t>ou</t>
    </r>
    <r>
      <rPr>
        <i/>
        <sz val="12"/>
        <color theme="1"/>
        <rFont val="Avenir Next LT Pro"/>
        <family val="2"/>
        <scheme val="major"/>
      </rPr>
      <t xml:space="preserve"> m³</t>
    </r>
  </si>
  <si>
    <t>Guide Utilisateur</t>
  </si>
  <si>
    <t>Méthodologie de calcul</t>
  </si>
  <si>
    <t>Ce tutoriel explique comment ajouter un modèle supplémentaire dans la calculatrice Impact'IA, en respectant la structure du fichier Excel afin de garantir le bon fonctionnement des calculs et des filtres.</t>
  </si>
  <si>
    <r>
      <rPr>
        <b/>
        <sz val="12"/>
        <color theme="1"/>
        <rFont val="Avenir Next LT Pro"/>
        <family val="2"/>
        <scheme val="major"/>
      </rPr>
      <t>Étapes</t>
    </r>
    <r>
      <rPr>
        <sz val="12"/>
        <color theme="1"/>
        <rFont val="Avenir Next LT Pro"/>
        <family val="2"/>
        <scheme val="major"/>
      </rPr>
      <t xml:space="preserve">
1. </t>
    </r>
    <r>
      <rPr>
        <b/>
        <sz val="12"/>
        <color theme="1"/>
        <rFont val="Avenir Next LT Pro"/>
        <family val="2"/>
        <scheme val="major"/>
      </rPr>
      <t xml:space="preserve">Afficher la feuille des modèles nommée "Modèles_IA" : </t>
    </r>
    <r>
      <rPr>
        <sz val="12"/>
        <color theme="1"/>
        <rFont val="Avenir Next LT Pro"/>
        <family val="2"/>
        <scheme val="major"/>
      </rPr>
      <t>Clic droit sur un onglet → Afficher… → Modèles_IA
2.</t>
    </r>
    <r>
      <rPr>
        <b/>
        <sz val="12"/>
        <color theme="1"/>
        <rFont val="Avenir Next LT Pro"/>
        <family val="2"/>
        <scheme val="major"/>
      </rPr>
      <t xml:space="preserve"> Dupliquer une ligne existante</t>
    </r>
    <r>
      <rPr>
        <sz val="12"/>
        <color theme="1"/>
        <rFont val="Avenir Next LT Pro"/>
        <family val="2"/>
        <scheme val="major"/>
      </rPr>
      <t xml:space="preserve"> : Dans l'onglet Modèles_IA, insérer ou copier / coller une ligne complète sur la ligne vide suivante (obligatoire pour conserver formules et listes déroulantes)
3. </t>
    </r>
    <r>
      <rPr>
        <b/>
        <sz val="12"/>
        <color theme="1"/>
        <rFont val="Avenir Next LT Pro"/>
        <family val="2"/>
        <scheme val="major"/>
      </rPr>
      <t>Renseigner les champs mentionnées</t>
    </r>
    <r>
      <rPr>
        <sz val="12"/>
        <color theme="1"/>
        <rFont val="Avenir Next LT Pro"/>
        <family val="2"/>
        <scheme val="major"/>
      </rPr>
      <t xml:space="preserve"> : Nom du modèle, fournisseur, caractéristiques, sources, etc. 
4. </t>
    </r>
    <r>
      <rPr>
        <b/>
        <sz val="12"/>
        <color theme="1"/>
        <rFont val="Avenir Next LT Pro"/>
        <family val="2"/>
        <scheme val="major"/>
      </rPr>
      <t>Vérifier</t>
    </r>
    <r>
      <rPr>
        <sz val="12"/>
        <color theme="1"/>
        <rFont val="Avenir Next LT Pro"/>
        <family val="2"/>
        <scheme val="major"/>
      </rPr>
      <t xml:space="preserve"> : Dans l'onglet Données, le modèle apparaît dans les listes et les calculs se mettent à jour
</t>
    </r>
    <r>
      <rPr>
        <i/>
        <sz val="12"/>
        <color theme="1"/>
        <rFont val="Avenir Next LT Pro"/>
        <family val="2"/>
        <scheme val="major"/>
      </rPr>
      <t>Bonne pratique : ne pas modifier les formules, colonnes ou cellules verrouillées.</t>
    </r>
    <r>
      <rPr>
        <sz val="12"/>
        <color theme="1"/>
        <rFont val="Avenir Next LT Pro"/>
        <family val="2"/>
        <scheme val="major"/>
      </rPr>
      <t xml:space="preserve"> </t>
    </r>
  </si>
  <si>
    <t xml:space="preserve">Des questions, difficultés ou suggestions d'améliorations ? </t>
  </si>
  <si>
    <t>Date</t>
  </si>
  <si>
    <t>Version</t>
  </si>
  <si>
    <t xml:space="preserve">Comment utiliser cette calculatrice ? </t>
  </si>
  <si>
    <t xml:space="preserve">Mon projet est en : </t>
  </si>
  <si>
    <t>Production</t>
  </si>
  <si>
    <t>Fournisseur :</t>
  </si>
  <si>
    <t>Anthropic</t>
  </si>
  <si>
    <t>Modèle :</t>
  </si>
  <si>
    <t>Claude Haiku 3</t>
  </si>
  <si>
    <t>Exemple de taille de requête</t>
  </si>
  <si>
    <t>Echange court (≈ 400 tokens)</t>
  </si>
  <si>
    <t>Nombre d'utilisateurs 
de l'outil:</t>
  </si>
  <si>
    <t>Nombre de requêtes (par jour et par utilisateur)</t>
  </si>
  <si>
    <t>Nombre total de requêtes (par mois)</t>
  </si>
  <si>
    <t>Nombre total de tokens d'entrée (par mois)</t>
  </si>
  <si>
    <t>Nombre total de tokens de sortie (par mois)</t>
  </si>
  <si>
    <t>Nombre de tokens d'embedding (par mois)</t>
  </si>
  <si>
    <t>Entrainement</t>
  </si>
  <si>
    <t>Inférence</t>
  </si>
  <si>
    <t>Les comparaisons de modèles sont réalisées à périmètre fonctionnel constant. Chaque modèle est rattaché à une catégorie de taille et d’usage, considérés comme des alternatives réalistes.</t>
  </si>
  <si>
    <t>GPT-4 turbo</t>
  </si>
  <si>
    <t>Mistral Large</t>
  </si>
  <si>
    <t>Claude Sonnet 4</t>
  </si>
  <si>
    <t>Gemini 2.5 pro</t>
  </si>
  <si>
    <t>Fournisseur</t>
  </si>
  <si>
    <t>Mistral AI</t>
  </si>
  <si>
    <t>OpenAI</t>
  </si>
  <si>
    <t>Google</t>
  </si>
  <si>
    <t>Modèles</t>
  </si>
  <si>
    <t>Modèle 2</t>
  </si>
  <si>
    <t>Modèle 3</t>
  </si>
  <si>
    <t>Modèle 4</t>
  </si>
  <si>
    <t>Modèle 5</t>
  </si>
  <si>
    <t>Réponse détaillée (≈ 1000 tokens)</t>
  </si>
  <si>
    <t>Source de la formule</t>
  </si>
  <si>
    <t>Variable de calcul</t>
  </si>
  <si>
    <t>Unités</t>
  </si>
  <si>
    <t>Facteurs</t>
  </si>
  <si>
    <t xml:space="preserve">Caractéristique du modèle </t>
  </si>
  <si>
    <t>Données</t>
  </si>
  <si>
    <t xml:space="preserve">Modèle sélectionné </t>
  </si>
  <si>
    <t>-</t>
  </si>
  <si>
    <t>Modèles_IA</t>
  </si>
  <si>
    <t>P_total</t>
  </si>
  <si>
    <t>Milliards de paramètres</t>
  </si>
  <si>
    <t>P_active_moyenne</t>
  </si>
  <si>
    <t>Nombre de tokens d'entrée générés par le projet</t>
  </si>
  <si>
    <t>tokens annuels</t>
  </si>
  <si>
    <t>Nombre de tokens de sortie générés par le projet</t>
  </si>
  <si>
    <t>Average TPS</t>
  </si>
  <si>
    <t>Bibliothèque_FE</t>
  </si>
  <si>
    <t>Moyenne de token d'entrée par requête</t>
  </si>
  <si>
    <t>tokens d'entrée par requête</t>
  </si>
  <si>
    <t>Moyenne de token de sortie par requête</t>
  </si>
  <si>
    <t>tokens de sortie par requête</t>
  </si>
  <si>
    <t>ÉLECTRICITÉ consommée pour le projet</t>
  </si>
  <si>
    <t>kWh</t>
  </si>
  <si>
    <t>ÉLECTRICITÉ consommée (usage + environnée) pour un requête</t>
  </si>
  <si>
    <t>ÉLECTRICITÉ consommée (usage + environnée) pour un token</t>
  </si>
  <si>
    <t>GES émis (usage + embarqué) pour le projet</t>
  </si>
  <si>
    <t>kg CO₂e</t>
  </si>
  <si>
    <t>GES émis (usage + embarqué) pour une requête</t>
  </si>
  <si>
    <t>GES émis (usage + embarqué) pour un token</t>
  </si>
  <si>
    <t>EAU utilisée pour le projet</t>
  </si>
  <si>
    <t>L eq</t>
  </si>
  <si>
    <t>EAU utilisée pour une requête</t>
  </si>
  <si>
    <t>EAU utilisée pour un token</t>
  </si>
  <si>
    <t>ÉLECTRICITÉ consommée de l'entrainement pour un token de sortie du projet</t>
  </si>
  <si>
    <t>GES émis (usage + embarqué) de l'entrainement attribuable au projet</t>
  </si>
  <si>
    <t>GES émis de l'entrainement pour un token de sortie du projet</t>
  </si>
  <si>
    <t>EAU utilisée de l'entrainement attribuable au projet</t>
  </si>
  <si>
    <t>EAU utilisée de l'entrainement pour un token de sortie du projet</t>
  </si>
  <si>
    <t>Stockage de la donnée d'entrainement</t>
  </si>
  <si>
    <t xml:space="preserve">Enrichissement (hors périmètre Ecologits) </t>
  </si>
  <si>
    <t xml:space="preserve">ÉLECTRICITÉ consommée par le stockage de la donnée attribuable au projet </t>
  </si>
  <si>
    <t>Nombre de tokens à l'entrainement</t>
  </si>
  <si>
    <t>tokens</t>
  </si>
  <si>
    <t>Volume de données stockées à l'entrainement</t>
  </si>
  <si>
    <t>To</t>
  </si>
  <si>
    <t>Nombre de HDD 30To requis pour stocker la donnée</t>
  </si>
  <si>
    <t>HDD</t>
  </si>
  <si>
    <t>Puissance électrique du HDD pour le stockage dataset de l'entrainement</t>
  </si>
  <si>
    <t>Ratio d'usage HDD</t>
  </si>
  <si>
    <t>%</t>
  </si>
  <si>
    <t>Durée d'entrainement</t>
  </si>
  <si>
    <t>heures</t>
  </si>
  <si>
    <t>GES émis (usage + embarqué) du stockage de la donnée d'entrainement attribuable au projet</t>
  </si>
  <si>
    <t>Durée de vie du HDD</t>
  </si>
  <si>
    <t>GES embarqué du stockage HDD de l'entrainement</t>
  </si>
  <si>
    <t>EAU utilisée (usage + embarqué) par le stockage de la donnée attribuable au projet</t>
  </si>
  <si>
    <t>WU du stockage HDD de l'entrainement (WORLD)</t>
  </si>
  <si>
    <t>Expérimentations tests (R&amp;D)</t>
  </si>
  <si>
    <t>ÉLECTRICITÉ consommée des expérimentations tests (R&amp;D) attribuable au projet</t>
  </si>
  <si>
    <t>GES émis des expérimentations tests (R&amp;D) pour le projet</t>
  </si>
  <si>
    <t>Facteur d'émission de l'électricité consommée Monde</t>
  </si>
  <si>
    <t>kg CO₂e / kWh</t>
  </si>
  <si>
    <t>EAU utilisée des expérimentations tests (R&amp;D) pour le projet</t>
  </si>
  <si>
    <t>Entrainement final du modèle</t>
  </si>
  <si>
    <t>ÉLECTRICITÉ consommée au total pour l'entrainement</t>
  </si>
  <si>
    <t>FLOPS</t>
  </si>
  <si>
    <t>Energie consommée pour un FLOP</t>
  </si>
  <si>
    <t>jours</t>
  </si>
  <si>
    <t>GES émis (usage + embarqué) de l'entrainement final attribuable au projet</t>
  </si>
  <si>
    <t xml:space="preserve">GES embarqué de l'entrainement (ratio par rapport à l'inférence) </t>
  </si>
  <si>
    <t>EAU utilisée par l'entrainement final attribuable au projet</t>
  </si>
  <si>
    <t xml:space="preserve">ÉLECTRICITÉ consommée de l'inférence pour le projet </t>
  </si>
  <si>
    <t>ÉLECTRICITÉ consommée (usage + environnée) de l'inférence pour un token</t>
  </si>
  <si>
    <t>GES émis (usage + embarqué) de l'inférence pour le projet</t>
  </si>
  <si>
    <t>GES émis (usage + embarqué) de l'inférence pour un token</t>
  </si>
  <si>
    <t>EAU utilisée de l'inférence pour le projet</t>
  </si>
  <si>
    <t>EAU utilisée de l'inférence pour un token</t>
  </si>
  <si>
    <t>Estimation du nombre de token du modele</t>
  </si>
  <si>
    <t>tokens générés sur la durée de vie du modèle</t>
  </si>
  <si>
    <t>Nombre de FLOPS_model</t>
  </si>
  <si>
    <t>Compute Model</t>
  </si>
  <si>
    <t>kW</t>
  </si>
  <si>
    <t>Compute Capacity (kW)</t>
  </si>
  <si>
    <t>Ratio d'inférence sur la compute capacity</t>
  </si>
  <si>
    <t>N_active_model</t>
  </si>
  <si>
    <t>modèles actifs</t>
  </si>
  <si>
    <t>Age du modèle</t>
  </si>
  <si>
    <t>année(s)</t>
  </si>
  <si>
    <t>RAG / Embedding (hors Conception)</t>
  </si>
  <si>
    <t>text-embedding-3-large</t>
  </si>
  <si>
    <t xml:space="preserve">Latence de génération pour l'embedding </t>
  </si>
  <si>
    <t>secondes</t>
  </si>
  <si>
    <t>#T_embedding</t>
  </si>
  <si>
    <t xml:space="preserve">tokens annuels </t>
  </si>
  <si>
    <t>ÉLECTRICITÉ consommée (usage + environné) pour l'embedding</t>
  </si>
  <si>
    <t>Nombre de GPU utilisé pour l'embedding</t>
  </si>
  <si>
    <t>unité(s)</t>
  </si>
  <si>
    <t xml:space="preserve">Puissance électrique d'un GPU pour l'embedding </t>
  </si>
  <si>
    <t>ÉLECTRICITÉ consommée par le serveur pour l'embedding</t>
  </si>
  <si>
    <t>Nombre de GPU par serveur</t>
  </si>
  <si>
    <t>ÉLECTRICITÉ consommée par les équipements réseau pour l'embedding</t>
  </si>
  <si>
    <t>GES émis pour l'embedding</t>
  </si>
  <si>
    <t>GES émis (usage + environné ) pour l'embedding</t>
  </si>
  <si>
    <t xml:space="preserve">GES embarqué pour l'embedding </t>
  </si>
  <si>
    <t>EAU utilisée (usage + embarqué) pour l'embedding</t>
  </si>
  <si>
    <t xml:space="preserve">EAU utilisée (usage + environné) pour l'embedding </t>
  </si>
  <si>
    <t>Eau embarqué pour l'embedding du projet</t>
  </si>
  <si>
    <t>Puissance électrique d'un nœud</t>
  </si>
  <si>
    <t>nœuds</t>
  </si>
  <si>
    <t>GES embarqué d'un nœud 16Go</t>
  </si>
  <si>
    <t>Durée de vie d'un nœud 16Go</t>
  </si>
  <si>
    <t>WU d'un noeud 16Go</t>
  </si>
  <si>
    <t>Traitement des requêtes par le modèle</t>
  </si>
  <si>
    <t>ÉLECTRICITÉ consommée (usage + environné) par le projet [request_global_energy]</t>
  </si>
  <si>
    <t>Ecologits v0.9</t>
  </si>
  <si>
    <t>ÉLECTRICITÉ consommée par la requête selon Ecologits [request_energy]</t>
  </si>
  <si>
    <t>PUE</t>
  </si>
  <si>
    <t>Nombre de GPU utilisé [gpu_required_count]</t>
  </si>
  <si>
    <t>Mémoire minimum requise pour héberger le modèle (M_Modèle = 1,2 x (P_total x Q)/8)</t>
  </si>
  <si>
    <t>Go</t>
  </si>
  <si>
    <t>Nombre de GPU requis pour stocker le modèle</t>
  </si>
  <si>
    <t>Nb minimum avant arrondi</t>
  </si>
  <si>
    <t>Quantification</t>
  </si>
  <si>
    <t>Bits</t>
  </si>
  <si>
    <t>Mémoire GPU</t>
  </si>
  <si>
    <t>ÉLECTRICITÉ consommée par les GPU utilisés</t>
  </si>
  <si>
    <t>ÉLECTRICITÉ consommée par un GPU [gpu_energy]</t>
  </si>
  <si>
    <t>GPU_Energy_per_token</t>
  </si>
  <si>
    <t>Wh / token</t>
  </si>
  <si>
    <t xml:space="preserve">GPU_Energy_α </t>
  </si>
  <si>
    <t xml:space="preserve">GPU_Energy_β </t>
  </si>
  <si>
    <t>GPU_Energy_γ</t>
  </si>
  <si>
    <t>Batch</t>
  </si>
  <si>
    <t>nombre de requêtes traitées en parallèle</t>
  </si>
  <si>
    <t>Ecologits v0.10</t>
  </si>
  <si>
    <t>Latence de génération d'un GPU [generation_latency]</t>
  </si>
  <si>
    <t>Ecologits v0.10 (exclu Impact'IA)</t>
  </si>
  <si>
    <t>Latence du génération selon Ecologits</t>
  </si>
  <si>
    <t>Latence de génération d'un token [latency_per_token]</t>
  </si>
  <si>
    <t>secondes / token</t>
  </si>
  <si>
    <t>Latence_α</t>
  </si>
  <si>
    <t>Latence_β</t>
  </si>
  <si>
    <t>Latence_γ</t>
  </si>
  <si>
    <t>Latence de requête (decode)</t>
  </si>
  <si>
    <t>Latence de génération d'un GPU théorique (decode + prefill) [gpu_latency]</t>
  </si>
  <si>
    <t>Latence du GPU (decode + prefill)</t>
  </si>
  <si>
    <t>Average TTFT [latency_first_token]</t>
  </si>
  <si>
    <t>T_prefill</t>
  </si>
  <si>
    <t>ÉLECTRICITÉ consommée par le serveur (hors GPU) [server_energy]</t>
  </si>
  <si>
    <t>Electricité consommée par le serveur selon Ecologits</t>
  </si>
  <si>
    <t>ÉLECTRICITÉ consommée par les équipements réseau au sein du data center</t>
  </si>
  <si>
    <t>Puissance électrique des pares-feux</t>
  </si>
  <si>
    <t>Ratio d'usage pares-feux</t>
  </si>
  <si>
    <t>Puissance électrique des routeurs</t>
  </si>
  <si>
    <t>Ratio d'usage routeurs</t>
  </si>
  <si>
    <t>Puissance électrique des switches</t>
  </si>
  <si>
    <t>Ratio d'usage switches</t>
  </si>
  <si>
    <t>GES émis (usage + embarqué) par le projet [request_global_impact_gwp]</t>
  </si>
  <si>
    <t>GES émis TOTAL d'une requête selon Ecologits [request_impact_gwp]</t>
  </si>
  <si>
    <t>GES émis à l'usage de la requête selon Ecologits [request_usage_gwp]</t>
  </si>
  <si>
    <t>Facteur d'émission de l'électricité consommée France</t>
  </si>
  <si>
    <t>GES embarqué du projet [request_global_embodied_gwp] à l'utilisation du modèle</t>
  </si>
  <si>
    <t>GES embarqué d'une requête selon Ecologits [request_embodied_gwp]</t>
  </si>
  <si>
    <t>GES embarqué de l'environnement technique et du batiment [bat_embodied_gwp]</t>
  </si>
  <si>
    <t xml:space="preserve">Facteur d'émission du batiment et de l'environnement technique </t>
  </si>
  <si>
    <t>GES embarqué d'un serveur [server_gpu_embodied_gwp] à l'utilisation du modèle</t>
  </si>
  <si>
    <t>GES embarqué d'un serveur selon Ecologits</t>
  </si>
  <si>
    <t>GES embarqué d'un serveur</t>
  </si>
  <si>
    <t>GES embarqué du GPU</t>
  </si>
  <si>
    <t>Durée de vie du serveur</t>
  </si>
  <si>
    <t>Durée de vie d'un GPU</t>
  </si>
  <si>
    <t>GES embarqué du serveur</t>
  </si>
  <si>
    <t>GES embarqué d'un seul GPU</t>
  </si>
  <si>
    <t>GES embarqué par les équipements réseau  [network_embodied_gwp]</t>
  </si>
  <si>
    <t>Durée de vie équipements réseau</t>
  </si>
  <si>
    <t>GES embarqué du pare-feu</t>
  </si>
  <si>
    <t>GES embarqué du routeur</t>
  </si>
  <si>
    <t>GES embarqué du switch</t>
  </si>
  <si>
    <t>Eau utilisée par l'application selon Ecologits</t>
  </si>
  <si>
    <t>L</t>
  </si>
  <si>
    <t>EAU utilisée (usage + embarqué) du projet au traitement des requetes [request_usage_wcf]</t>
  </si>
  <si>
    <t>EAU utilisée pour le centre de données</t>
  </si>
  <si>
    <t>WUE on-site - eau utilisée directement dans le centre de donnée</t>
  </si>
  <si>
    <t>L / kWh</t>
  </si>
  <si>
    <t>CF_Aware</t>
  </si>
  <si>
    <t>EAU embarqué par le serveur et les GPU</t>
  </si>
  <si>
    <t>WU du serveur (embarqué)</t>
  </si>
  <si>
    <t>Catégorie</t>
  </si>
  <si>
    <t>Sous-catégorie</t>
  </si>
  <si>
    <t>Variable</t>
  </si>
  <si>
    <t>Valeur</t>
  </si>
  <si>
    <t>Unité</t>
  </si>
  <si>
    <t>Source</t>
  </si>
  <si>
    <t>MAJ</t>
  </si>
  <si>
    <t>Commentaire</t>
  </si>
  <si>
    <t>Valeur historique1</t>
  </si>
  <si>
    <t>Source1</t>
  </si>
  <si>
    <t xml:space="preserve">Historique </t>
  </si>
  <si>
    <t>Source Historique</t>
  </si>
  <si>
    <t>Bâtiment</t>
  </si>
  <si>
    <t>Embarqué</t>
  </si>
  <si>
    <t>kgCO2eq / kWh</t>
  </si>
  <si>
    <t>Hubblo (RCP ADEME)</t>
  </si>
  <si>
    <t>Eau</t>
  </si>
  <si>
    <t>Monde</t>
  </si>
  <si>
    <t xml:space="preserve">WUE off site - eau utilisée pour produire l'électricité consommée </t>
  </si>
  <si>
    <t>Uptime Inst. 2023</t>
  </si>
  <si>
    <t>Li et al. (2025)</t>
  </si>
  <si>
    <t>Aware Database</t>
  </si>
  <si>
    <t>Electricité</t>
  </si>
  <si>
    <t>France</t>
  </si>
  <si>
    <t>Ademe</t>
  </si>
  <si>
    <t>Ecologits - ADEME</t>
  </si>
  <si>
    <t>Embedding</t>
  </si>
  <si>
    <t>NVIDIA H100 80GB SXM5</t>
  </si>
  <si>
    <t>Configuration</t>
  </si>
  <si>
    <t>GPU</t>
  </si>
  <si>
    <t>SNCF</t>
  </si>
  <si>
    <t>kgCO2eq</t>
  </si>
  <si>
    <t>Resilio DB 03/2026</t>
  </si>
  <si>
    <t>Seagate Exos 30 TB - a6732f1d11a526d6818449833d73a613672d54918ad5112c0b4b4c077de485b6</t>
  </si>
  <si>
    <t>Kitguru</t>
  </si>
  <si>
    <t>Seagate Exos 30 TB</t>
  </si>
  <si>
    <t>Durée de vie</t>
  </si>
  <si>
    <t>Epoch.AI</t>
  </si>
  <si>
    <t>Article Epoch.Ai</t>
  </si>
  <si>
    <t>Ratio</t>
  </si>
  <si>
    <t>AI models EPOCH AI</t>
  </si>
  <si>
    <t>ans</t>
  </si>
  <si>
    <t>Resilio DB 04/2026</t>
  </si>
  <si>
    <t>Ostrouchov et al. (2020)</t>
  </si>
  <si>
    <t>NVIDIA H100 80GB HBM3</t>
  </si>
  <si>
    <t>Lees-Perasso et al. (2026)</t>
  </si>
  <si>
    <t>Energie</t>
  </si>
  <si>
    <t>Wh/tok/Mds</t>
  </si>
  <si>
    <t>Wh/tok</t>
  </si>
  <si>
    <t>Wh</t>
  </si>
  <si>
    <t>nombre de requête</t>
  </si>
  <si>
    <t>Latence</t>
  </si>
  <si>
    <t>s/tok/Mds</t>
  </si>
  <si>
    <t>s/tok</t>
  </si>
  <si>
    <t>s</t>
  </si>
  <si>
    <t>NVIDIA H100 80GB SXM5 - c5c38823a29224c78a48b7fd33c77b47fcfb74a4655ae68a0de9002f1fa301be</t>
  </si>
  <si>
    <t>Ecologits v0.10 - NVIDIA H100 80GB HBM3 - Lees-Perasso et al. (2026)</t>
  </si>
  <si>
    <t>Falk et al. 2025</t>
  </si>
  <si>
    <t>WU d'un seul GPU (embarqué)</t>
  </si>
  <si>
    <t>Réseau</t>
  </si>
  <si>
    <t>ADEME - ARCEP</t>
  </si>
  <si>
    <t>Fortinet FortiGate 100E Firewall - 2bc89e4b2064dba552275a82c26df6c6400edb6442592ebd8d86cbb42cb9af90</t>
  </si>
  <si>
    <t>Hubblo (RCP Ademe)</t>
  </si>
  <si>
    <t>Juniper PTX10002‑36QDD - ae4208b57522c4e79278b460a4c1e4875bdb1edd594698d575c7722ee96e4ffb</t>
  </si>
  <si>
    <t>Arista 7050TX3-48C8 - bd728dcdba0474ed95ff155182665f5bec3fda22a25a9bb0da8c560a63fb33ae</t>
  </si>
  <si>
    <t>Serveur</t>
  </si>
  <si>
    <t>Puissance électrique d'un serveur - hors GPU</t>
  </si>
  <si>
    <t>p5.48xlarge - 43b1720bdbf5e7a93f28bb2a8b8ba3cee234e9fea8972b30aaa782b700f896c4</t>
  </si>
  <si>
    <t>Ecologits</t>
  </si>
  <si>
    <t>Estimation</t>
  </si>
  <si>
    <t>16 Go, avec 1,1 PUE et 6 ans de durée de vie, 4vCPU</t>
  </si>
  <si>
    <t>Hypothèse</t>
  </si>
  <si>
    <t>Token</t>
  </si>
  <si>
    <t>Synthèse de comparaison</t>
  </si>
  <si>
    <t>Ecart avec le modèle choisi</t>
  </si>
  <si>
    <t>mL eq / requête</t>
  </si>
  <si>
    <t>mL eq / token</t>
  </si>
  <si>
    <t>Sous étapes du cycle de vie</t>
  </si>
  <si>
    <t>ELEC</t>
  </si>
  <si>
    <t>Elec %</t>
  </si>
  <si>
    <t>GWP</t>
  </si>
  <si>
    <t>GES %</t>
  </si>
  <si>
    <t>WU</t>
  </si>
  <si>
    <t>EAU %</t>
  </si>
  <si>
    <t>Total</t>
  </si>
  <si>
    <t>Electricité consommée pour le traitement de la requête à l'inférence</t>
  </si>
  <si>
    <t>Equivalents :</t>
  </si>
  <si>
    <t>Eléments de base</t>
  </si>
  <si>
    <t>Affichage Résultats</t>
  </si>
  <si>
    <t xml:space="preserve">Serveur (hors GPU) </t>
  </si>
  <si>
    <t>recharge(s) de smartphone</t>
  </si>
  <si>
    <t>Equipements réseaux du centre de données</t>
  </si>
  <si>
    <t>minute(s) sur Internet</t>
  </si>
  <si>
    <t>Infrastructures techniques (inc. PUE)</t>
  </si>
  <si>
    <t>Totale</t>
  </si>
  <si>
    <t>Equivalents</t>
  </si>
  <si>
    <t>gCO2eq</t>
  </si>
  <si>
    <t>km(s) en voiture</t>
  </si>
  <si>
    <t xml:space="preserve">heure(s) de visio sur Teams </t>
  </si>
  <si>
    <t>bouteille(s) d'eau</t>
  </si>
  <si>
    <t>café(s) bus</t>
  </si>
  <si>
    <t>Nombre total de FLOPs requis pour l'entrainement</t>
  </si>
  <si>
    <t>watt / FLOPS</t>
  </si>
  <si>
    <t>EAU embarquée  par l'entrainement final (ratio par rapport à l'inférence)</t>
  </si>
  <si>
    <t>EAU utilisée par les nœuds et les équipements réseau</t>
  </si>
  <si>
    <t>Eau embarquée par les nœuds et les équipements réseau</t>
  </si>
  <si>
    <t>GES émis (serveur + environné) par le projet [request_global_usage_gwp]</t>
  </si>
  <si>
    <t>EAU embarqué par les équipements réseaux</t>
  </si>
  <si>
    <t>Fournisseurs</t>
  </si>
  <si>
    <t>Nom du modèle</t>
  </si>
  <si>
    <t>Architecture</t>
  </si>
  <si>
    <t>P_total (Mds)</t>
  </si>
  <si>
    <t>P_total_min</t>
  </si>
  <si>
    <t>P_total_max</t>
  </si>
  <si>
    <t>P_active_min (Mds)</t>
  </si>
  <si>
    <t>P_active_max (Mds)</t>
  </si>
  <si>
    <t>Sources</t>
  </si>
  <si>
    <t>Localisation</t>
  </si>
  <si>
    <t>Source PUE</t>
  </si>
  <si>
    <t>Source WUE</t>
  </si>
  <si>
    <t>Average TTFT</t>
  </si>
  <si>
    <t>Coefficient</t>
  </si>
  <si>
    <t>Estimation du nombre de requêtes par jour (par fournisseurs)</t>
  </si>
  <si>
    <t>Date de publication</t>
  </si>
  <si>
    <t>Source2</t>
  </si>
  <si>
    <t>Active_model</t>
  </si>
  <si>
    <t xml:space="preserve">Source Compute </t>
  </si>
  <si>
    <t>Oui</t>
  </si>
  <si>
    <t>Moyen</t>
  </si>
  <si>
    <t>MoE</t>
  </si>
  <si>
    <t>['https://docs.anthropic.com/en/docs/about-claude/models']</t>
  </si>
  <si>
    <t>USA</t>
  </si>
  <si>
    <t>"- 1.09 for Google in 2024, average of US data centers (https://www.gstatic.com/gumdrop/sustainability/google-2025-environmental-report.pdf)
- 1.14 for AWS in 2024 (https://sustainability.aboutamazon.com/products-services/aws-cloud)"</t>
  </si>
  <si>
    <t>"- 0.13 for AWS in 2024 (https://sustainability.aboutamazon.com/products-services/aws-cloud)
- 0.999 for Google in 2024 (https://www.gstatic.com/gumdrop/sustainability/google-2025-environmental-report.pdf)"</t>
  </si>
  <si>
    <t>https://www.demandsage.com/claude-ai-statistics/</t>
  </si>
  <si>
    <t>Claude</t>
  </si>
  <si>
    <t>https://wccftech.com/openai-sets-goal-to-scale-up-ai-compute-capacity-to-a-whopping-30gw-by-2030/</t>
  </si>
  <si>
    <t xml:space="preserve">Claude Haiku 4.5 </t>
  </si>
  <si>
    <t>Dense</t>
  </si>
  <si>
    <t>Epoch Ai</t>
  </si>
  <si>
    <t>Claude Sonnet 3.7</t>
  </si>
  <si>
    <t>Grand</t>
  </si>
  <si>
    <t>Claude Sonnet 4.5</t>
  </si>
  <si>
    <t>Non</t>
  </si>
  <si>
    <t>Claude Sonnet 4.6</t>
  </si>
  <si>
    <t>Claude Opus 4.6</t>
  </si>
  <si>
    <t>AI sister</t>
  </si>
  <si>
    <t>Gemini 2.5 flash</t>
  </si>
  <si>
    <t>['https://ai.google.dev/gemini-api/docs/models']</t>
  </si>
  <si>
    <t>"Average for US data centers in 2024 (1.06, 1.11, 1.07, 1.10, 1.06, 1.09, 1.09, 1.10, 1.13, 1.09, 1.08, 1.11, 1.10, 1.10, 1.07, 1.09, 1.16)
https://www.gstatic.com/gumdrop/sustainability/google-2025-environmental-report.pdf (page 109)"</t>
  </si>
  <si>
    <t>"Total data center electricity consumption and water consumption in 2024 are respectively 30,825,600 MWh and 8,135 Million gallons.
https://www.gstatic.com/gumdrop/sustainability/google-2025-environmental-report.pdf"</t>
  </si>
  <si>
    <t>https://www.technobezz.com/news/google-slashes-free-gemini-api-requests-to-20-per-day-2025-12-20-gl06</t>
  </si>
  <si>
    <t>https://www.cnbc.com/2025/11/21/google-must-double-ai-serving-capacity-every-6-months-to-meet-demand.html</t>
  </si>
  <si>
    <t>Gemini 2.5 flash image</t>
  </si>
  <si>
    <t>Hors catégorie</t>
  </si>
  <si>
    <t>Gemini 2.5 flash lite</t>
  </si>
  <si>
    <t>Petit</t>
  </si>
  <si>
    <t>Codestral</t>
  </si>
  <si>
    <t>['https://docs.mistral.ai/getting-started/models/', 'https://mistral.ai/news/codestral']</t>
  </si>
  <si>
    <t>"Only available for Sweden (Norway data center excluded)
https://datacenters.microsoft.com/sustainability/efficiency/"</t>
  </si>
  <si>
    <t>https://fueler.io/blog/mistral-ai-usage-revenue-valuation-growth-statistics</t>
  </si>
  <si>
    <t>https://www.cnbc.com/2026/03/30/mistral-ai-paris-data-center-cluster-debt-financing.html</t>
  </si>
  <si>
    <t>Magistral Medium</t>
  </si>
  <si>
    <t>['https://docs.mistral.ai/getting-started/models/']</t>
  </si>
  <si>
    <t>Ministral 3b</t>
  </si>
  <si>
    <t>['https://docs.mistral.ai/getting-started/models/', 'https://mistral.ai/news/ministraux']</t>
  </si>
  <si>
    <t>Ministral 8b</t>
  </si>
  <si>
    <t>['https://docs.mistral.ai/getting-started/models/', 'https://mistral.ai/news/mistral-large-2407']</t>
  </si>
  <si>
    <t>Mistral Medium</t>
  </si>
  <si>
    <t>Pixtral Large</t>
  </si>
  <si>
    <t>['https://docs.mistral.ai/getting-started/models/', 'https://mistral.ai/news/pixtral-large']</t>
  </si>
  <si>
    <t>GPT-4</t>
  </si>
  <si>
    <t>https://platform.openai.com/docs/models#gpt-4-turbo-and-gpt-4'</t>
  </si>
  <si>
    <t>"Average for US data centers in 2023 (1.18, 1.35, 1.16, 1.28, 1.14, 1.15, 1.11)
https://datacenters.microsoft.com/sustainability/efficiency/"</t>
  </si>
  <si>
    <t>"Average for US data centers in 2023 (1.63, 0.74, 0.14, 0.25, 0.14, 0.95, 0.13)
https://datacenters.microsoft.com/sustainability/efficiency/"</t>
  </si>
  <si>
    <t>https://www.feedough.com/openai-statistics/
https://www.demandsage.com/chatgpt-statistics/</t>
  </si>
  <si>
    <t>https://finance.yahoo.com/sectors/technology/articles/coreweave-signs-multi-deal-anthropic-162247263.html</t>
  </si>
  <si>
    <t xml:space="preserve">GPT-4.1 </t>
  </si>
  <si>
    <t>https://platform.openai.com/docs/models'</t>
  </si>
  <si>
    <t>Open Ai</t>
  </si>
  <si>
    <t>GPT-4.1 nano</t>
  </si>
  <si>
    <t>Microsoft</t>
  </si>
  <si>
    <t>GPT-4.1-mini</t>
  </si>
  <si>
    <t>GPT-4o</t>
  </si>
  <si>
    <t>https://platform.openai.com/docs/models#gpt-4o'</t>
  </si>
  <si>
    <t>GPT-4o mini</t>
  </si>
  <si>
    <t>['https://platform.openai.com/docs/models#gpt-4o-mini']</t>
  </si>
  <si>
    <t>GPT-5</t>
  </si>
  <si>
    <t>GPT-5 mini</t>
  </si>
  <si>
    <t>GPT-5 nano</t>
  </si>
  <si>
    <t>GPT-5.1</t>
  </si>
  <si>
    <t>GPT-5.2</t>
  </si>
  <si>
    <t>GPT-5.2 pro</t>
  </si>
  <si>
    <t>o3 mini</t>
  </si>
  <si>
    <t>['https://platform.openai.com/docs/models#o3-mini']</t>
  </si>
  <si>
    <t>o4 mini</t>
  </si>
  <si>
    <t>Wh/token</t>
  </si>
  <si>
    <t>sec</t>
  </si>
  <si>
    <t>Latence du GPU</t>
  </si>
  <si>
    <t>GES embarqué du projet [request_global_embodied_gwp]</t>
  </si>
  <si>
    <t xml:space="preserve">Libellé </t>
  </si>
  <si>
    <t>Tokens</t>
  </si>
  <si>
    <t>Modèle</t>
  </si>
  <si>
    <t>Modèle 1</t>
  </si>
  <si>
    <t>Analyse longue (≈ 1500 tokens)</t>
  </si>
  <si>
    <t>WU du serveur et de 8 GPU (embarqué)</t>
  </si>
  <si>
    <t>Consommation électrique du HDD pour le stockage dataset de l'entrainement</t>
  </si>
  <si>
    <t>Impact'IA est composé de 5 onglets visibles : 
📓Notice (vous êtes ici) : Retrouvez la présentation de la calculatrice, ses objectifs, la méthodologie utilisée ainsi que les consignes d'utilisation.
⚙️Données :  Renseignez la phase du projet, le modèle d'IA utilisé et les volumes d'usage. 
📊Résultats : Visualisez les 3 impacts environnementaux de votre projet (par requête ou par an) ainsi que certaines équivalences. 
♻️Bonnes pratiques : Explorez des leviers d'écoconception.</t>
  </si>
  <si>
    <r>
      <rPr>
        <i/>
        <u/>
        <sz val="10"/>
        <color theme="1"/>
        <rFont val="Avenir Next LT Pro"/>
        <family val="2"/>
        <scheme val="major"/>
      </rPr>
      <t>Licence</t>
    </r>
    <r>
      <rPr>
        <i/>
        <sz val="10"/>
        <color theme="1"/>
        <rFont val="Avenir Next LT Pro"/>
        <family val="2"/>
        <scheme val="major"/>
      </rPr>
      <t xml:space="preserve"> : CC-BY-NC-SA</t>
    </r>
  </si>
  <si>
    <t>vF-CC-BY-NC-SA</t>
  </si>
  <si>
    <r>
      <t xml:space="preserve">Le développement et l’usage de modèles IA reposent sur des infrastructures techniques pouvant générer des impacts environnementaux significatifs. Cette calculatrice des impacts environnementaux des projets mobilisant des modèles d'IA Générative a été conçue par la Direction RSE et la Direction du Numérique Responsable du groupe SNCF, en collaboration avec Wavestone et Resilio.
</t>
    </r>
    <r>
      <rPr>
        <b/>
        <sz val="12"/>
        <color rgb="FF000000"/>
        <rFont val="Avenir Next LT Pro"/>
        <family val="2"/>
        <scheme val="major"/>
      </rPr>
      <t xml:space="preserve"> 
Objectif de la calculatrice Impact'IA</t>
    </r>
    <r>
      <rPr>
        <sz val="12"/>
        <color rgb="FF000000"/>
        <rFont val="Avenir Next LT Pro"/>
        <family val="2"/>
        <scheme val="major"/>
      </rPr>
      <t xml:space="preserve"> : vous permettre, de manière autonome, d'évaluer trois dimensions environnementales clés associées à l'utilisation d'un modèle d'IA Générative dans votre projet, sur une année : la consommation électrique, le potentiel de réchauffement climatique (i.e. les émissions de gaz à effet de serre) ainsi que l'utilisation d'eau.
</t>
    </r>
    <r>
      <rPr>
        <b/>
        <sz val="12"/>
        <color rgb="FF000000"/>
        <rFont val="Avenir Next LT Pro"/>
        <family val="2"/>
        <scheme val="major"/>
      </rPr>
      <t xml:space="preserve">Périmètre couvert </t>
    </r>
    <r>
      <rPr>
        <sz val="12"/>
        <color rgb="FF000000"/>
        <rFont val="Avenir Next LT Pro"/>
        <family val="2"/>
        <scheme val="major"/>
      </rPr>
      <t xml:space="preserve">: Impact'IA couvre une bibliothèque de </t>
    </r>
    <r>
      <rPr>
        <b/>
        <sz val="12"/>
        <color rgb="FF000000"/>
        <rFont val="Avenir Next LT Pro"/>
        <family val="2"/>
        <scheme val="major"/>
      </rPr>
      <t>33 modèles</t>
    </r>
    <r>
      <rPr>
        <sz val="12"/>
        <color rgb="FF000000"/>
        <rFont val="Avenir Next LT Pro"/>
        <family val="2"/>
        <scheme val="major"/>
      </rPr>
      <t xml:space="preserve"> d'IA Générative, correspondant aux principaux modèles des fournisseurs d'IA (Open AI, Anthropic, Mistral AI, Google) </t>
    </r>
  </si>
  <si>
    <t>1. Sélectionner la phase de votre projet : Conception ou Production
2. Choisir le fournisseur et le modèle d'IA
2. Renseigner le(s) volume(s) d'usage du projet 
(Pour les projets en Production, la valeur du nombre de tokens d'entrée et de sortie, ainsi que le nombre de requêtes par mois sont nécessaires. Si vous ne connaissez pas ces valeurs, sélectionnez la phase "Conception" et renseignez les valeurs demandées)</t>
  </si>
  <si>
    <r>
      <rPr>
        <b/>
        <sz val="14"/>
        <color rgb="FFFC5812"/>
        <rFont val="Avenir Next LT Pro Light"/>
        <scheme val="minor"/>
      </rPr>
      <t>Résultats &gt; 1000 kgCO2e/an</t>
    </r>
    <r>
      <rPr>
        <sz val="11"/>
        <color rgb="FF000000"/>
        <rFont val="Avenir Next LT Pro Light"/>
        <scheme val="minor"/>
      </rPr>
      <t xml:space="preserve"> ➜ le projet doit faire l'objet d'une reflexion autour de son impact environnemental</t>
    </r>
    <r>
      <rPr>
        <b/>
        <sz val="11"/>
        <color rgb="FF000000"/>
        <rFont val="Avenir Next LT Pro Light"/>
        <scheme val="minor"/>
      </rPr>
      <t xml:space="preserve">
</t>
    </r>
    <r>
      <rPr>
        <b/>
        <sz val="14"/>
        <color rgb="FFC00000"/>
        <rFont val="Avenir Next LT Pro Light"/>
        <scheme val="minor"/>
      </rPr>
      <t>Résultats &gt; 10 000 kgCO2e/an</t>
    </r>
    <r>
      <rPr>
        <sz val="11"/>
        <color rgb="FF000000"/>
        <rFont val="Avenir Next LT Pro Light"/>
        <scheme val="minor"/>
      </rPr>
      <t xml:space="preserve"> ➜ un plan d'action de </t>
    </r>
    <r>
      <rPr>
        <b/>
        <sz val="11"/>
        <color rgb="FF000000"/>
        <rFont val="Avenir Next LT Pro Light"/>
        <scheme val="minor"/>
      </rPr>
      <t>mitigation des émissions</t>
    </r>
    <r>
      <rPr>
        <sz val="11"/>
        <color rgb="FF000000"/>
        <rFont val="Avenir Next LT Pro Light"/>
        <scheme val="minor"/>
      </rPr>
      <t xml:space="preserve"> et de mise en oeuvre de </t>
    </r>
    <r>
      <rPr>
        <b/>
        <sz val="11"/>
        <color rgb="FF000000"/>
        <rFont val="Avenir Next LT Pro Light"/>
        <scheme val="minor"/>
      </rPr>
      <t>bonnes pratiques</t>
    </r>
    <r>
      <rPr>
        <sz val="11"/>
        <color rgb="FF000000"/>
        <rFont val="Avenir Next LT Pro Light"/>
        <scheme val="minor"/>
      </rPr>
      <t xml:space="preserve"> doit être mis en place.</t>
    </r>
  </si>
  <si>
    <t xml:space="preserve">ÉLECTRICITÉ consommée pour l'entrainement, attribuable au projet </t>
  </si>
  <si>
    <t>ÉLECTRICITÉ consommée pour l'entrainement final, attribuable au projet</t>
  </si>
  <si>
    <t>Nombre de jours entre janvier 2020 et la date de publication du modèle</t>
  </si>
  <si>
    <t>Nombre de nœuds</t>
  </si>
  <si>
    <t>Front applicatif - pré &amp; post traitements</t>
  </si>
  <si>
    <t>ÉLECTRICITÉ consommée pour le front applicatif attribuable au projet</t>
  </si>
  <si>
    <t>Nombre de tokens de sortie annuels des requêtes traitées par un nœud pour le front</t>
  </si>
  <si>
    <t>GES émis (usage + embarqué) pour le front applicatif attribuables au projet</t>
  </si>
  <si>
    <t>EAU utilisée (usage + embarqué) pour le front applicatif attribuable au projet</t>
  </si>
  <si>
    <t>WU du pare-feu (FR)</t>
  </si>
  <si>
    <t>WU du routeur (FR)</t>
  </si>
  <si>
    <t>WU du switch (FR)</t>
  </si>
  <si>
    <t>Auteurs</t>
  </si>
  <si>
    <t>SNCF : Direction du Numérique Responsable
en collaboration avec Wavestone et Resilio.</t>
  </si>
  <si>
    <t>https://github.com/SNCFdevelopers/ImpactIA</t>
  </si>
  <si>
    <t>GPT-5.6 Sol</t>
  </si>
  <si>
    <t>Open AI</t>
  </si>
  <si>
    <t>GPT-5.6 Terra</t>
  </si>
  <si>
    <t>GPT-5.6 Luna</t>
  </si>
  <si>
    <t>Claude Sonnet 5</t>
  </si>
  <si>
    <t>Antrhopic</t>
  </si>
  <si>
    <t>Claude Opus 4.8</t>
  </si>
  <si>
    <t>['https://calculator.ecologits.ai/']</t>
  </si>
  <si>
    <t>Gemini 3.5 flash</t>
  </si>
  <si>
    <t>Average for US data centers in 2024 (1.06, 1.11, 1.07, 1.10, 1.06, 1.09, 1.09, 1.10, 1.13, 1.09, 1.08, 1.11, 1.10, 1.10, 1.07, 1.09, 1.16)_x000D_
https://www.gstatic.com/gumdrop/sustainability/google-2025-environmental-report.pdf (page 109)</t>
  </si>
  <si>
    <t>Numerama</t>
  </si>
  <si>
    <t>L'inférence a lieu en / au : (menu déroulant)</t>
  </si>
  <si>
    <t>Autre (monde)</t>
  </si>
  <si>
    <t xml:space="preserve">Je renseigne ma propre intensité carbone de l'électricité : </t>
  </si>
  <si>
    <t>kgCO2e/kWh</t>
  </si>
  <si>
    <t>attention, valeur en kg</t>
  </si>
  <si>
    <t>Entraînement</t>
  </si>
  <si>
    <t>Europe (UE27)</t>
  </si>
  <si>
    <t>Facteur d'émission de l'électricité consommée Europe (UE27)</t>
  </si>
  <si>
    <t>Our World in Data</t>
  </si>
  <si>
    <t>Facteur d'émission de l'électricité consommée USA</t>
  </si>
  <si>
    <t>Our World In Data</t>
  </si>
  <si>
    <t>UK</t>
  </si>
  <si>
    <t>Facteur d'émission de l'électricité consommée UK</t>
  </si>
  <si>
    <t>Allemagne</t>
  </si>
  <si>
    <t>Facteur d'émission de l'électricité consommée Allemagne</t>
  </si>
  <si>
    <t>Irlande</t>
  </si>
  <si>
    <t>Facteur d'émission de l'électricité consommée Irlande</t>
  </si>
  <si>
    <t>Pays Bas</t>
  </si>
  <si>
    <t>Facteur d'émission de l'électricité consommée Pays Bas</t>
  </si>
  <si>
    <t>Pays pour FE electricité</t>
  </si>
  <si>
    <t>Facteur d'émission d'électricité à l'inférence sélectionné par l'utilisateur</t>
  </si>
  <si>
    <t>Je ne connais pas le pays d'inférence (valeur France par défaut)</t>
  </si>
  <si>
    <t>tokens de sortie mensuel</t>
  </si>
  <si>
    <t>SW</t>
  </si>
  <si>
    <t>Electricité/2025 - mix moyen/consommation - FR continentale</t>
  </si>
  <si>
    <t>Suède</t>
  </si>
  <si>
    <t>Facteur d'émission de l'électricité consommée Suède</t>
  </si>
  <si>
    <t>Ajout du choix du mix électrique et de nouveaux modèles. Correction d'erreur  dans le calcul du front applicatif. Mise à jour des FE électricité.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</si>
</sst>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
    <numFmt numFmtId="165" formatCode="0.0"/>
    <numFmt numFmtId="166" formatCode="0.0000"/>
    <numFmt numFmtId="167" formatCode="#,##0.0"/>
    <numFmt numFmtId="168" formatCode="#,##0.000"/>
    <numFmt numFmtId="169" formatCode="#,##0.0000"/>
    <numFmt numFmtId="170" formatCode="_-* #,##0.000000_-;\-* #,##0.000000_-;_-* &quot;-&quot;??_-;_-@_-"/>
    <numFmt numFmtId="171" formatCode="#,##0.00000"/>
    <numFmt numFmtId="172" formatCode="#,##0.000000000"/>
    <numFmt numFmtId="173" formatCode="_-* #,##0_-;\-* #,##0_-;_-* &quot;-&quot;??_-;_-@_-"/>
    <numFmt numFmtId="174" formatCode="#,##0.00000000"/>
    <numFmt numFmtId="175" formatCode="#,##0.0000000"/>
  </numFmts>
  <fonts count="56">
    <font>
      <sz val="11"/>
      <color theme="1"/>
      <name val="Avenir Next LT Pro Light"/>
      <family val="2"/>
      <scheme val="minor"/>
    </font>
    <font>
      <b/>
      <sz val="11"/>
      <color theme="1"/>
      <name val="Avenir Next LT Pro Light"/>
      <family val="2"/>
      <scheme val="minor"/>
    </font>
    <font>
      <sz val="8"/>
      <name val="Avenir Next LT Pro Light"/>
      <family val="2"/>
      <scheme val="minor"/>
    </font>
    <font>
      <sz val="11"/>
      <color theme="1"/>
      <name val="Avenir LT Std 45 Book (Body)"/>
    </font>
    <font>
      <b/>
      <sz val="14"/>
      <color theme="1"/>
      <name val="Avenir LT Std 45 Book (Body)"/>
    </font>
    <font>
      <b/>
      <sz val="11"/>
      <color theme="1"/>
      <name val="Avenir LT Std 45 Book (Body)"/>
    </font>
    <font>
      <sz val="10"/>
      <color theme="1"/>
      <name val="Avenir LT Std 45 Book (Body)"/>
    </font>
    <font>
      <b/>
      <sz val="11"/>
      <color theme="0"/>
      <name val="Avenir Next LT Pro Light"/>
      <family val="2"/>
      <scheme val="minor"/>
    </font>
    <font>
      <sz val="11"/>
      <name val="Avenir Next LT Pro Light"/>
      <family val="2"/>
      <scheme val="minor"/>
    </font>
    <font>
      <sz val="6"/>
      <color theme="1"/>
      <name val="Avenir Next LT Pro Light"/>
      <family val="2"/>
      <scheme val="minor"/>
    </font>
    <font>
      <b/>
      <sz val="11"/>
      <name val="Avenir Next LT Pro Light"/>
      <family val="2"/>
      <scheme val="minor"/>
    </font>
    <font>
      <b/>
      <sz val="12"/>
      <color theme="1"/>
      <name val="Avenir LT Std 45 Book (Body)"/>
    </font>
    <font>
      <sz val="12"/>
      <color theme="1"/>
      <name val="Avenir LT Std 45 Book (Body)"/>
    </font>
    <font>
      <sz val="11"/>
      <color theme="0"/>
      <name val="Avenir Next LT Pro Light"/>
      <family val="2"/>
      <scheme val="minor"/>
    </font>
    <font>
      <sz val="12"/>
      <color theme="1"/>
      <name val="Avenir Next LT Pro"/>
      <family val="2"/>
      <scheme val="major"/>
    </font>
    <font>
      <b/>
      <sz val="12"/>
      <color theme="1"/>
      <name val="Avenir Next LT Pro"/>
      <family val="2"/>
      <scheme val="major"/>
    </font>
    <font>
      <i/>
      <sz val="12"/>
      <color theme="1"/>
      <name val="Avenir Next LT Pro"/>
      <family val="2"/>
      <scheme val="major"/>
    </font>
    <font>
      <i/>
      <sz val="10"/>
      <color theme="1"/>
      <name val="Avenir Next LT Pro"/>
      <family val="2"/>
      <scheme val="major"/>
    </font>
    <font>
      <b/>
      <i/>
      <sz val="10"/>
      <color theme="1"/>
      <name val="Avenir Next LT Pro"/>
      <family val="2"/>
      <scheme val="major"/>
    </font>
    <font>
      <i/>
      <u/>
      <sz val="10"/>
      <color theme="1"/>
      <name val="Avenir Next LT Pro"/>
      <family val="2"/>
      <scheme val="major"/>
    </font>
    <font>
      <b/>
      <sz val="72"/>
      <color theme="1"/>
      <name val="Avenir Next LT Pro Light"/>
      <family val="2"/>
      <scheme val="minor"/>
    </font>
    <font>
      <sz val="11"/>
      <color theme="1"/>
      <name val="Avenir Next LT Pro"/>
      <family val="2"/>
      <scheme val="major"/>
    </font>
    <font>
      <b/>
      <sz val="11"/>
      <color theme="1"/>
      <name val="Avenir Next LT Pro"/>
      <family val="2"/>
      <scheme val="major"/>
    </font>
    <font>
      <b/>
      <sz val="11"/>
      <color theme="0"/>
      <name val="Avenir Next LT Pro"/>
      <family val="2"/>
      <scheme val="major"/>
    </font>
    <font>
      <b/>
      <sz val="11"/>
      <color theme="0"/>
      <name val="Avenir LT Std 45 Book (Body)"/>
    </font>
    <font>
      <b/>
      <sz val="72"/>
      <color theme="6"/>
      <name val="Avenir Next LT Pro Light"/>
      <family val="2"/>
      <scheme val="minor"/>
    </font>
    <font>
      <sz val="14"/>
      <color theme="1"/>
      <name val="Avenir LT Std 45 Book (Body)"/>
    </font>
    <font>
      <sz val="12"/>
      <color rgb="FF000000"/>
      <name val="Avenir Next LT Pro"/>
      <family val="2"/>
      <scheme val="major"/>
    </font>
    <font>
      <b/>
      <sz val="12"/>
      <color rgb="FF000000"/>
      <name val="Avenir Next LT Pro"/>
      <family val="2"/>
      <scheme val="major"/>
    </font>
    <font>
      <sz val="11"/>
      <color rgb="FF000000"/>
      <name val="Avenir Next LT Pro"/>
      <family val="2"/>
      <scheme val="major"/>
    </font>
    <font>
      <sz val="11"/>
      <color theme="1"/>
      <name val="Calibri"/>
      <family val="2"/>
    </font>
    <font>
      <b/>
      <sz val="11"/>
      <color theme="1"/>
      <name val="Calibri"/>
      <family val="2"/>
    </font>
    <font>
      <sz val="11"/>
      <color theme="1"/>
      <name val="Segoe UI Emoji"/>
      <family val="2"/>
    </font>
    <font>
      <sz val="11"/>
      <color theme="1"/>
      <name val="Avenir Next LT Pro"/>
      <family val="2"/>
      <scheme val="major"/>
    </font>
    <font>
      <u/>
      <sz val="11"/>
      <color theme="10"/>
      <name val="Avenir Next LT Pro Light"/>
      <family val="2"/>
      <scheme val="minor"/>
    </font>
    <font>
      <u/>
      <sz val="6"/>
      <color theme="10"/>
      <name val="Avenir Next LT Pro Light"/>
      <family val="2"/>
      <scheme val="minor"/>
    </font>
    <font>
      <sz val="11"/>
      <color theme="2" tint="-0.249977111117893"/>
      <name val="Avenir Next LT Pro Light"/>
      <family val="2"/>
      <scheme val="minor"/>
    </font>
    <font>
      <sz val="11"/>
      <name val="Avenir Next LT Pro"/>
      <family val="2"/>
      <scheme val="major"/>
    </font>
    <font>
      <sz val="11"/>
      <color theme="2" tint="-9.9978637043366805E-2"/>
      <name val="Avenir Next LT Pro Light"/>
      <family val="2"/>
      <scheme val="minor"/>
    </font>
    <font>
      <sz val="11"/>
      <color theme="2"/>
      <name val="Avenir Next LT Pro Light"/>
      <family val="2"/>
      <scheme val="minor"/>
    </font>
    <font>
      <sz val="11"/>
      <color theme="1"/>
      <name val="Avenir Next LT Pro Light"/>
      <family val="2"/>
      <scheme val="minor"/>
    </font>
    <font>
      <i/>
      <sz val="9"/>
      <color theme="1"/>
      <name val="Avenir Next LT Pro"/>
      <family val="2"/>
      <scheme val="major"/>
    </font>
    <font>
      <sz val="14"/>
      <color rgb="FF000000"/>
      <name val="Times New Roman"/>
      <family val="1"/>
    </font>
    <font>
      <sz val="14"/>
      <color theme="0"/>
      <name val="Avenir Next LT Pro Light"/>
      <family val="2"/>
      <scheme val="minor"/>
    </font>
    <font>
      <b/>
      <sz val="14"/>
      <color theme="0"/>
      <name val="Avenir Next LT Pro Light"/>
      <family val="2"/>
      <scheme val="minor"/>
    </font>
    <font>
      <sz val="11"/>
      <color rgb="FF000000"/>
      <name val="Avenir Next LT Pro Light"/>
      <scheme val="minor"/>
    </font>
    <font>
      <sz val="11"/>
      <color rgb="FF000000"/>
      <name val="Avenir Next LT Pro Light"/>
      <family val="2"/>
      <scheme val="minor"/>
    </font>
    <font>
      <b/>
      <sz val="11"/>
      <color rgb="FF000000"/>
      <name val="Avenir Next LT Pro Light"/>
      <scheme val="minor"/>
    </font>
    <font>
      <b/>
      <sz val="14"/>
      <color rgb="FFC00000"/>
      <name val="Avenir Next LT Pro Light"/>
      <scheme val="minor"/>
    </font>
    <font>
      <b/>
      <sz val="14"/>
      <color rgb="FFFC5812"/>
      <name val="Avenir Next LT Pro Light"/>
      <scheme val="minor"/>
    </font>
    <font>
      <sz val="11"/>
      <color theme="0"/>
      <name val="Avenir Next LT Pro"/>
      <family val="2"/>
      <scheme val="major"/>
    </font>
    <font>
      <sz val="9"/>
      <color theme="1"/>
      <name val="Avenir Next LT Pro"/>
      <family val="2"/>
      <scheme val="major"/>
    </font>
    <font>
      <i/>
      <sz val="8"/>
      <color theme="0" tint="-0.34998626667073579"/>
      <name val="Avenir Next LT Pro"/>
      <family val="2"/>
      <scheme val="major"/>
    </font>
    <font>
      <sz val="12"/>
      <color theme="1"/>
      <name val="Avenir Next LT Pro Light"/>
      <family val="2"/>
      <scheme val="minor"/>
    </font>
    <font>
      <b/>
      <sz val="14"/>
      <color theme="6" tint="-0.499984740745262"/>
      <name val="Aptos Black"/>
      <family val="2"/>
    </font>
    <font>
      <b/>
      <sz val="12"/>
      <color theme="6" tint="-0.499984740745262"/>
      <name val="Aptos Black"/>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indexed="64"/>
      </patternFill>
    </fill>
    <fill>
      <patternFill patternType="solid">
        <fgColor theme="4"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rgb="FFA1D6CA"/>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6"/>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F2F2F2"/>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style="thin">
        <color theme="1"/>
      </bottom>
      <diagonal/>
    </border>
    <border>
      <left style="thin">
        <color auto="1"/>
      </left>
      <right style="thin">
        <color auto="1"/>
      </right>
      <top/>
      <bottom style="thin">
        <color auto="1"/>
      </bottom>
      <diagonal/>
    </border>
    <border>
      <left style="dashed">
        <color theme="1" tint="0.499984740745262"/>
      </left>
      <right/>
      <top style="dashed">
        <color theme="1" tint="0.499984740745262"/>
      </top>
      <bottom/>
      <diagonal/>
    </border>
    <border>
      <left/>
      <right/>
      <top style="dashed">
        <color theme="1" tint="0.499984740745262"/>
      </top>
      <bottom/>
      <diagonal/>
    </border>
    <border>
      <left/>
      <right style="dashed">
        <color theme="1" tint="0.499984740745262"/>
      </right>
      <top style="dashed">
        <color theme="1" tint="0.499984740745262"/>
      </top>
      <bottom/>
      <diagonal/>
    </border>
    <border>
      <left style="dashed">
        <color theme="1" tint="0.499984740745262"/>
      </left>
      <right/>
      <top/>
      <bottom/>
      <diagonal/>
    </border>
    <border>
      <left/>
      <right style="dashed">
        <color theme="1" tint="0.499984740745262"/>
      </right>
      <top/>
      <bottom/>
      <diagonal/>
    </border>
    <border>
      <left style="dashed">
        <color theme="1" tint="0.499984740745262"/>
      </left>
      <right/>
      <top/>
      <bottom style="dashed">
        <color theme="1" tint="0.499984740745262"/>
      </bottom>
      <diagonal/>
    </border>
    <border>
      <left/>
      <right/>
      <top/>
      <bottom style="dashed">
        <color theme="1" tint="0.499984740745262"/>
      </bottom>
      <diagonal/>
    </border>
    <border>
      <left/>
      <right style="dashed">
        <color theme="1" tint="0.499984740745262"/>
      </right>
      <top/>
      <bottom style="dashed">
        <color theme="1" tint="0.499984740745262"/>
      </bottom>
      <diagonal/>
    </border>
    <border>
      <left style="dashed">
        <color theme="1" tint="0.499984740745262"/>
      </left>
      <right/>
      <top style="dashed">
        <color theme="1" tint="0.499984740745262"/>
      </top>
      <bottom style="dashed">
        <color theme="1" tint="0.499984740745262"/>
      </bottom>
      <diagonal/>
    </border>
    <border>
      <left/>
      <right/>
      <top style="dashed">
        <color theme="1" tint="0.499984740745262"/>
      </top>
      <bottom style="dashed">
        <color theme="1" tint="0.499984740745262"/>
      </bottom>
      <diagonal/>
    </border>
    <border>
      <left/>
      <right style="dashed">
        <color theme="1" tint="0.499984740745262"/>
      </right>
      <top style="dashed">
        <color theme="1" tint="0.499984740745262"/>
      </top>
      <bottom style="dashed">
        <color theme="1" tint="0.499984740745262"/>
      </bottom>
      <diagonal/>
    </border>
    <border>
      <left style="dashed">
        <color theme="1" tint="0.499984740745262"/>
      </left>
      <right/>
      <top style="dashed">
        <color theme="1" tint="0.499984740745262"/>
      </top>
      <bottom style="thin">
        <color indexed="64"/>
      </bottom>
      <diagonal/>
    </border>
    <border>
      <left/>
      <right/>
      <top style="dashed">
        <color theme="1" tint="0.499984740745262"/>
      </top>
      <bottom style="thin">
        <color indexed="64"/>
      </bottom>
      <diagonal/>
    </border>
    <border>
      <left/>
      <right style="dashed">
        <color theme="1" tint="0.499984740745262"/>
      </right>
      <top style="dashed">
        <color theme="1" tint="0.499984740745262"/>
      </top>
      <bottom style="thin">
        <color indexed="64"/>
      </bottom>
      <diagonal/>
    </border>
    <border>
      <left/>
      <right/>
      <top style="thin">
        <color indexed="64"/>
      </top>
      <bottom/>
      <diagonal/>
    </border>
    <border>
      <left/>
      <right style="thin">
        <color theme="1"/>
      </right>
      <top/>
      <bottom/>
      <diagonal/>
    </border>
    <border>
      <left/>
      <right style="thin">
        <color indexed="64"/>
      </right>
      <top style="thin">
        <color indexed="64"/>
      </top>
      <bottom style="thin">
        <color indexed="64"/>
      </bottom>
      <diagonal/>
    </border>
    <border>
      <left/>
      <right style="thin">
        <color indexed="64"/>
      </right>
      <top/>
      <bottom/>
      <diagonal/>
    </border>
    <border>
      <left style="dotted">
        <color theme="1" tint="0.499984740745262"/>
      </left>
      <right/>
      <top style="dotted">
        <color theme="1" tint="0.499984740745262"/>
      </top>
      <bottom/>
      <diagonal/>
    </border>
    <border>
      <left/>
      <right/>
      <top style="dotted">
        <color theme="1" tint="0.499984740745262"/>
      </top>
      <bottom/>
      <diagonal/>
    </border>
    <border>
      <left/>
      <right style="dotted">
        <color theme="1" tint="0.499984740745262"/>
      </right>
      <top style="dotted">
        <color theme="1" tint="0.499984740745262"/>
      </top>
      <bottom/>
      <diagonal/>
    </border>
    <border>
      <left style="dotted">
        <color theme="1" tint="0.499984740745262"/>
      </left>
      <right/>
      <top/>
      <bottom/>
      <diagonal/>
    </border>
    <border>
      <left/>
      <right style="dotted">
        <color theme="1" tint="0.499984740745262"/>
      </right>
      <top/>
      <bottom/>
      <diagonal/>
    </border>
    <border>
      <left style="dotted">
        <color theme="1" tint="0.499984740745262"/>
      </left>
      <right/>
      <top/>
      <bottom style="dotted">
        <color theme="1" tint="0.499984740745262"/>
      </bottom>
      <diagonal/>
    </border>
    <border>
      <left/>
      <right/>
      <top/>
      <bottom style="dotted">
        <color theme="1" tint="0.499984740745262"/>
      </bottom>
      <diagonal/>
    </border>
    <border>
      <left/>
      <right style="dotted">
        <color theme="1" tint="0.499984740745262"/>
      </right>
      <top/>
      <bottom style="dotted">
        <color theme="1" tint="0.499984740745262"/>
      </bottom>
      <diagonal/>
    </border>
    <border>
      <left style="thin">
        <color indexed="64"/>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indexed="64"/>
      </top>
      <bottom style="thin">
        <color indexed="64"/>
      </bottom>
      <diagonal/>
    </border>
  </borders>
  <cellStyleXfs count="4">
    <xf numFmtId="0" fontId="0" fillId="0" borderId="0"/>
    <xf numFmtId="0" fontId="34" fillId="0" borderId="0" applyNumberFormat="0" applyFill="0" applyBorder="0" applyAlignment="0" applyProtection="0"/>
    <xf numFmtId="43" fontId="40" fillId="0" borderId="0" applyFont="0" applyFill="0" applyBorder="0" applyAlignment="0" applyProtection="0"/>
    <xf numFmtId="9" fontId="40" fillId="0" borderId="0" applyFont="0" applyFill="0" applyBorder="0" applyAlignment="0" applyProtection="0"/>
  </cellStyleXfs>
  <cellXfs count="350">
    <xf numFmtId="0" fontId="0" fillId="0" borderId="0" xfId="0"/>
    <xf numFmtId="0" fontId="0" fillId="0" borderId="0" xfId="0" applyAlignment="1">
      <alignment horizontal="left"/>
    </xf>
    <xf numFmtId="0" fontId="1" fillId="0" borderId="0" xfId="0" applyFont="1"/>
    <xf numFmtId="0" fontId="0" fillId="3" borderId="0" xfId="0" applyFill="1"/>
    <xf numFmtId="0" fontId="9" fillId="0" borderId="0" xfId="0" applyFont="1" applyAlignment="1">
      <alignment wrapText="1"/>
    </xf>
    <xf numFmtId="2" fontId="0" fillId="0" borderId="0" xfId="0" applyNumberFormat="1"/>
    <xf numFmtId="0" fontId="0" fillId="5" borderId="0" xfId="0" applyFill="1"/>
    <xf numFmtId="0" fontId="7" fillId="4" borderId="0" xfId="0" applyFont="1" applyFill="1"/>
    <xf numFmtId="0" fontId="7" fillId="6" borderId="0" xfId="0" applyFont="1" applyFill="1"/>
    <xf numFmtId="0" fontId="10" fillId="0" borderId="0" xfId="0" applyFont="1"/>
    <xf numFmtId="0" fontId="8" fillId="0" borderId="0" xfId="0" applyFont="1"/>
    <xf numFmtId="0" fontId="0" fillId="0" borderId="9" xfId="0" applyBorder="1"/>
    <xf numFmtId="0" fontId="0" fillId="0" borderId="9" xfId="0" applyBorder="1" applyAlignment="1">
      <alignment horizontal="right"/>
    </xf>
    <xf numFmtId="0" fontId="21" fillId="3" borderId="0" xfId="0" applyFont="1" applyFill="1"/>
    <xf numFmtId="0" fontId="3" fillId="3" borderId="0" xfId="0" applyFont="1" applyFill="1"/>
    <xf numFmtId="0" fontId="6" fillId="3" borderId="0" xfId="0" applyFont="1" applyFill="1" applyAlignment="1">
      <alignment horizontal="left" vertical="center" wrapText="1"/>
    </xf>
    <xf numFmtId="0" fontId="6" fillId="3" borderId="0" xfId="0" applyFont="1" applyFill="1" applyAlignment="1">
      <alignment vertical="top" wrapText="1"/>
    </xf>
    <xf numFmtId="0" fontId="6" fillId="3" borderId="0" xfId="0" quotePrefix="1" applyFont="1" applyFill="1" applyAlignment="1">
      <alignment horizontal="left" vertical="center" wrapText="1"/>
    </xf>
    <xf numFmtId="0" fontId="3" fillId="3" borderId="0" xfId="0" applyFont="1" applyFill="1" applyAlignment="1">
      <alignment vertical="top" wrapText="1"/>
    </xf>
    <xf numFmtId="0" fontId="21" fillId="2" borderId="14" xfId="0" applyFont="1" applyFill="1" applyBorder="1"/>
    <xf numFmtId="0" fontId="21" fillId="2" borderId="0" xfId="0" applyFont="1" applyFill="1"/>
    <xf numFmtId="0" fontId="21" fillId="2" borderId="15" xfId="0" applyFont="1" applyFill="1" applyBorder="1"/>
    <xf numFmtId="0" fontId="21" fillId="2" borderId="16" xfId="0" applyFont="1" applyFill="1" applyBorder="1"/>
    <xf numFmtId="0" fontId="21" fillId="2" borderId="17" xfId="0" applyFont="1" applyFill="1" applyBorder="1"/>
    <xf numFmtId="0" fontId="21" fillId="2" borderId="18" xfId="0" applyFont="1" applyFill="1" applyBorder="1"/>
    <xf numFmtId="0" fontId="21" fillId="2" borderId="11" xfId="0" applyFont="1" applyFill="1" applyBorder="1"/>
    <xf numFmtId="0" fontId="21" fillId="2" borderId="12" xfId="0" applyFont="1" applyFill="1" applyBorder="1"/>
    <xf numFmtId="0" fontId="21" fillId="2" borderId="13" xfId="0" applyFont="1" applyFill="1" applyBorder="1"/>
    <xf numFmtId="0" fontId="22" fillId="2" borderId="0" xfId="0" applyFont="1" applyFill="1"/>
    <xf numFmtId="0" fontId="0" fillId="0" borderId="4" xfId="0" applyBorder="1"/>
    <xf numFmtId="164" fontId="0" fillId="0" borderId="4" xfId="0" applyNumberFormat="1" applyBorder="1"/>
    <xf numFmtId="0" fontId="1" fillId="3"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vertical="center"/>
    </xf>
    <xf numFmtId="0" fontId="0" fillId="0" borderId="0" xfId="0" applyAlignment="1">
      <alignment horizontal="left" wrapText="1"/>
    </xf>
    <xf numFmtId="0" fontId="26" fillId="2" borderId="11" xfId="0" applyFont="1" applyFill="1" applyBorder="1" applyAlignment="1">
      <alignment vertical="center" wrapText="1"/>
    </xf>
    <xf numFmtId="0" fontId="26" fillId="2" borderId="12" xfId="0" applyFont="1" applyFill="1" applyBorder="1" applyAlignment="1">
      <alignment vertical="center"/>
    </xf>
    <xf numFmtId="0" fontId="26" fillId="2" borderId="13" xfId="0" applyFont="1" applyFill="1" applyBorder="1" applyAlignment="1">
      <alignment vertical="center"/>
    </xf>
    <xf numFmtId="0" fontId="26" fillId="2" borderId="14" xfId="0" applyFont="1" applyFill="1" applyBorder="1" applyAlignment="1">
      <alignment vertical="center"/>
    </xf>
    <xf numFmtId="0" fontId="26" fillId="2" borderId="0" xfId="0" applyFont="1" applyFill="1" applyAlignment="1">
      <alignment vertical="center"/>
    </xf>
    <xf numFmtId="0" fontId="26" fillId="2" borderId="15" xfId="0" applyFont="1" applyFill="1" applyBorder="1" applyAlignment="1">
      <alignment vertical="center"/>
    </xf>
    <xf numFmtId="0" fontId="26" fillId="2" borderId="16" xfId="0" applyFont="1" applyFill="1" applyBorder="1" applyAlignment="1">
      <alignment vertical="center"/>
    </xf>
    <xf numFmtId="0" fontId="26" fillId="2" borderId="17" xfId="0" applyFont="1" applyFill="1" applyBorder="1" applyAlignment="1">
      <alignment vertical="center"/>
    </xf>
    <xf numFmtId="0" fontId="26" fillId="2" borderId="18" xfId="0" applyFont="1" applyFill="1" applyBorder="1" applyAlignment="1">
      <alignment vertical="center"/>
    </xf>
    <xf numFmtId="1" fontId="1" fillId="3" borderId="0" xfId="0" applyNumberFormat="1" applyFont="1" applyFill="1" applyAlignment="1">
      <alignment horizontal="center"/>
    </xf>
    <xf numFmtId="3" fontId="8" fillId="0" borderId="0" xfId="0" applyNumberFormat="1" applyFont="1"/>
    <xf numFmtId="0" fontId="15" fillId="2" borderId="14"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5" xfId="0" applyFont="1" applyFill="1" applyBorder="1" applyAlignment="1">
      <alignment horizontal="left" vertical="center"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xf numFmtId="0" fontId="31" fillId="3" borderId="0" xfId="0" applyFont="1" applyFill="1" applyAlignment="1">
      <alignment horizontal="left" vertical="center" indent="1"/>
    </xf>
    <xf numFmtId="0" fontId="32" fillId="3" borderId="0" xfId="0" applyFont="1" applyFill="1" applyAlignment="1">
      <alignment horizontal="left" vertical="center" indent="1"/>
    </xf>
    <xf numFmtId="0" fontId="30" fillId="3" borderId="0" xfId="0" applyFont="1" applyFill="1" applyAlignment="1">
      <alignment horizontal="left" vertical="center" indent="1"/>
    </xf>
    <xf numFmtId="14" fontId="0" fillId="0" borderId="0" xfId="0" applyNumberFormat="1"/>
    <xf numFmtId="0" fontId="33" fillId="3" borderId="0" xfId="0" applyFont="1" applyFill="1"/>
    <xf numFmtId="0" fontId="23" fillId="6" borderId="4" xfId="0" applyFont="1" applyFill="1" applyBorder="1" applyAlignment="1">
      <alignment horizontal="center" vertical="center" wrapText="1"/>
    </xf>
    <xf numFmtId="3" fontId="23" fillId="6" borderId="4" xfId="0" applyNumberFormat="1" applyFont="1" applyFill="1" applyBorder="1" applyAlignment="1">
      <alignment horizontal="center" vertical="center" wrapText="1"/>
    </xf>
    <xf numFmtId="0" fontId="0" fillId="7" borderId="0" xfId="0" applyFill="1"/>
    <xf numFmtId="0" fontId="34" fillId="0" borderId="0" xfId="1" applyFill="1"/>
    <xf numFmtId="0" fontId="35" fillId="0" borderId="0" xfId="1" applyFont="1" applyAlignment="1">
      <alignment wrapText="1"/>
    </xf>
    <xf numFmtId="0" fontId="0" fillId="10" borderId="0" xfId="0" applyFill="1"/>
    <xf numFmtId="0" fontId="7" fillId="11" borderId="0" xfId="0" applyFont="1" applyFill="1"/>
    <xf numFmtId="0" fontId="13" fillId="11" borderId="0" xfId="0" applyFont="1" applyFill="1"/>
    <xf numFmtId="0" fontId="7" fillId="12" borderId="0" xfId="0" applyFont="1" applyFill="1"/>
    <xf numFmtId="0" fontId="13" fillId="6" borderId="0" xfId="0" applyFont="1" applyFill="1"/>
    <xf numFmtId="4" fontId="0" fillId="0" borderId="0" xfId="0" applyNumberFormat="1"/>
    <xf numFmtId="0" fontId="7" fillId="13" borderId="0" xfId="0" applyFont="1" applyFill="1"/>
    <xf numFmtId="0" fontId="7" fillId="14" borderId="0" xfId="0" applyFont="1" applyFill="1"/>
    <xf numFmtId="164" fontId="13" fillId="6" borderId="0" xfId="0" applyNumberFormat="1" applyFont="1" applyFill="1"/>
    <xf numFmtId="0" fontId="29" fillId="0" borderId="0" xfId="0" applyFont="1" applyAlignment="1">
      <alignment horizontal="center" vertical="center" wrapText="1"/>
    </xf>
    <xf numFmtId="0" fontId="0" fillId="9" borderId="0" xfId="0" applyFill="1"/>
    <xf numFmtId="0" fontId="23" fillId="11" borderId="0" xfId="0" applyFont="1" applyFill="1"/>
    <xf numFmtId="0" fontId="8" fillId="15" borderId="0" xfId="0" applyFont="1" applyFill="1"/>
    <xf numFmtId="167" fontId="8" fillId="10" borderId="0" xfId="0" applyNumberFormat="1" applyFont="1" applyFill="1"/>
    <xf numFmtId="167" fontId="8" fillId="0" borderId="0" xfId="0" applyNumberFormat="1" applyFont="1"/>
    <xf numFmtId="167" fontId="7" fillId="13" borderId="0" xfId="0" applyNumberFormat="1" applyFont="1" applyFill="1"/>
    <xf numFmtId="167" fontId="8" fillId="7" borderId="0" xfId="0" applyNumberFormat="1" applyFont="1" applyFill="1"/>
    <xf numFmtId="167" fontId="7" fillId="14" borderId="0" xfId="0" applyNumberFormat="1" applyFont="1" applyFill="1"/>
    <xf numFmtId="167" fontId="0" fillId="10" borderId="0" xfId="0" applyNumberFormat="1" applyFill="1"/>
    <xf numFmtId="167" fontId="8" fillId="5" borderId="0" xfId="0" applyNumberFormat="1" applyFont="1" applyFill="1"/>
    <xf numFmtId="167" fontId="7" fillId="11" borderId="0" xfId="0" applyNumberFormat="1" applyFont="1" applyFill="1"/>
    <xf numFmtId="167" fontId="7" fillId="6" borderId="0" xfId="0" applyNumberFormat="1" applyFont="1" applyFill="1"/>
    <xf numFmtId="167" fontId="7" fillId="12" borderId="0" xfId="0" applyNumberFormat="1" applyFont="1" applyFill="1"/>
    <xf numFmtId="167" fontId="7" fillId="4" borderId="0" xfId="0" applyNumberFormat="1" applyFont="1" applyFill="1"/>
    <xf numFmtId="167" fontId="0" fillId="0" borderId="0" xfId="0" applyNumberFormat="1"/>
    <xf numFmtId="167" fontId="8" fillId="9" borderId="0" xfId="0" applyNumberFormat="1" applyFont="1" applyFill="1"/>
    <xf numFmtId="11" fontId="8" fillId="0" borderId="0" xfId="0" applyNumberFormat="1" applyFont="1"/>
    <xf numFmtId="168" fontId="8" fillId="0" borderId="0" xfId="0" applyNumberFormat="1" applyFont="1"/>
    <xf numFmtId="169" fontId="8" fillId="0" borderId="0" xfId="0" applyNumberFormat="1" applyFont="1"/>
    <xf numFmtId="0" fontId="36" fillId="0" borderId="0" xfId="0" applyFont="1"/>
    <xf numFmtId="168" fontId="36" fillId="0" borderId="0" xfId="0" applyNumberFormat="1" applyFont="1"/>
    <xf numFmtId="167" fontId="36" fillId="0" borderId="0" xfId="0" applyNumberFormat="1" applyFont="1"/>
    <xf numFmtId="0" fontId="0" fillId="16" borderId="0" xfId="0" applyFill="1"/>
    <xf numFmtId="0" fontId="8" fillId="16" borderId="0" xfId="0" applyFont="1" applyFill="1"/>
    <xf numFmtId="167" fontId="8" fillId="16" borderId="0" xfId="0" applyNumberFormat="1" applyFont="1" applyFill="1"/>
    <xf numFmtId="0" fontId="1" fillId="17" borderId="0" xfId="0" applyFont="1" applyFill="1"/>
    <xf numFmtId="167" fontId="1" fillId="17" borderId="0" xfId="0" applyNumberFormat="1" applyFont="1" applyFill="1"/>
    <xf numFmtId="0" fontId="1" fillId="18" borderId="0" xfId="0" applyFont="1" applyFill="1"/>
    <xf numFmtId="167" fontId="1" fillId="18" borderId="0" xfId="0" applyNumberFormat="1" applyFont="1" applyFill="1"/>
    <xf numFmtId="167" fontId="10" fillId="18" borderId="0" xfId="0" applyNumberFormat="1" applyFont="1" applyFill="1"/>
    <xf numFmtId="0" fontId="10" fillId="17" borderId="0" xfId="0" applyFont="1" applyFill="1"/>
    <xf numFmtId="0" fontId="1" fillId="19" borderId="0" xfId="0" applyFont="1" applyFill="1"/>
    <xf numFmtId="167" fontId="1" fillId="19" borderId="0" xfId="0" applyNumberFormat="1" applyFont="1" applyFill="1"/>
    <xf numFmtId="0" fontId="1" fillId="6" borderId="0" xfId="0" applyFont="1" applyFill="1"/>
    <xf numFmtId="11" fontId="0" fillId="0" borderId="0" xfId="0" applyNumberFormat="1"/>
    <xf numFmtId="166" fontId="0" fillId="0" borderId="0" xfId="0" applyNumberFormat="1"/>
    <xf numFmtId="168" fontId="8" fillId="7" borderId="0" xfId="0" applyNumberFormat="1" applyFont="1" applyFill="1"/>
    <xf numFmtId="4" fontId="0" fillId="10" borderId="0" xfId="0" applyNumberFormat="1" applyFill="1"/>
    <xf numFmtId="0" fontId="0" fillId="0" borderId="0" xfId="0" applyAlignment="1">
      <alignment wrapText="1"/>
    </xf>
    <xf numFmtId="170" fontId="0" fillId="0" borderId="0" xfId="0" applyNumberFormat="1"/>
    <xf numFmtId="171" fontId="0" fillId="5" borderId="0" xfId="0" applyNumberFormat="1" applyFill="1" applyAlignment="1">
      <alignment wrapText="1"/>
    </xf>
    <xf numFmtId="0" fontId="21" fillId="2" borderId="12" xfId="0" applyFont="1" applyFill="1" applyBorder="1" applyAlignment="1">
      <alignment wrapText="1"/>
    </xf>
    <xf numFmtId="0" fontId="37" fillId="2" borderId="12" xfId="0" applyFont="1" applyFill="1" applyBorder="1"/>
    <xf numFmtId="172" fontId="0" fillId="10" borderId="0" xfId="0" applyNumberFormat="1" applyFill="1"/>
    <xf numFmtId="4" fontId="8" fillId="0" borderId="0" xfId="0" applyNumberFormat="1" applyFont="1"/>
    <xf numFmtId="11" fontId="0" fillId="7" borderId="0" xfId="0" applyNumberFormat="1" applyFill="1"/>
    <xf numFmtId="0" fontId="0" fillId="17" borderId="0" xfId="0" applyFill="1"/>
    <xf numFmtId="0" fontId="0" fillId="18" borderId="0" xfId="0" applyFill="1"/>
    <xf numFmtId="167" fontId="0" fillId="0" borderId="0" xfId="0" applyNumberFormat="1" applyAlignment="1">
      <alignment horizontal="left"/>
    </xf>
    <xf numFmtId="4" fontId="0" fillId="0" borderId="0" xfId="0" applyNumberFormat="1" applyAlignment="1">
      <alignment horizontal="left"/>
    </xf>
    <xf numFmtId="0" fontId="38" fillId="0" borderId="0" xfId="0" applyFont="1"/>
    <xf numFmtId="169" fontId="38" fillId="0" borderId="0" xfId="0" applyNumberFormat="1" applyFont="1"/>
    <xf numFmtId="169" fontId="38" fillId="0" borderId="0" xfId="0" applyNumberFormat="1" applyFont="1" applyAlignment="1">
      <alignment horizontal="left"/>
    </xf>
    <xf numFmtId="11" fontId="0" fillId="0" borderId="0" xfId="0" applyNumberFormat="1" applyAlignment="1">
      <alignment horizontal="left"/>
    </xf>
    <xf numFmtId="11" fontId="38" fillId="0" borderId="0" xfId="0" applyNumberFormat="1" applyFont="1"/>
    <xf numFmtId="11" fontId="38" fillId="0" borderId="0" xfId="0" applyNumberFormat="1" applyFont="1" applyAlignment="1">
      <alignment horizontal="left"/>
    </xf>
    <xf numFmtId="168" fontId="8" fillId="15" borderId="0" xfId="0" applyNumberFormat="1" applyFont="1" applyFill="1"/>
    <xf numFmtId="3" fontId="8" fillId="15" borderId="0" xfId="0" applyNumberFormat="1" applyFont="1" applyFill="1" applyAlignment="1">
      <alignment wrapText="1"/>
    </xf>
    <xf numFmtId="3" fontId="0" fillId="0" borderId="0" xfId="0" applyNumberFormat="1" applyAlignment="1">
      <alignment wrapText="1"/>
    </xf>
    <xf numFmtId="3" fontId="0" fillId="0" borderId="0" xfId="0" applyNumberFormat="1" applyAlignment="1">
      <alignment horizontal="left" wrapText="1"/>
    </xf>
    <xf numFmtId="0" fontId="38" fillId="0" borderId="0" xfId="0" applyFont="1" applyAlignment="1">
      <alignment horizontal="left"/>
    </xf>
    <xf numFmtId="0" fontId="39" fillId="0" borderId="0" xfId="0" applyFont="1"/>
    <xf numFmtId="0" fontId="0" fillId="11" borderId="0" xfId="0" applyFill="1"/>
    <xf numFmtId="168" fontId="0" fillId="17" borderId="0" xfId="0" applyNumberFormat="1" applyFill="1"/>
    <xf numFmtId="164" fontId="0" fillId="7" borderId="0" xfId="0" applyNumberFormat="1" applyFill="1"/>
    <xf numFmtId="2" fontId="0" fillId="7" borderId="0" xfId="0" applyNumberFormat="1" applyFill="1"/>
    <xf numFmtId="2" fontId="1" fillId="6" borderId="0" xfId="0" applyNumberFormat="1" applyFont="1" applyFill="1"/>
    <xf numFmtId="4" fontId="8" fillId="7" borderId="0" xfId="0" applyNumberFormat="1" applyFont="1" applyFill="1"/>
    <xf numFmtId="43" fontId="0" fillId="0" borderId="0" xfId="2" applyFont="1"/>
    <xf numFmtId="0" fontId="34" fillId="0" borderId="0" xfId="1"/>
    <xf numFmtId="169" fontId="0" fillId="0" borderId="0" xfId="0" applyNumberFormat="1"/>
    <xf numFmtId="0" fontId="29" fillId="0" borderId="0" xfId="0" applyFont="1" applyAlignment="1">
      <alignment vertical="center" wrapText="1"/>
    </xf>
    <xf numFmtId="0" fontId="0" fillId="0" borderId="4" xfId="0" applyBorder="1" applyAlignment="1">
      <alignment horizontal="center"/>
    </xf>
    <xf numFmtId="43" fontId="0" fillId="0" borderId="9" xfId="2" applyFont="1" applyBorder="1"/>
    <xf numFmtId="43" fontId="0" fillId="0" borderId="4" xfId="2" applyFont="1" applyBorder="1" applyAlignment="1">
      <alignment horizontal="center"/>
    </xf>
    <xf numFmtId="0" fontId="0" fillId="11" borderId="4" xfId="0" applyFill="1" applyBorder="1"/>
    <xf numFmtId="0" fontId="13" fillId="13" borderId="4" xfId="0" applyFont="1" applyFill="1" applyBorder="1"/>
    <xf numFmtId="0" fontId="13" fillId="12" borderId="0" xfId="0" applyFont="1" applyFill="1"/>
    <xf numFmtId="0" fontId="13" fillId="4" borderId="0" xfId="0" applyFont="1" applyFill="1"/>
    <xf numFmtId="9" fontId="0" fillId="0" borderId="4" xfId="3" applyFont="1" applyBorder="1"/>
    <xf numFmtId="0" fontId="9" fillId="0" borderId="0" xfId="0" applyFont="1"/>
    <xf numFmtId="0" fontId="42" fillId="3" borderId="0" xfId="0" applyFont="1" applyFill="1"/>
    <xf numFmtId="0" fontId="35" fillId="0" borderId="0" xfId="1" applyNumberFormat="1" applyFont="1" applyAlignment="1">
      <alignment wrapText="1"/>
    </xf>
    <xf numFmtId="11" fontId="7" fillId="4" borderId="0" xfId="0" applyNumberFormat="1" applyFont="1" applyFill="1"/>
    <xf numFmtId="0" fontId="8" fillId="10" borderId="0" xfId="0" applyFont="1" applyFill="1"/>
    <xf numFmtId="2" fontId="0" fillId="0" borderId="27" xfId="0" applyNumberFormat="1" applyBorder="1"/>
    <xf numFmtId="2" fontId="0" fillId="0" borderId="4" xfId="0" applyNumberFormat="1" applyBorder="1"/>
    <xf numFmtId="167" fontId="0" fillId="16" borderId="0" xfId="0" applyNumberFormat="1" applyFill="1"/>
    <xf numFmtId="167" fontId="0" fillId="18" borderId="0" xfId="0" applyNumberFormat="1" applyFill="1"/>
    <xf numFmtId="167" fontId="0" fillId="0" borderId="0" xfId="0" applyNumberFormat="1" applyAlignment="1">
      <alignment wrapText="1"/>
    </xf>
    <xf numFmtId="1" fontId="8" fillId="0" borderId="0" xfId="0" applyNumberFormat="1" applyFont="1"/>
    <xf numFmtId="2" fontId="8" fillId="0" borderId="0" xfId="0" applyNumberFormat="1" applyFont="1"/>
    <xf numFmtId="168" fontId="8" fillId="10" borderId="0" xfId="0" applyNumberFormat="1" applyFont="1" applyFill="1"/>
    <xf numFmtId="11" fontId="0" fillId="5" borderId="0" xfId="0" applyNumberFormat="1" applyFill="1"/>
    <xf numFmtId="0" fontId="7" fillId="13" borderId="9" xfId="0" applyFont="1" applyFill="1" applyBorder="1"/>
    <xf numFmtId="0" fontId="7" fillId="13" borderId="26" xfId="0" applyFont="1" applyFill="1" applyBorder="1"/>
    <xf numFmtId="0" fontId="7" fillId="14" borderId="9" xfId="0" applyFont="1" applyFill="1" applyBorder="1"/>
    <xf numFmtId="0" fontId="7" fillId="14" borderId="26" xfId="0" applyFont="1" applyFill="1" applyBorder="1"/>
    <xf numFmtId="0" fontId="7" fillId="21" borderId="9" xfId="0" applyFont="1" applyFill="1" applyBorder="1"/>
    <xf numFmtId="0" fontId="7" fillId="21" borderId="26" xfId="0" applyFont="1" applyFill="1" applyBorder="1"/>
    <xf numFmtId="0" fontId="13" fillId="13" borderId="0" xfId="0" applyFont="1" applyFill="1"/>
    <xf numFmtId="0" fontId="13" fillId="14" borderId="0" xfId="0" applyFont="1" applyFill="1"/>
    <xf numFmtId="0" fontId="13" fillId="21" borderId="0" xfId="0" applyFont="1" applyFill="1"/>
    <xf numFmtId="168" fontId="0" fillId="0" borderId="0" xfId="0" applyNumberFormat="1"/>
    <xf numFmtId="172" fontId="0" fillId="0" borderId="0" xfId="0" applyNumberFormat="1"/>
    <xf numFmtId="0" fontId="7" fillId="21" borderId="0" xfId="0" applyFont="1" applyFill="1"/>
    <xf numFmtId="167" fontId="7" fillId="21" borderId="0" xfId="0" applyNumberFormat="1" applyFont="1" applyFill="1"/>
    <xf numFmtId="0" fontId="9" fillId="0" borderId="0" xfId="0" quotePrefix="1" applyFont="1" applyAlignment="1">
      <alignment wrapText="1"/>
    </xf>
    <xf numFmtId="0" fontId="44" fillId="11" borderId="0" xfId="0" applyFont="1" applyFill="1"/>
    <xf numFmtId="0" fontId="43" fillId="13" borderId="0" xfId="0" applyFont="1" applyFill="1"/>
    <xf numFmtId="0" fontId="43" fillId="14" borderId="0" xfId="0" applyFont="1" applyFill="1"/>
    <xf numFmtId="0" fontId="43" fillId="21" borderId="0" xfId="0" applyFont="1" applyFill="1"/>
    <xf numFmtId="0" fontId="44" fillId="13" borderId="0" xfId="0" applyFont="1" applyFill="1"/>
    <xf numFmtId="0" fontId="44" fillId="14" borderId="0" xfId="0" applyFont="1" applyFill="1"/>
    <xf numFmtId="0" fontId="44" fillId="21" borderId="0" xfId="0" applyFont="1" applyFill="1"/>
    <xf numFmtId="2" fontId="7" fillId="4" borderId="0" xfId="0" applyNumberFormat="1" applyFont="1" applyFill="1"/>
    <xf numFmtId="2" fontId="0" fillId="5" borderId="0" xfId="0" applyNumberFormat="1" applyFill="1"/>
    <xf numFmtId="173" fontId="0" fillId="0" borderId="0" xfId="2" applyNumberFormat="1" applyFont="1"/>
    <xf numFmtId="1" fontId="0" fillId="0" borderId="0" xfId="0" applyNumberFormat="1"/>
    <xf numFmtId="0" fontId="34" fillId="0" borderId="0" xfId="1" applyAlignment="1">
      <alignment wrapText="1"/>
    </xf>
    <xf numFmtId="174" fontId="8" fillId="7" borderId="0" xfId="0" applyNumberFormat="1" applyFont="1" applyFill="1"/>
    <xf numFmtId="169" fontId="8" fillId="7" borderId="0" xfId="0" applyNumberFormat="1" applyFont="1" applyFill="1"/>
    <xf numFmtId="171" fontId="8" fillId="10" borderId="0" xfId="0" applyNumberFormat="1" applyFont="1" applyFill="1"/>
    <xf numFmtId="0" fontId="0" fillId="3" borderId="0" xfId="0" applyFill="1" applyAlignment="1">
      <alignment vertical="center"/>
    </xf>
    <xf numFmtId="1" fontId="1" fillId="3" borderId="0" xfId="0" applyNumberFormat="1" applyFont="1" applyFill="1" applyAlignment="1">
      <alignment vertical="center"/>
    </xf>
    <xf numFmtId="0" fontId="0" fillId="22" borderId="0" xfId="0" applyFill="1"/>
    <xf numFmtId="1" fontId="0" fillId="22" borderId="0" xfId="0" applyNumberFormat="1" applyFill="1" applyAlignment="1">
      <alignment horizontal="center"/>
    </xf>
    <xf numFmtId="0" fontId="0" fillId="22" borderId="0" xfId="0" applyFill="1" applyAlignment="1">
      <alignment horizontal="center" vertical="center"/>
    </xf>
    <xf numFmtId="175" fontId="0" fillId="0" borderId="0" xfId="0" applyNumberFormat="1"/>
    <xf numFmtId="169" fontId="0" fillId="0" borderId="0" xfId="0" applyNumberFormat="1" applyAlignment="1">
      <alignment wrapText="1"/>
    </xf>
    <xf numFmtId="175" fontId="7" fillId="13" borderId="0" xfId="0" applyNumberFormat="1" applyFont="1" applyFill="1"/>
    <xf numFmtId="172" fontId="7" fillId="14" borderId="0" xfId="0" applyNumberFormat="1" applyFont="1" applyFill="1"/>
    <xf numFmtId="175" fontId="7" fillId="21" borderId="0" xfId="0" applyNumberFormat="1" applyFont="1" applyFill="1"/>
    <xf numFmtId="165" fontId="1" fillId="0" borderId="0" xfId="0" applyNumberFormat="1" applyFont="1" applyAlignment="1">
      <alignment horizontal="right"/>
    </xf>
    <xf numFmtId="165" fontId="1" fillId="0" borderId="0" xfId="0" applyNumberFormat="1" applyFont="1"/>
    <xf numFmtId="165" fontId="0" fillId="0" borderId="0" xfId="0" applyNumberFormat="1"/>
    <xf numFmtId="0" fontId="50" fillId="2" borderId="0" xfId="0" applyFont="1" applyFill="1" applyProtection="1">
      <protection locked="0"/>
    </xf>
    <xf numFmtId="0" fontId="21" fillId="2" borderId="0" xfId="0" applyFont="1" applyFill="1" applyProtection="1">
      <protection locked="0"/>
    </xf>
    <xf numFmtId="0" fontId="21" fillId="2" borderId="28" xfId="0" applyFont="1" applyFill="1" applyBorder="1" applyProtection="1">
      <protection locked="0"/>
    </xf>
    <xf numFmtId="0" fontId="21" fillId="2" borderId="0" xfId="0" applyFont="1" applyFill="1" applyAlignment="1">
      <alignment vertical="top" wrapText="1"/>
    </xf>
    <xf numFmtId="3" fontId="23" fillId="6" borderId="4" xfId="0" applyNumberFormat="1" applyFont="1" applyFill="1" applyBorder="1" applyAlignment="1" applyProtection="1">
      <alignment horizontal="center" vertical="center" wrapText="1"/>
      <protection locked="0"/>
    </xf>
    <xf numFmtId="168" fontId="23" fillId="6" borderId="4" xfId="0" applyNumberFormat="1" applyFont="1" applyFill="1" applyBorder="1" applyAlignment="1" applyProtection="1">
      <alignment horizontal="center" vertical="center" wrapText="1"/>
      <protection locked="0"/>
    </xf>
    <xf numFmtId="0" fontId="22" fillId="2" borderId="0" xfId="0" applyFont="1" applyFill="1" applyAlignment="1" applyProtection="1">
      <alignment vertical="center"/>
      <protection locked="0"/>
    </xf>
    <xf numFmtId="0" fontId="51" fillId="2" borderId="28" xfId="0" applyFont="1" applyFill="1" applyBorder="1" applyAlignment="1">
      <alignment horizontal="center" vertical="center"/>
    </xf>
    <xf numFmtId="0" fontId="52" fillId="2" borderId="0" xfId="0" applyFont="1" applyFill="1" applyProtection="1">
      <protection locked="0"/>
    </xf>
    <xf numFmtId="0" fontId="26" fillId="2" borderId="0" xfId="0" applyFont="1" applyFill="1" applyAlignment="1" applyProtection="1">
      <alignment vertical="center"/>
      <protection locked="0"/>
    </xf>
    <xf numFmtId="1" fontId="0" fillId="2" borderId="0" xfId="0" applyNumberFormat="1" applyFill="1" applyAlignment="1" applyProtection="1">
      <alignment horizontal="center"/>
      <protection locked="0"/>
    </xf>
    <xf numFmtId="0" fontId="0" fillId="2" borderId="0" xfId="0" applyFill="1" applyAlignment="1" applyProtection="1">
      <alignment horizontal="center" vertical="center"/>
      <protection locked="0"/>
    </xf>
    <xf numFmtId="1" fontId="53" fillId="2" borderId="0" xfId="0" applyNumberFormat="1" applyFont="1" applyFill="1" applyAlignment="1" applyProtection="1">
      <alignment horizontal="center"/>
      <protection locked="0"/>
    </xf>
    <xf numFmtId="1" fontId="53" fillId="2" borderId="0" xfId="0" applyNumberFormat="1" applyFont="1" applyFill="1" applyAlignment="1">
      <alignment horizontal="center"/>
    </xf>
    <xf numFmtId="1" fontId="54" fillId="2" borderId="0" xfId="0" applyNumberFormat="1" applyFont="1" applyFill="1" applyAlignment="1" applyProtection="1">
      <alignment horizontal="center"/>
      <protection locked="0"/>
    </xf>
    <xf numFmtId="1" fontId="54" fillId="2" borderId="0" xfId="0" applyNumberFormat="1" applyFont="1" applyFill="1" applyProtection="1">
      <protection locked="0"/>
    </xf>
    <xf numFmtId="1" fontId="0" fillId="2" borderId="0" xfId="0" applyNumberFormat="1" applyFill="1" applyProtection="1">
      <protection locked="0"/>
    </xf>
    <xf numFmtId="1" fontId="53" fillId="2" borderId="0" xfId="0" applyNumberFormat="1" applyFont="1" applyFill="1" applyProtection="1">
      <protection locked="0"/>
    </xf>
    <xf numFmtId="1" fontId="55" fillId="2" borderId="0" xfId="0" applyNumberFormat="1" applyFont="1" applyFill="1" applyAlignment="1" applyProtection="1">
      <alignment horizontal="center"/>
      <protection locked="0"/>
    </xf>
    <xf numFmtId="174" fontId="8" fillId="0" borderId="0" xfId="0" applyNumberFormat="1" applyFont="1"/>
    <xf numFmtId="3" fontId="23" fillId="6" borderId="5" xfId="0" applyNumberFormat="1" applyFont="1" applyFill="1" applyBorder="1" applyAlignment="1">
      <alignment horizontal="center" vertical="center" wrapText="1"/>
    </xf>
    <xf numFmtId="3" fontId="23" fillId="6" borderId="27" xfId="0" applyNumberFormat="1" applyFont="1" applyFill="1" applyBorder="1" applyAlignment="1">
      <alignment horizontal="center" vertical="center" wrapText="1"/>
    </xf>
    <xf numFmtId="0" fontId="29" fillId="0" borderId="0" xfId="0" applyFont="1" applyAlignment="1">
      <alignment horizontal="center" vertical="center" wrapText="1"/>
    </xf>
    <xf numFmtId="0" fontId="29" fillId="0" borderId="28" xfId="0" applyFont="1" applyBorder="1" applyAlignment="1">
      <alignment horizontal="center" vertical="center" wrapText="1"/>
    </xf>
    <xf numFmtId="0" fontId="4" fillId="3" borderId="0" xfId="0" applyFont="1" applyFill="1" applyAlignment="1">
      <alignment horizontal="center" wrapText="1"/>
    </xf>
    <xf numFmtId="0" fontId="26" fillId="2" borderId="11" xfId="0" applyFont="1" applyFill="1" applyBorder="1" applyAlignment="1">
      <alignment horizontal="left" vertical="center" wrapText="1"/>
    </xf>
    <xf numFmtId="0" fontId="26" fillId="2" borderId="12" xfId="0" applyFont="1" applyFill="1" applyBorder="1" applyAlignment="1">
      <alignment horizontal="left" vertical="center"/>
    </xf>
    <xf numFmtId="0" fontId="26" fillId="2" borderId="13" xfId="0" applyFont="1" applyFill="1" applyBorder="1" applyAlignment="1">
      <alignment horizontal="left" vertical="center"/>
    </xf>
    <xf numFmtId="0" fontId="26" fillId="2" borderId="14" xfId="0" applyFont="1" applyFill="1" applyBorder="1" applyAlignment="1">
      <alignment horizontal="left" vertical="center"/>
    </xf>
    <xf numFmtId="0" fontId="26" fillId="2" borderId="0" xfId="0" applyFont="1" applyFill="1" applyAlignment="1">
      <alignment horizontal="left" vertical="center"/>
    </xf>
    <xf numFmtId="0" fontId="26" fillId="2" borderId="15" xfId="0" applyFont="1" applyFill="1" applyBorder="1" applyAlignment="1">
      <alignment horizontal="left" vertical="center"/>
    </xf>
    <xf numFmtId="0" fontId="26" fillId="2" borderId="16" xfId="0" applyFont="1" applyFill="1" applyBorder="1" applyAlignment="1">
      <alignment horizontal="left" vertical="center"/>
    </xf>
    <xf numFmtId="0" fontId="26" fillId="2" borderId="17" xfId="0" applyFont="1" applyFill="1" applyBorder="1" applyAlignment="1">
      <alignment horizontal="left" vertical="center"/>
    </xf>
    <xf numFmtId="0" fontId="26" fillId="2" borderId="18" xfId="0" applyFont="1" applyFill="1" applyBorder="1" applyAlignment="1">
      <alignment horizontal="left" vertical="center"/>
    </xf>
    <xf numFmtId="0" fontId="20" fillId="3" borderId="0" xfId="0" applyFont="1" applyFill="1" applyAlignment="1">
      <alignment horizontal="center" vertical="center"/>
    </xf>
    <xf numFmtId="0" fontId="22" fillId="3" borderId="22" xfId="0" applyFont="1" applyFill="1" applyBorder="1" applyAlignment="1">
      <alignment horizontal="center"/>
    </xf>
    <xf numFmtId="0" fontId="21" fillId="3" borderId="23" xfId="0" applyFont="1" applyFill="1" applyBorder="1" applyAlignment="1">
      <alignment horizontal="center"/>
    </xf>
    <xf numFmtId="0" fontId="21" fillId="3" borderId="24" xfId="0" applyFont="1" applyFill="1" applyBorder="1" applyAlignment="1">
      <alignment horizontal="center"/>
    </xf>
    <xf numFmtId="0" fontId="21" fillId="2" borderId="0" xfId="0" applyFont="1" applyFill="1" applyAlignment="1">
      <alignment horizontal="center" vertical="center" wrapText="1"/>
    </xf>
    <xf numFmtId="0" fontId="23" fillId="6" borderId="6" xfId="0" applyFont="1" applyFill="1" applyBorder="1" applyAlignment="1">
      <alignment horizontal="center" vertical="center"/>
    </xf>
    <xf numFmtId="0" fontId="23" fillId="6" borderId="10" xfId="0" applyFont="1" applyFill="1" applyBorder="1" applyAlignment="1">
      <alignment horizontal="center" vertical="center"/>
    </xf>
    <xf numFmtId="0" fontId="21" fillId="2" borderId="0" xfId="0" applyFont="1" applyFill="1" applyAlignment="1">
      <alignment horizontal="center" vertical="center"/>
    </xf>
    <xf numFmtId="0" fontId="22" fillId="3" borderId="8" xfId="0" applyFont="1" applyFill="1" applyBorder="1" applyAlignment="1">
      <alignment horizontal="center"/>
    </xf>
    <xf numFmtId="0" fontId="22" fillId="3" borderId="25" xfId="0" applyFont="1" applyFill="1" applyBorder="1" applyAlignment="1">
      <alignment horizontal="center"/>
    </xf>
    <xf numFmtId="0" fontId="22" fillId="3" borderId="7" xfId="0" applyFont="1" applyFill="1" applyBorder="1" applyAlignment="1">
      <alignment horizontal="center"/>
    </xf>
    <xf numFmtId="0" fontId="23" fillId="6" borderId="6" xfId="0" applyFont="1" applyFill="1" applyBorder="1" applyAlignment="1">
      <alignment horizontal="center" vertical="center" wrapText="1"/>
    </xf>
    <xf numFmtId="0" fontId="23" fillId="6" borderId="10" xfId="0" applyFont="1" applyFill="1" applyBorder="1" applyAlignment="1">
      <alignment horizontal="center" vertical="center" wrapText="1"/>
    </xf>
    <xf numFmtId="0" fontId="21" fillId="2" borderId="0" xfId="0" applyFont="1" applyFill="1" applyAlignment="1">
      <alignment horizontal="center"/>
    </xf>
    <xf numFmtId="0" fontId="23" fillId="6" borderId="5" xfId="0" applyFont="1" applyFill="1" applyBorder="1" applyAlignment="1">
      <alignment horizontal="center" vertical="center"/>
    </xf>
    <xf numFmtId="0" fontId="23" fillId="6" borderId="27" xfId="0" applyFont="1" applyFill="1" applyBorder="1" applyAlignment="1">
      <alignment horizontal="center" vertical="center"/>
    </xf>
    <xf numFmtId="0" fontId="21" fillId="2" borderId="0" xfId="0" applyFont="1" applyFill="1" applyAlignment="1">
      <alignment horizontal="left" vertical="top" wrapText="1"/>
    </xf>
    <xf numFmtId="0" fontId="21" fillId="2" borderId="28" xfId="0" applyFont="1" applyFill="1" applyBorder="1" applyAlignment="1">
      <alignment horizontal="left" vertical="top" wrapText="1"/>
    </xf>
    <xf numFmtId="0" fontId="23" fillId="6" borderId="5" xfId="0" applyFont="1" applyFill="1" applyBorder="1" applyAlignment="1">
      <alignment horizontal="center" vertical="center" wrapText="1"/>
    </xf>
    <xf numFmtId="0" fontId="23" fillId="6" borderId="27" xfId="0" applyFont="1" applyFill="1" applyBorder="1" applyAlignment="1">
      <alignment horizontal="center" vertical="center" wrapText="1"/>
    </xf>
    <xf numFmtId="0" fontId="17" fillId="3" borderId="0" xfId="0" applyFont="1" applyFill="1" applyAlignment="1">
      <alignment horizontal="left" vertical="center" wrapText="1"/>
    </xf>
    <xf numFmtId="0" fontId="18" fillId="3" borderId="0" xfId="0" applyFont="1" applyFill="1" applyAlignment="1">
      <alignment horizontal="left" vertical="center" wrapText="1"/>
    </xf>
    <xf numFmtId="0" fontId="15" fillId="2" borderId="19" xfId="0" applyFont="1" applyFill="1" applyBorder="1" applyAlignment="1">
      <alignment horizontal="center" vertical="center" wrapText="1"/>
    </xf>
    <xf numFmtId="0" fontId="15" fillId="2" borderId="20" xfId="0" applyFont="1" applyFill="1" applyBorder="1" applyAlignment="1">
      <alignment horizontal="center" vertical="center" wrapText="1"/>
    </xf>
    <xf numFmtId="0" fontId="34" fillId="2" borderId="20" xfId="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5" fillId="2" borderId="14"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15" xfId="0" applyFont="1" applyFill="1" applyBorder="1" applyAlignment="1">
      <alignment horizontal="center" vertical="center" wrapText="1"/>
    </xf>
    <xf numFmtId="14" fontId="14" fillId="2" borderId="5" xfId="0" applyNumberFormat="1" applyFont="1" applyFill="1" applyBorder="1" applyAlignment="1">
      <alignment horizontal="center" vertical="center" wrapText="1"/>
    </xf>
    <xf numFmtId="0" fontId="14" fillId="2" borderId="41"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1" fillId="2" borderId="12" xfId="0" applyFont="1" applyFill="1" applyBorder="1" applyAlignment="1">
      <alignment horizontal="center"/>
    </xf>
    <xf numFmtId="0" fontId="11" fillId="2" borderId="13" xfId="0" applyFont="1" applyFill="1" applyBorder="1" applyAlignment="1">
      <alignment horizontal="center"/>
    </xf>
    <xf numFmtId="0" fontId="11" fillId="2" borderId="11" xfId="0" applyFont="1" applyFill="1" applyBorder="1" applyAlignment="1">
      <alignment horizontal="center"/>
    </xf>
    <xf numFmtId="0" fontId="0" fillId="3" borderId="0" xfId="0" applyFill="1" applyAlignment="1">
      <alignment horizontal="center" vertical="center" wrapText="1"/>
    </xf>
    <xf numFmtId="0" fontId="27" fillId="2" borderId="11"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15" xfId="0" applyFont="1" applyFill="1" applyBorder="1" applyAlignment="1">
      <alignment horizontal="left" vertical="center" wrapText="1"/>
    </xf>
    <xf numFmtId="0" fontId="14" fillId="2" borderId="16"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14" fillId="2" borderId="11" xfId="0" quotePrefix="1" applyFont="1" applyFill="1" applyBorder="1" applyAlignment="1">
      <alignment horizontal="left" vertical="center" wrapText="1"/>
    </xf>
    <xf numFmtId="0" fontId="12" fillId="2" borderId="12" xfId="0" quotePrefix="1" applyFont="1" applyFill="1" applyBorder="1" applyAlignment="1">
      <alignment horizontal="left" vertical="center" wrapText="1"/>
    </xf>
    <xf numFmtId="0" fontId="12" fillId="2" borderId="13" xfId="0" quotePrefix="1" applyFont="1" applyFill="1" applyBorder="1" applyAlignment="1">
      <alignment horizontal="left" vertical="center" wrapText="1"/>
    </xf>
    <xf numFmtId="0" fontId="12" fillId="2" borderId="14" xfId="0" quotePrefix="1" applyFont="1" applyFill="1" applyBorder="1" applyAlignment="1">
      <alignment horizontal="left" vertical="center" wrapText="1"/>
    </xf>
    <xf numFmtId="0" fontId="12" fillId="2" borderId="0" xfId="0" quotePrefix="1" applyFont="1" applyFill="1" applyAlignment="1">
      <alignment horizontal="left" vertical="center" wrapText="1"/>
    </xf>
    <xf numFmtId="0" fontId="12" fillId="2" borderId="15" xfId="0" quotePrefix="1" applyFont="1" applyFill="1" applyBorder="1" applyAlignment="1">
      <alignment horizontal="left" vertical="center" wrapText="1"/>
    </xf>
    <xf numFmtId="0" fontId="12" fillId="2" borderId="16" xfId="0" quotePrefix="1" applyFont="1" applyFill="1" applyBorder="1" applyAlignment="1">
      <alignment horizontal="left" vertical="center" wrapText="1"/>
    </xf>
    <xf numFmtId="0" fontId="12" fillId="2" borderId="17" xfId="0" quotePrefix="1" applyFont="1" applyFill="1" applyBorder="1" applyAlignment="1">
      <alignment horizontal="left" vertical="center" wrapText="1"/>
    </xf>
    <xf numFmtId="0" fontId="12" fillId="2" borderId="18" xfId="0" quotePrefix="1" applyFont="1" applyFill="1" applyBorder="1" applyAlignment="1">
      <alignment horizontal="left"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33" xfId="0" applyFont="1" applyFill="1" applyBorder="1" applyAlignment="1">
      <alignment horizontal="center" vertical="center" wrapText="1"/>
    </xf>
    <xf numFmtId="0" fontId="14" fillId="2" borderId="29" xfId="0" applyFont="1" applyFill="1" applyBorder="1" applyAlignment="1">
      <alignment horizontal="left" vertical="center" wrapText="1"/>
    </xf>
    <xf numFmtId="0" fontId="14" fillId="2" borderId="30" xfId="0" applyFont="1" applyFill="1" applyBorder="1" applyAlignment="1">
      <alignment horizontal="left" vertical="center" wrapText="1"/>
    </xf>
    <xf numFmtId="0" fontId="14" fillId="2" borderId="31" xfId="0" applyFont="1" applyFill="1" applyBorder="1" applyAlignment="1">
      <alignment horizontal="left" vertical="center" wrapText="1"/>
    </xf>
    <xf numFmtId="0" fontId="14" fillId="2" borderId="32" xfId="0" applyFont="1" applyFill="1" applyBorder="1" applyAlignment="1">
      <alignment horizontal="left" vertical="center" wrapText="1"/>
    </xf>
    <xf numFmtId="0" fontId="14" fillId="2" borderId="33" xfId="0" applyFont="1" applyFill="1" applyBorder="1" applyAlignment="1">
      <alignment horizontal="left" vertical="center" wrapText="1"/>
    </xf>
    <xf numFmtId="0" fontId="14" fillId="2" borderId="32"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33" xfId="0" applyFont="1" applyFill="1" applyBorder="1" applyAlignment="1">
      <alignment horizontal="left" vertical="top" wrapText="1"/>
    </xf>
    <xf numFmtId="0" fontId="14" fillId="2" borderId="34" xfId="0" applyFont="1" applyFill="1" applyBorder="1" applyAlignment="1">
      <alignment horizontal="left" vertical="top" wrapText="1"/>
    </xf>
    <xf numFmtId="0" fontId="14" fillId="2" borderId="35" xfId="0" applyFont="1" applyFill="1" applyBorder="1" applyAlignment="1">
      <alignment horizontal="left" vertical="top" wrapText="1"/>
    </xf>
    <xf numFmtId="0" fontId="14" fillId="2" borderId="36" xfId="0" applyFont="1" applyFill="1" applyBorder="1" applyAlignment="1">
      <alignment horizontal="left" vertical="top" wrapText="1"/>
    </xf>
    <xf numFmtId="0" fontId="0" fillId="3" borderId="0" xfId="0" applyFill="1" applyAlignment="1">
      <alignment horizontal="center" wrapText="1"/>
    </xf>
    <xf numFmtId="0" fontId="22" fillId="8" borderId="0" xfId="0" applyFont="1" applyFill="1" applyAlignment="1">
      <alignment horizontal="center" vertical="center" wrapText="1"/>
    </xf>
    <xf numFmtId="1" fontId="1" fillId="3" borderId="0" xfId="0" applyNumberFormat="1" applyFont="1" applyFill="1" applyAlignment="1">
      <alignment horizontal="center"/>
    </xf>
    <xf numFmtId="1" fontId="45" fillId="20" borderId="38" xfId="0" applyNumberFormat="1" applyFont="1" applyFill="1" applyBorder="1" applyAlignment="1">
      <alignment horizontal="center" vertical="center" wrapText="1"/>
    </xf>
    <xf numFmtId="1" fontId="46" fillId="20" borderId="39" xfId="0" applyNumberFormat="1" applyFont="1" applyFill="1" applyBorder="1" applyAlignment="1">
      <alignment horizontal="center" vertical="center" wrapText="1"/>
    </xf>
    <xf numFmtId="1" fontId="46" fillId="20" borderId="40" xfId="0" applyNumberFormat="1" applyFont="1" applyFill="1" applyBorder="1" applyAlignment="1">
      <alignment horizontal="center" vertical="center" wrapText="1"/>
    </xf>
    <xf numFmtId="1" fontId="55" fillId="2" borderId="0" xfId="0" applyNumberFormat="1" applyFont="1" applyFill="1" applyAlignment="1" applyProtection="1">
      <alignment horizontal="center"/>
      <protection locked="0"/>
    </xf>
    <xf numFmtId="1" fontId="0" fillId="2" borderId="0" xfId="0" applyNumberFormat="1" applyFill="1" applyAlignment="1" applyProtection="1">
      <alignment horizontal="center"/>
      <protection locked="0"/>
    </xf>
    <xf numFmtId="165" fontId="1" fillId="3" borderId="0" xfId="0" applyNumberFormat="1" applyFont="1" applyFill="1" applyAlignment="1">
      <alignment horizontal="center" vertical="center"/>
    </xf>
    <xf numFmtId="0" fontId="0" fillId="3" borderId="0" xfId="0" applyFill="1" applyAlignment="1">
      <alignment horizontal="center" vertical="center"/>
    </xf>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24" fillId="3" borderId="0" xfId="0" applyFont="1" applyFill="1" applyAlignment="1">
      <alignment horizontal="center"/>
    </xf>
    <xf numFmtId="0" fontId="13" fillId="3" borderId="0" xfId="0" applyFont="1" applyFill="1" applyAlignment="1">
      <alignment horizontal="center"/>
    </xf>
    <xf numFmtId="0" fontId="1" fillId="3" borderId="0" xfId="0" applyFont="1" applyFill="1" applyAlignment="1">
      <alignment horizontal="center" wrapText="1"/>
    </xf>
    <xf numFmtId="0" fontId="0" fillId="3" borderId="0" xfId="0" applyFill="1"/>
    <xf numFmtId="0" fontId="7" fillId="11" borderId="37" xfId="0" applyFont="1" applyFill="1" applyBorder="1" applyAlignment="1">
      <alignment horizontal="center"/>
    </xf>
    <xf numFmtId="0" fontId="7" fillId="11" borderId="0" xfId="0" applyFont="1" applyFill="1" applyAlignment="1">
      <alignment horizontal="center"/>
    </xf>
  </cellXfs>
  <cellStyles count="4">
    <cellStyle name="Lien hypertexte" xfId="1" builtinId="8"/>
    <cellStyle name="Milliers" xfId="2" builtinId="3"/>
    <cellStyle name="Normal" xfId="0" builtinId="0"/>
    <cellStyle name="Pourcentage" xfId="3" builtinId="5"/>
  </cellStyles>
  <dxfs count="31">
    <dxf>
      <font>
        <color theme="0"/>
      </font>
      <fill>
        <patternFill>
          <bgColor theme="0"/>
        </patternFill>
      </fill>
      <border>
        <left/>
        <right/>
        <top/>
        <bottom/>
      </border>
    </dxf>
    <dxf>
      <font>
        <color theme="0"/>
      </font>
      <fill>
        <patternFill>
          <bgColor theme="0"/>
        </patternFill>
      </fill>
      <border>
        <left/>
        <right style="thin">
          <color auto="1"/>
        </right>
        <top/>
        <bottom/>
        <vertical/>
        <horizontal/>
      </border>
    </dxf>
    <dxf>
      <font>
        <color theme="0"/>
      </font>
      <fill>
        <patternFill patternType="solid">
          <bgColor theme="0"/>
        </patternFill>
      </fill>
      <border>
        <left style="thin">
          <color theme="0"/>
        </left>
        <right style="thin">
          <color theme="0"/>
        </right>
        <top style="thin">
          <color theme="0"/>
        </top>
        <bottom style="thin">
          <color theme="0"/>
        </bottom>
      </border>
    </dxf>
    <dxf>
      <font>
        <color theme="0"/>
      </font>
      <fill>
        <patternFill patternType="solid">
          <bgColor theme="0"/>
        </patternFill>
      </fill>
      <border>
        <left style="thin">
          <color theme="0"/>
        </left>
        <right style="thin">
          <color theme="0"/>
        </right>
        <top style="thin">
          <color theme="0"/>
        </top>
        <bottom style="thin">
          <color theme="0"/>
        </bottom>
      </border>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strike val="0"/>
        <outline val="0"/>
        <shadow val="0"/>
        <vertAlign val="baseline"/>
        <sz val="6"/>
        <name val="Avenir Next LT Pro Light"/>
        <family val="2"/>
        <scheme val="minor"/>
      </font>
      <alignment horizontal="general" vertical="bottom" textRotation="0" wrapText="1" indent="0" justifyLastLine="0" shrinkToFit="0" readingOrder="0"/>
    </dxf>
    <dxf>
      <numFmt numFmtId="0" formatCode="General"/>
    </dxf>
    <dxf>
      <numFmt numFmtId="0" formatCode="General"/>
    </dxf>
    <dxf>
      <numFmt numFmtId="0" formatCode="General"/>
    </dxf>
    <dxf>
      <font>
        <strike val="0"/>
        <outline val="0"/>
        <shadow val="0"/>
        <u val="none"/>
        <vertAlign val="baseline"/>
        <sz val="6"/>
        <color theme="1"/>
        <name val="Avenir Next LT Pro Light"/>
        <family val="2"/>
        <scheme val="minor"/>
      </font>
    </dxf>
    <dxf>
      <font>
        <strike val="0"/>
        <outline val="0"/>
        <shadow val="0"/>
        <u val="none"/>
        <vertAlign val="baseline"/>
        <sz val="6"/>
        <color theme="1"/>
        <name val="Avenir Next LT Pro Light"/>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alignment horizontal="left" vertical="bottom" textRotation="0" wrapText="0" indent="0" justifyLastLine="0" shrinkToFit="0" readingOrder="0"/>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ont>
        <b val="0"/>
      </font>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mruColors>
      <color rgb="FFCBB0DA"/>
      <color rgb="FFA1D6CA"/>
      <color rgb="FFA4C8E1"/>
      <color rgb="FF6658B0"/>
      <color rgb="FF0084D4"/>
      <color rgb="FFD7EDE8"/>
      <color rgb="FF00D29B"/>
      <color rgb="FF00DAA1"/>
      <color rgb="FFE5CF85"/>
      <color rgb="FFF1E5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31555956392807"/>
          <c:y val="1.7709311506189113E-2"/>
          <c:w val="0.53700080752630663"/>
          <c:h val="0.94823191788199757"/>
        </c:manualLayout>
      </c:layout>
      <c:doughnutChart>
        <c:varyColors val="1"/>
        <c:ser>
          <c:idx val="0"/>
          <c:order val="0"/>
          <c:tx>
            <c:v>Répartition de la consommation énergétique</c:v>
          </c:tx>
          <c:dPt>
            <c:idx val="0"/>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59-4997-BEF5-D3257FB37750}"/>
              </c:ext>
            </c:extLst>
          </c:dPt>
          <c:dPt>
            <c:idx val="1"/>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59-4997-BEF5-D3257FB37750}"/>
              </c:ext>
            </c:extLst>
          </c:dPt>
          <c:dPt>
            <c:idx val="2"/>
            <c:bubble3D val="0"/>
            <c:spPr>
              <a:solidFill>
                <a:schemeClr val="tx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F1-4516-8AF5-5D688E5A3059}"/>
              </c:ext>
            </c:extLst>
          </c:dPt>
          <c:dPt>
            <c:idx val="3"/>
            <c:bubble3D val="0"/>
            <c:spPr>
              <a:solidFill>
                <a:srgbClr val="A1D6C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C66-4828-A68B-60C9265753A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j-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Calcul!$B$36:$B$39</c:f>
              <c:strCache>
                <c:ptCount val="4"/>
                <c:pt idx="0">
                  <c:v>GPU</c:v>
                </c:pt>
                <c:pt idx="1">
                  <c:v>Serveur (hors GPU) </c:v>
                </c:pt>
                <c:pt idx="2">
                  <c:v>Equipements réseaux du centre de données</c:v>
                </c:pt>
                <c:pt idx="3">
                  <c:v>Infrastructures techniques (inc. PUE)</c:v>
                </c:pt>
              </c:strCache>
            </c:strRef>
          </c:cat>
          <c:val>
            <c:numRef>
              <c:f>Calcul!$C$36:$C$39</c:f>
              <c:numCache>
                <c:formatCode>0.000</c:formatCode>
                <c:ptCount val="4"/>
                <c:pt idx="0">
                  <c:v>48.64</c:v>
                </c:pt>
                <c:pt idx="1">
                  <c:v>0</c:v>
                </c:pt>
                <c:pt idx="2" formatCode="0.00">
                  <c:v>0</c:v>
                </c:pt>
                <c:pt idx="3">
                  <c:v>0</c:v>
                </c:pt>
              </c:numCache>
            </c:numRef>
          </c:val>
          <c:extLst>
            <c:ext xmlns:c16="http://schemas.microsoft.com/office/drawing/2014/chart" uri="{C3380CC4-5D6E-409C-BE32-E72D297353CC}">
              <c16:uniqueId val="{00000002-918E-468B-995F-B049A997CC24}"/>
            </c:ext>
          </c:extLst>
        </c:ser>
        <c:dLbls>
          <c:showLegendKey val="0"/>
          <c:showVal val="0"/>
          <c:showCatName val="0"/>
          <c:showSerName val="0"/>
          <c:showPercent val="1"/>
          <c:showBubbleSize val="0"/>
          <c:showLeaderLines val="0"/>
        </c:dLbls>
        <c:firstSliceAng val="0"/>
        <c:holeSize val="40"/>
      </c:doughnutChart>
      <c:spPr>
        <a:noFill/>
        <a:ln>
          <a:noFill/>
        </a:ln>
        <a:effectLst/>
      </c:spPr>
    </c:plotArea>
    <c:legend>
      <c:legendPos val="r"/>
      <c:layout>
        <c:manualLayout>
          <c:xMode val="edge"/>
          <c:yMode val="edge"/>
          <c:x val="0.59468578614652057"/>
          <c:y val="0.14558599896507662"/>
          <c:w val="0.38523241995046559"/>
          <c:h val="0.75738414772293594"/>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sz="1200">
          <a:latin typeface="+mj-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Calcul!$K$6</c:f>
              <c:strCache>
                <c:ptCount val="1"/>
                <c:pt idx="0">
                  <c:v>#DIV/0!</c:v>
                </c:pt>
              </c:strCache>
            </c:strRef>
          </c:tx>
          <c:spPr>
            <a:solidFill>
              <a:schemeClr val="accent4">
                <a:lumMod val="50000"/>
              </a:schemeClr>
            </a:solidFill>
            <a:ln>
              <a:noFill/>
            </a:ln>
            <a:effectLst/>
          </c:spPr>
          <c:invertIfNegative val="0"/>
          <c:dLbls>
            <c:dLbl>
              <c:idx val="0"/>
              <c:tx>
                <c:rich>
                  <a:bodyPr/>
                  <a:lstStyle/>
                  <a:p>
                    <a:fld id="{B5EFD100-29EC-4F93-AAE8-0B64E14BEA1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6E1-44BE-A59D-F1A9EF6744D9}"/>
                </c:ext>
              </c:extLst>
            </c:dLbl>
            <c:dLbl>
              <c:idx val="1"/>
              <c:tx>
                <c:rich>
                  <a:bodyPr/>
                  <a:lstStyle/>
                  <a:p>
                    <a:fld id="{5993BC1B-A0F4-41E4-B2C5-A167994A1C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CDC-420E-9AFF-9DED44315F98}"/>
                </c:ext>
              </c:extLst>
            </c:dLbl>
            <c:dLbl>
              <c:idx val="2"/>
              <c:tx>
                <c:rich>
                  <a:bodyPr/>
                  <a:lstStyle/>
                  <a:p>
                    <a:fld id="{0CA0009D-CC99-4F0B-9D18-0DDA5683F7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DC-420E-9AFF-9DED44315F98}"/>
                </c:ext>
              </c:extLst>
            </c:dLbl>
            <c:dLbl>
              <c:idx val="3"/>
              <c:tx>
                <c:rich>
                  <a:bodyPr/>
                  <a:lstStyle/>
                  <a:p>
                    <a:fld id="{194782CE-4EEB-4A06-A806-E69C89A7D3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CDC-420E-9AFF-9DED44315F98}"/>
                </c:ext>
              </c:extLst>
            </c:dLbl>
            <c:dLbl>
              <c:idx val="4"/>
              <c:tx>
                <c:rich>
                  <a:bodyPr/>
                  <a:lstStyle/>
                  <a:p>
                    <a:fld id="{63E55709-84E8-4341-82DB-EFCF4B74CE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DC-420E-9AFF-9DED44315F9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Calcul!$N$4:$R$4</c:f>
              <c:strCache>
                <c:ptCount val="5"/>
                <c:pt idx="0">
                  <c:v>0</c:v>
                </c:pt>
                <c:pt idx="1">
                  <c:v>GPT-4.1-mini</c:v>
                </c:pt>
                <c:pt idx="2">
                  <c:v>Mistral Large</c:v>
                </c:pt>
                <c:pt idx="3">
                  <c:v>Claude Sonnet 4</c:v>
                </c:pt>
                <c:pt idx="4">
                  <c:v>Gemini 2.5 flash lite</c:v>
                </c:pt>
              </c:strCache>
            </c:strRef>
          </c:cat>
          <c:val>
            <c:numRef>
              <c:f>Calcul!$N$33:$R$33</c:f>
              <c:numCache>
                <c:formatCode>#\ ##0.0</c:formatCode>
                <c:ptCount val="5"/>
                <c:pt idx="0" formatCode="#\ ##0.0000000">
                  <c:v>0</c:v>
                </c:pt>
                <c:pt idx="1">
                  <c:v>0</c:v>
                </c:pt>
                <c:pt idx="2">
                  <c:v>0</c:v>
                </c:pt>
                <c:pt idx="3">
                  <c:v>0</c:v>
                </c:pt>
                <c:pt idx="4">
                  <c:v>0</c:v>
                </c:pt>
              </c:numCache>
            </c:numRef>
          </c:val>
          <c:extLst>
            <c:ext xmlns:c15="http://schemas.microsoft.com/office/drawing/2012/chart" uri="{02D57815-91ED-43cb-92C2-25804820EDAC}">
              <c15:datalabelsRange>
                <c15:f>Calcul!$N$6:$R$6</c15:f>
                <c15:dlblRangeCache>
                  <c:ptCount val="5"/>
                  <c:pt idx="0">
                    <c:v>#DIV/0!</c:v>
                  </c:pt>
                  <c:pt idx="1">
                    <c:v>#DIV/0!</c:v>
                  </c:pt>
                  <c:pt idx="2">
                    <c:v>#DIV/0!</c:v>
                  </c:pt>
                  <c:pt idx="3">
                    <c:v>#DIV/0!</c:v>
                  </c:pt>
                  <c:pt idx="4">
                    <c:v>#DIV/0!</c:v>
                  </c:pt>
                </c15:dlblRangeCache>
              </c15:datalabelsRange>
            </c:ext>
            <c:ext xmlns:c16="http://schemas.microsoft.com/office/drawing/2014/chart" uri="{C3380CC4-5D6E-409C-BE32-E72D297353CC}">
              <c16:uniqueId val="{00000000-76E1-44BE-A59D-F1A9EF6744D9}"/>
            </c:ext>
          </c:extLst>
        </c:ser>
        <c:dLbls>
          <c:dLblPos val="outEnd"/>
          <c:showLegendKey val="0"/>
          <c:showVal val="1"/>
          <c:showCatName val="0"/>
          <c:showSerName val="0"/>
          <c:showPercent val="0"/>
          <c:showBubbleSize val="0"/>
        </c:dLbls>
        <c:gapWidth val="20"/>
        <c:overlap val="-15"/>
        <c:axId val="1756066368"/>
        <c:axId val="1756074048"/>
      </c:barChart>
      <c:catAx>
        <c:axId val="17560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crossAx val="1756074048"/>
        <c:crosses val="autoZero"/>
        <c:auto val="1"/>
        <c:lblAlgn val="ctr"/>
        <c:lblOffset val="100"/>
        <c:noMultiLvlLbl val="0"/>
      </c:catAx>
      <c:valAx>
        <c:axId val="1756074048"/>
        <c:scaling>
          <c:orientation val="minMax"/>
        </c:scaling>
        <c:delete val="1"/>
        <c:axPos val="l"/>
        <c:numFmt formatCode="#\ ##0.0000000" sourceLinked="1"/>
        <c:majorTickMark val="none"/>
        <c:minorTickMark val="none"/>
        <c:tickLblPos val="nextTo"/>
        <c:crossAx val="175606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Calcul!$K$11</c:f>
              <c:strCache>
                <c:ptCount val="1"/>
                <c:pt idx="0">
                  <c:v>#DIV/0!</c:v>
                </c:pt>
              </c:strCache>
            </c:strRef>
          </c:tx>
          <c:spPr>
            <a:solidFill>
              <a:schemeClr val="accent3">
                <a:lumMod val="75000"/>
              </a:schemeClr>
            </a:solidFill>
            <a:ln>
              <a:noFill/>
            </a:ln>
            <a:effectLst/>
          </c:spPr>
          <c:invertIfNegative val="0"/>
          <c:dLbls>
            <c:dLbl>
              <c:idx val="0"/>
              <c:tx>
                <c:rich>
                  <a:bodyPr/>
                  <a:lstStyle/>
                  <a:p>
                    <a:fld id="{64E038D0-6A94-41E7-ADD5-719F60C6252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2A7-4375-85F8-7DDD54690937}"/>
                </c:ext>
              </c:extLst>
            </c:dLbl>
            <c:dLbl>
              <c:idx val="1"/>
              <c:tx>
                <c:rich>
                  <a:bodyPr/>
                  <a:lstStyle/>
                  <a:p>
                    <a:fld id="{CC8F1258-0D90-47AD-9B5B-46A680CF16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2A7-4375-85F8-7DDD54690937}"/>
                </c:ext>
              </c:extLst>
            </c:dLbl>
            <c:dLbl>
              <c:idx val="2"/>
              <c:tx>
                <c:rich>
                  <a:bodyPr/>
                  <a:lstStyle/>
                  <a:p>
                    <a:fld id="{33BD604A-7CEA-4EE1-90EA-E7B7184AFC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2A7-4375-85F8-7DDD54690937}"/>
                </c:ext>
              </c:extLst>
            </c:dLbl>
            <c:dLbl>
              <c:idx val="3"/>
              <c:tx>
                <c:rich>
                  <a:bodyPr/>
                  <a:lstStyle/>
                  <a:p>
                    <a:fld id="{C293CF3C-6B5B-42E9-9335-60268D4CFD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2A7-4375-85F8-7DDD54690937}"/>
                </c:ext>
              </c:extLst>
            </c:dLbl>
            <c:dLbl>
              <c:idx val="4"/>
              <c:tx>
                <c:rich>
                  <a:bodyPr/>
                  <a:lstStyle/>
                  <a:p>
                    <a:fld id="{707689C7-88D1-46E6-9AED-11E2813A5E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2A7-4375-85F8-7DDD5469093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Calcul!$N$4:$R$4</c:f>
              <c:strCache>
                <c:ptCount val="5"/>
                <c:pt idx="0">
                  <c:v>0</c:v>
                </c:pt>
                <c:pt idx="1">
                  <c:v>GPT-4.1-mini</c:v>
                </c:pt>
                <c:pt idx="2">
                  <c:v>Mistral Large</c:v>
                </c:pt>
                <c:pt idx="3">
                  <c:v>Claude Sonnet 4</c:v>
                </c:pt>
                <c:pt idx="4">
                  <c:v>Gemini 2.5 flash lite</c:v>
                </c:pt>
              </c:strCache>
            </c:strRef>
          </c:cat>
          <c:val>
            <c:numRef>
              <c:f>Calcul!$N$37:$R$37</c:f>
              <c:numCache>
                <c:formatCode>#\ ##0.0</c:formatCode>
                <c:ptCount val="5"/>
                <c:pt idx="0" formatCode="#\ ##0.000000000">
                  <c:v>0</c:v>
                </c:pt>
                <c:pt idx="1">
                  <c:v>0</c:v>
                </c:pt>
                <c:pt idx="2">
                  <c:v>0</c:v>
                </c:pt>
                <c:pt idx="3">
                  <c:v>0</c:v>
                </c:pt>
                <c:pt idx="4">
                  <c:v>0</c:v>
                </c:pt>
              </c:numCache>
            </c:numRef>
          </c:val>
          <c:extLst>
            <c:ext xmlns:c15="http://schemas.microsoft.com/office/drawing/2012/chart" uri="{02D57815-91ED-43cb-92C2-25804820EDAC}">
              <c15:datalabelsRange>
                <c15:f>Calcul!$N$11:$R$11</c15:f>
                <c15:dlblRangeCache>
                  <c:ptCount val="5"/>
                  <c:pt idx="0">
                    <c:v>#DIV/0!</c:v>
                  </c:pt>
                  <c:pt idx="1">
                    <c:v>#DIV/0!</c:v>
                  </c:pt>
                  <c:pt idx="2">
                    <c:v>#DIV/0!</c:v>
                  </c:pt>
                  <c:pt idx="3">
                    <c:v>#DIV/0!</c:v>
                  </c:pt>
                  <c:pt idx="4">
                    <c:v>#DIV/0!</c:v>
                  </c:pt>
                </c15:dlblRangeCache>
              </c15:datalabelsRange>
            </c:ext>
            <c:ext xmlns:c16="http://schemas.microsoft.com/office/drawing/2014/chart" uri="{C3380CC4-5D6E-409C-BE32-E72D297353CC}">
              <c16:uniqueId val="{00000000-52A7-4375-85F8-7DDD54690937}"/>
            </c:ext>
          </c:extLst>
        </c:ser>
        <c:dLbls>
          <c:dLblPos val="outEnd"/>
          <c:showLegendKey val="0"/>
          <c:showVal val="1"/>
          <c:showCatName val="0"/>
          <c:showSerName val="0"/>
          <c:showPercent val="0"/>
          <c:showBubbleSize val="0"/>
        </c:dLbls>
        <c:gapWidth val="20"/>
        <c:overlap val="-15"/>
        <c:axId val="1756066368"/>
        <c:axId val="1756074048"/>
        <c:extLst/>
      </c:barChart>
      <c:catAx>
        <c:axId val="17560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crossAx val="1756074048"/>
        <c:crosses val="autoZero"/>
        <c:auto val="1"/>
        <c:lblAlgn val="ctr"/>
        <c:lblOffset val="100"/>
        <c:noMultiLvlLbl val="0"/>
      </c:catAx>
      <c:valAx>
        <c:axId val="1756074048"/>
        <c:scaling>
          <c:orientation val="minMax"/>
        </c:scaling>
        <c:delete val="1"/>
        <c:axPos val="l"/>
        <c:numFmt formatCode="#\ ##0.000000000" sourceLinked="1"/>
        <c:majorTickMark val="none"/>
        <c:minorTickMark val="none"/>
        <c:tickLblPos val="nextTo"/>
        <c:crossAx val="175606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Calcul!$K$16</c:f>
              <c:strCache>
                <c:ptCount val="1"/>
                <c:pt idx="0">
                  <c:v>#DIV/0!</c:v>
                </c:pt>
              </c:strCache>
            </c:strRef>
          </c:tx>
          <c:spPr>
            <a:solidFill>
              <a:schemeClr val="accent1">
                <a:lumMod val="50000"/>
              </a:schemeClr>
            </a:solidFill>
            <a:ln>
              <a:noFill/>
            </a:ln>
            <a:effectLst/>
          </c:spPr>
          <c:invertIfNegative val="0"/>
          <c:dLbls>
            <c:dLbl>
              <c:idx val="0"/>
              <c:tx>
                <c:rich>
                  <a:bodyPr/>
                  <a:lstStyle/>
                  <a:p>
                    <a:fld id="{758BF1E6-C488-4167-921B-3DCC280C5BF2}"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EC3-40C8-AA25-DCBFAB41F76F}"/>
                </c:ext>
              </c:extLst>
            </c:dLbl>
            <c:dLbl>
              <c:idx val="1"/>
              <c:tx>
                <c:rich>
                  <a:bodyPr/>
                  <a:lstStyle/>
                  <a:p>
                    <a:fld id="{49A1B3FF-7898-4DCD-939B-8357DED40EA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C3-40C8-AA25-DCBFAB41F76F}"/>
                </c:ext>
              </c:extLst>
            </c:dLbl>
            <c:dLbl>
              <c:idx val="2"/>
              <c:tx>
                <c:rich>
                  <a:bodyPr/>
                  <a:lstStyle/>
                  <a:p>
                    <a:fld id="{4307A86E-B0BC-4E6A-8883-1D16616771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C3-40C8-AA25-DCBFAB41F76F}"/>
                </c:ext>
              </c:extLst>
            </c:dLbl>
            <c:dLbl>
              <c:idx val="3"/>
              <c:tx>
                <c:rich>
                  <a:bodyPr/>
                  <a:lstStyle/>
                  <a:p>
                    <a:fld id="{1F52C62A-5003-42E5-8E0E-F517E44CBB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C3-40C8-AA25-DCBFAB41F76F}"/>
                </c:ext>
              </c:extLst>
            </c:dLbl>
            <c:dLbl>
              <c:idx val="4"/>
              <c:tx>
                <c:rich>
                  <a:bodyPr/>
                  <a:lstStyle/>
                  <a:p>
                    <a:fld id="{9654C85D-2689-4D58-9D09-45828DC850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C3-40C8-AA25-DCBFAB41F76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Calcul!$N$4:$R$4</c:f>
              <c:strCache>
                <c:ptCount val="5"/>
                <c:pt idx="0">
                  <c:v>0</c:v>
                </c:pt>
                <c:pt idx="1">
                  <c:v>GPT-4.1-mini</c:v>
                </c:pt>
                <c:pt idx="2">
                  <c:v>Mistral Large</c:v>
                </c:pt>
                <c:pt idx="3">
                  <c:v>Claude Sonnet 4</c:v>
                </c:pt>
                <c:pt idx="4">
                  <c:v>Gemini 2.5 flash lite</c:v>
                </c:pt>
              </c:strCache>
            </c:strRef>
          </c:cat>
          <c:val>
            <c:numRef>
              <c:f>Calcul!$N$41:$R$41</c:f>
              <c:numCache>
                <c:formatCode>#\ ##0.0</c:formatCode>
                <c:ptCount val="5"/>
                <c:pt idx="0" formatCode="#\ ##0.0000000">
                  <c:v>0</c:v>
                </c:pt>
                <c:pt idx="1">
                  <c:v>0</c:v>
                </c:pt>
                <c:pt idx="2">
                  <c:v>0</c:v>
                </c:pt>
                <c:pt idx="3">
                  <c:v>0</c:v>
                </c:pt>
                <c:pt idx="4">
                  <c:v>0</c:v>
                </c:pt>
              </c:numCache>
            </c:numRef>
          </c:val>
          <c:extLst xmlns:c15="http://schemas.microsoft.com/office/drawing/2012/chart">
            <c:ext xmlns:c15="http://schemas.microsoft.com/office/drawing/2012/chart" uri="{02D57815-91ED-43cb-92C2-25804820EDAC}">
              <c15:datalabelsRange>
                <c15:f>Calcul!$N$16:$R$16</c15:f>
                <c15:dlblRangeCache>
                  <c:ptCount val="5"/>
                  <c:pt idx="0">
                    <c:v>#DIV/0!</c:v>
                  </c:pt>
                  <c:pt idx="1">
                    <c:v>#DIV/0!</c:v>
                  </c:pt>
                  <c:pt idx="2">
                    <c:v>#DIV/0!</c:v>
                  </c:pt>
                  <c:pt idx="3">
                    <c:v>#DIV/0!</c:v>
                  </c:pt>
                  <c:pt idx="4">
                    <c:v>#DIV/0!</c:v>
                  </c:pt>
                </c15:dlblRangeCache>
              </c15:datalabelsRange>
            </c:ext>
            <c:ext xmlns:c16="http://schemas.microsoft.com/office/drawing/2014/chart" uri="{C3380CC4-5D6E-409C-BE32-E72D297353CC}">
              <c16:uniqueId val="{00000001-608A-4566-A704-233A4EA3E5BD}"/>
            </c:ext>
          </c:extLst>
        </c:ser>
        <c:dLbls>
          <c:dLblPos val="outEnd"/>
          <c:showLegendKey val="0"/>
          <c:showVal val="1"/>
          <c:showCatName val="0"/>
          <c:showSerName val="0"/>
          <c:showPercent val="0"/>
          <c:showBubbleSize val="0"/>
        </c:dLbls>
        <c:gapWidth val="20"/>
        <c:overlap val="-15"/>
        <c:axId val="1756066368"/>
        <c:axId val="1756074048"/>
        <c:extLst/>
      </c:barChart>
      <c:catAx>
        <c:axId val="17560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j-lt"/>
                <a:ea typeface="+mn-ea"/>
                <a:cs typeface="+mn-cs"/>
              </a:defRPr>
            </a:pPr>
            <a:endParaRPr lang="en-US"/>
          </a:p>
        </c:txPr>
        <c:crossAx val="1756074048"/>
        <c:crosses val="autoZero"/>
        <c:auto val="1"/>
        <c:lblAlgn val="ctr"/>
        <c:lblOffset val="100"/>
        <c:noMultiLvlLbl val="0"/>
      </c:catAx>
      <c:valAx>
        <c:axId val="1756074048"/>
        <c:scaling>
          <c:orientation val="minMax"/>
        </c:scaling>
        <c:delete val="1"/>
        <c:axPos val="l"/>
        <c:numFmt formatCode="#\ ##0.0000000" sourceLinked="1"/>
        <c:majorTickMark val="none"/>
        <c:minorTickMark val="none"/>
        <c:tickLblPos val="nextTo"/>
        <c:crossAx val="175606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Calcul!$K$33</c:f>
              <c:strCache>
                <c:ptCount val="1"/>
                <c:pt idx="0">
                  <c:v>ÉLECTRICITÉ consommée pour le projet</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3-616D-4728-BF56-E71DDE9D223B}"/>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616D-4728-BF56-E71DDE9D223B}"/>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6D-4728-BF56-E71DDE9D223B}"/>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16D-4728-BF56-E71DDE9D223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(Calcul!$J$51,Calcul!$J$102)</c:f>
              <c:strCache>
                <c:ptCount val="2"/>
                <c:pt idx="0">
                  <c:v>Entrainement</c:v>
                </c:pt>
                <c:pt idx="1">
                  <c:v>Inférence</c:v>
                </c:pt>
              </c:strCache>
            </c:strRef>
          </c:cat>
          <c:val>
            <c:numRef>
              <c:f>(Calcul!$N$53,Calcul!$N$104)</c:f>
              <c:numCache>
                <c:formatCode>#\ ##0.0</c:formatCode>
                <c:ptCount val="2"/>
                <c:pt idx="0">
                  <c:v>0</c:v>
                </c:pt>
                <c:pt idx="1">
                  <c:v>0</c:v>
                </c:pt>
              </c:numCache>
            </c:numRef>
          </c:val>
          <c:extLst>
            <c:ext xmlns:c16="http://schemas.microsoft.com/office/drawing/2014/chart" uri="{C3380CC4-5D6E-409C-BE32-E72D297353CC}">
              <c16:uniqueId val="{00000002-616D-4728-BF56-E71DDE9D223B}"/>
            </c:ext>
          </c:extLst>
        </c:ser>
        <c:dLbls>
          <c:showLegendKey val="0"/>
          <c:showVal val="0"/>
          <c:showCatName val="0"/>
          <c:showSerName val="0"/>
          <c:showPercent val="0"/>
          <c:showBubbleSize val="0"/>
          <c:showLeaderLines val="0"/>
        </c:dLbls>
        <c:firstSliceAng val="0"/>
        <c:holeSize val="46"/>
      </c:doughnutChart>
      <c:spPr>
        <a:noFill/>
        <a:ln>
          <a:noFill/>
        </a:ln>
        <a:effectLst/>
      </c:spPr>
    </c:plotArea>
    <c:legend>
      <c:legendPos val="b"/>
      <c:layout>
        <c:manualLayout>
          <c:xMode val="edge"/>
          <c:yMode val="edge"/>
          <c:x val="0.14350605797662852"/>
          <c:y val="0.79144034827297205"/>
          <c:w val="0.71298751986538278"/>
          <c:h val="0.1410271995940674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Calcul!$K$37</c:f>
              <c:strCache>
                <c:ptCount val="1"/>
                <c:pt idx="0">
                  <c:v>GES émis (usage + embarqué) pour le projet</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3-616D-4728-BF56-E71DDE9D223B}"/>
              </c:ext>
            </c:extLst>
          </c:dPt>
          <c:dPt>
            <c:idx val="1"/>
            <c:bubble3D val="0"/>
            <c:spPr>
              <a:solidFill>
                <a:srgbClr val="A1D6CA"/>
              </a:solidFill>
              <a:ln w="19050">
                <a:solidFill>
                  <a:schemeClr val="lt1"/>
                </a:solidFill>
              </a:ln>
              <a:effectLst/>
            </c:spPr>
            <c:extLst>
              <c:ext xmlns:c16="http://schemas.microsoft.com/office/drawing/2014/chart" uri="{C3380CC4-5D6E-409C-BE32-E72D297353CC}">
                <c16:uniqueId val="{00000004-616D-4728-BF56-E71DDE9D223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(Calcul!$J$51,Calcul!$J$102)</c:f>
              <c:strCache>
                <c:ptCount val="2"/>
                <c:pt idx="0">
                  <c:v>Entrainement</c:v>
                </c:pt>
                <c:pt idx="1">
                  <c:v>Inférence</c:v>
                </c:pt>
              </c:strCache>
            </c:strRef>
          </c:cat>
          <c:val>
            <c:numRef>
              <c:f>(Calcul!$N$56,Calcul!$N$107)</c:f>
              <c:numCache>
                <c:formatCode>#\ ##0.0</c:formatCode>
                <c:ptCount val="2"/>
                <c:pt idx="0">
                  <c:v>0</c:v>
                </c:pt>
                <c:pt idx="1">
                  <c:v>0</c:v>
                </c:pt>
              </c:numCache>
            </c:numRef>
          </c:val>
          <c:extLst>
            <c:ext xmlns:c16="http://schemas.microsoft.com/office/drawing/2014/chart" uri="{C3380CC4-5D6E-409C-BE32-E72D297353CC}">
              <c16:uniqueId val="{00000002-616D-4728-BF56-E71DDE9D223B}"/>
            </c:ext>
          </c:extLst>
        </c:ser>
        <c:dLbls>
          <c:showLegendKey val="0"/>
          <c:showVal val="1"/>
          <c:showCatName val="0"/>
          <c:showSerName val="0"/>
          <c:showPercent val="0"/>
          <c:showBubbleSize val="0"/>
          <c:showLeaderLines val="0"/>
        </c:dLbls>
        <c:firstSliceAng val="0"/>
        <c:holeSize val="46"/>
      </c:doughnutChart>
      <c:spPr>
        <a:noFill/>
        <a:ln>
          <a:noFill/>
        </a:ln>
        <a:effectLst/>
      </c:spPr>
    </c:plotArea>
    <c:legend>
      <c:legendPos val="b"/>
      <c:layout>
        <c:manualLayout>
          <c:xMode val="edge"/>
          <c:yMode val="edge"/>
          <c:x val="0.14629897643826556"/>
          <c:y val="0.78641199859775301"/>
          <c:w val="0.71298751986538278"/>
          <c:h val="0.1410271995940674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Calcul!$K$41</c:f>
              <c:strCache>
                <c:ptCount val="1"/>
                <c:pt idx="0">
                  <c:v>EAU utilisée pour le projet</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616D-4728-BF56-E71DDE9D223B}"/>
              </c:ext>
            </c:extLst>
          </c:dPt>
          <c:dPt>
            <c:idx val="1"/>
            <c:bubble3D val="0"/>
            <c:spPr>
              <a:solidFill>
                <a:srgbClr val="A4C8E1"/>
              </a:solidFill>
              <a:ln w="19050">
                <a:solidFill>
                  <a:schemeClr val="lt1"/>
                </a:solidFill>
              </a:ln>
              <a:effectLst/>
            </c:spPr>
            <c:extLst>
              <c:ext xmlns:c16="http://schemas.microsoft.com/office/drawing/2014/chart" uri="{C3380CC4-5D6E-409C-BE32-E72D297353CC}">
                <c16:uniqueId val="{00000004-616D-4728-BF56-E71DDE9D223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(Calcul!$J$51,Calcul!$J$102)</c:f>
              <c:strCache>
                <c:ptCount val="2"/>
                <c:pt idx="0">
                  <c:v>Entrainement</c:v>
                </c:pt>
                <c:pt idx="1">
                  <c:v>Inférence</c:v>
                </c:pt>
              </c:strCache>
            </c:strRef>
          </c:cat>
          <c:val>
            <c:numRef>
              <c:f>(Calcul!$N$59,Calcul!$N$110)</c:f>
              <c:numCache>
                <c:formatCode>0.00</c:formatCode>
                <c:ptCount val="2"/>
                <c:pt idx="0" formatCode="#\ ##0.0">
                  <c:v>0</c:v>
                </c:pt>
                <c:pt idx="1">
                  <c:v>0</c:v>
                </c:pt>
              </c:numCache>
            </c:numRef>
          </c:val>
          <c:extLst>
            <c:ext xmlns:c16="http://schemas.microsoft.com/office/drawing/2014/chart" uri="{C3380CC4-5D6E-409C-BE32-E72D297353CC}">
              <c16:uniqueId val="{00000002-616D-4728-BF56-E71DDE9D223B}"/>
            </c:ext>
          </c:extLst>
        </c:ser>
        <c:dLbls>
          <c:showLegendKey val="0"/>
          <c:showVal val="1"/>
          <c:showCatName val="0"/>
          <c:showSerName val="0"/>
          <c:showPercent val="0"/>
          <c:showBubbleSize val="0"/>
          <c:showLeaderLines val="0"/>
        </c:dLbls>
        <c:firstSliceAng val="0"/>
        <c:holeSize val="46"/>
      </c:doughnutChart>
      <c:spPr>
        <a:noFill/>
        <a:ln>
          <a:noFill/>
        </a:ln>
        <a:effectLst/>
      </c:spPr>
    </c:plotArea>
    <c:legend>
      <c:legendPos val="b"/>
      <c:layout>
        <c:manualLayout>
          <c:xMode val="edge"/>
          <c:yMode val="edge"/>
          <c:x val="0.16049611333374136"/>
          <c:y val="0.78374498851122787"/>
          <c:w val="0.67900777333251727"/>
          <c:h val="0.1322946265766847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115076524278169E-3"/>
          <c:y val="4.7520121372041507E-2"/>
          <c:w val="0.97780210240156362"/>
          <c:h val="0.81444600679638646"/>
        </c:manualLayout>
      </c:layout>
      <c:barChart>
        <c:barDir val="col"/>
        <c:grouping val="clustered"/>
        <c:varyColors val="0"/>
        <c:ser>
          <c:idx val="0"/>
          <c:order val="0"/>
          <c:tx>
            <c:strRef>
              <c:f>Calcul!$K$6</c:f>
              <c:strCache>
                <c:ptCount val="1"/>
                <c:pt idx="0">
                  <c:v>#DIV/0!</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D-5518-4460-843E-203C1FCAE79F}"/>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1-234F-402F-88EC-B5EE0E53FCFC}"/>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2-234F-402F-88EC-B5EE0E53FCFC}"/>
              </c:ext>
            </c:extLst>
          </c:dPt>
          <c:dPt>
            <c:idx val="3"/>
            <c:invertIfNegative val="0"/>
            <c:bubble3D val="0"/>
            <c:spPr>
              <a:solidFill>
                <a:srgbClr val="CBB0DA"/>
              </a:solidFill>
              <a:ln>
                <a:noFill/>
              </a:ln>
              <a:effectLst/>
            </c:spPr>
            <c:extLst>
              <c:ext xmlns:c16="http://schemas.microsoft.com/office/drawing/2014/chart" uri="{C3380CC4-5D6E-409C-BE32-E72D297353CC}">
                <c16:uniqueId val="{00000003-234F-402F-88EC-B5EE0E53FCFC}"/>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04-234F-402F-88EC-B5EE0E53FCFC}"/>
              </c:ext>
            </c:extLst>
          </c:dPt>
          <c:dPt>
            <c:idx val="5"/>
            <c:invertIfNegative val="0"/>
            <c:bubble3D val="0"/>
            <c:spPr>
              <a:solidFill>
                <a:srgbClr val="CBB0DA"/>
              </a:solidFill>
              <a:ln>
                <a:noFill/>
              </a:ln>
              <a:effectLst/>
            </c:spPr>
            <c:extLst>
              <c:ext xmlns:c16="http://schemas.microsoft.com/office/drawing/2014/chart" uri="{C3380CC4-5D6E-409C-BE32-E72D297353CC}">
                <c16:uniqueId val="{00000000-234F-402F-88EC-B5EE0E53FCF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Calcul!$B$27:$B$32</c:f>
              <c:strCache>
                <c:ptCount val="6"/>
                <c:pt idx="0">
                  <c:v>Stockage de la donnée d'entrainement</c:v>
                </c:pt>
                <c:pt idx="1">
                  <c:v>Expérimentations tests (R&amp;D)</c:v>
                </c:pt>
                <c:pt idx="2">
                  <c:v>Entrainement final du modèle</c:v>
                </c:pt>
                <c:pt idx="3">
                  <c:v>RAG / Embedding (hors Conception)</c:v>
                </c:pt>
                <c:pt idx="4">
                  <c:v>Front applicatif - pré &amp; post traitements</c:v>
                </c:pt>
                <c:pt idx="5">
                  <c:v>Traitement des requêtes par le modèle</c:v>
                </c:pt>
              </c:strCache>
            </c:strRef>
          </c:cat>
          <c:val>
            <c:numRef>
              <c:f>Calcul!$D$27:$D$32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1B7B-4519-9C47-D695E4879603}"/>
            </c:ext>
          </c:extLst>
        </c:ser>
        <c:ser>
          <c:idx val="1"/>
          <c:order val="1"/>
          <c:tx>
            <c:strRef>
              <c:f>Calcul!$K$11</c:f>
              <c:strCache>
                <c:ptCount val="1"/>
                <c:pt idx="0">
                  <c:v>#DIV/0!</c:v>
                </c:pt>
              </c:strCache>
            </c:strRef>
          </c:tx>
          <c:spPr>
            <a:solidFill>
              <a:schemeClr val="accent3">
                <a:lumMod val="50000"/>
              </a:schemeClr>
            </a:solidFill>
            <a:ln>
              <a:noFill/>
            </a:ln>
            <a:effectLst/>
          </c:spPr>
          <c:invertIfNegative val="0"/>
          <c:dPt>
            <c:idx val="3"/>
            <c:invertIfNegative val="0"/>
            <c:bubble3D val="0"/>
            <c:spPr>
              <a:solidFill>
                <a:srgbClr val="A1D6CA"/>
              </a:solidFill>
              <a:ln>
                <a:noFill/>
              </a:ln>
              <a:effectLst/>
            </c:spPr>
            <c:extLst>
              <c:ext xmlns:c16="http://schemas.microsoft.com/office/drawing/2014/chart" uri="{C3380CC4-5D6E-409C-BE32-E72D297353CC}">
                <c16:uniqueId val="{00000010-2BC9-4E31-97E3-B278976F00EC}"/>
              </c:ext>
            </c:extLst>
          </c:dPt>
          <c:dPt>
            <c:idx val="5"/>
            <c:invertIfNegative val="0"/>
            <c:bubble3D val="0"/>
            <c:spPr>
              <a:solidFill>
                <a:srgbClr val="A1D6CA"/>
              </a:solidFill>
              <a:ln>
                <a:noFill/>
              </a:ln>
              <a:effectLst/>
            </c:spPr>
            <c:extLst>
              <c:ext xmlns:c16="http://schemas.microsoft.com/office/drawing/2014/chart" uri="{C3380CC4-5D6E-409C-BE32-E72D297353CC}">
                <c16:uniqueId val="{0000000F-2BC9-4E31-97E3-B278976F00E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Calcul!$B$27:$B$32</c:f>
              <c:strCache>
                <c:ptCount val="6"/>
                <c:pt idx="0">
                  <c:v>Stockage de la donnée d'entrainement</c:v>
                </c:pt>
                <c:pt idx="1">
                  <c:v>Expérimentations tests (R&amp;D)</c:v>
                </c:pt>
                <c:pt idx="2">
                  <c:v>Entrainement final du modèle</c:v>
                </c:pt>
                <c:pt idx="3">
                  <c:v>RAG / Embedding (hors Conception)</c:v>
                </c:pt>
                <c:pt idx="4">
                  <c:v>Front applicatif - pré &amp; post traitements</c:v>
                </c:pt>
                <c:pt idx="5">
                  <c:v>Traitement des requêtes par le modèle</c:v>
                </c:pt>
              </c:strCache>
            </c:strRef>
          </c:cat>
          <c:val>
            <c:numRef>
              <c:f>Calcul!$F$27:$F$32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2BC9-4E31-97E3-B278976F00EC}"/>
            </c:ext>
          </c:extLst>
        </c:ser>
        <c:ser>
          <c:idx val="2"/>
          <c:order val="2"/>
          <c:tx>
            <c:strRef>
              <c:f>Calcul!$K$16</c:f>
              <c:strCache>
                <c:ptCount val="1"/>
                <c:pt idx="0">
                  <c:v>#DIV/0!</c:v>
                </c:pt>
              </c:strCache>
            </c:strRef>
          </c:tx>
          <c:spPr>
            <a:solidFill>
              <a:schemeClr val="accent1">
                <a:lumMod val="50000"/>
              </a:schemeClr>
            </a:solidFill>
            <a:ln>
              <a:noFill/>
            </a:ln>
            <a:effectLst/>
          </c:spPr>
          <c:invertIfNegative val="0"/>
          <c:dPt>
            <c:idx val="5"/>
            <c:invertIfNegative val="0"/>
            <c:bubble3D val="0"/>
            <c:spPr>
              <a:solidFill>
                <a:srgbClr val="A4C8E1"/>
              </a:solidFill>
              <a:ln>
                <a:noFill/>
              </a:ln>
              <a:effectLst/>
            </c:spPr>
            <c:extLst>
              <c:ext xmlns:c16="http://schemas.microsoft.com/office/drawing/2014/chart" uri="{C3380CC4-5D6E-409C-BE32-E72D297353CC}">
                <c16:uniqueId val="{0000000E-2BC9-4E31-97E3-B278976F00E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Calcul!$B$27:$B$32</c:f>
              <c:strCache>
                <c:ptCount val="6"/>
                <c:pt idx="0">
                  <c:v>Stockage de la donnée d'entrainement</c:v>
                </c:pt>
                <c:pt idx="1">
                  <c:v>Expérimentations tests (R&amp;D)</c:v>
                </c:pt>
                <c:pt idx="2">
                  <c:v>Entrainement final du modèle</c:v>
                </c:pt>
                <c:pt idx="3">
                  <c:v>RAG / Embedding (hors Conception)</c:v>
                </c:pt>
                <c:pt idx="4">
                  <c:v>Front applicatif - pré &amp; post traitements</c:v>
                </c:pt>
                <c:pt idx="5">
                  <c:v>Traitement des requêtes par le modèle</c:v>
                </c:pt>
              </c:strCache>
            </c:strRef>
          </c:cat>
          <c:val>
            <c:numRef>
              <c:f>Calcul!$H$27:$H$32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D-2BC9-4E31-97E3-B278976F00EC}"/>
            </c:ext>
          </c:extLst>
        </c:ser>
        <c:dLbls>
          <c:dLblPos val="outEnd"/>
          <c:showLegendKey val="0"/>
          <c:showVal val="1"/>
          <c:showCatName val="0"/>
          <c:showSerName val="0"/>
          <c:showPercent val="0"/>
          <c:showBubbleSize val="0"/>
        </c:dLbls>
        <c:gapWidth val="219"/>
        <c:overlap val="-27"/>
        <c:axId val="1655960128"/>
        <c:axId val="1655957728"/>
      </c:barChart>
      <c:catAx>
        <c:axId val="165596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55957728"/>
        <c:crosses val="autoZero"/>
        <c:auto val="1"/>
        <c:lblAlgn val="ctr"/>
        <c:lblOffset val="100"/>
        <c:noMultiLvlLbl val="0"/>
      </c:catAx>
      <c:valAx>
        <c:axId val="1655957728"/>
        <c:scaling>
          <c:orientation val="minMax"/>
          <c:max val="1"/>
        </c:scaling>
        <c:delete val="1"/>
        <c:axPos val="l"/>
        <c:numFmt formatCode="0%" sourceLinked="1"/>
        <c:majorTickMark val="out"/>
        <c:minorTickMark val="none"/>
        <c:tickLblPos val="nextTo"/>
        <c:crossAx val="165596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B43" noThreeD="1"/>
</file>

<file path=xl/ctrlProps/ctrlProp2.xml><?xml version="1.0" encoding="utf-8"?>
<formControlPr xmlns="http://schemas.microsoft.com/office/spreadsheetml/2009/9/main" objectType="Radio" checked="Checked" noThreeD="1"/>
</file>

<file path=xl/ctrlProps/ctrlProp3.xml><?xml version="1.0" encoding="utf-8"?>
<formControlPr xmlns="http://schemas.microsoft.com/office/spreadsheetml/2009/9/main" objectType="Radio" noThreeD="1"/>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jpeg"/><Relationship Id="rId2" Type="http://schemas.openxmlformats.org/officeDocument/2006/relationships/hyperlink" Target="#'&#9881;&#65039;Donn&#233;es'!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hyperlink" Target="#&#128211;Notice!A1"/><Relationship Id="rId2" Type="http://schemas.openxmlformats.org/officeDocument/2006/relationships/image" Target="../media/image1.png"/><Relationship Id="rId1" Type="http://schemas.openxmlformats.org/officeDocument/2006/relationships/hyperlink" Target="#&#128202;R&#233;sultats!A1"/><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2.png"/><Relationship Id="rId18" Type="http://schemas.openxmlformats.org/officeDocument/2006/relationships/chart" Target="../charts/chart3.xml"/><Relationship Id="rId26" Type="http://schemas.openxmlformats.org/officeDocument/2006/relationships/image" Target="../media/image29.png"/><Relationship Id="rId39" Type="http://schemas.openxmlformats.org/officeDocument/2006/relationships/image" Target="../media/image36.png"/><Relationship Id="rId21" Type="http://schemas.openxmlformats.org/officeDocument/2006/relationships/image" Target="../media/image27.png"/><Relationship Id="rId34" Type="http://schemas.openxmlformats.org/officeDocument/2006/relationships/chart" Target="../charts/chart7.xml"/><Relationship Id="rId7" Type="http://schemas.openxmlformats.org/officeDocument/2006/relationships/image" Target="../media/image4.png"/><Relationship Id="rId12" Type="http://schemas.openxmlformats.org/officeDocument/2006/relationships/image" Target="../media/image21.png"/><Relationship Id="rId17" Type="http://schemas.openxmlformats.org/officeDocument/2006/relationships/image" Target="../media/image25.png"/><Relationship Id="rId25" Type="http://schemas.openxmlformats.org/officeDocument/2006/relationships/image" Target="../media/image14.png"/><Relationship Id="rId33" Type="http://schemas.openxmlformats.org/officeDocument/2006/relationships/chart" Target="../charts/chart6.xml"/><Relationship Id="rId38"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image" Target="../media/image24.png"/><Relationship Id="rId20" Type="http://schemas.openxmlformats.org/officeDocument/2006/relationships/image" Target="../media/image26.png"/><Relationship Id="rId29" Type="http://schemas.openxmlformats.org/officeDocument/2006/relationships/image" Target="../media/image32.pn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20.png"/><Relationship Id="rId24" Type="http://schemas.openxmlformats.org/officeDocument/2006/relationships/image" Target="../media/image13.png"/><Relationship Id="rId32" Type="http://schemas.openxmlformats.org/officeDocument/2006/relationships/chart" Target="../charts/chart5.xml"/><Relationship Id="rId37" Type="http://schemas.openxmlformats.org/officeDocument/2006/relationships/image" Target="../media/image35.png"/><Relationship Id="rId40" Type="http://schemas.openxmlformats.org/officeDocument/2006/relationships/image" Target="../media/image37.png"/><Relationship Id="rId5" Type="http://schemas.openxmlformats.org/officeDocument/2006/relationships/image" Target="../media/image16.png"/><Relationship Id="rId15" Type="http://schemas.openxmlformats.org/officeDocument/2006/relationships/image" Target="../media/image23.png"/><Relationship Id="rId23" Type="http://schemas.openxmlformats.org/officeDocument/2006/relationships/hyperlink" Target="#&#128211;Notice!A1"/><Relationship Id="rId28" Type="http://schemas.openxmlformats.org/officeDocument/2006/relationships/image" Target="../media/image31.png"/><Relationship Id="rId36" Type="http://schemas.openxmlformats.org/officeDocument/2006/relationships/image" Target="../media/image8.png"/><Relationship Id="rId10" Type="http://schemas.openxmlformats.org/officeDocument/2006/relationships/image" Target="../media/image19.png"/><Relationship Id="rId19" Type="http://schemas.openxmlformats.org/officeDocument/2006/relationships/chart" Target="../charts/chart4.xml"/><Relationship Id="rId31" Type="http://schemas.openxmlformats.org/officeDocument/2006/relationships/image" Target="../media/image34.jpeg"/><Relationship Id="rId4" Type="http://schemas.openxmlformats.org/officeDocument/2006/relationships/image" Target="../media/image1.png"/><Relationship Id="rId9" Type="http://schemas.openxmlformats.org/officeDocument/2006/relationships/image" Target="../media/image18.png"/><Relationship Id="rId14" Type="http://schemas.microsoft.com/office/2007/relationships/hdphoto" Target="../media/hdphoto1.wdp"/><Relationship Id="rId22" Type="http://schemas.openxmlformats.org/officeDocument/2006/relationships/image" Target="../media/image28.svg"/><Relationship Id="rId27" Type="http://schemas.openxmlformats.org/officeDocument/2006/relationships/image" Target="../media/image30.png"/><Relationship Id="rId30" Type="http://schemas.openxmlformats.org/officeDocument/2006/relationships/image" Target="../media/image33.png"/><Relationship Id="rId35" Type="http://schemas.openxmlformats.org/officeDocument/2006/relationships/hyperlink" Target="#'&#9851;&#65039;Bonnes pratiques'!A1"/><Relationship Id="rId8" Type="http://schemas.openxmlformats.org/officeDocument/2006/relationships/image" Target="../media/image17.pn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2.png"/><Relationship Id="rId3" Type="http://schemas.openxmlformats.org/officeDocument/2006/relationships/image" Target="../media/image1.png"/><Relationship Id="rId7" Type="http://schemas.openxmlformats.org/officeDocument/2006/relationships/image" Target="../media/image40.png"/><Relationship Id="rId12" Type="http://schemas.openxmlformats.org/officeDocument/2006/relationships/hyperlink" Target="https://arxiv.org/abs/2204.02766" TargetMode="External"/><Relationship Id="rId2" Type="http://schemas.openxmlformats.org/officeDocument/2006/relationships/image" Target="../media/image39.png"/><Relationship Id="rId16" Type="http://schemas.openxmlformats.org/officeDocument/2006/relationships/image" Target="../media/image44.png"/><Relationship Id="rId1" Type="http://schemas.openxmlformats.org/officeDocument/2006/relationships/image" Target="../media/image38.png"/><Relationship Id="rId6" Type="http://schemas.openxmlformats.org/officeDocument/2006/relationships/image" Target="../media/image8.png"/><Relationship Id="rId11" Type="http://schemas.openxmlformats.org/officeDocument/2006/relationships/hyperlink" Target="https://arxiv.org/abs/2601.02512" TargetMode="External"/><Relationship Id="rId5" Type="http://schemas.openxmlformats.org/officeDocument/2006/relationships/image" Target="../media/image13.png"/><Relationship Id="rId15" Type="http://schemas.openxmlformats.org/officeDocument/2006/relationships/hyperlink" Target="https://www.digital-league.org/blog/dl-media-blog-12/resilience-et-numerique-responsable-digital-league-rassemble-entreprises-et-institutions-pour-produire-un-guide-par-et-pour-les-tpe-et-pme-2910" TargetMode="External"/><Relationship Id="rId10" Type="http://schemas.openxmlformats.org/officeDocument/2006/relationships/hyperlink" Target="https://lamaisondesenergies.fr/green-ai-intelligence-ecologique/" TargetMode="External"/><Relationship Id="rId4" Type="http://schemas.openxmlformats.org/officeDocument/2006/relationships/hyperlink" Target="#&#128211;Notice!A1"/><Relationship Id="rId9" Type="http://schemas.openxmlformats.org/officeDocument/2006/relationships/hyperlink" Target="https://ecoresponsable.numerique.gouv.fr/publications/referentiel-general-ecoconception/" TargetMode="External"/><Relationship Id="rId14"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oneCellAnchor>
    <xdr:from>
      <xdr:col>11</xdr:col>
      <xdr:colOff>606093</xdr:colOff>
      <xdr:row>1</xdr:row>
      <xdr:rowOff>239546</xdr:rowOff>
    </xdr:from>
    <xdr:ext cx="1085626" cy="600473"/>
    <xdr:pic>
      <xdr:nvPicPr>
        <xdr:cNvPr id="21" name="Picture 2" descr="Société nationale des chemins de fer français — Wikipédia">
          <a:extLst>
            <a:ext uri="{FF2B5EF4-FFF2-40B4-BE49-F238E27FC236}">
              <a16:creationId xmlns:a16="http://schemas.microsoft.com/office/drawing/2014/main" id="{5F0F9DA4-49F3-8789-2653-694E6A0248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90534" y="418840"/>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227293</xdr:colOff>
      <xdr:row>28</xdr:row>
      <xdr:rowOff>21586</xdr:rowOff>
    </xdr:from>
    <xdr:to>
      <xdr:col>10</xdr:col>
      <xdr:colOff>574675</xdr:colOff>
      <xdr:row>30</xdr:row>
      <xdr:rowOff>64862</xdr:rowOff>
    </xdr:to>
    <xdr:sp macro="" textlink="">
      <xdr:nvSpPr>
        <xdr:cNvPr id="4" name="Oval 3">
          <a:hlinkClick xmlns:r="http://schemas.openxmlformats.org/officeDocument/2006/relationships" r:id="rId2"/>
          <a:extLst>
            <a:ext uri="{FF2B5EF4-FFF2-40B4-BE49-F238E27FC236}">
              <a16:creationId xmlns:a16="http://schemas.microsoft.com/office/drawing/2014/main" id="{BACE90E7-FE7B-16FA-B687-B7D6A5966751}"/>
            </a:ext>
          </a:extLst>
        </xdr:cNvPr>
        <xdr:cNvSpPr/>
      </xdr:nvSpPr>
      <xdr:spPr>
        <a:xfrm>
          <a:off x="2950322" y="6677880"/>
          <a:ext cx="6701118" cy="401864"/>
        </a:xfrm>
        <a:prstGeom prst="roundRect">
          <a:avLst/>
        </a:prstGeom>
        <a:solidFill>
          <a:schemeClr val="accent3"/>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kern="100" spc="100" baseline="0" dirty="0" err="1">
              <a:solidFill>
                <a:schemeClr val="bg1"/>
              </a:solidFill>
              <a:latin typeface="+mj-lt"/>
              <a:ea typeface="+mj-ea"/>
              <a:cs typeface="+mj-cs"/>
            </a:rPr>
            <a:t>RENSEIGNER VOTRE PROJET </a:t>
          </a:r>
        </a:p>
      </xdr:txBody>
    </xdr:sp>
    <xdr:clientData/>
  </xdr:twoCellAnchor>
  <xdr:twoCellAnchor>
    <xdr:from>
      <xdr:col>0</xdr:col>
      <xdr:colOff>776808</xdr:colOff>
      <xdr:row>6</xdr:row>
      <xdr:rowOff>84756</xdr:rowOff>
    </xdr:from>
    <xdr:to>
      <xdr:col>13</xdr:col>
      <xdr:colOff>126399</xdr:colOff>
      <xdr:row>8</xdr:row>
      <xdr:rowOff>104612</xdr:rowOff>
    </xdr:to>
    <xdr:sp macro="" textlink="">
      <xdr:nvSpPr>
        <xdr:cNvPr id="8" name="Rectangle: Rounded Corners 5">
          <a:extLst>
            <a:ext uri="{FF2B5EF4-FFF2-40B4-BE49-F238E27FC236}">
              <a16:creationId xmlns:a16="http://schemas.microsoft.com/office/drawing/2014/main" id="{29892DA8-345A-E230-04E4-6D9B76A11C17}"/>
            </a:ext>
          </a:extLst>
        </xdr:cNvPr>
        <xdr:cNvSpPr/>
      </xdr:nvSpPr>
      <xdr:spPr>
        <a:xfrm>
          <a:off x="776808" y="1529070"/>
          <a:ext cx="11003709" cy="393385"/>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baseline="0" dirty="0" err="1">
              <a:solidFill>
                <a:schemeClr val="bg1"/>
              </a:solidFill>
              <a:latin typeface="+mj-lt"/>
              <a:ea typeface="+mj-ea"/>
              <a:cs typeface="+mj-cs"/>
            </a:rPr>
            <a:t>Présentation</a:t>
          </a:r>
        </a:p>
      </xdr:txBody>
    </xdr:sp>
    <xdr:clientData/>
  </xdr:twoCellAnchor>
  <xdr:twoCellAnchor>
    <xdr:from>
      <xdr:col>0</xdr:col>
      <xdr:colOff>777570</xdr:colOff>
      <xdr:row>21</xdr:row>
      <xdr:rowOff>135933</xdr:rowOff>
    </xdr:from>
    <xdr:to>
      <xdr:col>13</xdr:col>
      <xdr:colOff>125637</xdr:colOff>
      <xdr:row>23</xdr:row>
      <xdr:rowOff>126390</xdr:rowOff>
    </xdr:to>
    <xdr:sp macro="" textlink="">
      <xdr:nvSpPr>
        <xdr:cNvPr id="647" name="Rectangle: Rounded Corners 6">
          <a:extLst>
            <a:ext uri="{FF2B5EF4-FFF2-40B4-BE49-F238E27FC236}">
              <a16:creationId xmlns:a16="http://schemas.microsoft.com/office/drawing/2014/main" id="{0984A9FA-0DFC-434E-B71C-EC31E4E6A124}"/>
            </a:ext>
          </a:extLst>
        </xdr:cNvPr>
        <xdr:cNvSpPr/>
      </xdr:nvSpPr>
      <xdr:spPr>
        <a:xfrm>
          <a:off x="777570" y="5900737"/>
          <a:ext cx="11002185" cy="363986"/>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baseline="0" dirty="0" err="1">
              <a:solidFill>
                <a:schemeClr val="bg1"/>
              </a:solidFill>
              <a:latin typeface="+mj-lt"/>
              <a:ea typeface="+mj-ea"/>
              <a:cs typeface="+mj-cs"/>
            </a:rPr>
            <a:t>COMMENT UTILISER CETTE CALCULATRICE ? </a:t>
          </a:r>
        </a:p>
      </xdr:txBody>
    </xdr:sp>
    <xdr:clientData/>
  </xdr:twoCellAnchor>
  <xdr:twoCellAnchor>
    <xdr:from>
      <xdr:col>0</xdr:col>
      <xdr:colOff>760781</xdr:colOff>
      <xdr:row>31</xdr:row>
      <xdr:rowOff>83222</xdr:rowOff>
    </xdr:from>
    <xdr:to>
      <xdr:col>13</xdr:col>
      <xdr:colOff>142426</xdr:colOff>
      <xdr:row>33</xdr:row>
      <xdr:rowOff>73427</xdr:rowOff>
    </xdr:to>
    <xdr:sp macro="" textlink="">
      <xdr:nvSpPr>
        <xdr:cNvPr id="646" name="Rectangle: Rounded Corners 7">
          <a:extLst>
            <a:ext uri="{FF2B5EF4-FFF2-40B4-BE49-F238E27FC236}">
              <a16:creationId xmlns:a16="http://schemas.microsoft.com/office/drawing/2014/main" id="{33495059-21AD-46E0-B200-98385116B1D7}"/>
            </a:ext>
          </a:extLst>
        </xdr:cNvPr>
        <xdr:cNvSpPr/>
      </xdr:nvSpPr>
      <xdr:spPr>
        <a:xfrm>
          <a:off x="760781" y="8599693"/>
          <a:ext cx="11035763" cy="363734"/>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Méthodologie</a:t>
          </a:r>
          <a:r>
            <a:rPr lang="en-US" sz="1400" b="1" cap="all" spc="100" baseline="0" dirty="0" err="1">
              <a:solidFill>
                <a:schemeClr val="bg1"/>
              </a:solidFill>
              <a:latin typeface="+mj-lt"/>
              <a:ea typeface="+mj-ea"/>
              <a:cs typeface="+mj-cs"/>
            </a:rPr>
            <a:t> de calcul</a:t>
          </a:r>
          <a:endParaRPr lang="en-US" sz="1400" b="1" cap="all" spc="100" dirty="0" err="1">
            <a:solidFill>
              <a:schemeClr val="bg1"/>
            </a:solidFill>
            <a:latin typeface="+mj-lt"/>
            <a:ea typeface="+mj-ea"/>
            <a:cs typeface="+mj-cs"/>
          </a:endParaRPr>
        </a:p>
      </xdr:txBody>
    </xdr:sp>
    <xdr:clientData/>
  </xdr:twoCellAnchor>
  <xdr:twoCellAnchor>
    <xdr:from>
      <xdr:col>0</xdr:col>
      <xdr:colOff>797245</xdr:colOff>
      <xdr:row>102</xdr:row>
      <xdr:rowOff>110436</xdr:rowOff>
    </xdr:from>
    <xdr:to>
      <xdr:col>13</xdr:col>
      <xdr:colOff>105962</xdr:colOff>
      <xdr:row>104</xdr:row>
      <xdr:rowOff>26496</xdr:rowOff>
    </xdr:to>
    <xdr:sp macro="" textlink="">
      <xdr:nvSpPr>
        <xdr:cNvPr id="643" name="Rectangle: Rounded Corners 8">
          <a:extLst>
            <a:ext uri="{FF2B5EF4-FFF2-40B4-BE49-F238E27FC236}">
              <a16:creationId xmlns:a16="http://schemas.microsoft.com/office/drawing/2014/main" id="{F8D0A514-366F-488E-BA9C-A9D8C7AE859D}"/>
            </a:ext>
          </a:extLst>
        </xdr:cNvPr>
        <xdr:cNvSpPr/>
      </xdr:nvSpPr>
      <xdr:spPr>
        <a:xfrm>
          <a:off x="797245" y="21442755"/>
          <a:ext cx="10913572" cy="284176"/>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Suivi des versions</a:t>
          </a:r>
        </a:p>
      </xdr:txBody>
    </xdr:sp>
    <xdr:clientData/>
  </xdr:twoCellAnchor>
  <xdr:twoCellAnchor>
    <xdr:from>
      <xdr:col>0</xdr:col>
      <xdr:colOff>798832</xdr:colOff>
      <xdr:row>98</xdr:row>
      <xdr:rowOff>110435</xdr:rowOff>
    </xdr:from>
    <xdr:to>
      <xdr:col>13</xdr:col>
      <xdr:colOff>104374</xdr:colOff>
      <xdr:row>100</xdr:row>
      <xdr:rowOff>13515</xdr:rowOff>
    </xdr:to>
    <xdr:sp macro="" textlink="">
      <xdr:nvSpPr>
        <xdr:cNvPr id="644" name="Rectangle: Rounded Corners 7">
          <a:extLst>
            <a:ext uri="{FF2B5EF4-FFF2-40B4-BE49-F238E27FC236}">
              <a16:creationId xmlns:a16="http://schemas.microsoft.com/office/drawing/2014/main" id="{B7976C6C-7556-437F-880E-7500C694CEEE}"/>
            </a:ext>
          </a:extLst>
        </xdr:cNvPr>
        <xdr:cNvSpPr/>
      </xdr:nvSpPr>
      <xdr:spPr>
        <a:xfrm>
          <a:off x="798832" y="31148929"/>
          <a:ext cx="10842650" cy="270309"/>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Besoin</a:t>
          </a:r>
          <a:r>
            <a:rPr lang="en-US" sz="1400" b="1" cap="all" spc="100" baseline="0" dirty="0" err="1">
              <a:solidFill>
                <a:schemeClr val="bg1"/>
              </a:solidFill>
              <a:latin typeface="+mj-lt"/>
              <a:ea typeface="+mj-ea"/>
              <a:cs typeface="+mj-cs"/>
            </a:rPr>
            <a:t> d'aide ?</a:t>
          </a:r>
          <a:endParaRPr lang="en-US" sz="1400" b="1" cap="all" spc="100" dirty="0" err="1">
            <a:solidFill>
              <a:schemeClr val="bg1"/>
            </a:solidFill>
            <a:latin typeface="+mj-lt"/>
            <a:ea typeface="+mj-ea"/>
            <a:cs typeface="+mj-cs"/>
          </a:endParaRPr>
        </a:p>
      </xdr:txBody>
    </xdr:sp>
    <xdr:clientData/>
  </xdr:twoCellAnchor>
  <xdr:twoCellAnchor editAs="oneCell">
    <xdr:from>
      <xdr:col>6</xdr:col>
      <xdr:colOff>587376</xdr:colOff>
      <xdr:row>16</xdr:row>
      <xdr:rowOff>102491</xdr:rowOff>
    </xdr:from>
    <xdr:to>
      <xdr:col>7</xdr:col>
      <xdr:colOff>187326</xdr:colOff>
      <xdr:row>17</xdr:row>
      <xdr:rowOff>28680</xdr:rowOff>
    </xdr:to>
    <xdr:pic>
      <xdr:nvPicPr>
        <xdr:cNvPr id="72" name="Graphique 119">
          <a:extLst>
            <a:ext uri="{FF2B5EF4-FFF2-40B4-BE49-F238E27FC236}">
              <a16:creationId xmlns:a16="http://schemas.microsoft.com/office/drawing/2014/main" id="{C0D3177A-CB45-434F-93BB-354B586F7F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969001" y="4547491"/>
          <a:ext cx="496888" cy="442127"/>
        </a:xfrm>
        <a:prstGeom prst="rect">
          <a:avLst/>
        </a:prstGeom>
      </xdr:spPr>
    </xdr:pic>
    <xdr:clientData/>
  </xdr:twoCellAnchor>
  <xdr:twoCellAnchor editAs="oneCell">
    <xdr:from>
      <xdr:col>10</xdr:col>
      <xdr:colOff>619124</xdr:colOff>
      <xdr:row>16</xdr:row>
      <xdr:rowOff>105666</xdr:rowOff>
    </xdr:from>
    <xdr:to>
      <xdr:col>11</xdr:col>
      <xdr:colOff>187712</xdr:colOff>
      <xdr:row>16</xdr:row>
      <xdr:rowOff>492130</xdr:rowOff>
    </xdr:to>
    <xdr:pic>
      <xdr:nvPicPr>
        <xdr:cNvPr id="71" name="Image 6">
          <a:extLst>
            <a:ext uri="{FF2B5EF4-FFF2-40B4-BE49-F238E27FC236}">
              <a16:creationId xmlns:a16="http://schemas.microsoft.com/office/drawing/2014/main" id="{1338E78D-4023-463B-81F8-749F39485B4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flipH="1">
          <a:off x="9588499" y="4550666"/>
          <a:ext cx="465526" cy="386464"/>
        </a:xfrm>
        <a:prstGeom prst="rect">
          <a:avLst/>
        </a:prstGeom>
      </xdr:spPr>
    </xdr:pic>
    <xdr:clientData/>
  </xdr:twoCellAnchor>
  <xdr:twoCellAnchor editAs="oneCell">
    <xdr:from>
      <xdr:col>2</xdr:col>
      <xdr:colOff>647700</xdr:colOff>
      <xdr:row>16</xdr:row>
      <xdr:rowOff>105666</xdr:rowOff>
    </xdr:from>
    <xdr:to>
      <xdr:col>3</xdr:col>
      <xdr:colOff>188912</xdr:colOff>
      <xdr:row>16</xdr:row>
      <xdr:rowOff>477538</xdr:rowOff>
    </xdr:to>
    <xdr:pic>
      <xdr:nvPicPr>
        <xdr:cNvPr id="83" name="Graphique 116">
          <a:extLst>
            <a:ext uri="{FF2B5EF4-FFF2-40B4-BE49-F238E27FC236}">
              <a16:creationId xmlns:a16="http://schemas.microsoft.com/office/drawing/2014/main" id="{1434220F-0793-4580-8283-5C18F1A9F3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2441575" y="4550666"/>
          <a:ext cx="438150" cy="371872"/>
        </a:xfrm>
        <a:prstGeom prst="rect">
          <a:avLst/>
        </a:prstGeom>
      </xdr:spPr>
    </xdr:pic>
    <xdr:clientData/>
  </xdr:twoCellAnchor>
  <xdr:twoCellAnchor editAs="oneCell">
    <xdr:from>
      <xdr:col>0</xdr:col>
      <xdr:colOff>269531</xdr:colOff>
      <xdr:row>6</xdr:row>
      <xdr:rowOff>114092</xdr:rowOff>
    </xdr:from>
    <xdr:to>
      <xdr:col>0</xdr:col>
      <xdr:colOff>660198</xdr:colOff>
      <xdr:row>8</xdr:row>
      <xdr:rowOff>103188</xdr:rowOff>
    </xdr:to>
    <xdr:pic>
      <xdr:nvPicPr>
        <xdr:cNvPr id="86" name="Image 85" descr="information ">
          <a:extLst>
            <a:ext uri="{FF2B5EF4-FFF2-40B4-BE49-F238E27FC236}">
              <a16:creationId xmlns:a16="http://schemas.microsoft.com/office/drawing/2014/main" id="{7FB2E9C6-4CA3-C3FC-E95F-B6516981B9C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9531" y="1550780"/>
          <a:ext cx="384317" cy="362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231290</xdr:colOff>
      <xdr:row>21</xdr:row>
      <xdr:rowOff>112438</xdr:rowOff>
    </xdr:from>
    <xdr:to>
      <xdr:col>0</xdr:col>
      <xdr:colOff>657857</xdr:colOff>
      <xdr:row>23</xdr:row>
      <xdr:rowOff>171720</xdr:rowOff>
    </xdr:to>
    <xdr:pic>
      <xdr:nvPicPr>
        <xdr:cNvPr id="88" name="Image 87" descr="manuel ">
          <a:extLst>
            <a:ext uri="{FF2B5EF4-FFF2-40B4-BE49-F238E27FC236}">
              <a16:creationId xmlns:a16="http://schemas.microsoft.com/office/drawing/2014/main" id="{97C78270-F528-1D81-392A-06E4D47CB83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31290" y="5859188"/>
          <a:ext cx="420217" cy="432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268602</xdr:colOff>
      <xdr:row>31</xdr:row>
      <xdr:rowOff>82047</xdr:rowOff>
    </xdr:from>
    <xdr:to>
      <xdr:col>0</xdr:col>
      <xdr:colOff>619828</xdr:colOff>
      <xdr:row>33</xdr:row>
      <xdr:rowOff>47625</xdr:rowOff>
    </xdr:to>
    <xdr:pic>
      <xdr:nvPicPr>
        <xdr:cNvPr id="89" name="Image 88">
          <a:extLst>
            <a:ext uri="{FF2B5EF4-FFF2-40B4-BE49-F238E27FC236}">
              <a16:creationId xmlns:a16="http://schemas.microsoft.com/office/drawing/2014/main" id="{E9CB70BA-3760-40E3-13AF-24C0B456A4C7}"/>
            </a:ext>
          </a:extLst>
        </xdr:cNvPr>
        <xdr:cNvPicPr>
          <a:picLocks noChangeAspect="1"/>
        </xdr:cNvPicPr>
      </xdr:nvPicPr>
      <xdr:blipFill>
        <a:blip xmlns:r="http://schemas.openxmlformats.org/officeDocument/2006/relationships" r:embed="rId8"/>
        <a:stretch>
          <a:fillRect/>
        </a:stretch>
      </xdr:blipFill>
      <xdr:spPr>
        <a:xfrm>
          <a:off x="268602" y="8543422"/>
          <a:ext cx="351226" cy="338641"/>
        </a:xfrm>
        <a:prstGeom prst="rect">
          <a:avLst/>
        </a:prstGeom>
      </xdr:spPr>
    </xdr:pic>
    <xdr:clientData/>
  </xdr:twoCellAnchor>
  <xdr:twoCellAnchor editAs="oneCell">
    <xdr:from>
      <xdr:col>10</xdr:col>
      <xdr:colOff>336178</xdr:colOff>
      <xdr:row>28</xdr:row>
      <xdr:rowOff>123265</xdr:rowOff>
    </xdr:from>
    <xdr:to>
      <xdr:col>10</xdr:col>
      <xdr:colOff>657973</xdr:colOff>
      <xdr:row>30</xdr:row>
      <xdr:rowOff>84282</xdr:rowOff>
    </xdr:to>
    <xdr:pic>
      <xdr:nvPicPr>
        <xdr:cNvPr id="2" name="Image 1" descr="le curseur ">
          <a:extLst>
            <a:ext uri="{FF2B5EF4-FFF2-40B4-BE49-F238E27FC236}">
              <a16:creationId xmlns:a16="http://schemas.microsoft.com/office/drawing/2014/main" id="{9376D642-57E2-2991-DE28-1FD402F7935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412943" y="6779559"/>
          <a:ext cx="324970" cy="322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33</xdr:row>
      <xdr:rowOff>152400</xdr:rowOff>
    </xdr:from>
    <xdr:to>
      <xdr:col>13</xdr:col>
      <xdr:colOff>0</xdr:colOff>
      <xdr:row>43</xdr:row>
      <xdr:rowOff>336176</xdr:rowOff>
    </xdr:to>
    <xdr:sp macro="" textlink="">
      <xdr:nvSpPr>
        <xdr:cNvPr id="23" name="Rectangle 2">
          <a:extLst>
            <a:ext uri="{FF2B5EF4-FFF2-40B4-BE49-F238E27FC236}">
              <a16:creationId xmlns:a16="http://schemas.microsoft.com/office/drawing/2014/main" id="{7CFB93DD-724C-35F4-4219-7629F1C92797}"/>
            </a:ext>
            <a:ext uri="{147F2762-F138-4A5C-976F-8EAC2B608ADB}">
              <a16:predDERef xmlns:a16="http://schemas.microsoft.com/office/drawing/2014/main" pred="{9376D642-57E2-2991-DE28-1FD402F7935B}"/>
            </a:ext>
          </a:extLst>
        </xdr:cNvPr>
        <xdr:cNvSpPr/>
      </xdr:nvSpPr>
      <xdr:spPr>
        <a:xfrm>
          <a:off x="953621" y="8937812"/>
          <a:ext cx="10700497" cy="466612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marL="0" indent="0" algn="l">
            <a:spcBef>
              <a:spcPts val="600"/>
            </a:spcBef>
            <a:buFont typeface="Arial" panose="020B0604020202020204" pitchFamily="34" charset="0"/>
            <a:buNone/>
          </a:pPr>
          <a:r>
            <a:rPr lang="fr-FR" sz="1200" b="1" dirty="0" err="1">
              <a:solidFill>
                <a:schemeClr val="tx1"/>
              </a:solidFill>
              <a:ea typeface="+mj-ea"/>
              <a:cs typeface="+mj-cs"/>
            </a:rPr>
            <a:t>Cette calculatrice repose sur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les principes méthodologiques d'une Analyse de Cycle de Vie (ACV), visant à couvrir les impacts des équipements à usage numérique, sur tout leur cycle de vie (fabrication, usage, fin de vie)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la méthodologie d'Ecologits (v0.10), notamment pour :</a:t>
          </a:r>
        </a:p>
        <a:p>
          <a:pPr marL="628650" marR="0" lvl="1"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modéliser l'inférence au travers de la consommation électrique des GPU mobilisés lors de la génération d'un token par un modèle d'IA :</a:t>
          </a:r>
        </a:p>
        <a:p>
          <a:pPr marL="0" marR="0" lvl="0" indent="0" algn="ctr" defTabSz="914400" eaLnBrk="1" fontAlgn="auto" latinLnBrk="0" hangingPunct="1">
            <a:lnSpc>
              <a:spcPct val="100000"/>
            </a:lnSpc>
            <a:spcBef>
              <a:spcPts val="600"/>
            </a:spcBef>
            <a:spcAft>
              <a:spcPts val="0"/>
            </a:spcAft>
            <a:buClrTx/>
            <a:buSzTx/>
            <a:buFontTx/>
            <a:buNone/>
            <a:tabLst/>
            <a:defRPr/>
          </a:pPr>
          <a:r>
            <a:rPr kumimoji="0" lang="fr-FR" sz="1200" b="1" i="0" u="none" strike="noStrike" kern="0" cap="none" spc="0" normalizeH="0" baseline="0" noProof="0" dirty="0" err="1">
              <a:ln>
                <a:noFill/>
              </a:ln>
              <a:solidFill>
                <a:srgbClr val="000000"/>
              </a:solidFill>
              <a:effectLst/>
              <a:uLnTx/>
              <a:uFillTx/>
              <a:latin typeface="+mn-lt"/>
              <a:ea typeface="+mn-ea"/>
              <a:cs typeface="+mn-cs"/>
            </a:rPr>
            <a:t>1 token généré → Electricité consommée </a:t>
          </a:r>
          <a:r>
            <a:rPr kumimoji="0" lang="fr-FR" sz="1200" b="0" i="1" u="none" strike="noStrike" kern="0" cap="none" spc="0" normalizeH="0" baseline="0" noProof="0" dirty="0" err="1">
              <a:ln>
                <a:noFill/>
              </a:ln>
              <a:solidFill>
                <a:srgbClr val="000000"/>
              </a:solidFill>
              <a:effectLst/>
              <a:uLnTx/>
              <a:uFillTx/>
              <a:latin typeface="+mn-lt"/>
              <a:ea typeface="+mn-ea"/>
              <a:cs typeface="+mn-cs"/>
            </a:rPr>
            <a:t>(Wh ou kWh) </a:t>
          </a:r>
          <a:r>
            <a:rPr kumimoji="0" lang="fr-FR" sz="1200" b="1" i="0" u="none" strike="noStrike" kern="0" cap="none" spc="0" normalizeH="0" baseline="0" noProof="0" dirty="0" err="1">
              <a:ln>
                <a:noFill/>
              </a:ln>
              <a:solidFill>
                <a:srgbClr val="000000"/>
              </a:solidFill>
              <a:effectLst/>
              <a:uLnTx/>
              <a:uFillTx/>
              <a:latin typeface="+mn-lt"/>
              <a:ea typeface="+mn-ea"/>
              <a:cs typeface="+mn-cs"/>
            </a:rPr>
            <a:t>→ GES émis </a:t>
          </a:r>
          <a:r>
            <a:rPr kumimoji="0" lang="fr-FR" sz="1200" b="0" i="1" u="none" strike="noStrike" kern="0" cap="none" spc="0" normalizeH="0" baseline="0" noProof="0" dirty="0" err="1">
              <a:ln>
                <a:noFill/>
              </a:ln>
              <a:solidFill>
                <a:srgbClr val="000000"/>
              </a:solidFill>
              <a:effectLst/>
              <a:uLnTx/>
              <a:uFillTx/>
              <a:latin typeface="+mn-lt"/>
              <a:ea typeface="+mn-ea"/>
              <a:cs typeface="+mn-cs"/>
            </a:rPr>
            <a:t>(g CO₂e ou kg CO₂e) </a:t>
          </a:r>
          <a:r>
            <a:rPr kumimoji="0" lang="fr-FR" sz="1200" b="1" i="0" u="none" strike="noStrike" kern="0" cap="none" spc="0" normalizeH="0" baseline="0" noProof="0" dirty="0" err="1">
              <a:ln>
                <a:noFill/>
              </a:ln>
              <a:solidFill>
                <a:srgbClr val="000000"/>
              </a:solidFill>
              <a:effectLst/>
              <a:uLnTx/>
              <a:uFillTx/>
              <a:latin typeface="+mn-lt"/>
              <a:ea typeface="+mn-ea"/>
              <a:cs typeface="+mn-cs"/>
            </a:rPr>
            <a:t>et Eau utilisée </a:t>
          </a:r>
          <a:r>
            <a:rPr kumimoji="0" lang="fr-FR" sz="1200" b="0" i="1" u="none" strike="noStrike" kern="0" cap="none" spc="0" normalizeH="0" baseline="0" noProof="0" dirty="0" err="1">
              <a:ln>
                <a:noFill/>
              </a:ln>
              <a:solidFill>
                <a:srgbClr val="000000"/>
              </a:solidFill>
              <a:effectLst/>
              <a:uLnTx/>
              <a:uFillTx/>
              <a:latin typeface="+mn-lt"/>
              <a:ea typeface="+mn-ea"/>
              <a:cs typeface="+mn-cs"/>
            </a:rPr>
            <a:t>(L ou m³)</a:t>
          </a:r>
          <a:endParaRPr kumimoji="0" lang="fr-FR" sz="1200" b="0" i="0" u="none" strike="noStrike" kern="0" cap="none" spc="0" normalizeH="0" baseline="0" noProof="0" dirty="0" err="1">
            <a:ln>
              <a:noFill/>
            </a:ln>
            <a:solidFill>
              <a:srgbClr val="000000"/>
            </a:solidFill>
            <a:effectLst/>
            <a:uLnTx/>
            <a:uFillTx/>
            <a:latin typeface="+mn-lt"/>
            <a:ea typeface="+mn-ea"/>
            <a:cs typeface="+mn-cs"/>
          </a:endParaRPr>
        </a:p>
        <a:p>
          <a:pPr marL="628650" marR="0" lvl="1"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en comblant certaines de ses limites, pour intréger plus spécifiquement </a:t>
          </a:r>
          <a:r>
            <a:rPr kumimoji="0" lang="fr-FR" sz="1200" b="0" i="0" u="none" strike="noStrike" kern="0" cap="none" spc="0" normalizeH="0" baseline="0" noProof="0">
              <a:ln>
                <a:noFill/>
              </a:ln>
              <a:solidFill>
                <a:sysClr val="windowText" lastClr="000000"/>
              </a:solidFill>
              <a:effectLst/>
              <a:uLnTx/>
              <a:uFillTx/>
              <a:latin typeface="+mn-lt"/>
              <a:ea typeface="+mn-ea"/>
              <a:cs typeface="+mn-cs"/>
            </a:rPr>
            <a:t>les tokens d'entrée et les tokens de sortie, et </a:t>
          </a:r>
          <a:r>
            <a:rPr kumimoji="0" lang="fr-FR" sz="1200" b="0" i="0" u="none" strike="noStrike" kern="0" cap="none" spc="0" normalizeH="0" baseline="0" noProof="0" dirty="0" err="1">
              <a:ln>
                <a:noFill/>
              </a:ln>
              <a:solidFill>
                <a:srgbClr val="000000"/>
              </a:solidFill>
              <a:effectLst/>
              <a:uLnTx/>
              <a:uFillTx/>
              <a:latin typeface="+mn-lt"/>
              <a:ea typeface="+mn-ea"/>
              <a:cs typeface="+mn-cs"/>
            </a:rPr>
            <a:t>completer le périmètre fonctionnel de l'inférence en estimant l'étape d'intégration des données RAG (hors projet en conception) et  l'estimation des fonctionnalités applicatives complémentaires permettant d'accéder aux modèles d'IA externes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dirty="0" err="1">
              <a:ln>
                <a:noFill/>
              </a:ln>
              <a:solidFill>
                <a:srgbClr val="000000"/>
              </a:solidFill>
              <a:effectLst/>
              <a:uLnTx/>
              <a:uFillTx/>
              <a:latin typeface="+mn-lt"/>
              <a:ea typeface="+mn-ea"/>
              <a:cs typeface="+mn-cs"/>
            </a:rPr>
            <a:t>l'élargissement du périmètre technique de calcul (afin d'estimer au-delà de la vue GPU / serveur) : serveur dans son entièreté (stockage), réseau au sein du centre de données, environnement technique et bâtiment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a:ln>
                <a:noFill/>
              </a:ln>
              <a:solidFill>
                <a:sysClr val="windowText" lastClr="000000"/>
              </a:solidFill>
              <a:effectLst/>
              <a:uLnTx/>
              <a:uFillTx/>
              <a:latin typeface="+mn-lt"/>
              <a:ea typeface="+mn-ea"/>
              <a:cs typeface="+mn-cs"/>
            </a:rPr>
            <a:t>l'enrichissement du périmètre fonctionnel en prenant en compte les phases de pré-entraînement et d'entraînement : stockage de la donnée d'entrainement, R&amp;D et entraînement final ; </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r>
            <a:rPr kumimoji="0" lang="fr-FR" sz="1200" b="0" i="0" u="none" strike="noStrike" kern="0" cap="none" spc="0" normalizeH="0" baseline="0" noProof="0">
              <a:ln>
                <a:noFill/>
              </a:ln>
              <a:solidFill>
                <a:sysClr val="windowText" lastClr="000000"/>
              </a:solidFill>
              <a:effectLst/>
              <a:uLnTx/>
              <a:uFillTx/>
              <a:latin typeface="+mn-lt"/>
              <a:ea typeface="+mn-ea"/>
              <a:cs typeface="+mn-cs"/>
            </a:rPr>
            <a:t>l'amélioration de la méthode d'estimation de l'impact environnemental : actualisation des Facteurs d'Emissions embarqués grâce à la base de données ResilioDB , utilisation de la méthodologie Aware pour ajuster l'impact de l'utisation d'eau. NB : dans la version Opensource, certains FE sont génériques.</a:t>
          </a:r>
        </a:p>
        <a:p>
          <a:pPr marL="171450" marR="0" lvl="0" indent="-171450" algn="l" defTabSz="914400" eaLnBrk="1" fontAlgn="auto" latinLnBrk="0" hangingPunct="1">
            <a:lnSpc>
              <a:spcPct val="100000"/>
            </a:lnSpc>
            <a:spcBef>
              <a:spcPts val="600"/>
            </a:spcBef>
            <a:spcAft>
              <a:spcPts val="0"/>
            </a:spcAft>
            <a:buClrTx/>
            <a:buSzTx/>
            <a:buFont typeface="Arial" panose="020B0604020202020204" pitchFamily="34" charset="0"/>
            <a:buChar char="•"/>
            <a:tabLst/>
            <a:defRPr/>
          </a:pPr>
          <a:endParaRPr kumimoji="0" lang="fr-FR" sz="1200" b="1" i="0" u="none" strike="noStrike" kern="0" cap="none" spc="0" normalizeH="0" baseline="0" noProof="0" dirty="0">
            <a:ln>
              <a:noFill/>
            </a:ln>
            <a:solidFill>
              <a:schemeClr val="tx1"/>
            </a:solidFill>
            <a:effectLst/>
            <a:uLnTx/>
            <a:uFillTx/>
            <a:latin typeface="+mn-lt"/>
            <a:ea typeface="+mj-ea"/>
            <a:cs typeface="+mj-cs"/>
          </a:endParaRPr>
        </a:p>
      </xdr:txBody>
    </xdr:sp>
    <xdr:clientData/>
  </xdr:twoCellAnchor>
  <xdr:twoCellAnchor>
    <xdr:from>
      <xdr:col>0</xdr:col>
      <xdr:colOff>798832</xdr:colOff>
      <xdr:row>67</xdr:row>
      <xdr:rowOff>138044</xdr:rowOff>
    </xdr:from>
    <xdr:to>
      <xdr:col>13</xdr:col>
      <xdr:colOff>104374</xdr:colOff>
      <xdr:row>69</xdr:row>
      <xdr:rowOff>36495</xdr:rowOff>
    </xdr:to>
    <xdr:sp macro="" textlink="">
      <xdr:nvSpPr>
        <xdr:cNvPr id="5" name="Rectangle: Rounded Corners 7">
          <a:extLst>
            <a:ext uri="{FF2B5EF4-FFF2-40B4-BE49-F238E27FC236}">
              <a16:creationId xmlns:a16="http://schemas.microsoft.com/office/drawing/2014/main" id="{7E317FCA-4B3D-479C-99F4-0C74BDDF51E1}"/>
            </a:ext>
          </a:extLst>
        </xdr:cNvPr>
        <xdr:cNvSpPr/>
      </xdr:nvSpPr>
      <xdr:spPr>
        <a:xfrm>
          <a:off x="798832" y="21129837"/>
          <a:ext cx="10962835" cy="253864"/>
        </a:xfrm>
        <a:prstGeom prst="roundRect">
          <a:avLst/>
        </a:prstGeom>
        <a:solidFill>
          <a:schemeClr val="accent5">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spc="100" dirty="0" err="1">
              <a:solidFill>
                <a:schemeClr val="bg1"/>
              </a:solidFill>
              <a:latin typeface="+mj-lt"/>
              <a:ea typeface="+mj-ea"/>
              <a:cs typeface="+mj-cs"/>
            </a:rPr>
            <a:t>AJOUTER UN NOUVEAU MODèle d'IA à la calculatrice</a:t>
          </a:r>
          <a:r>
            <a:rPr lang="en-US" sz="1400" b="1" cap="all" spc="100" baseline="0" dirty="0" err="1">
              <a:solidFill>
                <a:schemeClr val="bg1"/>
              </a:solidFill>
              <a:latin typeface="+mj-lt"/>
              <a:ea typeface="+mj-ea"/>
              <a:cs typeface="+mj-cs"/>
            </a:rPr>
            <a:t> impact ia</a:t>
          </a:r>
          <a:endParaRPr lang="en-US" sz="1400" b="1" cap="all" spc="100" dirty="0" err="1">
            <a:solidFill>
              <a:schemeClr val="bg1"/>
            </a:solidFill>
            <a:latin typeface="+mj-lt"/>
            <a:ea typeface="+mj-ea"/>
            <a:cs typeface="+mj-cs"/>
          </a:endParaRPr>
        </a:p>
      </xdr:txBody>
    </xdr:sp>
    <xdr:clientData/>
  </xdr:twoCellAnchor>
  <xdr:oneCellAnchor>
    <xdr:from>
      <xdr:col>0</xdr:col>
      <xdr:colOff>264948</xdr:colOff>
      <xdr:row>67</xdr:row>
      <xdr:rowOff>74132</xdr:rowOff>
    </xdr:from>
    <xdr:ext cx="349644" cy="349644"/>
    <xdr:pic>
      <xdr:nvPicPr>
        <xdr:cNvPr id="9" name="Image 2" descr="Livres sur une étagère avec un remplissage uni">
          <a:extLst>
            <a:ext uri="{FF2B5EF4-FFF2-40B4-BE49-F238E27FC236}">
              <a16:creationId xmlns:a16="http://schemas.microsoft.com/office/drawing/2014/main" id="{97060CB4-2862-49F5-8F2D-79973F49ABD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64948" y="19986985"/>
          <a:ext cx="349644" cy="349644"/>
        </a:xfrm>
        <a:prstGeom prst="rect">
          <a:avLst/>
        </a:prstGeom>
      </xdr:spPr>
    </xdr:pic>
    <xdr:clientData/>
  </xdr:oneCellAnchor>
  <xdr:twoCellAnchor editAs="oneCell">
    <xdr:from>
      <xdr:col>1</xdr:col>
      <xdr:colOff>257734</xdr:colOff>
      <xdr:row>79</xdr:row>
      <xdr:rowOff>140540</xdr:rowOff>
    </xdr:from>
    <xdr:to>
      <xdr:col>12</xdr:col>
      <xdr:colOff>627529</xdr:colOff>
      <xdr:row>95</xdr:row>
      <xdr:rowOff>200189</xdr:rowOff>
    </xdr:to>
    <xdr:pic>
      <xdr:nvPicPr>
        <xdr:cNvPr id="6" name="Image 5">
          <a:extLst>
            <a:ext uri="{FF2B5EF4-FFF2-40B4-BE49-F238E27FC236}">
              <a16:creationId xmlns:a16="http://schemas.microsoft.com/office/drawing/2014/main" id="{DE17A6CC-59B3-D60A-81BF-1C4AA3BF85F6}"/>
            </a:ext>
          </a:extLst>
        </xdr:cNvPr>
        <xdr:cNvPicPr>
          <a:picLocks noChangeAspect="1"/>
        </xdr:cNvPicPr>
      </xdr:nvPicPr>
      <xdr:blipFill>
        <a:blip xmlns:r="http://schemas.openxmlformats.org/officeDocument/2006/relationships" r:embed="rId12"/>
        <a:stretch>
          <a:fillRect/>
        </a:stretch>
      </xdr:blipFill>
      <xdr:spPr>
        <a:xfrm>
          <a:off x="1154205" y="23549628"/>
          <a:ext cx="10230971" cy="5076710"/>
        </a:xfrm>
        <a:prstGeom prst="rect">
          <a:avLst/>
        </a:prstGeom>
      </xdr:spPr>
    </xdr:pic>
    <xdr:clientData/>
  </xdr:twoCellAnchor>
  <xdr:twoCellAnchor editAs="oneCell">
    <xdr:from>
      <xdr:col>1</xdr:col>
      <xdr:colOff>164350</xdr:colOff>
      <xdr:row>41</xdr:row>
      <xdr:rowOff>59309</xdr:rowOff>
    </xdr:from>
    <xdr:to>
      <xdr:col>12</xdr:col>
      <xdr:colOff>712872</xdr:colOff>
      <xdr:row>63</xdr:row>
      <xdr:rowOff>10804</xdr:rowOff>
    </xdr:to>
    <xdr:pic>
      <xdr:nvPicPr>
        <xdr:cNvPr id="13" name="Image 12">
          <a:extLst>
            <a:ext uri="{FF2B5EF4-FFF2-40B4-BE49-F238E27FC236}">
              <a16:creationId xmlns:a16="http://schemas.microsoft.com/office/drawing/2014/main" id="{F5017031-2C1C-E1BB-83E4-A271A2F2E8BB}"/>
            </a:ext>
          </a:extLst>
        </xdr:cNvPr>
        <xdr:cNvPicPr>
          <a:picLocks noChangeAspect="1"/>
        </xdr:cNvPicPr>
      </xdr:nvPicPr>
      <xdr:blipFill>
        <a:blip xmlns:r="http://schemas.openxmlformats.org/officeDocument/2006/relationships" r:embed="rId13"/>
        <a:stretch>
          <a:fillRect/>
        </a:stretch>
      </xdr:blipFill>
      <xdr:spPr>
        <a:xfrm>
          <a:off x="1050589" y="13029874"/>
          <a:ext cx="10297153" cy="5038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325490</xdr:colOff>
      <xdr:row>47</xdr:row>
      <xdr:rowOff>7780</xdr:rowOff>
    </xdr:from>
    <xdr:to>
      <xdr:col>11</xdr:col>
      <xdr:colOff>558637</xdr:colOff>
      <xdr:row>50</xdr:row>
      <xdr:rowOff>16572</xdr:rowOff>
    </xdr:to>
    <xdr:sp macro="" textlink="">
      <xdr:nvSpPr>
        <xdr:cNvPr id="28" name="Oval 1">
          <a:hlinkClick xmlns:r="http://schemas.openxmlformats.org/officeDocument/2006/relationships" r:id="rId1"/>
          <a:extLst>
            <a:ext uri="{FF2B5EF4-FFF2-40B4-BE49-F238E27FC236}">
              <a16:creationId xmlns:a16="http://schemas.microsoft.com/office/drawing/2014/main" id="{BB5A1F8A-B34F-471E-A127-6D77003B8AD4}"/>
            </a:ext>
          </a:extLst>
        </xdr:cNvPr>
        <xdr:cNvSpPr/>
      </xdr:nvSpPr>
      <xdr:spPr>
        <a:xfrm>
          <a:off x="1749429" y="11399295"/>
          <a:ext cx="11133981" cy="557201"/>
        </a:xfrm>
        <a:prstGeom prst="roundRect">
          <a:avLst/>
        </a:prstGeom>
        <a:solidFill>
          <a:schemeClr val="accent3"/>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kern="100" cap="all" spc="100" baseline="0">
              <a:solidFill>
                <a:schemeClr val="bg1"/>
              </a:solidFill>
              <a:latin typeface="+mj-lt"/>
              <a:ea typeface="+mj-ea"/>
              <a:cs typeface="+mj-cs"/>
            </a:rPr>
            <a:t>accéder aux résultats</a:t>
          </a:r>
        </a:p>
      </xdr:txBody>
    </xdr:sp>
    <xdr:clientData/>
  </xdr:twoCellAnchor>
  <xdr:twoCellAnchor>
    <xdr:from>
      <xdr:col>0</xdr:col>
      <xdr:colOff>569693</xdr:colOff>
      <xdr:row>22</xdr:row>
      <xdr:rowOff>85634</xdr:rowOff>
    </xdr:from>
    <xdr:to>
      <xdr:col>13</xdr:col>
      <xdr:colOff>80743</xdr:colOff>
      <xdr:row>24</xdr:row>
      <xdr:rowOff>46264</xdr:rowOff>
    </xdr:to>
    <xdr:sp macro="" textlink="">
      <xdr:nvSpPr>
        <xdr:cNvPr id="4" name="Rectangle: Rounded Corners 6">
          <a:extLst>
            <a:ext uri="{FF2B5EF4-FFF2-40B4-BE49-F238E27FC236}">
              <a16:creationId xmlns:a16="http://schemas.microsoft.com/office/drawing/2014/main" id="{19903AAC-E814-480B-A61D-0925E51B18EC}"/>
            </a:ext>
          </a:extLst>
        </xdr:cNvPr>
        <xdr:cNvSpPr/>
      </xdr:nvSpPr>
      <xdr:spPr>
        <a:xfrm>
          <a:off x="569693" y="5064402"/>
          <a:ext cx="13296992" cy="328746"/>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Fournisseur et modèle IA utilisés</a:t>
          </a:r>
        </a:p>
      </xdr:txBody>
    </xdr:sp>
    <xdr:clientData/>
  </xdr:twoCellAnchor>
  <xdr:twoCellAnchor>
    <xdr:from>
      <xdr:col>0</xdr:col>
      <xdr:colOff>555406</xdr:colOff>
      <xdr:row>29</xdr:row>
      <xdr:rowOff>124875</xdr:rowOff>
    </xdr:from>
    <xdr:to>
      <xdr:col>13</xdr:col>
      <xdr:colOff>69631</xdr:colOff>
      <xdr:row>31</xdr:row>
      <xdr:rowOff>87337</xdr:rowOff>
    </xdr:to>
    <xdr:sp macro="" textlink="">
      <xdr:nvSpPr>
        <xdr:cNvPr id="13" name="Rectangle: Rounded Corners 6">
          <a:extLst>
            <a:ext uri="{FF2B5EF4-FFF2-40B4-BE49-F238E27FC236}">
              <a16:creationId xmlns:a16="http://schemas.microsoft.com/office/drawing/2014/main" id="{BA54AB28-4768-44E9-A98F-3DFD94E366A4}"/>
            </a:ext>
            <a:ext uri="{147F2762-F138-4A5C-976F-8EAC2B608ADB}">
              <a16:predDERef xmlns:a16="http://schemas.microsoft.com/office/drawing/2014/main" pred="{19903AAC-E814-480B-A61D-0925E51B18EC}"/>
            </a:ext>
          </a:extLst>
        </xdr:cNvPr>
        <xdr:cNvSpPr/>
      </xdr:nvSpPr>
      <xdr:spPr>
        <a:xfrm>
          <a:off x="555406" y="6688466"/>
          <a:ext cx="11108748" cy="326144"/>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Volume d'usage de mon projet</a:t>
          </a:r>
        </a:p>
      </xdr:txBody>
    </xdr:sp>
    <xdr:clientData/>
  </xdr:twoCellAnchor>
  <xdr:oneCellAnchor>
    <xdr:from>
      <xdr:col>11</xdr:col>
      <xdr:colOff>204600</xdr:colOff>
      <xdr:row>1</xdr:row>
      <xdr:rowOff>210394</xdr:rowOff>
    </xdr:from>
    <xdr:ext cx="1085626" cy="600473"/>
    <xdr:pic>
      <xdr:nvPicPr>
        <xdr:cNvPr id="3" name="Picture 2" descr="Société nationale des chemins de fer français — Wikipédia">
          <a:extLst>
            <a:ext uri="{FF2B5EF4-FFF2-40B4-BE49-F238E27FC236}">
              <a16:creationId xmlns:a16="http://schemas.microsoft.com/office/drawing/2014/main" id="{D5811D61-0218-4A12-BF3B-A8EA9CEAB6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86850" y="392235"/>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560820</xdr:colOff>
      <xdr:row>6</xdr:row>
      <xdr:rowOff>135070</xdr:rowOff>
    </xdr:from>
    <xdr:to>
      <xdr:col>13</xdr:col>
      <xdr:colOff>36945</xdr:colOff>
      <xdr:row>8</xdr:row>
      <xdr:rowOff>36993</xdr:rowOff>
    </xdr:to>
    <xdr:sp macro="" textlink="">
      <xdr:nvSpPr>
        <xdr:cNvPr id="20" name="Rectangle: Rounded Corners 6">
          <a:extLst>
            <a:ext uri="{FF2B5EF4-FFF2-40B4-BE49-F238E27FC236}">
              <a16:creationId xmlns:a16="http://schemas.microsoft.com/office/drawing/2014/main" id="{124937D2-C9C8-4038-8897-35734DEBC161}"/>
            </a:ext>
          </a:extLst>
        </xdr:cNvPr>
        <xdr:cNvSpPr/>
      </xdr:nvSpPr>
      <xdr:spPr>
        <a:xfrm>
          <a:off x="560820" y="1556712"/>
          <a:ext cx="13161797" cy="318938"/>
        </a:xfrm>
        <a:prstGeom prst="roundRect">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accent4">
                  <a:lumMod val="50000"/>
                </a:schemeClr>
              </a:solidFill>
              <a:latin typeface="+mj-lt"/>
              <a:ea typeface="+mj-ea"/>
              <a:cs typeface="+mj-cs"/>
            </a:rPr>
            <a:t>COMMENT UTILISER CETTE CALCULATRICE ?</a:t>
          </a:r>
        </a:p>
      </xdr:txBody>
    </xdr:sp>
    <xdr:clientData/>
  </xdr:twoCellAnchor>
  <xdr:twoCellAnchor>
    <xdr:from>
      <xdr:col>0</xdr:col>
      <xdr:colOff>483101</xdr:colOff>
      <xdr:row>1</xdr:row>
      <xdr:rowOff>29020</xdr:rowOff>
    </xdr:from>
    <xdr:to>
      <xdr:col>2</xdr:col>
      <xdr:colOff>503299</xdr:colOff>
      <xdr:row>4</xdr:row>
      <xdr:rowOff>181552</xdr:rowOff>
    </xdr:to>
    <xdr:sp macro="" textlink="">
      <xdr:nvSpPr>
        <xdr:cNvPr id="16" name="Oval 1">
          <a:hlinkClick xmlns:r="http://schemas.openxmlformats.org/officeDocument/2006/relationships" r:id="rId3"/>
          <a:extLst>
            <a:ext uri="{FF2B5EF4-FFF2-40B4-BE49-F238E27FC236}">
              <a16:creationId xmlns:a16="http://schemas.microsoft.com/office/drawing/2014/main" id="{723FD376-CF3E-433B-8251-F6BAD18BD132}"/>
            </a:ext>
          </a:extLst>
        </xdr:cNvPr>
        <xdr:cNvSpPr/>
      </xdr:nvSpPr>
      <xdr:spPr>
        <a:xfrm>
          <a:off x="483101" y="210861"/>
          <a:ext cx="1232471" cy="992464"/>
        </a:xfrm>
        <a:prstGeom prst="roundRect">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b"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800" b="1">
              <a:solidFill>
                <a:schemeClr val="bg1"/>
              </a:solidFill>
              <a:effectLst/>
              <a:latin typeface="+mj-lt"/>
              <a:ea typeface="+mn-ea"/>
              <a:cs typeface="+mn-cs"/>
            </a:rPr>
            <a:t>Notice</a:t>
          </a:r>
          <a:endParaRPr lang="en-US" sz="3600" b="1">
            <a:solidFill>
              <a:schemeClr val="bg1"/>
            </a:solidFill>
            <a:effectLst/>
            <a:latin typeface="+mj-lt"/>
          </a:endParaRPr>
        </a:p>
      </xdr:txBody>
    </xdr:sp>
    <xdr:clientData/>
  </xdr:twoCellAnchor>
  <xdr:twoCellAnchor>
    <xdr:from>
      <xdr:col>1</xdr:col>
      <xdr:colOff>275022</xdr:colOff>
      <xdr:row>1</xdr:row>
      <xdr:rowOff>154691</xdr:rowOff>
    </xdr:from>
    <xdr:to>
      <xdr:col>2</xdr:col>
      <xdr:colOff>105242</xdr:colOff>
      <xdr:row>2</xdr:row>
      <xdr:rowOff>69358</xdr:rowOff>
    </xdr:to>
    <xdr:pic>
      <xdr:nvPicPr>
        <xdr:cNvPr id="14" name="Image 13" descr="information ">
          <a:hlinkClick xmlns:r="http://schemas.openxmlformats.org/officeDocument/2006/relationships" r:id="rId3"/>
          <a:extLst>
            <a:ext uri="{FF2B5EF4-FFF2-40B4-BE49-F238E27FC236}">
              <a16:creationId xmlns:a16="http://schemas.microsoft.com/office/drawing/2014/main" id="{4DDD8C39-B294-4E47-97B9-360BC69A903A}"/>
            </a:ext>
          </a:extLst>
        </xdr:cNvPr>
        <xdr:cNvPicPr>
          <a:picLocks noChangeAspect="1" noChangeArrowheads="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rcRect/>
        <a:stretch>
          <a:fillRect/>
        </a:stretch>
      </xdr:blipFill>
      <xdr:spPr bwMode="auto">
        <a:xfrm>
          <a:off x="881158" y="336532"/>
          <a:ext cx="436357" cy="399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278492</xdr:colOff>
      <xdr:row>2</xdr:row>
      <xdr:rowOff>284707</xdr:rowOff>
    </xdr:from>
    <xdr:to>
      <xdr:col>2</xdr:col>
      <xdr:colOff>603462</xdr:colOff>
      <xdr:row>5</xdr:row>
      <xdr:rowOff>63544</xdr:rowOff>
    </xdr:to>
    <xdr:pic>
      <xdr:nvPicPr>
        <xdr:cNvPr id="7" name="Image 6" descr="le curseur ">
          <a:hlinkClick xmlns:r="http://schemas.openxmlformats.org/officeDocument/2006/relationships" r:id="rId3"/>
          <a:extLst>
            <a:ext uri="{FF2B5EF4-FFF2-40B4-BE49-F238E27FC236}">
              <a16:creationId xmlns:a16="http://schemas.microsoft.com/office/drawing/2014/main" id="{C9B32023-99AD-42F2-A999-86ECD86D7E4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90765" y="951457"/>
          <a:ext cx="324970" cy="315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7371</xdr:colOff>
      <xdr:row>49</xdr:row>
      <xdr:rowOff>39032</xdr:rowOff>
    </xdr:from>
    <xdr:to>
      <xdr:col>9</xdr:col>
      <xdr:colOff>446841</xdr:colOff>
      <xdr:row>50</xdr:row>
      <xdr:rowOff>164755</xdr:rowOff>
    </xdr:to>
    <xdr:pic>
      <xdr:nvPicPr>
        <xdr:cNvPr id="2" name="Image 7" descr="le curseur ">
          <a:extLst>
            <a:ext uri="{FF2B5EF4-FFF2-40B4-BE49-F238E27FC236}">
              <a16:creationId xmlns:a16="http://schemas.microsoft.com/office/drawing/2014/main" id="{03295E32-9FAC-472D-9E4F-E8FEA0EB430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205856" y="11796153"/>
          <a:ext cx="436295" cy="305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654050</xdr:colOff>
      <xdr:row>15</xdr:row>
      <xdr:rowOff>101630</xdr:rowOff>
    </xdr:from>
    <xdr:to>
      <xdr:col>13</xdr:col>
      <xdr:colOff>85725</xdr:colOff>
      <xdr:row>17</xdr:row>
      <xdr:rowOff>69327</xdr:rowOff>
    </xdr:to>
    <xdr:sp macro="" textlink="">
      <xdr:nvSpPr>
        <xdr:cNvPr id="12" name="Rectangle: Rounded Corners 6">
          <a:extLst>
            <a:ext uri="{FF2B5EF4-FFF2-40B4-BE49-F238E27FC236}">
              <a16:creationId xmlns:a16="http://schemas.microsoft.com/office/drawing/2014/main" id="{D8B3BE8A-B354-402C-ABFF-63352D90DD2F}"/>
            </a:ext>
          </a:extLst>
        </xdr:cNvPr>
        <xdr:cNvSpPr/>
      </xdr:nvSpPr>
      <xdr:spPr>
        <a:xfrm>
          <a:off x="654050" y="3625880"/>
          <a:ext cx="12906375" cy="335997"/>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Phase de mon projet</a:t>
          </a:r>
        </a:p>
      </xdr:txBody>
    </xdr:sp>
    <xdr:clientData/>
  </xdr:twoCellAnchor>
  <xdr:twoCellAnchor>
    <xdr:from>
      <xdr:col>0</xdr:col>
      <xdr:colOff>569693</xdr:colOff>
      <xdr:row>15</xdr:row>
      <xdr:rowOff>96145</xdr:rowOff>
    </xdr:from>
    <xdr:to>
      <xdr:col>13</xdr:col>
      <xdr:colOff>39468</xdr:colOff>
      <xdr:row>17</xdr:row>
      <xdr:rowOff>57492</xdr:rowOff>
    </xdr:to>
    <xdr:sp macro="" textlink="">
      <xdr:nvSpPr>
        <xdr:cNvPr id="31" name="Rectangle: Rounded Corners 6">
          <a:extLst>
            <a:ext uri="{FF2B5EF4-FFF2-40B4-BE49-F238E27FC236}">
              <a16:creationId xmlns:a16="http://schemas.microsoft.com/office/drawing/2014/main" id="{EB4A0DA0-D26D-112F-8595-E802E32974C8}"/>
            </a:ext>
          </a:extLst>
        </xdr:cNvPr>
        <xdr:cNvSpPr/>
      </xdr:nvSpPr>
      <xdr:spPr>
        <a:xfrm>
          <a:off x="569693" y="4001395"/>
          <a:ext cx="11064298" cy="385642"/>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Phase de mon projet</a:t>
          </a:r>
        </a:p>
      </xdr:txBody>
    </xdr:sp>
    <xdr:clientData/>
  </xdr:twoCellAnchor>
  <xdr:twoCellAnchor>
    <xdr:from>
      <xdr:col>0</xdr:col>
      <xdr:colOff>230204</xdr:colOff>
      <xdr:row>15</xdr:row>
      <xdr:rowOff>50106</xdr:rowOff>
    </xdr:from>
    <xdr:to>
      <xdr:col>1</xdr:col>
      <xdr:colOff>72015</xdr:colOff>
      <xdr:row>17</xdr:row>
      <xdr:rowOff>84282</xdr:rowOff>
    </xdr:to>
    <xdr:sp macro="" textlink="">
      <xdr:nvSpPr>
        <xdr:cNvPr id="23" name="Oval 5">
          <a:extLst>
            <a:ext uri="{FF2B5EF4-FFF2-40B4-BE49-F238E27FC236}">
              <a16:creationId xmlns:a16="http://schemas.microsoft.com/office/drawing/2014/main" id="{2DB16F0D-93B6-4681-8F35-181871F72FF5}"/>
            </a:ext>
          </a:extLst>
        </xdr:cNvPr>
        <xdr:cNvSpPr/>
      </xdr:nvSpPr>
      <xdr:spPr>
        <a:xfrm>
          <a:off x="230204" y="3955356"/>
          <a:ext cx="447947" cy="458471"/>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1</a:t>
          </a:r>
        </a:p>
      </xdr:txBody>
    </xdr:sp>
    <xdr:clientData/>
  </xdr:twoCellAnchor>
  <xdr:twoCellAnchor>
    <xdr:from>
      <xdr:col>0</xdr:col>
      <xdr:colOff>227029</xdr:colOff>
      <xdr:row>22</xdr:row>
      <xdr:rowOff>46930</xdr:rowOff>
    </xdr:from>
    <xdr:to>
      <xdr:col>1</xdr:col>
      <xdr:colOff>75190</xdr:colOff>
      <xdr:row>24</xdr:row>
      <xdr:rowOff>141720</xdr:rowOff>
    </xdr:to>
    <xdr:sp macro="" textlink="">
      <xdr:nvSpPr>
        <xdr:cNvPr id="32" name="Oval 5">
          <a:extLst>
            <a:ext uri="{FF2B5EF4-FFF2-40B4-BE49-F238E27FC236}">
              <a16:creationId xmlns:a16="http://schemas.microsoft.com/office/drawing/2014/main" id="{240725FA-21B5-4CA7-8084-D9ACE649CD11}"/>
            </a:ext>
          </a:extLst>
        </xdr:cNvPr>
        <xdr:cNvSpPr/>
      </xdr:nvSpPr>
      <xdr:spPr>
        <a:xfrm>
          <a:off x="227029" y="5337635"/>
          <a:ext cx="454297" cy="458471"/>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2</a:t>
          </a:r>
        </a:p>
      </xdr:txBody>
    </xdr:sp>
    <xdr:clientData/>
  </xdr:twoCellAnchor>
  <xdr:twoCellAnchor>
    <xdr:from>
      <xdr:col>0</xdr:col>
      <xdr:colOff>227029</xdr:colOff>
      <xdr:row>29</xdr:row>
      <xdr:rowOff>38271</xdr:rowOff>
    </xdr:from>
    <xdr:to>
      <xdr:col>1</xdr:col>
      <xdr:colOff>75190</xdr:colOff>
      <xdr:row>31</xdr:row>
      <xdr:rowOff>133060</xdr:rowOff>
    </xdr:to>
    <xdr:sp macro="" textlink="">
      <xdr:nvSpPr>
        <xdr:cNvPr id="33" name="Oval 5">
          <a:extLst>
            <a:ext uri="{FF2B5EF4-FFF2-40B4-BE49-F238E27FC236}">
              <a16:creationId xmlns:a16="http://schemas.microsoft.com/office/drawing/2014/main" id="{17C0A239-31A3-454C-8DB9-274B3051A8D7}"/>
            </a:ext>
          </a:extLst>
        </xdr:cNvPr>
        <xdr:cNvSpPr/>
      </xdr:nvSpPr>
      <xdr:spPr>
        <a:xfrm>
          <a:off x="227029" y="6601862"/>
          <a:ext cx="454297" cy="458471"/>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3</a:t>
          </a:r>
        </a:p>
      </xdr:txBody>
    </xdr:sp>
    <xdr:clientData/>
  </xdr:twoCellAnchor>
  <xdr:twoCellAnchor>
    <xdr:from>
      <xdr:col>0</xdr:col>
      <xdr:colOff>535767</xdr:colOff>
      <xdr:row>40</xdr:row>
      <xdr:rowOff>56971</xdr:rowOff>
    </xdr:from>
    <xdr:to>
      <xdr:col>13</xdr:col>
      <xdr:colOff>46817</xdr:colOff>
      <xdr:row>42</xdr:row>
      <xdr:rowOff>19433</xdr:rowOff>
    </xdr:to>
    <xdr:sp macro="" textlink="">
      <xdr:nvSpPr>
        <xdr:cNvPr id="5" name="Rectangle: Rounded Corners 6">
          <a:extLst>
            <a:ext uri="{FF2B5EF4-FFF2-40B4-BE49-F238E27FC236}">
              <a16:creationId xmlns:a16="http://schemas.microsoft.com/office/drawing/2014/main" id="{52075DE3-B94B-47D7-A747-BE36760359CB}"/>
            </a:ext>
            <a:ext uri="{147F2762-F138-4A5C-976F-8EAC2B608ADB}">
              <a16:predDERef xmlns:a16="http://schemas.microsoft.com/office/drawing/2014/main" pred="{19903AAC-E814-480B-A61D-0925E51B18EC}"/>
            </a:ext>
          </a:extLst>
        </xdr:cNvPr>
        <xdr:cNvSpPr/>
      </xdr:nvSpPr>
      <xdr:spPr>
        <a:xfrm>
          <a:off x="535767" y="9572446"/>
          <a:ext cx="13639800" cy="324412"/>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Choix du Pays d'inférence (Consommation electrique)</a:t>
          </a:r>
        </a:p>
      </xdr:txBody>
    </xdr:sp>
    <xdr:clientData/>
  </xdr:twoCellAnchor>
  <xdr:twoCellAnchor>
    <xdr:from>
      <xdr:col>0</xdr:col>
      <xdr:colOff>207390</xdr:colOff>
      <xdr:row>39</xdr:row>
      <xdr:rowOff>153666</xdr:rowOff>
    </xdr:from>
    <xdr:to>
      <xdr:col>1</xdr:col>
      <xdr:colOff>55551</xdr:colOff>
      <xdr:row>42</xdr:row>
      <xdr:rowOff>65156</xdr:rowOff>
    </xdr:to>
    <xdr:sp macro="" textlink="">
      <xdr:nvSpPr>
        <xdr:cNvPr id="6" name="Oval 5">
          <a:extLst>
            <a:ext uri="{FF2B5EF4-FFF2-40B4-BE49-F238E27FC236}">
              <a16:creationId xmlns:a16="http://schemas.microsoft.com/office/drawing/2014/main" id="{A0355B47-9DB8-48AD-90B9-7779093B68EB}"/>
            </a:ext>
          </a:extLst>
        </xdr:cNvPr>
        <xdr:cNvSpPr/>
      </xdr:nvSpPr>
      <xdr:spPr>
        <a:xfrm>
          <a:off x="207390" y="9488166"/>
          <a:ext cx="562536" cy="457590"/>
        </a:xfrm>
        <a:prstGeom prst="ellipse">
          <a:avLst/>
        </a:prstGeom>
        <a:solidFill>
          <a:schemeClr val="bg1">
            <a:lumMod val="95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3000" b="1" dirty="0" err="1">
              <a:solidFill>
                <a:schemeClr val="accent4">
                  <a:lumMod val="50000"/>
                </a:schemeClr>
              </a:solidFill>
              <a:latin typeface="+mj-lt"/>
              <a:ea typeface="+mj-ea"/>
              <a:cs typeface="+mj-cs"/>
            </a:rPr>
            <a:t>4</a:t>
          </a:r>
        </a:p>
      </xdr:txBody>
    </xdr:sp>
    <xdr:clientData/>
  </xdr:twoCellAnchor>
  <mc:AlternateContent xmlns:mc="http://schemas.openxmlformats.org/markup-compatibility/2006">
    <mc:Choice xmlns:a14="http://schemas.microsoft.com/office/drawing/2010/main" Requires="a14">
      <xdr:twoCellAnchor editAs="oneCell">
        <xdr:from>
          <xdr:col>5</xdr:col>
          <xdr:colOff>1000125</xdr:colOff>
          <xdr:row>43</xdr:row>
          <xdr:rowOff>171450</xdr:rowOff>
        </xdr:from>
        <xdr:to>
          <xdr:col>5</xdr:col>
          <xdr:colOff>1257300</xdr:colOff>
          <xdr:row>43</xdr:row>
          <xdr:rowOff>428625</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1343025</xdr:colOff>
          <xdr:row>43</xdr:row>
          <xdr:rowOff>123825</xdr:rowOff>
        </xdr:from>
        <xdr:to>
          <xdr:col>2</xdr:col>
          <xdr:colOff>1581150</xdr:colOff>
          <xdr:row>43</xdr:row>
          <xdr:rowOff>438150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25400">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695325</xdr:colOff>
          <xdr:row>43</xdr:row>
          <xdr:rowOff>180975</xdr:rowOff>
        </xdr:from>
        <xdr:to>
          <xdr:col>8</xdr:col>
          <xdr:colOff>971550</xdr:colOff>
          <xdr:row>43</xdr:row>
          <xdr:rowOff>466725</xdr:rowOff>
        </xdr:to>
        <xdr:sp macro="" textlink="">
          <xdr:nvSpPr>
            <xdr:cNvPr id="2052" name="Option Button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7</xdr:col>
      <xdr:colOff>949030</xdr:colOff>
      <xdr:row>21</xdr:row>
      <xdr:rowOff>113863</xdr:rowOff>
    </xdr:from>
    <xdr:to>
      <xdr:col>9</xdr:col>
      <xdr:colOff>1020235</xdr:colOff>
      <xdr:row>24</xdr:row>
      <xdr:rowOff>152400</xdr:rowOff>
    </xdr:to>
    <xdr:sp macro="" textlink="Calcul!M28">
      <xdr:nvSpPr>
        <xdr:cNvPr id="40" name="Rectangle: Rounded Corners 6">
          <a:extLst>
            <a:ext uri="{FF2B5EF4-FFF2-40B4-BE49-F238E27FC236}">
              <a16:creationId xmlns:a16="http://schemas.microsoft.com/office/drawing/2014/main" id="{153EBFBA-F781-4990-8E5F-C8AD5129BE1D}"/>
            </a:ext>
            <a:ext uri="{147F2762-F138-4A5C-976F-8EAC2B608ADB}">
              <a16:predDERef xmlns:a16="http://schemas.microsoft.com/office/drawing/2014/main" pred="{60982B8C-DBEC-D5B2-F8CD-1961E98B7BCF}"/>
            </a:ext>
          </a:extLst>
        </xdr:cNvPr>
        <xdr:cNvSpPr/>
      </xdr:nvSpPr>
      <xdr:spPr>
        <a:xfrm>
          <a:off x="7373113" y="4251946"/>
          <a:ext cx="2169880" cy="578287"/>
        </a:xfrm>
        <a:prstGeom prst="roundRect">
          <a:avLst/>
        </a:prstGeom>
        <a:no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xdr:from>
      <xdr:col>15</xdr:col>
      <xdr:colOff>875340</xdr:colOff>
      <xdr:row>153</xdr:row>
      <xdr:rowOff>86879</xdr:rowOff>
    </xdr:from>
    <xdr:to>
      <xdr:col>18</xdr:col>
      <xdr:colOff>160937</xdr:colOff>
      <xdr:row>155</xdr:row>
      <xdr:rowOff>129379</xdr:rowOff>
    </xdr:to>
    <xdr:sp macro="" textlink="">
      <xdr:nvSpPr>
        <xdr:cNvPr id="502" name="Rectangle: Rounded Corners 6">
          <a:extLst>
            <a:ext uri="{FF2B5EF4-FFF2-40B4-BE49-F238E27FC236}">
              <a16:creationId xmlns:a16="http://schemas.microsoft.com/office/drawing/2014/main" id="{5776A9A4-4092-4851-933E-720F19C4339B}"/>
            </a:ext>
          </a:extLst>
        </xdr:cNvPr>
        <xdr:cNvSpPr/>
      </xdr:nvSpPr>
      <xdr:spPr>
        <a:xfrm>
          <a:off x="14595188" y="28450212"/>
          <a:ext cx="2176772" cy="40810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12</xdr:col>
      <xdr:colOff>10884</xdr:colOff>
      <xdr:row>153</xdr:row>
      <xdr:rowOff>129597</xdr:rowOff>
    </xdr:from>
    <xdr:to>
      <xdr:col>14</xdr:col>
      <xdr:colOff>1039629</xdr:colOff>
      <xdr:row>155</xdr:row>
      <xdr:rowOff>83197</xdr:rowOff>
    </xdr:to>
    <xdr:sp macro="" textlink="">
      <xdr:nvSpPr>
        <xdr:cNvPr id="1384" name="Rectangle: Rounded Corners 6">
          <a:extLst>
            <a:ext uri="{FF2B5EF4-FFF2-40B4-BE49-F238E27FC236}">
              <a16:creationId xmlns:a16="http://schemas.microsoft.com/office/drawing/2014/main" id="{EC77103A-372C-4251-B714-D664A77C3095}"/>
            </a:ext>
          </a:extLst>
        </xdr:cNvPr>
        <xdr:cNvSpPr/>
      </xdr:nvSpPr>
      <xdr:spPr>
        <a:xfrm>
          <a:off x="11536134" y="27684061"/>
          <a:ext cx="2185352" cy="30738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8</xdr:col>
      <xdr:colOff>1000549</xdr:colOff>
      <xdr:row>153</xdr:row>
      <xdr:rowOff>129597</xdr:rowOff>
    </xdr:from>
    <xdr:to>
      <xdr:col>11</xdr:col>
      <xdr:colOff>25411</xdr:colOff>
      <xdr:row>155</xdr:row>
      <xdr:rowOff>83197</xdr:rowOff>
    </xdr:to>
    <xdr:sp macro="" textlink="">
      <xdr:nvSpPr>
        <xdr:cNvPr id="1388" name="Rectangle: Rounded Corners 6">
          <a:extLst>
            <a:ext uri="{FF2B5EF4-FFF2-40B4-BE49-F238E27FC236}">
              <a16:creationId xmlns:a16="http://schemas.microsoft.com/office/drawing/2014/main" id="{AE6D3271-9F3B-4BBF-87D2-F2CB67AAD80C}"/>
            </a:ext>
          </a:extLst>
        </xdr:cNvPr>
        <xdr:cNvSpPr/>
      </xdr:nvSpPr>
      <xdr:spPr>
        <a:xfrm>
          <a:off x="8334799" y="27684061"/>
          <a:ext cx="2168112" cy="30738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1</xdr:col>
      <xdr:colOff>312852</xdr:colOff>
      <xdr:row>113</xdr:row>
      <xdr:rowOff>88333</xdr:rowOff>
    </xdr:from>
    <xdr:to>
      <xdr:col>20</xdr:col>
      <xdr:colOff>10432</xdr:colOff>
      <xdr:row>142</xdr:row>
      <xdr:rowOff>137093</xdr:rowOff>
    </xdr:to>
    <xdr:sp macro="" textlink="">
      <xdr:nvSpPr>
        <xdr:cNvPr id="1155" name="Rectangle: Rounded Corners 6">
          <a:extLst>
            <a:ext uri="{FF2B5EF4-FFF2-40B4-BE49-F238E27FC236}">
              <a16:creationId xmlns:a16="http://schemas.microsoft.com/office/drawing/2014/main" id="{88FC325A-9EF6-40B0-B0C4-3BB10E5F217E}"/>
            </a:ext>
          </a:extLst>
        </xdr:cNvPr>
        <xdr:cNvSpPr/>
      </xdr:nvSpPr>
      <xdr:spPr>
        <a:xfrm>
          <a:off x="1209323" y="21001311"/>
          <a:ext cx="17542947" cy="5399569"/>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editAs="absolute">
    <xdr:from>
      <xdr:col>1</xdr:col>
      <xdr:colOff>183331</xdr:colOff>
      <xdr:row>29</xdr:row>
      <xdr:rowOff>163559</xdr:rowOff>
    </xdr:from>
    <xdr:to>
      <xdr:col>7</xdr:col>
      <xdr:colOff>218035</xdr:colOff>
      <xdr:row>32</xdr:row>
      <xdr:rowOff>84887</xdr:rowOff>
    </xdr:to>
    <xdr:sp macro="" textlink="">
      <xdr:nvSpPr>
        <xdr:cNvPr id="452" name="Rectangle: Rounded Corners 6">
          <a:extLst>
            <a:ext uri="{FF2B5EF4-FFF2-40B4-BE49-F238E27FC236}">
              <a16:creationId xmlns:a16="http://schemas.microsoft.com/office/drawing/2014/main" id="{4D75D642-C3EC-4D97-9253-28102B97BC36}"/>
            </a:ext>
          </a:extLst>
        </xdr:cNvPr>
        <xdr:cNvSpPr/>
      </xdr:nvSpPr>
      <xdr:spPr>
        <a:xfrm>
          <a:off x="1219247" y="5933111"/>
          <a:ext cx="5452986" cy="490519"/>
        </a:xfrm>
        <a:prstGeom prst="roundRect">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Consommation </a:t>
          </a:r>
          <a:br>
            <a:rPr lang="en-US" sz="1200" b="1" cap="all" spc="100" baseline="0" dirty="0" err="1">
              <a:solidFill>
                <a:schemeClr val="bg1"/>
              </a:solidFill>
              <a:latin typeface="+mj-lt"/>
              <a:ea typeface="+mj-ea"/>
              <a:cs typeface="+mj-cs"/>
            </a:rPr>
          </a:br>
          <a:r>
            <a:rPr lang="en-US" sz="1200" b="1" cap="all" spc="100" baseline="0" dirty="0" err="1">
              <a:solidFill>
                <a:schemeClr val="bg1"/>
              </a:solidFill>
              <a:latin typeface="+mj-lt"/>
              <a:ea typeface="+mj-ea"/>
              <a:cs typeface="+mj-cs"/>
            </a:rPr>
            <a:t>d'électricité</a:t>
          </a:r>
        </a:p>
      </xdr:txBody>
    </xdr:sp>
    <xdr:clientData/>
  </xdr:twoCellAnchor>
  <xdr:twoCellAnchor editAs="absolute">
    <xdr:from>
      <xdr:col>8</xdr:col>
      <xdr:colOff>10109</xdr:colOff>
      <xdr:row>29</xdr:row>
      <xdr:rowOff>142571</xdr:rowOff>
    </xdr:from>
    <xdr:to>
      <xdr:col>14</xdr:col>
      <xdr:colOff>235091</xdr:colOff>
      <xdr:row>32</xdr:row>
      <xdr:rowOff>111525</xdr:rowOff>
    </xdr:to>
    <xdr:sp macro="" textlink="">
      <xdr:nvSpPr>
        <xdr:cNvPr id="1367" name="Rectangle: Rounded Corners 6">
          <a:extLst>
            <a:ext uri="{FF2B5EF4-FFF2-40B4-BE49-F238E27FC236}">
              <a16:creationId xmlns:a16="http://schemas.microsoft.com/office/drawing/2014/main" id="{287ED144-797D-0FF2-3CE6-4098F19FAB2B}"/>
            </a:ext>
            <a:ext uri="{147F2762-F138-4A5C-976F-8EAC2B608ADB}">
              <a16:predDERef xmlns:a16="http://schemas.microsoft.com/office/drawing/2014/main" pred="{4D75D642-C3EC-4D97-9253-28102B97BC36}"/>
            </a:ext>
          </a:extLst>
        </xdr:cNvPr>
        <xdr:cNvSpPr/>
      </xdr:nvSpPr>
      <xdr:spPr>
        <a:xfrm>
          <a:off x="7511479" y="5912123"/>
          <a:ext cx="5585537" cy="534970"/>
        </a:xfrm>
        <a:prstGeom prst="roundRect">
          <a:avLst/>
        </a:prstGeom>
        <a:solidFill>
          <a:schemeClr val="accent3">
            <a:lumMod val="7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Potentiel de </a:t>
          </a:r>
          <a:br>
            <a:rPr lang="en-US" sz="1200" b="1" cap="all" spc="100" baseline="0" dirty="0" err="1">
              <a:solidFill>
                <a:schemeClr val="bg1"/>
              </a:solidFill>
              <a:latin typeface="+mj-lt"/>
              <a:ea typeface="+mj-ea"/>
              <a:cs typeface="+mj-cs"/>
            </a:rPr>
          </a:br>
          <a:r>
            <a:rPr lang="en-US" sz="1200" b="1" cap="all" spc="100" baseline="0" dirty="0" err="1">
              <a:solidFill>
                <a:schemeClr val="bg1"/>
              </a:solidFill>
              <a:latin typeface="+mj-lt"/>
              <a:ea typeface="+mj-ea"/>
              <a:cs typeface="+mj-cs"/>
            </a:rPr>
            <a:t>Réchauffement Climatique</a:t>
          </a:r>
        </a:p>
      </xdr:txBody>
    </xdr:sp>
    <xdr:clientData/>
  </xdr:twoCellAnchor>
  <xdr:twoCellAnchor>
    <xdr:from>
      <xdr:col>1</xdr:col>
      <xdr:colOff>370763</xdr:colOff>
      <xdr:row>119</xdr:row>
      <xdr:rowOff>34984</xdr:rowOff>
    </xdr:from>
    <xdr:to>
      <xdr:col>13</xdr:col>
      <xdr:colOff>96370</xdr:colOff>
      <xdr:row>138</xdr:row>
      <xdr:rowOff>130233</xdr:rowOff>
    </xdr:to>
    <xdr:graphicFrame macro="">
      <xdr:nvGraphicFramePr>
        <xdr:cNvPr id="491" name="Chart 2">
          <a:extLst>
            <a:ext uri="{FF2B5EF4-FFF2-40B4-BE49-F238E27FC236}">
              <a16:creationId xmlns:a16="http://schemas.microsoft.com/office/drawing/2014/main" id="{0D68FE24-379A-52D5-8790-66A1720B7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307527</xdr:colOff>
      <xdr:row>27</xdr:row>
      <xdr:rowOff>105636</xdr:rowOff>
    </xdr:from>
    <xdr:to>
      <xdr:col>10</xdr:col>
      <xdr:colOff>857052</xdr:colOff>
      <xdr:row>30</xdr:row>
      <xdr:rowOff>84278</xdr:rowOff>
    </xdr:to>
    <xdr:pic>
      <xdr:nvPicPr>
        <xdr:cNvPr id="1358" name="Graphique 119">
          <a:extLst>
            <a:ext uri="{FF2B5EF4-FFF2-40B4-BE49-F238E27FC236}">
              <a16:creationId xmlns:a16="http://schemas.microsoft.com/office/drawing/2014/main" id="{640F8532-654A-771B-8A03-608106E68883}"/>
            </a:ext>
            <a:ext uri="{147F2762-F138-4A5C-976F-8EAC2B608ADB}">
              <a16:predDERef xmlns:a16="http://schemas.microsoft.com/office/drawing/2014/main" pred="{0D68FE24-379A-52D5-8790-66A1720B7A7F}"/>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704753" y="4531276"/>
          <a:ext cx="549525" cy="520328"/>
        </a:xfrm>
        <a:prstGeom prst="rect">
          <a:avLst/>
        </a:prstGeom>
      </xdr:spPr>
    </xdr:pic>
    <xdr:clientData/>
  </xdr:twoCellAnchor>
  <xdr:twoCellAnchor editAs="oneCell">
    <xdr:from>
      <xdr:col>17</xdr:col>
      <xdr:colOff>332474</xdr:colOff>
      <xdr:row>27</xdr:row>
      <xdr:rowOff>104775</xdr:rowOff>
    </xdr:from>
    <xdr:to>
      <xdr:col>17</xdr:col>
      <xdr:colOff>869049</xdr:colOff>
      <xdr:row>30</xdr:row>
      <xdr:rowOff>63500</xdr:rowOff>
    </xdr:to>
    <xdr:pic>
      <xdr:nvPicPr>
        <xdr:cNvPr id="1373" name="Image 4">
          <a:extLst>
            <a:ext uri="{FF2B5EF4-FFF2-40B4-BE49-F238E27FC236}">
              <a16:creationId xmlns:a16="http://schemas.microsoft.com/office/drawing/2014/main" id="{A66CA326-FE9A-2F0A-793F-812F755A4845}"/>
            </a:ext>
            <a:ext uri="{147F2762-F138-4A5C-976F-8EAC2B608ADB}">
              <a16:predDERef xmlns:a16="http://schemas.microsoft.com/office/drawing/2014/main" pred="{640F8532-654A-771B-8A03-608106E68883}"/>
            </a:ext>
          </a:extLst>
        </xdr:cNvPr>
        <xdr:cNvPicPr preferRelativeResize="0">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flipH="1">
          <a:off x="16046355" y="4417088"/>
          <a:ext cx="533400" cy="505252"/>
        </a:xfrm>
        <a:prstGeom prst="rect">
          <a:avLst/>
        </a:prstGeom>
      </xdr:spPr>
    </xdr:pic>
    <xdr:clientData/>
  </xdr:twoCellAnchor>
  <xdr:twoCellAnchor editAs="absolute">
    <xdr:from>
      <xdr:col>1</xdr:col>
      <xdr:colOff>180156</xdr:colOff>
      <xdr:row>33</xdr:row>
      <xdr:rowOff>28736</xdr:rowOff>
    </xdr:from>
    <xdr:to>
      <xdr:col>7</xdr:col>
      <xdr:colOff>221210</xdr:colOff>
      <xdr:row>35</xdr:row>
      <xdr:rowOff>169429</xdr:rowOff>
    </xdr:to>
    <xdr:sp macro="" textlink="Calcul!N6">
      <xdr:nvSpPr>
        <xdr:cNvPr id="460" name="Rectangle: Rounded Corners 6">
          <a:extLst>
            <a:ext uri="{FF2B5EF4-FFF2-40B4-BE49-F238E27FC236}">
              <a16:creationId xmlns:a16="http://schemas.microsoft.com/office/drawing/2014/main" id="{05A02972-3CA8-40A6-82DB-019FD6EEAE1D}"/>
            </a:ext>
          </a:extLst>
        </xdr:cNvPr>
        <xdr:cNvSpPr/>
      </xdr:nvSpPr>
      <xdr:spPr>
        <a:xfrm>
          <a:off x="1222422" y="6548743"/>
          <a:ext cx="5446636" cy="519095"/>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5F15F5B4-5D97-4DEF-8A8E-B8F7F0E028A7}" type="TxLink">
            <a:rPr lang="en-US" sz="1800" b="1" i="0" u="none" strike="noStrike" cap="none" spc="100" baseline="0" dirty="0" err="1">
              <a:solidFill>
                <a:sysClr val="windowText" lastClr="000000"/>
              </a:solidFill>
              <a:latin typeface="Avenir Next LT Pro Light"/>
              <a:ea typeface="+mj-ea"/>
              <a:cs typeface="+mj-cs"/>
            </a:rPr>
            <a:pPr marL="0" indent="0" algn="ctr">
              <a:spcBef>
                <a:spcPts val="600"/>
              </a:spcBef>
            </a:pPr>
            <a:t>#DIV/0!</a:t>
          </a:fld>
          <a:endParaRPr lang="en-US" sz="2800" b="1" i="0" u="none" strike="noStrike" cap="none" spc="100" baseline="0" dirty="0" err="1">
            <a:solidFill>
              <a:sysClr val="windowText" lastClr="000000"/>
            </a:solidFill>
            <a:latin typeface="+mj-lt"/>
            <a:ea typeface="+mj-ea"/>
            <a:cs typeface="+mj-cs"/>
          </a:endParaRPr>
        </a:p>
      </xdr:txBody>
    </xdr:sp>
    <xdr:clientData/>
  </xdr:twoCellAnchor>
  <xdr:twoCellAnchor editAs="absolute">
    <xdr:from>
      <xdr:col>1</xdr:col>
      <xdr:colOff>199367</xdr:colOff>
      <xdr:row>45</xdr:row>
      <xdr:rowOff>66994</xdr:rowOff>
    </xdr:from>
    <xdr:to>
      <xdr:col>7</xdr:col>
      <xdr:colOff>331053</xdr:colOff>
      <xdr:row>47</xdr:row>
      <xdr:rowOff>326</xdr:rowOff>
    </xdr:to>
    <xdr:sp macro="" textlink="Calcul!H37">
      <xdr:nvSpPr>
        <xdr:cNvPr id="1416" name="Rectangle: Rounded Corners 6">
          <a:extLst>
            <a:ext uri="{FF2B5EF4-FFF2-40B4-BE49-F238E27FC236}">
              <a16:creationId xmlns:a16="http://schemas.microsoft.com/office/drawing/2014/main" id="{1A8BF7F9-B984-4325-9B9E-0973A918B486}"/>
            </a:ext>
          </a:extLst>
        </xdr:cNvPr>
        <xdr:cNvSpPr/>
      </xdr:nvSpPr>
      <xdr:spPr>
        <a:xfrm>
          <a:off x="1234604" y="9633643"/>
          <a:ext cx="5509389" cy="45814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b" anchorCtr="0" forceAA="0" compatLnSpc="1">
          <a:prstTxWarp prst="textNoShape">
            <a:avLst/>
          </a:prstTxWarp>
          <a:noAutofit/>
        </a:bodyPr>
        <a:lstStyle/>
        <a:p>
          <a:pPr marL="0" indent="0" algn="ctr">
            <a:spcBef>
              <a:spcPts val="600"/>
            </a:spcBef>
          </a:pPr>
          <a:fld id="{77D9109A-4D91-4330-B319-AF4FA2FEEEEC}" type="TxLink">
            <a:rPr lang="en-US" sz="1100" b="0" i="0" u="none" strike="noStrike" cap="none" spc="100" baseline="0" dirty="0" err="1">
              <a:solidFill>
                <a:srgbClr val="000000"/>
              </a:solidFill>
              <a:latin typeface="Avenir Next LT Pro Light"/>
              <a:ea typeface="+mj-ea"/>
              <a:cs typeface="+mj-cs"/>
            </a:rPr>
            <a:pPr marL="0" indent="0" algn="ctr">
              <a:spcBef>
                <a:spcPts val="600"/>
              </a:spcBef>
            </a:pPr>
            <a:t>#DIV/0!</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editAs="absolute">
    <xdr:from>
      <xdr:col>1</xdr:col>
      <xdr:colOff>141377</xdr:colOff>
      <xdr:row>52</xdr:row>
      <xdr:rowOff>124303</xdr:rowOff>
    </xdr:from>
    <xdr:to>
      <xdr:col>7</xdr:col>
      <xdr:colOff>311163</xdr:colOff>
      <xdr:row>55</xdr:row>
      <xdr:rowOff>12217</xdr:rowOff>
    </xdr:to>
    <xdr:sp macro="" textlink="Calcul!H38">
      <xdr:nvSpPr>
        <xdr:cNvPr id="1411" name="Rectangle: Rounded Corners 6">
          <a:extLst>
            <a:ext uri="{FF2B5EF4-FFF2-40B4-BE49-F238E27FC236}">
              <a16:creationId xmlns:a16="http://schemas.microsoft.com/office/drawing/2014/main" id="{1FD19108-B38F-7F41-8A1B-94FC61A80A5E}"/>
            </a:ext>
          </a:extLst>
        </xdr:cNvPr>
        <xdr:cNvSpPr/>
      </xdr:nvSpPr>
      <xdr:spPr>
        <a:xfrm>
          <a:off x="1182964" y="11139125"/>
          <a:ext cx="5534789" cy="44820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5861D330-8DCB-4894-98D3-8F81312DF519}"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#DIV/0!</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oneCellAnchor>
    <xdr:from>
      <xdr:col>18</xdr:col>
      <xdr:colOff>606093</xdr:colOff>
      <xdr:row>1</xdr:row>
      <xdr:rowOff>239546</xdr:rowOff>
    </xdr:from>
    <xdr:ext cx="1085626" cy="600473"/>
    <xdr:pic>
      <xdr:nvPicPr>
        <xdr:cNvPr id="23" name="Picture 2" descr="Société nationale des chemins de fer français — Wikipédia">
          <a:extLst>
            <a:ext uri="{FF2B5EF4-FFF2-40B4-BE49-F238E27FC236}">
              <a16:creationId xmlns:a16="http://schemas.microsoft.com/office/drawing/2014/main" id="{37265F41-E554-4098-9070-20ECA29FB26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56543" y="417346"/>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absolute">
    <xdr:from>
      <xdr:col>8</xdr:col>
      <xdr:colOff>21787</xdr:colOff>
      <xdr:row>33</xdr:row>
      <xdr:rowOff>28736</xdr:rowOff>
    </xdr:from>
    <xdr:to>
      <xdr:col>14</xdr:col>
      <xdr:colOff>68969</xdr:colOff>
      <xdr:row>35</xdr:row>
      <xdr:rowOff>169429</xdr:rowOff>
    </xdr:to>
    <xdr:sp macro="" textlink="Calcul!N11">
      <xdr:nvSpPr>
        <xdr:cNvPr id="461" name="Rectangle: Rounded Corners 6">
          <a:extLst>
            <a:ext uri="{FF2B5EF4-FFF2-40B4-BE49-F238E27FC236}">
              <a16:creationId xmlns:a16="http://schemas.microsoft.com/office/drawing/2014/main" id="{E2821EB8-9196-4560-90B7-2848AB0EC0E3}"/>
            </a:ext>
          </a:extLst>
        </xdr:cNvPr>
        <xdr:cNvSpPr/>
      </xdr:nvSpPr>
      <xdr:spPr>
        <a:xfrm>
          <a:off x="7526332" y="6548743"/>
          <a:ext cx="5398212" cy="519095"/>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1C615951-3BA9-4C9E-A7DF-2CA81ED7D52C}" type="TxLink">
            <a:rPr lang="en-US" sz="1800" b="1" i="0" u="none" strike="noStrike" cap="none" spc="100" baseline="0" dirty="0" err="1">
              <a:solidFill>
                <a:sysClr val="windowText" lastClr="000000"/>
              </a:solidFill>
              <a:latin typeface="Avenir Next LT Pro Light"/>
              <a:ea typeface="+mj-ea"/>
              <a:cs typeface="+mj-cs"/>
            </a:rPr>
            <a:pPr marL="0" indent="0" algn="ctr">
              <a:spcBef>
                <a:spcPts val="600"/>
              </a:spcBef>
            </a:pPr>
            <a:t>#DIV/0!</a:t>
          </a:fld>
          <a:endParaRPr lang="en-US" sz="2800" b="1" i="0" u="none" strike="noStrike" cap="none" spc="100" baseline="0" dirty="0" err="1">
            <a:solidFill>
              <a:sysClr val="windowText" lastClr="000000"/>
            </a:solidFill>
            <a:latin typeface="+mj-lt"/>
            <a:ea typeface="+mj-ea"/>
            <a:cs typeface="+mj-cs"/>
          </a:endParaRPr>
        </a:p>
      </xdr:txBody>
    </xdr:sp>
    <xdr:clientData/>
  </xdr:twoCellAnchor>
  <xdr:twoCellAnchor>
    <xdr:from>
      <xdr:col>3</xdr:col>
      <xdr:colOff>587659</xdr:colOff>
      <xdr:row>48</xdr:row>
      <xdr:rowOff>143502</xdr:rowOff>
    </xdr:from>
    <xdr:to>
      <xdr:col>3</xdr:col>
      <xdr:colOff>1004875</xdr:colOff>
      <xdr:row>49</xdr:row>
      <xdr:rowOff>105397</xdr:rowOff>
    </xdr:to>
    <xdr:sp macro="" textlink="">
      <xdr:nvSpPr>
        <xdr:cNvPr id="471" name="Rectangle: Rounded Corners 6">
          <a:extLst>
            <a:ext uri="{FF2B5EF4-FFF2-40B4-BE49-F238E27FC236}">
              <a16:creationId xmlns:a16="http://schemas.microsoft.com/office/drawing/2014/main" id="{C3AE0EA6-FF6C-1020-E378-C952F7308AAF}"/>
            </a:ext>
          </a:extLst>
        </xdr:cNvPr>
        <xdr:cNvSpPr/>
      </xdr:nvSpPr>
      <xdr:spPr>
        <a:xfrm>
          <a:off x="3572933" y="9134173"/>
          <a:ext cx="417216" cy="147748"/>
        </a:xfrm>
        <a:prstGeom prst="roundRect">
          <a:avLst>
            <a:gd name="adj" fmla="val 6506"/>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t" anchorCtr="0" forceAA="0" compatLnSpc="1">
          <a:prstTxWarp prst="textNoShape">
            <a:avLst/>
          </a:prstTxWarp>
          <a:noAutofit/>
        </a:bodyPr>
        <a:lstStyle/>
        <a:p>
          <a:pPr algn="ctr">
            <a:spcBef>
              <a:spcPts val="600"/>
            </a:spcBef>
          </a:pPr>
          <a:r>
            <a:rPr lang="en-US" sz="1000" b="1" cap="all" spc="100" baseline="0" dirty="0" err="1">
              <a:solidFill>
                <a:schemeClr val="accent3">
                  <a:lumMod val="50000"/>
                </a:schemeClr>
              </a:solidFill>
              <a:latin typeface="+mj-lt"/>
              <a:ea typeface="+mj-ea"/>
              <a:cs typeface="+mj-cs"/>
            </a:rPr>
            <a:t>ou</a:t>
          </a:r>
        </a:p>
      </xdr:txBody>
    </xdr:sp>
    <xdr:clientData/>
  </xdr:twoCellAnchor>
  <xdr:twoCellAnchor>
    <xdr:from>
      <xdr:col>0</xdr:col>
      <xdr:colOff>807473</xdr:colOff>
      <xdr:row>41</xdr:row>
      <xdr:rowOff>26547</xdr:rowOff>
    </xdr:from>
    <xdr:to>
      <xdr:col>20</xdr:col>
      <xdr:colOff>216816</xdr:colOff>
      <xdr:row>45</xdr:row>
      <xdr:rowOff>40985</xdr:rowOff>
    </xdr:to>
    <xdr:grpSp>
      <xdr:nvGrpSpPr>
        <xdr:cNvPr id="1413" name="Groupe 59">
          <a:extLst>
            <a:ext uri="{FF2B5EF4-FFF2-40B4-BE49-F238E27FC236}">
              <a16:creationId xmlns:a16="http://schemas.microsoft.com/office/drawing/2014/main" id="{F224EED9-BCAC-6DCA-7D65-A9268F1EF6CC}"/>
            </a:ext>
          </a:extLst>
        </xdr:cNvPr>
        <xdr:cNvGrpSpPr/>
      </xdr:nvGrpSpPr>
      <xdr:grpSpPr>
        <a:xfrm>
          <a:off x="807473" y="8907728"/>
          <a:ext cx="18900315" cy="790549"/>
          <a:chOff x="678703" y="6056407"/>
          <a:chExt cx="11874874" cy="563095"/>
        </a:xfrm>
        <a:noFill/>
      </xdr:grpSpPr>
      <xdr:sp macro="" textlink="">
        <xdr:nvSpPr>
          <xdr:cNvPr id="1414" name="Rectangle: Rounded Corners 6">
            <a:extLst>
              <a:ext uri="{FF2B5EF4-FFF2-40B4-BE49-F238E27FC236}">
                <a16:creationId xmlns:a16="http://schemas.microsoft.com/office/drawing/2014/main" id="{8F1A1476-9C1D-4716-B4E1-40BFA67C1531}"/>
              </a:ext>
            </a:extLst>
          </xdr:cNvPr>
          <xdr:cNvSpPr/>
        </xdr:nvSpPr>
        <xdr:spPr>
          <a:xfrm>
            <a:off x="678703" y="6056407"/>
            <a:ext cx="11874874" cy="563095"/>
          </a:xfrm>
          <a:prstGeom prst="roundRect">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accent3">
                    <a:lumMod val="50000"/>
                  </a:schemeClr>
                </a:solidFill>
                <a:latin typeface="+mj-lt"/>
                <a:ea typeface="+mj-ea"/>
                <a:cs typeface="+mj-cs"/>
              </a:rPr>
              <a:t>EQUIVALENCES</a:t>
            </a:r>
          </a:p>
        </xdr:txBody>
      </xdr:sp>
      <xdr:pic>
        <xdr:nvPicPr>
          <xdr:cNvPr id="1415" name="Picture 19">
            <a:extLst>
              <a:ext uri="{FF2B5EF4-FFF2-40B4-BE49-F238E27FC236}">
                <a16:creationId xmlns:a16="http://schemas.microsoft.com/office/drawing/2014/main" id="{FD9FEEB6-B969-4321-B027-F31B1669817F}"/>
              </a:ext>
            </a:extLst>
          </xdr:cNvPr>
          <xdr:cNvPicPr>
            <a:picLocks noChangeAspect="1"/>
          </xdr:cNvPicPr>
        </xdr:nvPicPr>
        <xdr:blipFill>
          <a:blip xmlns:r="http://schemas.openxmlformats.org/officeDocument/2006/relationships" r:embed="rId5">
            <a:duotone>
              <a:schemeClr val="accent6">
                <a:shade val="45000"/>
                <a:satMod val="135000"/>
              </a:schemeClr>
              <a:prstClr val="white"/>
            </a:duotone>
          </a:blip>
          <a:stretch>
            <a:fillRect/>
          </a:stretch>
        </xdr:blipFill>
        <xdr:spPr>
          <a:xfrm>
            <a:off x="5598569" y="6125598"/>
            <a:ext cx="419335" cy="424713"/>
          </a:xfrm>
          <a:prstGeom prst="rect">
            <a:avLst/>
          </a:prstGeom>
          <a:grpFill/>
        </xdr:spPr>
      </xdr:pic>
    </xdr:grpSp>
    <xdr:clientData/>
  </xdr:twoCellAnchor>
  <xdr:twoCellAnchor editAs="absolute">
    <xdr:from>
      <xdr:col>7</xdr:col>
      <xdr:colOff>1026606</xdr:colOff>
      <xdr:row>45</xdr:row>
      <xdr:rowOff>47326</xdr:rowOff>
    </xdr:from>
    <xdr:to>
      <xdr:col>14</xdr:col>
      <xdr:colOff>236630</xdr:colOff>
      <xdr:row>47</xdr:row>
      <xdr:rowOff>16988</xdr:rowOff>
    </xdr:to>
    <xdr:sp macro="" textlink="Calcul!H42">
      <xdr:nvSpPr>
        <xdr:cNvPr id="1374" name="Rectangle: Rounded Corners 6">
          <a:extLst>
            <a:ext uri="{FF2B5EF4-FFF2-40B4-BE49-F238E27FC236}">
              <a16:creationId xmlns:a16="http://schemas.microsoft.com/office/drawing/2014/main" id="{89041001-3258-49C6-8B54-D8B0CA4DE25D}"/>
            </a:ext>
            <a:ext uri="{147F2762-F138-4A5C-976F-8EAC2B608ADB}">
              <a16:predDERef xmlns:a16="http://schemas.microsoft.com/office/drawing/2014/main" pred="{F224EED9-BCAC-6DCA-7D65-A9268F1EF6CC}"/>
            </a:ext>
          </a:extLst>
        </xdr:cNvPr>
        <xdr:cNvSpPr/>
      </xdr:nvSpPr>
      <xdr:spPr>
        <a:xfrm>
          <a:off x="7436371" y="9620325"/>
          <a:ext cx="5578140" cy="48177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3F159249-3ED6-4BA1-951E-E2425D674683}"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#DIV/0!</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editAs="absolute">
    <xdr:from>
      <xdr:col>7</xdr:col>
      <xdr:colOff>1018724</xdr:colOff>
      <xdr:row>52</xdr:row>
      <xdr:rowOff>93488</xdr:rowOff>
    </xdr:from>
    <xdr:to>
      <xdr:col>14</xdr:col>
      <xdr:colOff>160841</xdr:colOff>
      <xdr:row>55</xdr:row>
      <xdr:rowOff>452</xdr:rowOff>
    </xdr:to>
    <xdr:sp macro="" textlink="Calcul!H43">
      <xdr:nvSpPr>
        <xdr:cNvPr id="1410" name="Rectangle: Rounded Corners 6">
          <a:extLst>
            <a:ext uri="{FF2B5EF4-FFF2-40B4-BE49-F238E27FC236}">
              <a16:creationId xmlns:a16="http://schemas.microsoft.com/office/drawing/2014/main" id="{32E19813-B921-4CA1-ABE0-80AF4EBDDD2B}"/>
            </a:ext>
          </a:extLst>
        </xdr:cNvPr>
        <xdr:cNvSpPr/>
      </xdr:nvSpPr>
      <xdr:spPr>
        <a:xfrm>
          <a:off x="7431664" y="11105135"/>
          <a:ext cx="5500708" cy="46725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D9A727E3-5E88-419B-9131-B5F88E45A0AA}"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#DIV/0!</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xdr:from>
      <xdr:col>10</xdr:col>
      <xdr:colOff>419804</xdr:colOff>
      <xdr:row>48</xdr:row>
      <xdr:rowOff>143596</xdr:rowOff>
    </xdr:from>
    <xdr:to>
      <xdr:col>10</xdr:col>
      <xdr:colOff>744775</xdr:colOff>
      <xdr:row>49</xdr:row>
      <xdr:rowOff>105304</xdr:rowOff>
    </xdr:to>
    <xdr:sp macro="" textlink="">
      <xdr:nvSpPr>
        <xdr:cNvPr id="472" name="Rectangle: Rounded Corners 6">
          <a:extLst>
            <a:ext uri="{FF2B5EF4-FFF2-40B4-BE49-F238E27FC236}">
              <a16:creationId xmlns:a16="http://schemas.microsoft.com/office/drawing/2014/main" id="{6682096D-8200-45FB-82D5-3A35EF69228D}"/>
            </a:ext>
          </a:extLst>
        </xdr:cNvPr>
        <xdr:cNvSpPr/>
      </xdr:nvSpPr>
      <xdr:spPr>
        <a:xfrm>
          <a:off x="9817030" y="9134267"/>
          <a:ext cx="324971" cy="147561"/>
        </a:xfrm>
        <a:prstGeom prst="roundRect">
          <a:avLst>
            <a:gd name="adj" fmla="val 6506"/>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t" anchorCtr="0" forceAA="0" compatLnSpc="1">
          <a:prstTxWarp prst="textNoShape">
            <a:avLst/>
          </a:prstTxWarp>
          <a:noAutofit/>
        </a:bodyPr>
        <a:lstStyle/>
        <a:p>
          <a:pPr algn="ctr">
            <a:spcBef>
              <a:spcPts val="600"/>
            </a:spcBef>
          </a:pPr>
          <a:r>
            <a:rPr lang="en-US" sz="1000" b="1" cap="all" spc="100" baseline="0" dirty="0" err="1">
              <a:solidFill>
                <a:schemeClr val="accent3">
                  <a:lumMod val="50000"/>
                </a:schemeClr>
              </a:solidFill>
              <a:latin typeface="+mj-lt"/>
              <a:ea typeface="+mj-ea"/>
              <a:cs typeface="+mj-cs"/>
            </a:rPr>
            <a:t>ou</a:t>
          </a:r>
        </a:p>
      </xdr:txBody>
    </xdr:sp>
    <xdr:clientData/>
  </xdr:twoCellAnchor>
  <xdr:twoCellAnchor editAs="absolute">
    <xdr:from>
      <xdr:col>14</xdr:col>
      <xdr:colOff>752330</xdr:colOff>
      <xdr:row>45</xdr:row>
      <xdr:rowOff>82840</xdr:rowOff>
    </xdr:from>
    <xdr:to>
      <xdr:col>20</xdr:col>
      <xdr:colOff>276649</xdr:colOff>
      <xdr:row>47</xdr:row>
      <xdr:rowOff>45292</xdr:rowOff>
    </xdr:to>
    <xdr:sp macro="" textlink="Calcul!H47">
      <xdr:nvSpPr>
        <xdr:cNvPr id="1375" name="Rectangle: Rounded Corners 6">
          <a:extLst>
            <a:ext uri="{FF2B5EF4-FFF2-40B4-BE49-F238E27FC236}">
              <a16:creationId xmlns:a16="http://schemas.microsoft.com/office/drawing/2014/main" id="{0AE047F9-81CF-4CAC-BA4D-D0F83582DCE4}"/>
            </a:ext>
            <a:ext uri="{147F2762-F138-4A5C-976F-8EAC2B608ADB}">
              <a16:predDERef xmlns:a16="http://schemas.microsoft.com/office/drawing/2014/main" pred="{6682096D-8200-45FB-82D5-3A35EF69228D}"/>
            </a:ext>
          </a:extLst>
        </xdr:cNvPr>
        <xdr:cNvSpPr/>
      </xdr:nvSpPr>
      <xdr:spPr>
        <a:xfrm>
          <a:off x="13523861" y="9649489"/>
          <a:ext cx="5538142" cy="475927"/>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CC8C5F9A-55BC-4B4B-8E5B-FEDF0D0FE4DA}"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#DIV/0!</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editAs="absolute">
    <xdr:from>
      <xdr:col>14</xdr:col>
      <xdr:colOff>773748</xdr:colOff>
      <xdr:row>52</xdr:row>
      <xdr:rowOff>123369</xdr:rowOff>
    </xdr:from>
    <xdr:to>
      <xdr:col>20</xdr:col>
      <xdr:colOff>221614</xdr:colOff>
      <xdr:row>55</xdr:row>
      <xdr:rowOff>27158</xdr:rowOff>
    </xdr:to>
    <xdr:sp macro="" textlink="Calcul!H48">
      <xdr:nvSpPr>
        <xdr:cNvPr id="1409" name="Rectangle: Rounded Corners 6">
          <a:extLst>
            <a:ext uri="{FF2B5EF4-FFF2-40B4-BE49-F238E27FC236}">
              <a16:creationId xmlns:a16="http://schemas.microsoft.com/office/drawing/2014/main" id="{9828090F-03F8-499A-8C98-192A6D11D071}"/>
            </a:ext>
          </a:extLst>
        </xdr:cNvPr>
        <xdr:cNvSpPr/>
      </xdr:nvSpPr>
      <xdr:spPr>
        <a:xfrm>
          <a:off x="13545279" y="11131841"/>
          <a:ext cx="5461689" cy="470433"/>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b" anchorCtr="0" forceAA="0" compatLnSpc="1">
          <a:prstTxWarp prst="textNoShape">
            <a:avLst/>
          </a:prstTxWarp>
          <a:noAutofit/>
        </a:bodyPr>
        <a:lstStyle/>
        <a:p>
          <a:pPr marL="0" indent="0" algn="ctr">
            <a:spcBef>
              <a:spcPts val="600"/>
            </a:spcBef>
          </a:pPr>
          <a:fld id="{AA0DE467-6359-4B85-B8B0-B9B89C72A55C}"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#DIV/0!</a:t>
          </a:fld>
          <a:endParaRPr lang="en-US" sz="1200" b="1" i="0" u="none" strike="noStrike" cap="none" spc="100" baseline="0" dirty="0" err="1">
            <a:solidFill>
              <a:schemeClr val="accent3">
                <a:lumMod val="50000"/>
              </a:schemeClr>
            </a:solidFill>
            <a:latin typeface="+mj-lt"/>
            <a:ea typeface="+mj-ea"/>
            <a:cs typeface="+mj-cs"/>
          </a:endParaRPr>
        </a:p>
      </xdr:txBody>
    </xdr:sp>
    <xdr:clientData/>
  </xdr:twoCellAnchor>
  <xdr:twoCellAnchor>
    <xdr:from>
      <xdr:col>17</xdr:col>
      <xdr:colOff>313315</xdr:colOff>
      <xdr:row>48</xdr:row>
      <xdr:rowOff>124203</xdr:rowOff>
    </xdr:from>
    <xdr:to>
      <xdr:col>17</xdr:col>
      <xdr:colOff>770220</xdr:colOff>
      <xdr:row>49</xdr:row>
      <xdr:rowOff>124696</xdr:rowOff>
    </xdr:to>
    <xdr:sp macro="" textlink="">
      <xdr:nvSpPr>
        <xdr:cNvPr id="474" name="Rectangle: Rounded Corners 6">
          <a:extLst>
            <a:ext uri="{FF2B5EF4-FFF2-40B4-BE49-F238E27FC236}">
              <a16:creationId xmlns:a16="http://schemas.microsoft.com/office/drawing/2014/main" id="{AA6E59BE-8AC1-4FB8-88CD-6975CD1544F0}"/>
            </a:ext>
          </a:extLst>
        </xdr:cNvPr>
        <xdr:cNvSpPr/>
      </xdr:nvSpPr>
      <xdr:spPr>
        <a:xfrm>
          <a:off x="15843711" y="9114874"/>
          <a:ext cx="456905" cy="186346"/>
        </a:xfrm>
        <a:prstGeom prst="roundRect">
          <a:avLst>
            <a:gd name="adj" fmla="val 6506"/>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t" anchorCtr="0" forceAA="0" compatLnSpc="1">
          <a:prstTxWarp prst="textNoShape">
            <a:avLst/>
          </a:prstTxWarp>
          <a:noAutofit/>
        </a:bodyPr>
        <a:lstStyle/>
        <a:p>
          <a:pPr algn="ctr">
            <a:spcBef>
              <a:spcPts val="600"/>
            </a:spcBef>
          </a:pPr>
          <a:r>
            <a:rPr lang="en-US" sz="1000" b="1" cap="all" spc="100" baseline="0" dirty="0" err="1">
              <a:solidFill>
                <a:schemeClr val="accent3">
                  <a:lumMod val="50000"/>
                </a:schemeClr>
              </a:solidFill>
              <a:latin typeface="+mj-lt"/>
              <a:ea typeface="+mj-ea"/>
              <a:cs typeface="+mj-cs"/>
            </a:rPr>
            <a:t>ou</a:t>
          </a:r>
        </a:p>
      </xdr:txBody>
    </xdr:sp>
    <xdr:clientData/>
  </xdr:twoCellAnchor>
  <xdr:twoCellAnchor>
    <xdr:from>
      <xdr:col>1</xdr:col>
      <xdr:colOff>123157</xdr:colOff>
      <xdr:row>109</xdr:row>
      <xdr:rowOff>64340</xdr:rowOff>
    </xdr:from>
    <xdr:to>
      <xdr:col>20</xdr:col>
      <xdr:colOff>183936</xdr:colOff>
      <xdr:row>112</xdr:row>
      <xdr:rowOff>64316</xdr:rowOff>
    </xdr:to>
    <xdr:sp macro="" textlink="">
      <xdr:nvSpPr>
        <xdr:cNvPr id="3" name="Rectangle: Rounded Corners 6">
          <a:extLst>
            <a:ext uri="{FF2B5EF4-FFF2-40B4-BE49-F238E27FC236}">
              <a16:creationId xmlns:a16="http://schemas.microsoft.com/office/drawing/2014/main" id="{F53F1745-D5C1-EADA-E869-8B991293A3A9}"/>
            </a:ext>
          </a:extLst>
        </xdr:cNvPr>
        <xdr:cNvSpPr/>
      </xdr:nvSpPr>
      <xdr:spPr>
        <a:xfrm>
          <a:off x="1019628" y="20248936"/>
          <a:ext cx="17906146" cy="546262"/>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répartition de LA CONSOMMATION ELECTRIQUE A l'usage par équipement du centre de données</a:t>
          </a:r>
        </a:p>
      </xdr:txBody>
    </xdr:sp>
    <xdr:clientData/>
  </xdr:twoCellAnchor>
  <xdr:twoCellAnchor>
    <xdr:from>
      <xdr:col>1</xdr:col>
      <xdr:colOff>57148</xdr:colOff>
      <xdr:row>143</xdr:row>
      <xdr:rowOff>140337</xdr:rowOff>
    </xdr:from>
    <xdr:to>
      <xdr:col>20</xdr:col>
      <xdr:colOff>102052</xdr:colOff>
      <xdr:row>147</xdr:row>
      <xdr:rowOff>42630</xdr:rowOff>
    </xdr:to>
    <xdr:sp macro="" textlink="">
      <xdr:nvSpPr>
        <xdr:cNvPr id="1235" name="Rectangle: Rounded Corners 6">
          <a:extLst>
            <a:ext uri="{FF2B5EF4-FFF2-40B4-BE49-F238E27FC236}">
              <a16:creationId xmlns:a16="http://schemas.microsoft.com/office/drawing/2014/main" id="{65DF44CD-2220-44B7-A7F9-E22F4B76C94B}"/>
            </a:ext>
          </a:extLst>
        </xdr:cNvPr>
        <xdr:cNvSpPr/>
      </xdr:nvSpPr>
      <xdr:spPr>
        <a:xfrm>
          <a:off x="955219" y="25925873"/>
          <a:ext cx="17870262" cy="609864"/>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Comparaison avec des modèles IA alternatifs</a:t>
          </a:r>
        </a:p>
      </xdr:txBody>
    </xdr:sp>
    <xdr:clientData/>
  </xdr:twoCellAnchor>
  <xdr:twoCellAnchor>
    <xdr:from>
      <xdr:col>1</xdr:col>
      <xdr:colOff>225778</xdr:colOff>
      <xdr:row>158</xdr:row>
      <xdr:rowOff>91688</xdr:rowOff>
    </xdr:from>
    <xdr:to>
      <xdr:col>19</xdr:col>
      <xdr:colOff>933461</xdr:colOff>
      <xdr:row>177</xdr:row>
      <xdr:rowOff>92133</xdr:rowOff>
    </xdr:to>
    <xdr:sp macro="" textlink="">
      <xdr:nvSpPr>
        <xdr:cNvPr id="1241" name="Rectangle: Rounded Corners 6">
          <a:extLst>
            <a:ext uri="{FF2B5EF4-FFF2-40B4-BE49-F238E27FC236}">
              <a16:creationId xmlns:a16="http://schemas.microsoft.com/office/drawing/2014/main" id="{EEAB03EB-9BD3-49D2-9355-16FB97A0E4E6}"/>
            </a:ext>
          </a:extLst>
        </xdr:cNvPr>
        <xdr:cNvSpPr/>
      </xdr:nvSpPr>
      <xdr:spPr>
        <a:xfrm>
          <a:off x="1123849" y="28530617"/>
          <a:ext cx="17485291" cy="3361409"/>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1</xdr:col>
      <xdr:colOff>558800</xdr:colOff>
      <xdr:row>159</xdr:row>
      <xdr:rowOff>25839</xdr:rowOff>
    </xdr:from>
    <xdr:to>
      <xdr:col>19</xdr:col>
      <xdr:colOff>254000</xdr:colOff>
      <xdr:row>172</xdr:row>
      <xdr:rowOff>173699</xdr:rowOff>
    </xdr:to>
    <xdr:graphicFrame macro="">
      <xdr:nvGraphicFramePr>
        <xdr:cNvPr id="504" name="Graphique 46">
          <a:extLst>
            <a:ext uri="{FF2B5EF4-FFF2-40B4-BE49-F238E27FC236}">
              <a16:creationId xmlns:a16="http://schemas.microsoft.com/office/drawing/2014/main" id="{606F8B24-0F19-4A66-97D9-BA816CDC02A6}"/>
            </a:ext>
            <a:ext uri="{147F2762-F138-4A5C-976F-8EAC2B608ADB}">
              <a16:predDERef xmlns:a16="http://schemas.microsoft.com/office/drawing/2014/main" pred="{EEAB03EB-9BD3-49D2-9355-16FB97A0E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838201</xdr:colOff>
      <xdr:row>7</xdr:row>
      <xdr:rowOff>57150</xdr:rowOff>
    </xdr:from>
    <xdr:to>
      <xdr:col>20</xdr:col>
      <xdr:colOff>63501</xdr:colOff>
      <xdr:row>9</xdr:row>
      <xdr:rowOff>21672</xdr:rowOff>
    </xdr:to>
    <xdr:sp macro="" textlink="">
      <xdr:nvSpPr>
        <xdr:cNvPr id="48" name="Rectangle: Rounded Corners 6">
          <a:extLst>
            <a:ext uri="{FF2B5EF4-FFF2-40B4-BE49-F238E27FC236}">
              <a16:creationId xmlns:a16="http://schemas.microsoft.com/office/drawing/2014/main" id="{B2078DEB-54E2-4C1E-A5C7-4035E520BD67}"/>
            </a:ext>
          </a:extLst>
        </xdr:cNvPr>
        <xdr:cNvSpPr/>
      </xdr:nvSpPr>
      <xdr:spPr>
        <a:xfrm>
          <a:off x="838201" y="1676400"/>
          <a:ext cx="17948729" cy="318308"/>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RECAPITULATIF DE MON PROJET</a:t>
          </a:r>
        </a:p>
      </xdr:txBody>
    </xdr:sp>
    <xdr:clientData/>
  </xdr:twoCellAnchor>
  <xdr:twoCellAnchor>
    <xdr:from>
      <xdr:col>8</xdr:col>
      <xdr:colOff>172001</xdr:colOff>
      <xdr:row>10</xdr:row>
      <xdr:rowOff>2408</xdr:rowOff>
    </xdr:from>
    <xdr:to>
      <xdr:col>10</xdr:col>
      <xdr:colOff>228737</xdr:colOff>
      <xdr:row>11</xdr:row>
      <xdr:rowOff>132787</xdr:rowOff>
    </xdr:to>
    <xdr:sp macro="" textlink="'⚙️Données'!J26">
      <xdr:nvSpPr>
        <xdr:cNvPr id="50" name="Rectangle: Rounded Corners 6">
          <a:extLst>
            <a:ext uri="{FF2B5EF4-FFF2-40B4-BE49-F238E27FC236}">
              <a16:creationId xmlns:a16="http://schemas.microsoft.com/office/drawing/2014/main" id="{D80C8DF0-1F6C-87BA-F66F-E72444778D38}"/>
            </a:ext>
          </a:extLst>
        </xdr:cNvPr>
        <xdr:cNvSpPr/>
      </xdr:nvSpPr>
      <xdr:spPr>
        <a:xfrm>
          <a:off x="7518675" y="2180734"/>
          <a:ext cx="2160519" cy="31259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D0D46E05-5C5C-43A6-8FEF-314DFC8F2719}"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 </a:t>
          </a:fld>
          <a:endParaRPr lang="en-US" sz="1200" b="1" i="0" u="none" strike="noStrike" cap="all" spc="100" baseline="0" dirty="0" err="1">
            <a:solidFill>
              <a:schemeClr val="accent3">
                <a:lumMod val="50000"/>
              </a:schemeClr>
            </a:solidFill>
            <a:latin typeface="+mj-lt"/>
            <a:ea typeface="+mj-ea"/>
            <a:cs typeface="+mj-cs"/>
          </a:endParaRPr>
        </a:p>
      </xdr:txBody>
    </xdr:sp>
    <xdr:clientData/>
  </xdr:twoCellAnchor>
  <xdr:twoCellAnchor>
    <xdr:from>
      <xdr:col>3</xdr:col>
      <xdr:colOff>892266</xdr:colOff>
      <xdr:row>10</xdr:row>
      <xdr:rowOff>0</xdr:rowOff>
    </xdr:from>
    <xdr:to>
      <xdr:col>7</xdr:col>
      <xdr:colOff>937708</xdr:colOff>
      <xdr:row>11</xdr:row>
      <xdr:rowOff>135197</xdr:rowOff>
    </xdr:to>
    <xdr:sp macro="" textlink="">
      <xdr:nvSpPr>
        <xdr:cNvPr id="51" name="Rectangle: Rounded Corners 6">
          <a:extLst>
            <a:ext uri="{FF2B5EF4-FFF2-40B4-BE49-F238E27FC236}">
              <a16:creationId xmlns:a16="http://schemas.microsoft.com/office/drawing/2014/main" id="{EE3EFFB8-E15E-2457-AA69-41C770AED136}"/>
            </a:ext>
          </a:extLst>
        </xdr:cNvPr>
        <xdr:cNvSpPr/>
      </xdr:nvSpPr>
      <xdr:spPr>
        <a:xfrm>
          <a:off x="3885837" y="2149929"/>
          <a:ext cx="3338371" cy="312089"/>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r">
            <a:spcBef>
              <a:spcPts val="600"/>
            </a:spcBef>
          </a:pPr>
          <a:r>
            <a:rPr lang="en-US" sz="1200" b="0" i="0" u="none" strike="noStrike" cap="all" spc="100" baseline="0" dirty="0" err="1">
              <a:solidFill>
                <a:schemeClr val="tx1"/>
              </a:solidFill>
              <a:latin typeface="Avenir Next LT Pro"/>
              <a:ea typeface="+mj-ea"/>
              <a:cs typeface="+mj-cs"/>
            </a:rPr>
            <a:t>MON projet mobilise</a:t>
          </a:r>
        </a:p>
      </xdr:txBody>
    </xdr:sp>
    <xdr:clientData/>
  </xdr:twoCellAnchor>
  <xdr:twoCellAnchor>
    <xdr:from>
      <xdr:col>10</xdr:col>
      <xdr:colOff>403674</xdr:colOff>
      <xdr:row>10</xdr:row>
      <xdr:rowOff>1575</xdr:rowOff>
    </xdr:from>
    <xdr:to>
      <xdr:col>11</xdr:col>
      <xdr:colOff>346042</xdr:colOff>
      <xdr:row>11</xdr:row>
      <xdr:rowOff>133621</xdr:rowOff>
    </xdr:to>
    <xdr:sp macro="" textlink="">
      <xdr:nvSpPr>
        <xdr:cNvPr id="52" name="Rectangle: Rounded Corners 6">
          <a:extLst>
            <a:ext uri="{FF2B5EF4-FFF2-40B4-BE49-F238E27FC236}">
              <a16:creationId xmlns:a16="http://schemas.microsoft.com/office/drawing/2014/main" id="{2A71E956-1770-EA84-51C9-29E460C4B48D}"/>
            </a:ext>
          </a:extLst>
        </xdr:cNvPr>
        <xdr:cNvSpPr/>
      </xdr:nvSpPr>
      <xdr:spPr>
        <a:xfrm>
          <a:off x="9854131" y="2179901"/>
          <a:ext cx="994259" cy="31426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DE</a:t>
          </a:r>
        </a:p>
      </xdr:txBody>
    </xdr:sp>
    <xdr:clientData/>
  </xdr:twoCellAnchor>
  <xdr:twoCellAnchor>
    <xdr:from>
      <xdr:col>11</xdr:col>
      <xdr:colOff>220295</xdr:colOff>
      <xdr:row>10</xdr:row>
      <xdr:rowOff>2408</xdr:rowOff>
    </xdr:from>
    <xdr:to>
      <xdr:col>14</xdr:col>
      <xdr:colOff>695739</xdr:colOff>
      <xdr:row>11</xdr:row>
      <xdr:rowOff>132787</xdr:rowOff>
    </xdr:to>
    <xdr:sp macro="" textlink="'⚙️Données'!F26">
      <xdr:nvSpPr>
        <xdr:cNvPr id="53" name="Rectangle: Rounded Corners 6">
          <a:extLst>
            <a:ext uri="{FF2B5EF4-FFF2-40B4-BE49-F238E27FC236}">
              <a16:creationId xmlns:a16="http://schemas.microsoft.com/office/drawing/2014/main" id="{B54FBE93-BF9C-D7D7-8AEB-E9E24BE3C819}"/>
            </a:ext>
          </a:extLst>
        </xdr:cNvPr>
        <xdr:cNvSpPr/>
      </xdr:nvSpPr>
      <xdr:spPr>
        <a:xfrm>
          <a:off x="10722643" y="2180734"/>
          <a:ext cx="2686900" cy="31259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35507881-B545-4E36-B0D7-763FBF648177}"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 </a:t>
          </a:fld>
          <a:endParaRPr lang="en-US" sz="1200" b="1" i="0" u="none" strike="noStrike" cap="all" spc="100" baseline="0" dirty="0" err="1">
            <a:solidFill>
              <a:schemeClr val="accent3">
                <a:lumMod val="50000"/>
              </a:schemeClr>
            </a:solidFill>
            <a:latin typeface="+mj-lt"/>
            <a:ea typeface="+mj-ea"/>
            <a:cs typeface="+mj-cs"/>
          </a:endParaRPr>
        </a:p>
      </xdr:txBody>
    </xdr:sp>
    <xdr:clientData/>
  </xdr:twoCellAnchor>
  <xdr:twoCellAnchor editAs="oneCell">
    <xdr:from>
      <xdr:col>5</xdr:col>
      <xdr:colOff>260948</xdr:colOff>
      <xdr:row>15</xdr:row>
      <xdr:rowOff>31708</xdr:rowOff>
    </xdr:from>
    <xdr:to>
      <xdr:col>8</xdr:col>
      <xdr:colOff>377825</xdr:colOff>
      <xdr:row>16</xdr:row>
      <xdr:rowOff>122309</xdr:rowOff>
    </xdr:to>
    <xdr:sp macro="" textlink="">
      <xdr:nvSpPr>
        <xdr:cNvPr id="54" name="Rectangle: Rounded Corners 6">
          <a:extLst>
            <a:ext uri="{FF2B5EF4-FFF2-40B4-BE49-F238E27FC236}">
              <a16:creationId xmlns:a16="http://schemas.microsoft.com/office/drawing/2014/main" id="{1E98750E-BF8C-4B72-8A2E-531789AA010B}"/>
            </a:ext>
          </a:extLst>
        </xdr:cNvPr>
        <xdr:cNvSpPr/>
      </xdr:nvSpPr>
      <xdr:spPr>
        <a:xfrm>
          <a:off x="5350019" y="3066101"/>
          <a:ext cx="2362056" cy="267494"/>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avec un volume d'usage annuel  équivalent à </a:t>
          </a:r>
        </a:p>
      </xdr:txBody>
    </xdr:sp>
    <xdr:clientData/>
  </xdr:twoCellAnchor>
  <xdr:twoCellAnchor editAs="oneCell">
    <xdr:from>
      <xdr:col>12</xdr:col>
      <xdr:colOff>61424</xdr:colOff>
      <xdr:row>15</xdr:row>
      <xdr:rowOff>30743</xdr:rowOff>
    </xdr:from>
    <xdr:to>
      <xdr:col>17</xdr:col>
      <xdr:colOff>59915</xdr:colOff>
      <xdr:row>16</xdr:row>
      <xdr:rowOff>169536</xdr:rowOff>
    </xdr:to>
    <xdr:sp macro="" textlink="">
      <xdr:nvSpPr>
        <xdr:cNvPr id="56" name="Rectangle: Rounded Corners 6">
          <a:extLst>
            <a:ext uri="{FF2B5EF4-FFF2-40B4-BE49-F238E27FC236}">
              <a16:creationId xmlns:a16="http://schemas.microsoft.com/office/drawing/2014/main" id="{2A8B3AC7-10DC-BD70-C718-3B218C87181B}"/>
            </a:ext>
          </a:extLst>
        </xdr:cNvPr>
        <xdr:cNvSpPr/>
      </xdr:nvSpPr>
      <xdr:spPr>
        <a:xfrm>
          <a:off x="11586674" y="3065136"/>
          <a:ext cx="4053420" cy="315686"/>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l">
            <a:spcBef>
              <a:spcPts val="600"/>
            </a:spcBef>
          </a:pPr>
          <a:r>
            <a:rPr lang="en-US" sz="1200" b="0" i="0" u="none" strike="noStrike" cap="all" spc="100" baseline="0" dirty="0" err="1">
              <a:solidFill>
                <a:schemeClr val="tx1"/>
              </a:solidFill>
              <a:latin typeface="Avenir Next LT Pro"/>
              <a:ea typeface="+mj-ea"/>
              <a:cs typeface="+mj-cs"/>
            </a:rPr>
            <a:t>TOKENS DE SORTIE</a:t>
          </a:r>
        </a:p>
      </xdr:txBody>
    </xdr:sp>
    <xdr:clientData/>
  </xdr:twoCellAnchor>
  <xdr:twoCellAnchor editAs="oneCell">
    <xdr:from>
      <xdr:col>5</xdr:col>
      <xdr:colOff>943917</xdr:colOff>
      <xdr:row>25</xdr:row>
      <xdr:rowOff>34745</xdr:rowOff>
    </xdr:from>
    <xdr:to>
      <xdr:col>14</xdr:col>
      <xdr:colOff>606843</xdr:colOff>
      <xdr:row>26</xdr:row>
      <xdr:rowOff>115326</xdr:rowOff>
    </xdr:to>
    <xdr:sp macro="" textlink="">
      <xdr:nvSpPr>
        <xdr:cNvPr id="5" name="Rectangle: Rounded Corners 6">
          <a:extLst>
            <a:ext uri="{FF2B5EF4-FFF2-40B4-BE49-F238E27FC236}">
              <a16:creationId xmlns:a16="http://schemas.microsoft.com/office/drawing/2014/main" id="{67AD909B-0C84-45B1-A356-769251B698E3}"/>
            </a:ext>
          </a:extLst>
        </xdr:cNvPr>
        <xdr:cNvSpPr/>
      </xdr:nvSpPr>
      <xdr:spPr>
        <a:xfrm>
          <a:off x="6163095" y="4940772"/>
          <a:ext cx="7204638" cy="26325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cela représente comme impact :</a:t>
          </a:r>
        </a:p>
      </xdr:txBody>
    </xdr:sp>
    <xdr:clientData/>
  </xdr:twoCellAnchor>
  <xdr:twoCellAnchor editAs="oneCell">
    <xdr:from>
      <xdr:col>3</xdr:col>
      <xdr:colOff>523875</xdr:colOff>
      <xdr:row>27</xdr:row>
      <xdr:rowOff>104775</xdr:rowOff>
    </xdr:from>
    <xdr:to>
      <xdr:col>3</xdr:col>
      <xdr:colOff>1016000</xdr:colOff>
      <xdr:row>30</xdr:row>
      <xdr:rowOff>44450</xdr:rowOff>
    </xdr:to>
    <xdr:pic>
      <xdr:nvPicPr>
        <xdr:cNvPr id="1369" name="Graphique 116">
          <a:extLst>
            <a:ext uri="{FF2B5EF4-FFF2-40B4-BE49-F238E27FC236}">
              <a16:creationId xmlns:a16="http://schemas.microsoft.com/office/drawing/2014/main" id="{9DA421AC-0873-D6E5-C40E-E6FFC556FBB8}"/>
            </a:ext>
            <a:ext uri="{147F2762-F138-4A5C-976F-8EAC2B608ADB}">
              <a16:predDERef xmlns:a16="http://schemas.microsoft.com/office/drawing/2014/main" pred="{67AD909B-0C84-45B1-A356-769251B698E3}"/>
            </a:ext>
          </a:extLst>
        </xdr:cNvPr>
        <xdr:cNvPicPr preferRelativeResize="0">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771900" y="4457700"/>
          <a:ext cx="495300" cy="495300"/>
        </a:xfrm>
        <a:prstGeom prst="rect">
          <a:avLst/>
        </a:prstGeom>
      </xdr:spPr>
    </xdr:pic>
    <xdr:clientData/>
  </xdr:twoCellAnchor>
  <xdr:twoCellAnchor>
    <xdr:from>
      <xdr:col>1</xdr:col>
      <xdr:colOff>295665</xdr:colOff>
      <xdr:row>149</xdr:row>
      <xdr:rowOff>78274</xdr:rowOff>
    </xdr:from>
    <xdr:to>
      <xdr:col>3</xdr:col>
      <xdr:colOff>800100</xdr:colOff>
      <xdr:row>157</xdr:row>
      <xdr:rowOff>86715</xdr:rowOff>
    </xdr:to>
    <xdr:sp macro="" textlink="">
      <xdr:nvSpPr>
        <xdr:cNvPr id="6" name="Rectangle: Rounded Corners 6">
          <a:extLst>
            <a:ext uri="{FF2B5EF4-FFF2-40B4-BE49-F238E27FC236}">
              <a16:creationId xmlns:a16="http://schemas.microsoft.com/office/drawing/2014/main" id="{C439A64A-3E27-44A7-9905-C56BDF682962}"/>
            </a:ext>
          </a:extLst>
        </xdr:cNvPr>
        <xdr:cNvSpPr/>
      </xdr:nvSpPr>
      <xdr:spPr>
        <a:xfrm>
          <a:off x="1193736" y="26925167"/>
          <a:ext cx="2599935" cy="1423584"/>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100" b="1" i="0" u="none" strike="noStrike" cap="all" spc="100" baseline="0" dirty="0" err="1">
              <a:solidFill>
                <a:srgbClr val="000000"/>
              </a:solidFill>
              <a:latin typeface="+mj-lt"/>
              <a:ea typeface="+mj-ea"/>
              <a:cs typeface="+mj-cs"/>
            </a:rPr>
            <a:t>RAPPEL DES impacts</a:t>
          </a:r>
          <a:br>
            <a:rPr lang="en-US" sz="1100" b="1" i="0" u="none" strike="noStrike" cap="all" spc="100" baseline="0" dirty="0" err="1">
              <a:solidFill>
                <a:srgbClr val="000000"/>
              </a:solidFill>
              <a:latin typeface="+mj-lt"/>
              <a:ea typeface="+mj-ea"/>
              <a:cs typeface="+mj-cs"/>
            </a:rPr>
          </a:br>
          <a:r>
            <a:rPr lang="en-US" sz="1100" b="1" i="0" u="none" strike="noStrike" cap="all" spc="100" baseline="0" dirty="0" err="1">
              <a:solidFill>
                <a:srgbClr val="000000"/>
              </a:solidFill>
              <a:latin typeface="+mj-lt"/>
              <a:ea typeface="+mj-ea"/>
              <a:cs typeface="+mj-cs"/>
            </a:rPr>
            <a:t>de mon projet : </a:t>
          </a:r>
        </a:p>
      </xdr:txBody>
    </xdr:sp>
    <xdr:clientData/>
  </xdr:twoCellAnchor>
  <xdr:twoCellAnchor editAs="oneCell">
    <xdr:from>
      <xdr:col>3</xdr:col>
      <xdr:colOff>458220</xdr:colOff>
      <xdr:row>43</xdr:row>
      <xdr:rowOff>107410</xdr:rowOff>
    </xdr:from>
    <xdr:to>
      <xdr:col>4</xdr:col>
      <xdr:colOff>88887</xdr:colOff>
      <xdr:row>46</xdr:row>
      <xdr:rowOff>115530</xdr:rowOff>
    </xdr:to>
    <xdr:pic>
      <xdr:nvPicPr>
        <xdr:cNvPr id="509" name="Picture 16">
          <a:extLst>
            <a:ext uri="{FF2B5EF4-FFF2-40B4-BE49-F238E27FC236}">
              <a16:creationId xmlns:a16="http://schemas.microsoft.com/office/drawing/2014/main" id="{1657A8DE-272D-7526-CB11-E79D48B6DA09}"/>
            </a:ext>
          </a:extLst>
        </xdr:cNvPr>
        <xdr:cNvPicPr>
          <a:picLocks noChangeAspect="1"/>
        </xdr:cNvPicPr>
      </xdr:nvPicPr>
      <xdr:blipFill>
        <a:blip xmlns:r="http://schemas.openxmlformats.org/officeDocument/2006/relationships" r:embed="rId8">
          <a:duotone>
            <a:schemeClr val="accent4">
              <a:shade val="45000"/>
              <a:satMod val="135000"/>
            </a:schemeClr>
            <a:prstClr val="white"/>
          </a:duotone>
        </a:blip>
        <a:stretch>
          <a:fillRect/>
        </a:stretch>
      </xdr:blipFill>
      <xdr:spPr>
        <a:xfrm>
          <a:off x="3471584" y="7571546"/>
          <a:ext cx="683901" cy="527666"/>
        </a:xfrm>
        <a:prstGeom prst="rect">
          <a:avLst/>
        </a:prstGeom>
      </xdr:spPr>
    </xdr:pic>
    <xdr:clientData/>
  </xdr:twoCellAnchor>
  <xdr:twoCellAnchor editAs="oneCell">
    <xdr:from>
      <xdr:col>17</xdr:col>
      <xdr:colOff>199934</xdr:colOff>
      <xdr:row>43</xdr:row>
      <xdr:rowOff>105535</xdr:rowOff>
    </xdr:from>
    <xdr:to>
      <xdr:col>17</xdr:col>
      <xdr:colOff>886776</xdr:colOff>
      <xdr:row>46</xdr:row>
      <xdr:rowOff>107881</xdr:rowOff>
    </xdr:to>
    <xdr:pic>
      <xdr:nvPicPr>
        <xdr:cNvPr id="511" name="Picture 23">
          <a:extLst>
            <a:ext uri="{FF2B5EF4-FFF2-40B4-BE49-F238E27FC236}">
              <a16:creationId xmlns:a16="http://schemas.microsoft.com/office/drawing/2014/main" id="{EC86A7E7-04B2-D1B5-973D-F88B48236EC8}"/>
            </a:ext>
          </a:extLst>
        </xdr:cNvPr>
        <xdr:cNvPicPr>
          <a:picLocks noChangeAspect="1"/>
        </xdr:cNvPicPr>
      </xdr:nvPicPr>
      <xdr:blipFill>
        <a:blip xmlns:r="http://schemas.openxmlformats.org/officeDocument/2006/relationships" r:embed="rId9">
          <a:duotone>
            <a:schemeClr val="accent1">
              <a:shade val="45000"/>
              <a:satMod val="135000"/>
            </a:schemeClr>
            <a:prstClr val="white"/>
          </a:duotone>
        </a:blip>
        <a:stretch>
          <a:fillRect/>
        </a:stretch>
      </xdr:blipFill>
      <xdr:spPr>
        <a:xfrm>
          <a:off x="15855570" y="7569671"/>
          <a:ext cx="683667" cy="518717"/>
        </a:xfrm>
        <a:prstGeom prst="rect">
          <a:avLst/>
        </a:prstGeom>
      </xdr:spPr>
    </xdr:pic>
    <xdr:clientData/>
  </xdr:twoCellAnchor>
  <xdr:twoCellAnchor editAs="oneCell">
    <xdr:from>
      <xdr:col>17</xdr:col>
      <xdr:colOff>217689</xdr:colOff>
      <xdr:row>50</xdr:row>
      <xdr:rowOff>56869</xdr:rowOff>
    </xdr:from>
    <xdr:to>
      <xdr:col>17</xdr:col>
      <xdr:colOff>869021</xdr:colOff>
      <xdr:row>53</xdr:row>
      <xdr:rowOff>105738</xdr:rowOff>
    </xdr:to>
    <xdr:pic>
      <xdr:nvPicPr>
        <xdr:cNvPr id="477" name="Picture 27">
          <a:extLst>
            <a:ext uri="{FF2B5EF4-FFF2-40B4-BE49-F238E27FC236}">
              <a16:creationId xmlns:a16="http://schemas.microsoft.com/office/drawing/2014/main" id="{D24ABACE-9146-A508-9456-1BCE59444659}"/>
            </a:ext>
          </a:extLst>
        </xdr:cNvPr>
        <xdr:cNvPicPr>
          <a:picLocks noChangeAspect="1"/>
        </xdr:cNvPicPr>
      </xdr:nvPicPr>
      <xdr:blipFill>
        <a:blip xmlns:r="http://schemas.openxmlformats.org/officeDocument/2006/relationships" r:embed="rId10">
          <a:duotone>
            <a:schemeClr val="accent1">
              <a:shade val="45000"/>
              <a:satMod val="135000"/>
            </a:schemeClr>
            <a:prstClr val="white"/>
          </a:duotone>
        </a:blip>
        <a:stretch>
          <a:fillRect/>
        </a:stretch>
      </xdr:blipFill>
      <xdr:spPr>
        <a:xfrm>
          <a:off x="15748085" y="9419247"/>
          <a:ext cx="648157" cy="603256"/>
        </a:xfrm>
        <a:prstGeom prst="rect">
          <a:avLst/>
        </a:prstGeom>
      </xdr:spPr>
    </xdr:pic>
    <xdr:clientData/>
  </xdr:twoCellAnchor>
  <xdr:twoCellAnchor editAs="oneCell">
    <xdr:from>
      <xdr:col>10</xdr:col>
      <xdr:colOff>273389</xdr:colOff>
      <xdr:row>43</xdr:row>
      <xdr:rowOff>113472</xdr:rowOff>
    </xdr:from>
    <xdr:to>
      <xdr:col>10</xdr:col>
      <xdr:colOff>888014</xdr:colOff>
      <xdr:row>46</xdr:row>
      <xdr:rowOff>106293</xdr:rowOff>
    </xdr:to>
    <xdr:pic>
      <xdr:nvPicPr>
        <xdr:cNvPr id="510" name="Picture 38">
          <a:extLst>
            <a:ext uri="{FF2B5EF4-FFF2-40B4-BE49-F238E27FC236}">
              <a16:creationId xmlns:a16="http://schemas.microsoft.com/office/drawing/2014/main" id="{BD3BA0FF-4E55-A0E4-D2F0-6A31F1A16C2C}"/>
            </a:ext>
          </a:extLst>
        </xdr:cNvPr>
        <xdr:cNvPicPr>
          <a:picLocks noChangeAspect="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rcRect/>
        <a:stretch/>
      </xdr:blipFill>
      <xdr:spPr>
        <a:xfrm>
          <a:off x="9763753" y="7577608"/>
          <a:ext cx="611450" cy="515542"/>
        </a:xfrm>
        <a:prstGeom prst="rect">
          <a:avLst/>
        </a:prstGeom>
      </xdr:spPr>
    </xdr:pic>
    <xdr:clientData/>
  </xdr:twoCellAnchor>
  <xdr:twoCellAnchor editAs="oneCell">
    <xdr:from>
      <xdr:col>10</xdr:col>
      <xdr:colOff>258624</xdr:colOff>
      <xdr:row>50</xdr:row>
      <xdr:rowOff>56869</xdr:rowOff>
    </xdr:from>
    <xdr:to>
      <xdr:col>10</xdr:col>
      <xdr:colOff>902779</xdr:colOff>
      <xdr:row>53</xdr:row>
      <xdr:rowOff>105738</xdr:rowOff>
    </xdr:to>
    <xdr:pic>
      <xdr:nvPicPr>
        <xdr:cNvPr id="476" name="Picture 42">
          <a:extLst>
            <a:ext uri="{FF2B5EF4-FFF2-40B4-BE49-F238E27FC236}">
              <a16:creationId xmlns:a16="http://schemas.microsoft.com/office/drawing/2014/main" id="{022D2952-03B1-C9D9-9CB5-4D18F2A2690D}"/>
            </a:ext>
          </a:extLst>
        </xdr:cNvPr>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9796075" y="10490791"/>
          <a:ext cx="647330" cy="605988"/>
        </a:xfrm>
        <a:prstGeom prst="rect">
          <a:avLst/>
        </a:prstGeom>
      </xdr:spPr>
    </xdr:pic>
    <xdr:clientData/>
  </xdr:twoCellAnchor>
  <xdr:twoCellAnchor>
    <xdr:from>
      <xdr:col>1</xdr:col>
      <xdr:colOff>355414</xdr:colOff>
      <xdr:row>113</xdr:row>
      <xdr:rowOff>74110</xdr:rowOff>
    </xdr:from>
    <xdr:to>
      <xdr:col>19</xdr:col>
      <xdr:colOff>896472</xdr:colOff>
      <xdr:row>117</xdr:row>
      <xdr:rowOff>144325</xdr:rowOff>
    </xdr:to>
    <xdr:sp macro="" textlink="">
      <xdr:nvSpPr>
        <xdr:cNvPr id="1244" name="Rectangle: Top Corners Rounded 60">
          <a:extLst>
            <a:ext uri="{FF2B5EF4-FFF2-40B4-BE49-F238E27FC236}">
              <a16:creationId xmlns:a16="http://schemas.microsoft.com/office/drawing/2014/main" id="{BE4DD61C-FD26-4E6F-9321-CFD566EE12A3}"/>
            </a:ext>
          </a:extLst>
        </xdr:cNvPr>
        <xdr:cNvSpPr/>
      </xdr:nvSpPr>
      <xdr:spPr>
        <a:xfrm>
          <a:off x="1251885" y="20987088"/>
          <a:ext cx="17335874" cy="798597"/>
        </a:xfrm>
        <a:prstGeom prst="round2SameRect">
          <a:avLst>
            <a:gd name="adj1" fmla="val 19566"/>
            <a:gd name="adj2" fmla="val 0"/>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400" baseline="0" dirty="0" err="1">
              <a:solidFill>
                <a:schemeClr val="tx1"/>
              </a:solidFill>
              <a:ea typeface="+mj-ea"/>
              <a:cs typeface="+mj-cs"/>
            </a:rPr>
            <a:t>Ce graphique détaille la </a:t>
          </a:r>
          <a:r>
            <a:rPr lang="en-US" sz="1400" b="1" baseline="0" dirty="0" err="1">
              <a:solidFill>
                <a:schemeClr val="tx1"/>
              </a:solidFill>
              <a:ea typeface="+mj-ea"/>
              <a:cs typeface="+mj-cs"/>
            </a:rPr>
            <a:t>répartition de la consommation d’électricité entre les principaux équipements d'un centre de données lors du traitement de la requête par le modèle</a:t>
          </a:r>
          <a:r>
            <a:rPr lang="en-US" sz="1400" baseline="0" dirty="0" err="1">
              <a:solidFill>
                <a:schemeClr val="tx1"/>
              </a:solidFill>
              <a:ea typeface="+mj-ea"/>
              <a:cs typeface="+mj-cs"/>
            </a:rPr>
            <a:t>.</a:t>
          </a:r>
          <a:br>
            <a:rPr lang="en-US" sz="1400" baseline="0" dirty="0" err="1">
              <a:solidFill>
                <a:schemeClr val="tx1"/>
              </a:solidFill>
              <a:ea typeface="+mj-ea"/>
              <a:cs typeface="+mj-cs"/>
            </a:rPr>
          </a:br>
          <a:r>
            <a:rPr lang="en-US" sz="1400" baseline="0" dirty="0" err="1">
              <a:solidFill>
                <a:schemeClr val="tx1"/>
              </a:solidFill>
              <a:ea typeface="+mj-ea"/>
              <a:cs typeface="+mj-cs"/>
            </a:rPr>
            <a:t> L’objectif est de visualiser quels éléments consomment le plus d'électricité lors de l'usage du modèle d’IA Générative.</a:t>
          </a:r>
        </a:p>
      </xdr:txBody>
    </xdr:sp>
    <xdr:clientData/>
  </xdr:twoCellAnchor>
  <xdr:oneCellAnchor>
    <xdr:from>
      <xdr:col>13</xdr:col>
      <xdr:colOff>76488</xdr:colOff>
      <xdr:row>140</xdr:row>
      <xdr:rowOff>98422</xdr:rowOff>
    </xdr:from>
    <xdr:ext cx="4959050" cy="259357"/>
    <xdr:sp macro="" textlink="">
      <xdr:nvSpPr>
        <xdr:cNvPr id="1382" name="TextBox 61">
          <a:extLst>
            <a:ext uri="{FF2B5EF4-FFF2-40B4-BE49-F238E27FC236}">
              <a16:creationId xmlns:a16="http://schemas.microsoft.com/office/drawing/2014/main" id="{D3B2723A-97A7-1085-E043-192CAA749E72}"/>
            </a:ext>
          </a:extLst>
        </xdr:cNvPr>
        <xdr:cNvSpPr txBox="1"/>
      </xdr:nvSpPr>
      <xdr:spPr>
        <a:xfrm>
          <a:off x="12669098" y="25998018"/>
          <a:ext cx="4959050" cy="259357"/>
        </a:xfrm>
        <a:prstGeom prst="rect">
          <a:avLst/>
        </a:prstGeom>
        <a:noFill/>
      </xdr:spPr>
      <xdr:txBody>
        <a:bodyPr vertOverflow="clip" horzOverflow="clip" wrap="none" lIns="0" tIns="36000" rIns="0" bIns="36000" rtlCol="0" anchor="t">
          <a:spAutoFit/>
        </a:bodyPr>
        <a:lstStyle/>
        <a:p>
          <a:pPr algn="l">
            <a:spcBef>
              <a:spcPts val="600"/>
            </a:spcBef>
          </a:pPr>
          <a:r>
            <a:rPr lang="en-US" sz="1200" dirty="0" err="1"/>
            <a:t>Schéma des différents</a:t>
          </a:r>
          <a:r>
            <a:rPr lang="en-US" sz="1200" baseline="0" dirty="0" err="1"/>
            <a:t> équipements composant un centre de données</a:t>
          </a:r>
          <a:endParaRPr lang="en-US" sz="1200" dirty="0" err="1"/>
        </a:p>
      </xdr:txBody>
    </xdr:sp>
    <xdr:clientData/>
  </xdr:oneCellAnchor>
  <xdr:twoCellAnchor editAs="oneCell">
    <xdr:from>
      <xdr:col>3</xdr:col>
      <xdr:colOff>504012</xdr:colOff>
      <xdr:row>50</xdr:row>
      <xdr:rowOff>87174</xdr:rowOff>
    </xdr:from>
    <xdr:to>
      <xdr:col>4</xdr:col>
      <xdr:colOff>46270</xdr:colOff>
      <xdr:row>53</xdr:row>
      <xdr:rowOff>78607</xdr:rowOff>
    </xdr:to>
    <xdr:pic>
      <xdr:nvPicPr>
        <xdr:cNvPr id="475" name="Image 1" descr="internet ">
          <a:extLst>
            <a:ext uri="{FF2B5EF4-FFF2-40B4-BE49-F238E27FC236}">
              <a16:creationId xmlns:a16="http://schemas.microsoft.com/office/drawing/2014/main" id="{82E47FD4-BA94-422B-F60C-536C9EE56981}"/>
            </a:ext>
          </a:extLst>
        </xdr:cNvPr>
        <xdr:cNvPicPr>
          <a:picLocks noChangeAspect="1" noChangeArrowheads="1"/>
        </xdr:cNvPicPr>
      </xdr:nvPicPr>
      <xdr:blipFill>
        <a:blip xmlns:r="http://schemas.openxmlformats.org/officeDocument/2006/relationships" r:embed="rId13" cstate="print">
          <a:duotone>
            <a:schemeClr val="accent4">
              <a:shade val="45000"/>
              <a:satMod val="135000"/>
            </a:schemeClr>
            <a:prstClr val="white"/>
          </a:duotone>
          <a:extLst>
            <a:ext uri="{BEBA8EAE-BF5A-486C-A8C5-ECC9F3942E4B}">
              <a14:imgProps xmlns:a14="http://schemas.microsoft.com/office/drawing/2010/main">
                <a14:imgLayer r:embed="rId14">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3489286" y="9449552"/>
          <a:ext cx="584510" cy="548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28918</xdr:colOff>
      <xdr:row>153</xdr:row>
      <xdr:rowOff>129597</xdr:rowOff>
    </xdr:from>
    <xdr:to>
      <xdr:col>7</xdr:col>
      <xdr:colOff>1019563</xdr:colOff>
      <xdr:row>155</xdr:row>
      <xdr:rowOff>83197</xdr:rowOff>
    </xdr:to>
    <xdr:sp macro="" textlink="">
      <xdr:nvSpPr>
        <xdr:cNvPr id="1359" name="Rectangle: Rounded Corners 6">
          <a:extLst>
            <a:ext uri="{FF2B5EF4-FFF2-40B4-BE49-F238E27FC236}">
              <a16:creationId xmlns:a16="http://schemas.microsoft.com/office/drawing/2014/main" id="{A96289C2-F070-1F3B-4858-E952CE2DDB1E}"/>
            </a:ext>
          </a:extLst>
        </xdr:cNvPr>
        <xdr:cNvSpPr/>
      </xdr:nvSpPr>
      <xdr:spPr>
        <a:xfrm>
          <a:off x="5117989" y="27684061"/>
          <a:ext cx="2188074" cy="307386"/>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100" b="1" i="0" u="none" strike="noStrike" cap="all" spc="100" baseline="0" dirty="0" err="1">
            <a:solidFill>
              <a:srgbClr val="000000"/>
            </a:solidFill>
            <a:latin typeface="+mj-lt"/>
            <a:ea typeface="+mj-ea"/>
            <a:cs typeface="+mj-cs"/>
          </a:endParaRPr>
        </a:p>
      </xdr:txBody>
    </xdr:sp>
    <xdr:clientData/>
  </xdr:twoCellAnchor>
  <xdr:twoCellAnchor>
    <xdr:from>
      <xdr:col>5</xdr:col>
      <xdr:colOff>620695</xdr:colOff>
      <xdr:row>153</xdr:row>
      <xdr:rowOff>81171</xdr:rowOff>
    </xdr:from>
    <xdr:to>
      <xdr:col>7</xdr:col>
      <xdr:colOff>437816</xdr:colOff>
      <xdr:row>155</xdr:row>
      <xdr:rowOff>117004</xdr:rowOff>
    </xdr:to>
    <xdr:pic>
      <xdr:nvPicPr>
        <xdr:cNvPr id="1360" name="Picture 2" descr="OpenAI AgentKit : le framework pour créer des agents IA autonomes |  Publications - VOID">
          <a:extLst>
            <a:ext uri="{FF2B5EF4-FFF2-40B4-BE49-F238E27FC236}">
              <a16:creationId xmlns:a16="http://schemas.microsoft.com/office/drawing/2014/main" id="{86D2D0EF-C8C7-F4D8-7089-295D53FAF216}"/>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15383" b="22234"/>
        <a:stretch>
          <a:fillRect/>
        </a:stretch>
      </xdr:blipFill>
      <xdr:spPr bwMode="auto">
        <a:xfrm>
          <a:off x="5709766" y="27635635"/>
          <a:ext cx="1014550" cy="389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179855</xdr:colOff>
      <xdr:row>154</xdr:row>
      <xdr:rowOff>20627</xdr:rowOff>
    </xdr:from>
    <xdr:to>
      <xdr:col>14</xdr:col>
      <xdr:colOff>839517</xdr:colOff>
      <xdr:row>155</xdr:row>
      <xdr:rowOff>34535</xdr:rowOff>
    </xdr:to>
    <xdr:pic>
      <xdr:nvPicPr>
        <xdr:cNvPr id="1385" name="Picture 8" descr="Anthropic logo">
          <a:extLst>
            <a:ext uri="{FF2B5EF4-FFF2-40B4-BE49-F238E27FC236}">
              <a16:creationId xmlns:a16="http://schemas.microsoft.com/office/drawing/2014/main" id="{B7311ADF-3DC1-1E5D-5A0E-43224792D9D8}"/>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41532" b="43438"/>
        <a:stretch>
          <a:fillRect/>
        </a:stretch>
      </xdr:blipFill>
      <xdr:spPr bwMode="auto">
        <a:xfrm>
          <a:off x="11705105" y="27751984"/>
          <a:ext cx="1816269" cy="190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393063</xdr:colOff>
      <xdr:row>154</xdr:row>
      <xdr:rowOff>15392</xdr:rowOff>
    </xdr:from>
    <xdr:to>
      <xdr:col>17</xdr:col>
      <xdr:colOff>599919</xdr:colOff>
      <xdr:row>155</xdr:row>
      <xdr:rowOff>44929</xdr:rowOff>
    </xdr:to>
    <xdr:pic>
      <xdr:nvPicPr>
        <xdr:cNvPr id="503" name="Picture 10">
          <a:extLst>
            <a:ext uri="{FF2B5EF4-FFF2-40B4-BE49-F238E27FC236}">
              <a16:creationId xmlns:a16="http://schemas.microsoft.com/office/drawing/2014/main" id="{0166A791-1FC8-71AE-D8F3-2E6969C16F14}"/>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204919" y="28561528"/>
          <a:ext cx="957311" cy="212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962276</xdr:colOff>
      <xdr:row>151</xdr:row>
      <xdr:rowOff>167863</xdr:rowOff>
    </xdr:from>
    <xdr:to>
      <xdr:col>19</xdr:col>
      <xdr:colOff>125639</xdr:colOff>
      <xdr:row>153</xdr:row>
      <xdr:rowOff>20849</xdr:rowOff>
    </xdr:to>
    <xdr:sp macro="" textlink="">
      <xdr:nvSpPr>
        <xdr:cNvPr id="36" name="Rectangle: Rounded Corners 6">
          <a:extLst>
            <a:ext uri="{FF2B5EF4-FFF2-40B4-BE49-F238E27FC236}">
              <a16:creationId xmlns:a16="http://schemas.microsoft.com/office/drawing/2014/main" id="{9A625AE9-80BA-4A93-B1DB-44C4DBE9BD92}"/>
            </a:ext>
          </a:extLst>
        </xdr:cNvPr>
        <xdr:cNvSpPr/>
      </xdr:nvSpPr>
      <xdr:spPr>
        <a:xfrm>
          <a:off x="12487526" y="27368542"/>
          <a:ext cx="5313792" cy="206771"/>
        </a:xfrm>
        <a:prstGeom prst="rect">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r">
            <a:spcBef>
              <a:spcPts val="600"/>
            </a:spcBef>
          </a:pPr>
          <a:r>
            <a:rPr lang="en-US" sz="1200" b="1" i="0" u="none" strike="noStrike" cap="none" spc="100" baseline="0" dirty="0" err="1">
              <a:solidFill>
                <a:srgbClr val="FF0000"/>
              </a:solidFill>
              <a:latin typeface="+mj-lt"/>
              <a:ea typeface="+mj-ea"/>
              <a:cs typeface="+mj-cs"/>
            </a:rPr>
            <a:t>Vous pouvez modifier les modèles alternatifs</a:t>
          </a:r>
        </a:p>
      </xdr:txBody>
    </xdr:sp>
    <xdr:clientData/>
  </xdr:twoCellAnchor>
  <xdr:twoCellAnchor>
    <xdr:from>
      <xdr:col>3</xdr:col>
      <xdr:colOff>935940</xdr:colOff>
      <xdr:row>149</xdr:row>
      <xdr:rowOff>73286</xdr:rowOff>
    </xdr:from>
    <xdr:to>
      <xdr:col>19</xdr:col>
      <xdr:colOff>42237</xdr:colOff>
      <xdr:row>150</xdr:row>
      <xdr:rowOff>173702</xdr:rowOff>
    </xdr:to>
    <xdr:sp macro="" textlink="">
      <xdr:nvSpPr>
        <xdr:cNvPr id="15" name="Rectangle: Rounded Corners 6">
          <a:extLst>
            <a:ext uri="{FF2B5EF4-FFF2-40B4-BE49-F238E27FC236}">
              <a16:creationId xmlns:a16="http://schemas.microsoft.com/office/drawing/2014/main" id="{5B279178-233D-4AEE-A90B-F335442907AB}"/>
            </a:ext>
          </a:extLst>
        </xdr:cNvPr>
        <xdr:cNvSpPr/>
      </xdr:nvSpPr>
      <xdr:spPr>
        <a:xfrm>
          <a:off x="3929511" y="26920179"/>
          <a:ext cx="13788405" cy="277309"/>
        </a:xfrm>
        <a:prstGeom prst="roundRect">
          <a:avLst/>
        </a:prstGeom>
        <a:solidFill>
          <a:sysClr val="window" lastClr="FFFFFF"/>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100" b="1" i="0" u="none" strike="noStrike" cap="all" spc="100" baseline="0" dirty="0" err="1">
              <a:solidFill>
                <a:srgbClr val="000000"/>
              </a:solidFill>
              <a:latin typeface="+mj-lt"/>
              <a:ea typeface="+mj-ea"/>
              <a:cs typeface="+mj-cs"/>
            </a:rPr>
            <a:t>Si mon projet utilisait un autre modèle, son impact serait :</a:t>
          </a:r>
        </a:p>
      </xdr:txBody>
    </xdr:sp>
    <xdr:clientData/>
  </xdr:twoCellAnchor>
  <xdr:twoCellAnchor>
    <xdr:from>
      <xdr:col>1</xdr:col>
      <xdr:colOff>225778</xdr:colOff>
      <xdr:row>179</xdr:row>
      <xdr:rowOff>1259</xdr:rowOff>
    </xdr:from>
    <xdr:to>
      <xdr:col>19</xdr:col>
      <xdr:colOff>933461</xdr:colOff>
      <xdr:row>197</xdr:row>
      <xdr:rowOff>101860</xdr:rowOff>
    </xdr:to>
    <xdr:sp macro="" textlink="">
      <xdr:nvSpPr>
        <xdr:cNvPr id="21" name="Rectangle: Rounded Corners 6">
          <a:extLst>
            <a:ext uri="{FF2B5EF4-FFF2-40B4-BE49-F238E27FC236}">
              <a16:creationId xmlns:a16="http://schemas.microsoft.com/office/drawing/2014/main" id="{3284969E-45C1-48E9-B138-03E80B81A27A}"/>
            </a:ext>
          </a:extLst>
        </xdr:cNvPr>
        <xdr:cNvSpPr/>
      </xdr:nvSpPr>
      <xdr:spPr>
        <a:xfrm>
          <a:off x="1264869" y="35272623"/>
          <a:ext cx="17520751" cy="3506510"/>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1</xdr:col>
      <xdr:colOff>225778</xdr:colOff>
      <xdr:row>198</xdr:row>
      <xdr:rowOff>49215</xdr:rowOff>
    </xdr:from>
    <xdr:to>
      <xdr:col>19</xdr:col>
      <xdr:colOff>933461</xdr:colOff>
      <xdr:row>215</xdr:row>
      <xdr:rowOff>116553</xdr:rowOff>
    </xdr:to>
    <xdr:sp macro="" textlink="">
      <xdr:nvSpPr>
        <xdr:cNvPr id="22" name="Rectangle: Rounded Corners 6">
          <a:extLst>
            <a:ext uri="{FF2B5EF4-FFF2-40B4-BE49-F238E27FC236}">
              <a16:creationId xmlns:a16="http://schemas.microsoft.com/office/drawing/2014/main" id="{27EEA062-8F8E-40A7-915E-4EBE9FBF94D7}"/>
            </a:ext>
          </a:extLst>
        </xdr:cNvPr>
        <xdr:cNvSpPr/>
      </xdr:nvSpPr>
      <xdr:spPr>
        <a:xfrm>
          <a:off x="1123849" y="35618286"/>
          <a:ext cx="17485291" cy="3074517"/>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4</xdr:col>
      <xdr:colOff>754743</xdr:colOff>
      <xdr:row>160</xdr:row>
      <xdr:rowOff>45170</xdr:rowOff>
    </xdr:from>
    <xdr:to>
      <xdr:col>4</xdr:col>
      <xdr:colOff>771319</xdr:colOff>
      <xdr:row>169</xdr:row>
      <xdr:rowOff>81170</xdr:rowOff>
    </xdr:to>
    <xdr:cxnSp macro="">
      <xdr:nvCxnSpPr>
        <xdr:cNvPr id="569" name="Connecteur droit 24">
          <a:extLst>
            <a:ext uri="{FF2B5EF4-FFF2-40B4-BE49-F238E27FC236}">
              <a16:creationId xmlns:a16="http://schemas.microsoft.com/office/drawing/2014/main" id="{B3AA13E9-6535-4B47-AC84-81A0FDBF5F01}"/>
            </a:ext>
          </a:extLst>
        </xdr:cNvPr>
        <xdr:cNvCxnSpPr/>
      </xdr:nvCxnSpPr>
      <xdr:spPr>
        <a:xfrm flipH="1">
          <a:off x="4796064" y="28837884"/>
          <a:ext cx="16576" cy="1628036"/>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762000</xdr:colOff>
      <xdr:row>161</xdr:row>
      <xdr:rowOff>174152</xdr:rowOff>
    </xdr:from>
    <xdr:to>
      <xdr:col>8</xdr:col>
      <xdr:colOff>762000</xdr:colOff>
      <xdr:row>170</xdr:row>
      <xdr:rowOff>20845</xdr:rowOff>
    </xdr:to>
    <xdr:cxnSp macro="">
      <xdr:nvCxnSpPr>
        <xdr:cNvPr id="573" name="Connecteur droit 28">
          <a:extLst>
            <a:ext uri="{FF2B5EF4-FFF2-40B4-BE49-F238E27FC236}">
              <a16:creationId xmlns:a16="http://schemas.microsoft.com/office/drawing/2014/main" id="{0C96B6E7-D49B-4ADA-9D75-330AC5933A47}"/>
            </a:ext>
          </a:extLst>
        </xdr:cNvPr>
        <xdr:cNvCxnSpPr/>
      </xdr:nvCxnSpPr>
      <xdr:spPr>
        <a:xfrm>
          <a:off x="8096250" y="29143759"/>
          <a:ext cx="0" cy="1438729"/>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849993</xdr:colOff>
      <xdr:row>161</xdr:row>
      <xdr:rowOff>102488</xdr:rowOff>
    </xdr:from>
    <xdr:to>
      <xdr:col>11</xdr:col>
      <xdr:colOff>849993</xdr:colOff>
      <xdr:row>170</xdr:row>
      <xdr:rowOff>44884</xdr:rowOff>
    </xdr:to>
    <xdr:cxnSp macro="">
      <xdr:nvCxnSpPr>
        <xdr:cNvPr id="571" name="Connecteur droit 38">
          <a:extLst>
            <a:ext uri="{FF2B5EF4-FFF2-40B4-BE49-F238E27FC236}">
              <a16:creationId xmlns:a16="http://schemas.microsoft.com/office/drawing/2014/main" id="{CDEC9A93-8A7E-4F88-B5B1-92954E4A80C0}"/>
            </a:ext>
          </a:extLst>
        </xdr:cNvPr>
        <xdr:cNvCxnSpPr/>
      </xdr:nvCxnSpPr>
      <xdr:spPr>
        <a:xfrm>
          <a:off x="11327493" y="29072095"/>
          <a:ext cx="0" cy="1534432"/>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830036</xdr:colOff>
      <xdr:row>160</xdr:row>
      <xdr:rowOff>45143</xdr:rowOff>
    </xdr:from>
    <xdr:to>
      <xdr:col>15</xdr:col>
      <xdr:colOff>845626</xdr:colOff>
      <xdr:row>170</xdr:row>
      <xdr:rowOff>117002</xdr:rowOff>
    </xdr:to>
    <xdr:cxnSp macro="">
      <xdr:nvCxnSpPr>
        <xdr:cNvPr id="570" name="Connecteur droit 39">
          <a:extLst>
            <a:ext uri="{FF2B5EF4-FFF2-40B4-BE49-F238E27FC236}">
              <a16:creationId xmlns:a16="http://schemas.microsoft.com/office/drawing/2014/main" id="{C17EB84E-926B-4AF8-8D8B-2B62BBB79128}"/>
            </a:ext>
          </a:extLst>
        </xdr:cNvPr>
        <xdr:cNvCxnSpPr/>
      </xdr:nvCxnSpPr>
      <xdr:spPr>
        <a:xfrm flipH="1">
          <a:off x="14559643" y="28837857"/>
          <a:ext cx="15590" cy="1840788"/>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558800</xdr:colOff>
      <xdr:row>179</xdr:row>
      <xdr:rowOff>1797</xdr:rowOff>
    </xdr:from>
    <xdr:to>
      <xdr:col>19</xdr:col>
      <xdr:colOff>254000</xdr:colOff>
      <xdr:row>192</xdr:row>
      <xdr:rowOff>40349</xdr:rowOff>
    </xdr:to>
    <xdr:graphicFrame macro="">
      <xdr:nvGraphicFramePr>
        <xdr:cNvPr id="501" name="Graphique 46">
          <a:extLst>
            <a:ext uri="{FF2B5EF4-FFF2-40B4-BE49-F238E27FC236}">
              <a16:creationId xmlns:a16="http://schemas.microsoft.com/office/drawing/2014/main" id="{054CF078-DA7B-7B8D-788E-B43D95AFCA81}"/>
            </a:ext>
            <a:ext uri="{147F2762-F138-4A5C-976F-8EAC2B608ADB}">
              <a16:predDERef xmlns:a16="http://schemas.microsoft.com/office/drawing/2014/main" pred="{C17EB84E-926B-4AF8-8D8B-2B62BBB79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552450</xdr:colOff>
      <xdr:row>199</xdr:row>
      <xdr:rowOff>34910</xdr:rowOff>
    </xdr:from>
    <xdr:to>
      <xdr:col>19</xdr:col>
      <xdr:colOff>234950</xdr:colOff>
      <xdr:row>211</xdr:row>
      <xdr:rowOff>44884</xdr:rowOff>
    </xdr:to>
    <xdr:graphicFrame macro="">
      <xdr:nvGraphicFramePr>
        <xdr:cNvPr id="508" name="Graphique 46">
          <a:extLst>
            <a:ext uri="{FF2B5EF4-FFF2-40B4-BE49-F238E27FC236}">
              <a16:creationId xmlns:a16="http://schemas.microsoft.com/office/drawing/2014/main" id="{0252DC85-2CB1-46B4-2D1F-924DD52D53F8}"/>
            </a:ext>
            <a:ext uri="{147F2762-F138-4A5C-976F-8EAC2B608ADB}">
              <a16:predDERef xmlns:a16="http://schemas.microsoft.com/office/drawing/2014/main" pred="{B7A9B4F7-5B7E-2474-ADC0-C11EC201B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315508</xdr:colOff>
      <xdr:row>158</xdr:row>
      <xdr:rowOff>167981</xdr:rowOff>
    </xdr:from>
    <xdr:to>
      <xdr:col>1</xdr:col>
      <xdr:colOff>836920</xdr:colOff>
      <xdr:row>161</xdr:row>
      <xdr:rowOff>161884</xdr:rowOff>
    </xdr:to>
    <xdr:pic>
      <xdr:nvPicPr>
        <xdr:cNvPr id="57" name="Graphique 116">
          <a:extLst>
            <a:ext uri="{FF2B5EF4-FFF2-40B4-BE49-F238E27FC236}">
              <a16:creationId xmlns:a16="http://schemas.microsoft.com/office/drawing/2014/main" id="{7195011B-1A25-4FB1-9551-BC4A0B5CCD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213579" y="28606910"/>
          <a:ext cx="521412" cy="530929"/>
        </a:xfrm>
        <a:prstGeom prst="rect">
          <a:avLst/>
        </a:prstGeom>
      </xdr:spPr>
    </xdr:pic>
    <xdr:clientData/>
  </xdr:twoCellAnchor>
  <xdr:twoCellAnchor editAs="oneCell">
    <xdr:from>
      <xdr:col>1</xdr:col>
      <xdr:colOff>292907</xdr:colOff>
      <xdr:row>178</xdr:row>
      <xdr:rowOff>143941</xdr:rowOff>
    </xdr:from>
    <xdr:to>
      <xdr:col>1</xdr:col>
      <xdr:colOff>848484</xdr:colOff>
      <xdr:row>181</xdr:row>
      <xdr:rowOff>123327</xdr:rowOff>
    </xdr:to>
    <xdr:pic>
      <xdr:nvPicPr>
        <xdr:cNvPr id="60" name="Graphique 119">
          <a:extLst>
            <a:ext uri="{FF2B5EF4-FFF2-40B4-BE49-F238E27FC236}">
              <a16:creationId xmlns:a16="http://schemas.microsoft.com/office/drawing/2014/main" id="{26752180-A8A4-421C-919D-7DB673C2AE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90978" y="32147941"/>
          <a:ext cx="555577" cy="543628"/>
        </a:xfrm>
        <a:prstGeom prst="rect">
          <a:avLst/>
        </a:prstGeom>
      </xdr:spPr>
    </xdr:pic>
    <xdr:clientData/>
  </xdr:twoCellAnchor>
  <xdr:twoCellAnchor editAs="oneCell">
    <xdr:from>
      <xdr:col>1</xdr:col>
      <xdr:colOff>333407</xdr:colOff>
      <xdr:row>198</xdr:row>
      <xdr:rowOff>148931</xdr:rowOff>
    </xdr:from>
    <xdr:to>
      <xdr:col>1</xdr:col>
      <xdr:colOff>822040</xdr:colOff>
      <xdr:row>201</xdr:row>
      <xdr:rowOff>123780</xdr:rowOff>
    </xdr:to>
    <xdr:pic>
      <xdr:nvPicPr>
        <xdr:cNvPr id="61" name="Image 60">
          <a:extLst>
            <a:ext uri="{FF2B5EF4-FFF2-40B4-BE49-F238E27FC236}">
              <a16:creationId xmlns:a16="http://schemas.microsoft.com/office/drawing/2014/main" id="{EA955B82-89F5-4507-A368-4793B0D7A6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flipH="1">
          <a:off x="1231478" y="35718002"/>
          <a:ext cx="488633" cy="511878"/>
        </a:xfrm>
        <a:prstGeom prst="rect">
          <a:avLst/>
        </a:prstGeom>
      </xdr:spPr>
    </xdr:pic>
    <xdr:clientData/>
  </xdr:twoCellAnchor>
  <xdr:twoCellAnchor editAs="oneCell">
    <xdr:from>
      <xdr:col>12</xdr:col>
      <xdr:colOff>942068</xdr:colOff>
      <xdr:row>117</xdr:row>
      <xdr:rowOff>177196</xdr:rowOff>
    </xdr:from>
    <xdr:to>
      <xdr:col>18</xdr:col>
      <xdr:colOff>962952</xdr:colOff>
      <xdr:row>140</xdr:row>
      <xdr:rowOff>143542</xdr:rowOff>
    </xdr:to>
    <xdr:pic>
      <xdr:nvPicPr>
        <xdr:cNvPr id="453" name="Image 452">
          <a:extLst>
            <a:ext uri="{FF2B5EF4-FFF2-40B4-BE49-F238E27FC236}">
              <a16:creationId xmlns:a16="http://schemas.microsoft.com/office/drawing/2014/main" id="{958DF064-6D2A-5951-1D00-585D239E4346}"/>
            </a:ext>
          </a:extLst>
        </xdr:cNvPr>
        <xdr:cNvPicPr>
          <a:picLocks noChangeAspect="1"/>
        </xdr:cNvPicPr>
      </xdr:nvPicPr>
      <xdr:blipFill>
        <a:blip xmlns:r="http://schemas.openxmlformats.org/officeDocument/2006/relationships" r:embed="rId20"/>
        <a:stretch>
          <a:fillRect/>
        </a:stretch>
      </xdr:blipFill>
      <xdr:spPr>
        <a:xfrm>
          <a:off x="12484127" y="21818556"/>
          <a:ext cx="5157660" cy="4218232"/>
        </a:xfrm>
        <a:prstGeom prst="rect">
          <a:avLst/>
        </a:prstGeom>
      </xdr:spPr>
    </xdr:pic>
    <xdr:clientData/>
  </xdr:twoCellAnchor>
  <xdr:twoCellAnchor editAs="oneCell">
    <xdr:from>
      <xdr:col>18</xdr:col>
      <xdr:colOff>522720</xdr:colOff>
      <xdr:row>152</xdr:row>
      <xdr:rowOff>61464</xdr:rowOff>
    </xdr:from>
    <xdr:to>
      <xdr:col>19</xdr:col>
      <xdr:colOff>792677</xdr:colOff>
      <xdr:row>157</xdr:row>
      <xdr:rowOff>85049</xdr:rowOff>
    </xdr:to>
    <xdr:pic>
      <xdr:nvPicPr>
        <xdr:cNvPr id="455" name="Graphique 454" descr="Flèche : pivoter à gauche avec un remplissage uni">
          <a:extLst>
            <a:ext uri="{FF2B5EF4-FFF2-40B4-BE49-F238E27FC236}">
              <a16:creationId xmlns:a16="http://schemas.microsoft.com/office/drawing/2014/main" id="{60982B8C-DBEC-D5B2-F8CD-1961E98B7BC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16200000" flipV="1">
          <a:off x="17458974" y="30014187"/>
          <a:ext cx="1045069" cy="1320305"/>
        </a:xfrm>
        <a:prstGeom prst="rect">
          <a:avLst/>
        </a:prstGeom>
      </xdr:spPr>
    </xdr:pic>
    <xdr:clientData/>
  </xdr:twoCellAnchor>
  <xdr:twoCellAnchor editAs="oneCell">
    <xdr:from>
      <xdr:col>8</xdr:col>
      <xdr:colOff>706946</xdr:colOff>
      <xdr:row>15</xdr:row>
      <xdr:rowOff>28000</xdr:rowOff>
    </xdr:from>
    <xdr:to>
      <xdr:col>11</xdr:col>
      <xdr:colOff>806906</xdr:colOff>
      <xdr:row>16</xdr:row>
      <xdr:rowOff>169105</xdr:rowOff>
    </xdr:to>
    <xdr:sp macro="" textlink="Calcul!M28">
      <xdr:nvSpPr>
        <xdr:cNvPr id="18" name="Rectangle: Rounded Corners 6">
          <a:extLst>
            <a:ext uri="{FF2B5EF4-FFF2-40B4-BE49-F238E27FC236}">
              <a16:creationId xmlns:a16="http://schemas.microsoft.com/office/drawing/2014/main" id="{B7F473C0-15D7-4DE8-906F-6ACB64A717C4}"/>
            </a:ext>
            <a:ext uri="{147F2762-F138-4A5C-976F-8EAC2B608ADB}">
              <a16:predDERef xmlns:a16="http://schemas.microsoft.com/office/drawing/2014/main" pred="{60982B8C-DBEC-D5B2-F8CD-1961E98B7BCF}"/>
            </a:ext>
          </a:extLst>
        </xdr:cNvPr>
        <xdr:cNvSpPr/>
      </xdr:nvSpPr>
      <xdr:spPr>
        <a:xfrm>
          <a:off x="8053620" y="3117413"/>
          <a:ext cx="3261984" cy="323322"/>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6B66CD90-71F2-4958-BFA0-3249F276BEAB}"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1 200 000 000</a:t>
          </a:fld>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xdr:from>
      <xdr:col>1</xdr:col>
      <xdr:colOff>0</xdr:colOff>
      <xdr:row>1</xdr:row>
      <xdr:rowOff>0</xdr:rowOff>
    </xdr:from>
    <xdr:to>
      <xdr:col>2</xdr:col>
      <xdr:colOff>307205</xdr:colOff>
      <xdr:row>4</xdr:row>
      <xdr:rowOff>156826</xdr:rowOff>
    </xdr:to>
    <xdr:sp macro="" textlink="">
      <xdr:nvSpPr>
        <xdr:cNvPr id="20" name="Oval 1">
          <a:hlinkClick xmlns:r="http://schemas.openxmlformats.org/officeDocument/2006/relationships" r:id="rId23"/>
          <a:extLst>
            <a:ext uri="{FF2B5EF4-FFF2-40B4-BE49-F238E27FC236}">
              <a16:creationId xmlns:a16="http://schemas.microsoft.com/office/drawing/2014/main" id="{D8E1B70E-06DE-6E40-29AA-2F21F3622ED3}"/>
            </a:ext>
          </a:extLst>
        </xdr:cNvPr>
        <xdr:cNvSpPr/>
      </xdr:nvSpPr>
      <xdr:spPr>
        <a:xfrm>
          <a:off x="898071" y="181429"/>
          <a:ext cx="1359491" cy="991397"/>
        </a:xfrm>
        <a:prstGeom prst="roundRect">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b"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800" b="1">
              <a:solidFill>
                <a:schemeClr val="bg1"/>
              </a:solidFill>
              <a:effectLst/>
              <a:latin typeface="+mj-lt"/>
              <a:ea typeface="+mn-ea"/>
              <a:cs typeface="+mn-cs"/>
            </a:rPr>
            <a:t>Notice</a:t>
          </a:r>
          <a:endParaRPr lang="en-US" sz="3600" b="1">
            <a:solidFill>
              <a:schemeClr val="bg1"/>
            </a:solidFill>
            <a:effectLst/>
            <a:latin typeface="+mj-lt"/>
          </a:endParaRPr>
        </a:p>
      </xdr:txBody>
    </xdr:sp>
    <xdr:clientData/>
  </xdr:twoCellAnchor>
  <xdr:twoCellAnchor>
    <xdr:from>
      <xdr:col>1</xdr:col>
      <xdr:colOff>442566</xdr:colOff>
      <xdr:row>1</xdr:row>
      <xdr:rowOff>117878</xdr:rowOff>
    </xdr:from>
    <xdr:to>
      <xdr:col>1</xdr:col>
      <xdr:colOff>878923</xdr:colOff>
      <xdr:row>2</xdr:row>
      <xdr:rowOff>33748</xdr:rowOff>
    </xdr:to>
    <xdr:pic>
      <xdr:nvPicPr>
        <xdr:cNvPr id="35" name="Image 34" descr="information ">
          <a:hlinkClick xmlns:r="http://schemas.openxmlformats.org/officeDocument/2006/relationships" r:id="rId23"/>
          <a:extLst>
            <a:ext uri="{FF2B5EF4-FFF2-40B4-BE49-F238E27FC236}">
              <a16:creationId xmlns:a16="http://schemas.microsoft.com/office/drawing/2014/main" id="{22D7D021-BCAC-CC92-2D8E-75914503421D}"/>
            </a:ext>
          </a:extLst>
        </xdr:cNvPr>
        <xdr:cNvPicPr>
          <a:picLocks noChangeAspect="1" noChangeArrowheads="1"/>
        </xdr:cNvPicPr>
      </xdr:nvPicPr>
      <xdr:blipFill>
        <a:blip xmlns:r="http://schemas.openxmlformats.org/officeDocument/2006/relationships" r:embed="rId24" cstate="print">
          <a:lum bright="70000" contrast="-70000"/>
          <a:extLst>
            <a:ext uri="{28A0092B-C50C-407E-A947-70E740481C1C}">
              <a14:useLocalDpi xmlns:a14="http://schemas.microsoft.com/office/drawing/2010/main" val="0"/>
            </a:ext>
          </a:extLst>
        </a:blip>
        <a:srcRect/>
        <a:stretch>
          <a:fillRect/>
        </a:stretch>
      </xdr:blipFill>
      <xdr:spPr bwMode="auto">
        <a:xfrm>
          <a:off x="1340637" y="299307"/>
          <a:ext cx="436357" cy="396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150805</xdr:colOff>
      <xdr:row>2</xdr:row>
      <xdr:rowOff>90058</xdr:rowOff>
    </xdr:from>
    <xdr:to>
      <xdr:col>2</xdr:col>
      <xdr:colOff>475775</xdr:colOff>
      <xdr:row>4</xdr:row>
      <xdr:rowOff>48878</xdr:rowOff>
    </xdr:to>
    <xdr:pic>
      <xdr:nvPicPr>
        <xdr:cNvPr id="448" name="Image 447" descr="le curseur ">
          <a:hlinkClick xmlns:r="http://schemas.openxmlformats.org/officeDocument/2006/relationships" r:id="rId23"/>
          <a:extLst>
            <a:ext uri="{FF2B5EF4-FFF2-40B4-BE49-F238E27FC236}">
              <a16:creationId xmlns:a16="http://schemas.microsoft.com/office/drawing/2014/main" id="{3966B927-7CF1-A315-6D59-8053CFF6B385}"/>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101162" y="752272"/>
          <a:ext cx="324970" cy="31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93968</xdr:colOff>
      <xdr:row>217</xdr:row>
      <xdr:rowOff>99461</xdr:rowOff>
    </xdr:from>
    <xdr:to>
      <xdr:col>20</xdr:col>
      <xdr:colOff>142047</xdr:colOff>
      <xdr:row>220</xdr:row>
      <xdr:rowOff>140547</xdr:rowOff>
    </xdr:to>
    <xdr:sp macro="" textlink="">
      <xdr:nvSpPr>
        <xdr:cNvPr id="1345" name="Rectangle: Rounded Corners 6">
          <a:extLst>
            <a:ext uri="{FF2B5EF4-FFF2-40B4-BE49-F238E27FC236}">
              <a16:creationId xmlns:a16="http://schemas.microsoft.com/office/drawing/2014/main" id="{3C3E72CD-572B-4799-B0BA-701754B5B2A9}"/>
            </a:ext>
          </a:extLst>
        </xdr:cNvPr>
        <xdr:cNvSpPr/>
      </xdr:nvSpPr>
      <xdr:spPr>
        <a:xfrm>
          <a:off x="992039" y="39029497"/>
          <a:ext cx="17873437" cy="571764"/>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Utilisation des ressources minérales et métalliques</a:t>
          </a:r>
        </a:p>
      </xdr:txBody>
    </xdr:sp>
    <xdr:clientData/>
  </xdr:twoCellAnchor>
  <xdr:twoCellAnchor>
    <xdr:from>
      <xdr:col>1</xdr:col>
      <xdr:colOff>200549</xdr:colOff>
      <xdr:row>231</xdr:row>
      <xdr:rowOff>34757</xdr:rowOff>
    </xdr:from>
    <xdr:to>
      <xdr:col>20</xdr:col>
      <xdr:colOff>104621</xdr:colOff>
      <xdr:row>255</xdr:row>
      <xdr:rowOff>42229</xdr:rowOff>
    </xdr:to>
    <xdr:sp macro="" textlink="">
      <xdr:nvSpPr>
        <xdr:cNvPr id="10" name="Rectangle : coins arrondis 16">
          <a:extLst>
            <a:ext uri="{FF2B5EF4-FFF2-40B4-BE49-F238E27FC236}">
              <a16:creationId xmlns:a16="http://schemas.microsoft.com/office/drawing/2014/main" id="{065F4FA7-0532-F25E-658A-8A2A0618A9EE}"/>
            </a:ext>
          </a:extLst>
        </xdr:cNvPr>
        <xdr:cNvSpPr/>
      </xdr:nvSpPr>
      <xdr:spPr>
        <a:xfrm>
          <a:off x="1098620" y="41441293"/>
          <a:ext cx="17729430" cy="4252900"/>
        </a:xfrm>
        <a:prstGeom prst="roundRect">
          <a:avLst>
            <a:gd name="adj" fmla="val 3209"/>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rtl="0" fontAlgn="ctr"/>
          <a:r>
            <a:rPr lang="en-US" sz="1200" b="1">
              <a:solidFill>
                <a:sysClr val="windowText" lastClr="000000"/>
              </a:solidFill>
              <a:effectLst/>
              <a:latin typeface="+mn-lt"/>
              <a:ea typeface="+mn-ea"/>
              <a:cs typeface="+mn-cs"/>
            </a:rPr>
            <a:t>21 % </a:t>
          </a:r>
          <a:r>
            <a:rPr lang="en-US" sz="1200" b="0">
              <a:solidFill>
                <a:sysClr val="windowText" lastClr="000000"/>
              </a:solidFill>
              <a:effectLst/>
              <a:latin typeface="+mn-lt"/>
              <a:ea typeface="+mn-ea"/>
              <a:cs typeface="+mn-cs"/>
            </a:rPr>
            <a:t>des impacts environnementaux de l’IA proviennent de </a:t>
          </a:r>
          <a:r>
            <a:rPr lang="fr-FR" sz="1200" b="1">
              <a:solidFill>
                <a:sysClr val="windowText" lastClr="000000"/>
              </a:solidFill>
              <a:effectLst/>
              <a:latin typeface="+mn-lt"/>
              <a:ea typeface="+mn-ea"/>
              <a:cs typeface="+mn-cs"/>
            </a:rPr>
            <a:t>l’épuisement des ressources abiotiques</a:t>
          </a:r>
          <a:r>
            <a:rPr lang="fr-FR" sz="1200" b="0">
              <a:solidFill>
                <a:sysClr val="windowText" lastClr="000000"/>
              </a:solidFill>
              <a:effectLst/>
              <a:latin typeface="+mn-lt"/>
              <a:ea typeface="+mn-ea"/>
              <a:cs typeface="+mn-cs"/>
            </a:rPr>
            <a:t> (métaux, minéraux, fossiles)</a:t>
          </a:r>
          <a:endParaRPr lang="en-US" sz="1200">
            <a:solidFill>
              <a:sysClr val="windowText" lastClr="000000"/>
            </a:solidFill>
            <a:effectLst/>
          </a:endParaRPr>
        </a:p>
        <a:p>
          <a:pPr algn="ctr" rtl="0" fontAlgn="ctr"/>
          <a:r>
            <a:rPr lang="en-US" sz="1200" b="0">
              <a:solidFill>
                <a:sysClr val="windowText" lastClr="000000"/>
              </a:solidFill>
              <a:effectLst/>
              <a:latin typeface="+mn-lt"/>
              <a:ea typeface="+mn-ea"/>
              <a:cs typeface="+mn-cs"/>
            </a:rPr>
            <a:t>La </a:t>
          </a:r>
          <a:r>
            <a:rPr lang="fr-FR" sz="1200" b="0">
              <a:solidFill>
                <a:sysClr val="windowText" lastClr="000000"/>
              </a:solidFill>
              <a:effectLst/>
              <a:latin typeface="+mn-lt"/>
              <a:ea typeface="+mn-ea"/>
              <a:cs typeface="+mn-cs"/>
            </a:rPr>
            <a:t>fabrication des équipements (serveurs, GPU)</a:t>
          </a:r>
          <a:r>
            <a:rPr lang="en-US" sz="1200" b="0">
              <a:solidFill>
                <a:sysClr val="windowText" lastClr="000000"/>
              </a:solidFill>
              <a:effectLst/>
              <a:latin typeface="+mn-lt"/>
              <a:ea typeface="+mn-ea"/>
              <a:cs typeface="+mn-cs"/>
            </a:rPr>
            <a:t> peut représenter </a:t>
          </a:r>
          <a:r>
            <a:rPr lang="fr-FR" sz="1200" b="0">
              <a:solidFill>
                <a:sysClr val="windowText" lastClr="000000"/>
              </a:solidFill>
              <a:effectLst/>
              <a:latin typeface="+mn-lt"/>
              <a:ea typeface="+mn-ea"/>
              <a:cs typeface="+mn-cs"/>
            </a:rPr>
            <a:t>jusqu’à </a:t>
          </a:r>
          <a:r>
            <a:rPr lang="fr-FR" sz="1200" b="1">
              <a:solidFill>
                <a:sysClr val="windowText" lastClr="000000"/>
              </a:solidFill>
              <a:effectLst/>
              <a:latin typeface="+mn-lt"/>
              <a:ea typeface="+mn-ea"/>
              <a:cs typeface="+mn-cs"/>
            </a:rPr>
            <a:t>45 % </a:t>
          </a:r>
          <a:r>
            <a:rPr lang="fr-FR" sz="1200" b="0">
              <a:solidFill>
                <a:sysClr val="windowText" lastClr="000000"/>
              </a:solidFill>
              <a:effectLst/>
              <a:latin typeface="+mn-lt"/>
              <a:ea typeface="+mn-ea"/>
              <a:cs typeface="+mn-cs"/>
            </a:rPr>
            <a:t>de cet impact sur les ressources abiotiques</a:t>
          </a:r>
          <a:r>
            <a:rPr lang="en-US" sz="1200" b="0">
              <a:solidFill>
                <a:sysClr val="windowText" lastClr="000000"/>
              </a:solidFill>
              <a:effectLst/>
              <a:latin typeface="+mn-lt"/>
              <a:ea typeface="+mn-ea"/>
              <a:cs typeface="+mn-cs"/>
            </a:rPr>
            <a:t> </a:t>
          </a:r>
          <a:endParaRPr lang="en-US" sz="1200">
            <a:solidFill>
              <a:sysClr val="windowText" lastClr="000000"/>
            </a:solidFill>
            <a:effectLst/>
          </a:endParaRPr>
        </a:p>
        <a:p>
          <a:pPr algn="l">
            <a:spcBef>
              <a:spcPts val="600"/>
            </a:spcBef>
          </a:pPr>
          <a:endParaRPr lang="en-US" sz="1100" dirty="0" err="1">
            <a:solidFill>
              <a:sysClr val="windowText" lastClr="000000"/>
            </a:solidFill>
            <a:ea typeface="+mj-ea"/>
            <a:cs typeface="+mj-cs"/>
          </a:endParaRPr>
        </a:p>
      </xdr:txBody>
    </xdr:sp>
    <xdr:clientData/>
  </xdr:twoCellAnchor>
  <xdr:oneCellAnchor>
    <xdr:from>
      <xdr:col>7</xdr:col>
      <xdr:colOff>29966</xdr:colOff>
      <xdr:row>252</xdr:row>
      <xdr:rowOff>154822</xdr:rowOff>
    </xdr:from>
    <xdr:ext cx="7276956" cy="212678"/>
    <xdr:sp macro="" textlink="">
      <xdr:nvSpPr>
        <xdr:cNvPr id="466" name="ZoneTexte 37">
          <a:extLst>
            <a:ext uri="{FF2B5EF4-FFF2-40B4-BE49-F238E27FC236}">
              <a16:creationId xmlns:a16="http://schemas.microsoft.com/office/drawing/2014/main" id="{D1FC8643-FE85-A9A3-4331-99CE25EA2AC3}"/>
            </a:ext>
          </a:extLst>
        </xdr:cNvPr>
        <xdr:cNvSpPr txBox="1"/>
      </xdr:nvSpPr>
      <xdr:spPr>
        <a:xfrm>
          <a:off x="6316466" y="45276108"/>
          <a:ext cx="7276956" cy="212678"/>
        </a:xfrm>
        <a:prstGeom prst="rect">
          <a:avLst/>
        </a:prstGeom>
        <a:noFill/>
      </xdr:spPr>
      <xdr:txBody>
        <a:bodyPr vertOverflow="clip" horzOverflow="clip" wrap="square" lIns="0" tIns="36000" rIns="0" bIns="36000" rtlCol="0" anchor="ctr">
          <a:spAutoFit/>
        </a:bodyPr>
        <a:lstStyle/>
        <a:p>
          <a:pPr algn="ctr">
            <a:spcBef>
              <a:spcPts val="600"/>
            </a:spcBef>
          </a:pPr>
          <a:r>
            <a:rPr lang="en-US" sz="900" b="1" i="1" dirty="0" err="1">
              <a:solidFill>
                <a:schemeClr val="bg2">
                  <a:lumMod val="50000"/>
                </a:schemeClr>
              </a:solidFill>
            </a:rPr>
            <a:t>Source </a:t>
          </a:r>
          <a:r>
            <a:rPr lang="en-US" sz="900" i="1" dirty="0" err="1">
              <a:solidFill>
                <a:schemeClr val="bg2">
                  <a:lumMod val="50000"/>
                </a:schemeClr>
              </a:solidFill>
            </a:rPr>
            <a:t>: </a:t>
          </a:r>
          <a:r>
            <a:rPr lang="en-US" sz="900" i="1">
              <a:solidFill>
                <a:schemeClr val="bg2">
                  <a:lumMod val="50000"/>
                </a:schemeClr>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https://www.greenit.fr/2025/10/21/quels-sont-les-impacts-environnementaux-et-sanitaires-de-lia/</a:t>
          </a:r>
          <a:endParaRPr lang="en-US" sz="900" i="1" dirty="0" err="1">
            <a:solidFill>
              <a:schemeClr val="bg2">
                <a:lumMod val="50000"/>
              </a:schemeClr>
            </a:solidFill>
          </a:endParaRPr>
        </a:p>
      </xdr:txBody>
    </xdr:sp>
    <xdr:clientData/>
  </xdr:oneCellAnchor>
  <xdr:oneCellAnchor>
    <xdr:from>
      <xdr:col>7</xdr:col>
      <xdr:colOff>120933</xdr:colOff>
      <xdr:row>254</xdr:row>
      <xdr:rowOff>34552</xdr:rowOff>
    </xdr:from>
    <xdr:ext cx="7082322" cy="215426"/>
    <xdr:sp macro="" textlink="">
      <xdr:nvSpPr>
        <xdr:cNvPr id="465" name="ZoneTexte 487">
          <a:extLst>
            <a:ext uri="{FF2B5EF4-FFF2-40B4-BE49-F238E27FC236}">
              <a16:creationId xmlns:a16="http://schemas.microsoft.com/office/drawing/2014/main" id="{4759406E-CF2A-4762-892A-13801FF27BB6}"/>
            </a:ext>
          </a:extLst>
        </xdr:cNvPr>
        <xdr:cNvSpPr txBox="1"/>
      </xdr:nvSpPr>
      <xdr:spPr>
        <a:xfrm>
          <a:off x="6407433" y="45509623"/>
          <a:ext cx="7082322" cy="215426"/>
        </a:xfrm>
        <a:prstGeom prst="rect">
          <a:avLst/>
        </a:prstGeom>
        <a:noFill/>
      </xdr:spPr>
      <xdr:txBody>
        <a:bodyPr vertOverflow="clip" horzOverflow="clip" wrap="square" lIns="0" tIns="36000" rIns="0" bIns="36000" rtlCol="0" anchor="ctr">
          <a:spAutoFit/>
        </a:bodyPr>
        <a:lstStyle/>
        <a:p>
          <a:pPr algn="ctr">
            <a:spcBef>
              <a:spcPts val="600"/>
            </a:spcBef>
          </a:pPr>
          <a:r>
            <a:rPr lang="en-US" sz="900" b="1" i="1" dirty="0" err="1">
              <a:solidFill>
                <a:schemeClr val="bg2">
                  <a:lumMod val="50000"/>
                </a:schemeClr>
              </a:solidFill>
            </a:rPr>
            <a:t>Source </a:t>
          </a:r>
          <a:r>
            <a:rPr lang="en-US" sz="900" i="1" dirty="0" err="1">
              <a:solidFill>
                <a:schemeClr val="bg2">
                  <a:lumMod val="50000"/>
                </a:schemeClr>
              </a:solidFill>
            </a:rPr>
            <a:t>: From FLOPs to Footprints: The Resource Cost of Artificial Intelligence</a:t>
          </a:r>
        </a:p>
      </xdr:txBody>
    </xdr:sp>
    <xdr:clientData/>
  </xdr:oneCellAnchor>
  <xdr:twoCellAnchor>
    <xdr:from>
      <xdr:col>1</xdr:col>
      <xdr:colOff>163231</xdr:colOff>
      <xdr:row>221</xdr:row>
      <xdr:rowOff>78274</xdr:rowOff>
    </xdr:from>
    <xdr:to>
      <xdr:col>20</xdr:col>
      <xdr:colOff>179265</xdr:colOff>
      <xdr:row>230</xdr:row>
      <xdr:rowOff>34758</xdr:rowOff>
    </xdr:to>
    <xdr:sp macro="" textlink="">
      <xdr:nvSpPr>
        <xdr:cNvPr id="1396" name="Rectangle : coins arrondis 499">
          <a:extLst>
            <a:ext uri="{FF2B5EF4-FFF2-40B4-BE49-F238E27FC236}">
              <a16:creationId xmlns:a16="http://schemas.microsoft.com/office/drawing/2014/main" id="{ED467072-BC59-4893-A5A1-367BF5353461}"/>
            </a:ext>
          </a:extLst>
        </xdr:cNvPr>
        <xdr:cNvSpPr/>
      </xdr:nvSpPr>
      <xdr:spPr>
        <a:xfrm>
          <a:off x="1061302" y="39715881"/>
          <a:ext cx="17841392" cy="1548520"/>
        </a:xfrm>
        <a:prstGeom prst="roundRect">
          <a:avLst>
            <a:gd name="adj" fmla="val 9386"/>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Bien que souvent perçue comme immatérielle, </a:t>
          </a:r>
          <a:r>
            <a:rPr lang="en-US" sz="1200" b="1">
              <a:solidFill>
                <a:schemeClr val="tx1"/>
              </a:solidFill>
              <a:effectLst/>
              <a:latin typeface="+mn-lt"/>
              <a:ea typeface="+mn-ea"/>
              <a:cs typeface="+mn-cs"/>
            </a:rPr>
            <a:t>l’intelligence artificielle</a:t>
          </a:r>
          <a:r>
            <a:rPr lang="en-US" sz="1200" b="0">
              <a:solidFill>
                <a:schemeClr val="tx1"/>
              </a:solidFill>
              <a:effectLst/>
              <a:latin typeface="+mn-lt"/>
              <a:ea typeface="+mn-ea"/>
              <a:cs typeface="+mn-cs"/>
            </a:rPr>
            <a:t>, </a:t>
          </a:r>
          <a:r>
            <a:rPr lang="en-US" sz="1200" b="1">
              <a:solidFill>
                <a:schemeClr val="tx1"/>
              </a:solidFill>
              <a:effectLst/>
              <a:latin typeface="+mn-lt"/>
              <a:ea typeface="+mn-ea"/>
              <a:cs typeface="+mn-cs"/>
            </a:rPr>
            <a:t>repose intégralement sur des infrastructures matérielles </a:t>
          </a:r>
          <a:r>
            <a:rPr lang="en-US" sz="1200">
              <a:solidFill>
                <a:schemeClr val="tx1"/>
              </a:solidFill>
              <a:effectLst/>
              <a:latin typeface="+mn-lt"/>
              <a:ea typeface="+mn-ea"/>
              <a:cs typeface="+mn-cs"/>
            </a:rPr>
            <a:t>particulièrement exigeantes en ressources.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Sans centres de données, sans serveurs, sans puces spécialisées comme les GPU, aucune IA ne peut fonctionner.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Outre les volumes d’électricité et d’eau mobilisés pour leur fonctionnement, la fabrication de ces équipements requiert </a:t>
          </a:r>
          <a:r>
            <a:rPr lang="en-US" sz="1200" b="1">
              <a:solidFill>
                <a:schemeClr val="tx1"/>
              </a:solidFill>
              <a:effectLst/>
              <a:latin typeface="+mn-lt"/>
              <a:ea typeface="+mn-ea"/>
              <a:cs typeface="+mn-cs"/>
            </a:rPr>
            <a:t>des quantités substantielles de ressources minérales et métalliques</a:t>
          </a:r>
          <a:r>
            <a:rPr lang="en-US" sz="1200">
              <a:solidFill>
                <a:schemeClr val="tx1"/>
              </a:solidFill>
              <a:effectLst/>
              <a:latin typeface="+mn-lt"/>
              <a:ea typeface="+mn-ea"/>
              <a:cs typeface="+mn-cs"/>
            </a:rPr>
            <a:t>.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Parmi elles figurent les </a:t>
          </a:r>
          <a:r>
            <a:rPr lang="en-US" sz="1200" b="1">
              <a:solidFill>
                <a:schemeClr val="tx1"/>
              </a:solidFill>
              <a:effectLst/>
              <a:latin typeface="+mn-lt"/>
              <a:ea typeface="+mn-ea"/>
              <a:cs typeface="+mn-cs"/>
            </a:rPr>
            <a:t>métaux dit “terres rares</a:t>
          </a:r>
          <a:r>
            <a:rPr lang="en-US" sz="1200">
              <a:solidFill>
                <a:schemeClr val="tx1"/>
              </a:solidFill>
              <a:effectLst/>
              <a:latin typeface="+mn-lt"/>
              <a:ea typeface="+mn-ea"/>
              <a:cs typeface="+mn-cs"/>
            </a:rPr>
            <a:t>”, tels que le néodyme, le cérium ou le terbium, indispensables à </a:t>
          </a:r>
          <a:r>
            <a:rPr lang="en-US" sz="1200" b="1">
              <a:solidFill>
                <a:schemeClr val="tx1"/>
              </a:solidFill>
              <a:effectLst/>
              <a:latin typeface="+mn-lt"/>
              <a:ea typeface="+mn-ea"/>
              <a:cs typeface="+mn-cs"/>
            </a:rPr>
            <a:t>l’électronique avancée </a:t>
          </a:r>
          <a:r>
            <a:rPr lang="en-US" sz="1200">
              <a:solidFill>
                <a:schemeClr val="tx1"/>
              </a:solidFill>
              <a:effectLst/>
              <a:latin typeface="+mn-lt"/>
              <a:ea typeface="+mn-ea"/>
              <a:cs typeface="+mn-cs"/>
            </a:rPr>
            <a:t>et de plus en plus </a:t>
          </a:r>
          <a:r>
            <a:rPr lang="en-US" sz="1200" b="1">
              <a:solidFill>
                <a:schemeClr val="tx1"/>
              </a:solidFill>
              <a:effectLst/>
              <a:latin typeface="+mn-lt"/>
              <a:ea typeface="+mn-ea"/>
              <a:cs typeface="+mn-cs"/>
            </a:rPr>
            <a:t>sollicités avec l’essor des modèles d’IA</a:t>
          </a:r>
          <a:r>
            <a:rPr lang="en-US" sz="1200">
              <a:solidFill>
                <a:schemeClr val="tx1"/>
              </a:solidFill>
              <a:effectLst/>
              <a:latin typeface="+mn-lt"/>
              <a:ea typeface="+mn-ea"/>
              <a:cs typeface="+mn-cs"/>
            </a:rPr>
            <a:t>.  </a:t>
          </a:r>
        </a:p>
        <a:p>
          <a:pPr marL="0" marR="0" lvl="0" indent="0" algn="l" defTabSz="914400" rtl="0" eaLnBrk="1" fontAlgn="auto" latinLnBrk="0" hangingPunct="1">
            <a:lnSpc>
              <a:spcPct val="100000"/>
            </a:lnSpc>
            <a:spcBef>
              <a:spcPts val="600"/>
            </a:spcBef>
            <a:spcAft>
              <a:spcPts val="0"/>
            </a:spcAft>
            <a:buClrTx/>
            <a:buSzTx/>
            <a:buFontTx/>
            <a:buNone/>
            <a:tabLst/>
            <a:defRPr/>
          </a:pPr>
          <a:r>
            <a:rPr lang="en-US" sz="1200">
              <a:solidFill>
                <a:schemeClr val="tx1"/>
              </a:solidFill>
              <a:effectLst/>
              <a:latin typeface="+mn-lt"/>
              <a:ea typeface="+mn-ea"/>
              <a:cs typeface="+mn-cs"/>
            </a:rPr>
            <a:t>Au delà des enjeux liés à la raréfaction des ces matériaux, leur extraction et leur raffinage génèrent également des pollutions significatives (eau, sols, air) affectant durablement les écosystèmes environnants.</a:t>
          </a:r>
          <a:endParaRPr lang="en-US" sz="1200" baseline="0" dirty="0" err="1">
            <a:solidFill>
              <a:schemeClr val="tx1"/>
            </a:solidFill>
            <a:ea typeface="+mj-ea"/>
            <a:cs typeface="+mj-cs"/>
          </a:endParaRPr>
        </a:p>
        <a:p>
          <a:pPr algn="l">
            <a:spcBef>
              <a:spcPts val="600"/>
            </a:spcBef>
          </a:pPr>
          <a:endParaRPr lang="en-US" sz="1200" dirty="0" err="1">
            <a:solidFill>
              <a:schemeClr val="tx1"/>
            </a:solidFill>
            <a:ea typeface="+mj-ea"/>
            <a:cs typeface="+mj-cs"/>
          </a:endParaRPr>
        </a:p>
      </xdr:txBody>
    </xdr:sp>
    <xdr:clientData/>
  </xdr:twoCellAnchor>
  <xdr:oneCellAnchor>
    <xdr:from>
      <xdr:col>8</xdr:col>
      <xdr:colOff>273587</xdr:colOff>
      <xdr:row>235</xdr:row>
      <xdr:rowOff>10691</xdr:rowOff>
    </xdr:from>
    <xdr:ext cx="4677884" cy="259357"/>
    <xdr:sp macro="" textlink="">
      <xdr:nvSpPr>
        <xdr:cNvPr id="473" name="ZoneTexte 1348">
          <a:extLst>
            <a:ext uri="{FF2B5EF4-FFF2-40B4-BE49-F238E27FC236}">
              <a16:creationId xmlns:a16="http://schemas.microsoft.com/office/drawing/2014/main" id="{3236D0EE-FD74-C9FC-3448-A15B34214E7C}"/>
            </a:ext>
          </a:extLst>
        </xdr:cNvPr>
        <xdr:cNvSpPr txBox="1"/>
      </xdr:nvSpPr>
      <xdr:spPr>
        <a:xfrm>
          <a:off x="7607837" y="42124798"/>
          <a:ext cx="4677884" cy="259357"/>
        </a:xfrm>
        <a:prstGeom prst="rect">
          <a:avLst/>
        </a:prstGeom>
        <a:noFill/>
      </xdr:spPr>
      <xdr:txBody>
        <a:bodyPr vertOverflow="clip" horzOverflow="clip" wrap="none" lIns="0" tIns="36000" rIns="0" bIns="36000" rtlCol="0" anchor="t">
          <a:spAutoFit/>
        </a:bodyPr>
        <a:lstStyle/>
        <a:p>
          <a:pPr algn="l">
            <a:spcBef>
              <a:spcPts val="600"/>
            </a:spcBef>
          </a:pPr>
          <a:r>
            <a:rPr lang="en-US" sz="1200" b="1" dirty="0" err="1"/>
            <a:t>Consommation des ressources abiotiques suite à l'utilisation de l'IA</a:t>
          </a:r>
        </a:p>
      </xdr:txBody>
    </xdr:sp>
    <xdr:clientData/>
  </xdr:oneCellAnchor>
  <xdr:twoCellAnchor>
    <xdr:from>
      <xdr:col>7</xdr:col>
      <xdr:colOff>830745</xdr:colOff>
      <xdr:row>236</xdr:row>
      <xdr:rowOff>111228</xdr:rowOff>
    </xdr:from>
    <xdr:to>
      <xdr:col>14</xdr:col>
      <xdr:colOff>122919</xdr:colOff>
      <xdr:row>252</xdr:row>
      <xdr:rowOff>174018</xdr:rowOff>
    </xdr:to>
    <xdr:grpSp>
      <xdr:nvGrpSpPr>
        <xdr:cNvPr id="11" name="Groupe 1354">
          <a:extLst>
            <a:ext uri="{FF2B5EF4-FFF2-40B4-BE49-F238E27FC236}">
              <a16:creationId xmlns:a16="http://schemas.microsoft.com/office/drawing/2014/main" id="{A671F196-23C6-D6BB-718E-8B030B64AE8C}"/>
            </a:ext>
          </a:extLst>
        </xdr:cNvPr>
        <xdr:cNvGrpSpPr/>
      </xdr:nvGrpSpPr>
      <xdr:grpSpPr>
        <a:xfrm>
          <a:off x="7471787" y="47356992"/>
          <a:ext cx="5897938" cy="3167234"/>
          <a:chOff x="5241200" y="32691024"/>
          <a:chExt cx="5159459" cy="2869710"/>
        </a:xfrm>
      </xdr:grpSpPr>
      <xdr:pic>
        <xdr:nvPicPr>
          <xdr:cNvPr id="12" name="Image 1347">
            <a:extLst>
              <a:ext uri="{FF2B5EF4-FFF2-40B4-BE49-F238E27FC236}">
                <a16:creationId xmlns:a16="http://schemas.microsoft.com/office/drawing/2014/main" id="{6851E5B4-5D85-592E-60FC-BC99198F19A2}"/>
              </a:ext>
            </a:extLst>
          </xdr:cNvPr>
          <xdr:cNvPicPr>
            <a:picLocks noChangeAspect="1"/>
          </xdr:cNvPicPr>
        </xdr:nvPicPr>
        <xdr:blipFill>
          <a:blip xmlns:r="http://schemas.openxmlformats.org/officeDocument/2006/relationships" r:embed="rId26"/>
          <a:stretch>
            <a:fillRect/>
          </a:stretch>
        </xdr:blipFill>
        <xdr:spPr>
          <a:xfrm>
            <a:off x="5439713" y="32718942"/>
            <a:ext cx="4960946" cy="2841792"/>
          </a:xfrm>
          <a:prstGeom prst="rect">
            <a:avLst/>
          </a:prstGeom>
        </xdr:spPr>
      </xdr:pic>
      <xdr:pic>
        <xdr:nvPicPr>
          <xdr:cNvPr id="13" name="Image 1350">
            <a:extLst>
              <a:ext uri="{FF2B5EF4-FFF2-40B4-BE49-F238E27FC236}">
                <a16:creationId xmlns:a16="http://schemas.microsoft.com/office/drawing/2014/main" id="{DB1D97F4-213E-931B-091F-1760AADA9B95}"/>
              </a:ext>
            </a:extLst>
          </xdr:cNvPr>
          <xdr:cNvPicPr>
            <a:picLocks noChangeAspect="1"/>
          </xdr:cNvPicPr>
        </xdr:nvPicPr>
        <xdr:blipFill>
          <a:blip xmlns:r="http://schemas.openxmlformats.org/officeDocument/2006/relationships" r:embed="rId27">
            <a:duotone>
              <a:prstClr val="black"/>
              <a:schemeClr val="accent4">
                <a:tint val="45000"/>
                <a:satMod val="400000"/>
              </a:schemeClr>
            </a:duotone>
          </a:blip>
          <a:stretch>
            <a:fillRect/>
          </a:stretch>
        </xdr:blipFill>
        <xdr:spPr>
          <a:xfrm>
            <a:off x="6021562" y="33298375"/>
            <a:ext cx="497558" cy="485343"/>
          </a:xfrm>
          <a:prstGeom prst="rect">
            <a:avLst/>
          </a:prstGeom>
        </xdr:spPr>
      </xdr:pic>
      <xdr:pic>
        <xdr:nvPicPr>
          <xdr:cNvPr id="16" name="Image 1351">
            <a:extLst>
              <a:ext uri="{FF2B5EF4-FFF2-40B4-BE49-F238E27FC236}">
                <a16:creationId xmlns:a16="http://schemas.microsoft.com/office/drawing/2014/main" id="{12525453-7583-5F3F-ACF6-9F54281F3F08}"/>
              </a:ext>
            </a:extLst>
          </xdr:cNvPr>
          <xdr:cNvPicPr>
            <a:picLocks noChangeAspect="1"/>
          </xdr:cNvPicPr>
        </xdr:nvPicPr>
        <xdr:blipFill>
          <a:blip xmlns:r="http://schemas.openxmlformats.org/officeDocument/2006/relationships" r:embed="rId28">
            <a:duotone>
              <a:prstClr val="black"/>
              <a:schemeClr val="accent1">
                <a:tint val="45000"/>
                <a:satMod val="400000"/>
              </a:schemeClr>
            </a:duotone>
          </a:blip>
          <a:stretch>
            <a:fillRect/>
          </a:stretch>
        </xdr:blipFill>
        <xdr:spPr>
          <a:xfrm>
            <a:off x="5700237" y="33922772"/>
            <a:ext cx="366692" cy="366692"/>
          </a:xfrm>
          <a:prstGeom prst="rect">
            <a:avLst/>
          </a:prstGeom>
        </xdr:spPr>
      </xdr:pic>
      <xdr:pic>
        <xdr:nvPicPr>
          <xdr:cNvPr id="17" name="Image 1352">
            <a:extLst>
              <a:ext uri="{FF2B5EF4-FFF2-40B4-BE49-F238E27FC236}">
                <a16:creationId xmlns:a16="http://schemas.microsoft.com/office/drawing/2014/main" id="{BFB6795B-2766-1D1A-18A1-DDBD90B232E6}"/>
              </a:ext>
            </a:extLst>
          </xdr:cNvPr>
          <xdr:cNvPicPr>
            <a:picLocks noChangeAspect="1"/>
          </xdr:cNvPicPr>
        </xdr:nvPicPr>
        <xdr:blipFill>
          <a:blip xmlns:r="http://schemas.openxmlformats.org/officeDocument/2006/relationships" r:embed="rId29">
            <a:duotone>
              <a:prstClr val="black"/>
              <a:schemeClr val="accent2">
                <a:tint val="45000"/>
                <a:satMod val="400000"/>
              </a:schemeClr>
            </a:duotone>
          </a:blip>
          <a:stretch>
            <a:fillRect/>
          </a:stretch>
        </xdr:blipFill>
        <xdr:spPr>
          <a:xfrm>
            <a:off x="5241200" y="34565424"/>
            <a:ext cx="428434" cy="428434"/>
          </a:xfrm>
          <a:prstGeom prst="rect">
            <a:avLst/>
          </a:prstGeom>
        </xdr:spPr>
      </xdr:pic>
      <xdr:pic>
        <xdr:nvPicPr>
          <xdr:cNvPr id="19" name="Image 1353">
            <a:extLst>
              <a:ext uri="{FF2B5EF4-FFF2-40B4-BE49-F238E27FC236}">
                <a16:creationId xmlns:a16="http://schemas.microsoft.com/office/drawing/2014/main" id="{AB0CD181-21A2-349C-ACC3-BD0DFD5FE554}"/>
              </a:ext>
            </a:extLst>
          </xdr:cNvPr>
          <xdr:cNvPicPr>
            <a:picLocks noChangeAspect="1"/>
          </xdr:cNvPicPr>
        </xdr:nvPicPr>
        <xdr:blipFill>
          <a:blip xmlns:r="http://schemas.openxmlformats.org/officeDocument/2006/relationships" r:embed="rId30">
            <a:duotone>
              <a:prstClr val="black"/>
              <a:schemeClr val="accent3">
                <a:tint val="45000"/>
                <a:satMod val="400000"/>
              </a:schemeClr>
            </a:duotone>
          </a:blip>
          <a:stretch>
            <a:fillRect/>
          </a:stretch>
        </xdr:blipFill>
        <xdr:spPr>
          <a:xfrm>
            <a:off x="6403554" y="32691024"/>
            <a:ext cx="474337" cy="474337"/>
          </a:xfrm>
          <a:prstGeom prst="rect">
            <a:avLst/>
          </a:prstGeom>
        </xdr:spPr>
      </xdr:pic>
    </xdr:grpSp>
    <xdr:clientData/>
  </xdr:twoCellAnchor>
  <xdr:twoCellAnchor editAs="oneCell">
    <xdr:from>
      <xdr:col>9</xdr:col>
      <xdr:colOff>317180</xdr:colOff>
      <xdr:row>153</xdr:row>
      <xdr:rowOff>147977</xdr:rowOff>
    </xdr:from>
    <xdr:to>
      <xdr:col>10</xdr:col>
      <xdr:colOff>666750</xdr:colOff>
      <xdr:row>155</xdr:row>
      <xdr:rowOff>75434</xdr:rowOff>
    </xdr:to>
    <xdr:pic>
      <xdr:nvPicPr>
        <xdr:cNvPr id="1389" name="Image 1355" descr="Mistral AI : 1,7 milliard d'euros pour bâtir un champion européen de  l'intelligence artificielle - Scala Patrimoine">
          <a:extLst>
            <a:ext uri="{FF2B5EF4-FFF2-40B4-BE49-F238E27FC236}">
              <a16:creationId xmlns:a16="http://schemas.microsoft.com/office/drawing/2014/main" id="{087C2F9D-204E-79B3-69D4-D7F26F8204AA}"/>
            </a:ext>
          </a:extLst>
        </xdr:cNvPr>
        <xdr:cNvPicPr>
          <a:picLocks noChangeAspect="1" noChangeArrowheads="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t="32377" b="32862"/>
        <a:stretch>
          <a:fillRect/>
        </a:stretch>
      </xdr:blipFill>
      <xdr:spPr bwMode="auto">
        <a:xfrm>
          <a:off x="8688597" y="28119727"/>
          <a:ext cx="1397320" cy="287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154060</xdr:colOff>
      <xdr:row>35</xdr:row>
      <xdr:rowOff>316981</xdr:rowOff>
    </xdr:from>
    <xdr:to>
      <xdr:col>7</xdr:col>
      <xdr:colOff>201464</xdr:colOff>
      <xdr:row>38</xdr:row>
      <xdr:rowOff>1457</xdr:rowOff>
    </xdr:to>
    <xdr:sp macro="" textlink="Calcul!N8">
      <xdr:nvSpPr>
        <xdr:cNvPr id="457" name="Rectangle: Rounded Corners 6">
          <a:extLst>
            <a:ext uri="{FF2B5EF4-FFF2-40B4-BE49-F238E27FC236}">
              <a16:creationId xmlns:a16="http://schemas.microsoft.com/office/drawing/2014/main" id="{AD5CEA59-412B-46CC-A999-A98D92ED7AF0}"/>
            </a:ext>
          </a:extLst>
        </xdr:cNvPr>
        <xdr:cNvSpPr/>
      </xdr:nvSpPr>
      <xdr:spPr>
        <a:xfrm>
          <a:off x="1197896" y="7043371"/>
          <a:ext cx="5403759" cy="392240"/>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fld id="{2E03C986-C9A2-4008-BC99-D121B5014732}" type="TxLink">
            <a:rPr lang="en-US" sz="1200" b="0" i="0" u="none" strike="noStrike" cap="none" spc="100" baseline="0" dirty="0" err="1">
              <a:solidFill>
                <a:srgbClr val="000000"/>
              </a:solidFill>
              <a:latin typeface="Avenir Next LT Pro Light"/>
              <a:ea typeface="+mj-ea"/>
              <a:cs typeface="+mj-cs"/>
            </a:rPr>
            <a:pPr algn="ctr">
              <a:spcBef>
                <a:spcPts val="600"/>
              </a:spcBef>
            </a:pPr>
            <a:t>0  mWh / requête</a:t>
          </a:fld>
          <a:endParaRPr lang="en-US" sz="1200" b="0" cap="none" spc="100" baseline="0" dirty="0" err="1">
            <a:solidFill>
              <a:schemeClr val="tx2"/>
            </a:solidFill>
            <a:latin typeface="+mj-lt"/>
            <a:ea typeface="+mj-ea"/>
            <a:cs typeface="+mj-cs"/>
          </a:endParaRPr>
        </a:p>
      </xdr:txBody>
    </xdr:sp>
    <xdr:clientData/>
  </xdr:twoCellAnchor>
  <xdr:twoCellAnchor editAs="oneCell">
    <xdr:from>
      <xdr:col>7</xdr:col>
      <xdr:colOff>990153</xdr:colOff>
      <xdr:row>35</xdr:row>
      <xdr:rowOff>288440</xdr:rowOff>
    </xdr:from>
    <xdr:to>
      <xdr:col>14</xdr:col>
      <xdr:colOff>295308</xdr:colOff>
      <xdr:row>37</xdr:row>
      <xdr:rowOff>121304</xdr:rowOff>
    </xdr:to>
    <xdr:sp macro="" textlink="Calcul!N13">
      <xdr:nvSpPr>
        <xdr:cNvPr id="38" name="Rectangle: Rounded Corners 6">
          <a:extLst>
            <a:ext uri="{FF2B5EF4-FFF2-40B4-BE49-F238E27FC236}">
              <a16:creationId xmlns:a16="http://schemas.microsoft.com/office/drawing/2014/main" id="{3B954B6D-B8B0-496A-B45F-B2F73C156AC7}"/>
            </a:ext>
            <a:ext uri="{147F2762-F138-4A5C-976F-8EAC2B608ADB}">
              <a16:predDERef xmlns:a16="http://schemas.microsoft.com/office/drawing/2014/main" pred="{AD5CEA59-412B-46CC-A999-A98D92ED7AF0}"/>
            </a:ext>
          </a:extLst>
        </xdr:cNvPr>
        <xdr:cNvSpPr/>
      </xdr:nvSpPr>
      <xdr:spPr>
        <a:xfrm>
          <a:off x="7441176" y="7186849"/>
          <a:ext cx="5709707" cy="349235"/>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148C4A7B-4B8D-4BD6-9498-C62E110C9F54}" type="TxLink">
            <a:rPr lang="en-US" sz="1100" b="0" i="0" u="none" strike="noStrike" cap="none" spc="100" baseline="0" dirty="0" err="1">
              <a:solidFill>
                <a:srgbClr val="000000"/>
              </a:solidFill>
              <a:latin typeface="Avenir Next LT Pro Light"/>
              <a:ea typeface="+mj-ea"/>
              <a:cs typeface="+mj-cs"/>
            </a:rPr>
            <a:pPr marL="0" indent="0" algn="ctr">
              <a:spcBef>
                <a:spcPts val="600"/>
              </a:spcBef>
            </a:pPr>
            <a:t>0  mg CO₂e / requête</a:t>
          </a:fld>
          <a:endParaRPr lang="en-US" sz="1200" b="0" i="0" u="none" strike="noStrike" cap="none" spc="100" baseline="0" dirty="0" err="1">
            <a:solidFill>
              <a:schemeClr val="tx2"/>
            </a:solidFill>
            <a:latin typeface="+mj-lt"/>
            <a:ea typeface="+mj-ea"/>
            <a:cs typeface="+mj-cs"/>
          </a:endParaRPr>
        </a:p>
      </xdr:txBody>
    </xdr:sp>
    <xdr:clientData/>
  </xdr:twoCellAnchor>
  <xdr:twoCellAnchor>
    <xdr:from>
      <xdr:col>1</xdr:col>
      <xdr:colOff>240686</xdr:colOff>
      <xdr:row>65</xdr:row>
      <xdr:rowOff>140177</xdr:rowOff>
    </xdr:from>
    <xdr:to>
      <xdr:col>19</xdr:col>
      <xdr:colOff>979768</xdr:colOff>
      <xdr:row>108</xdr:row>
      <xdr:rowOff>140074</xdr:rowOff>
    </xdr:to>
    <xdr:sp macro="" textlink="">
      <xdr:nvSpPr>
        <xdr:cNvPr id="1518" name="Rectangle: Rounded Corners 6">
          <a:extLst>
            <a:ext uri="{FF2B5EF4-FFF2-40B4-BE49-F238E27FC236}">
              <a16:creationId xmlns:a16="http://schemas.microsoft.com/office/drawing/2014/main" id="{375EE72A-690D-4FE6-9E40-10EF68C0CC71}"/>
            </a:ext>
            <a:ext uri="{147F2762-F138-4A5C-976F-8EAC2B608ADB}">
              <a16:predDERef xmlns:a16="http://schemas.microsoft.com/office/drawing/2014/main" pred="{67413F47-F848-49D3-8736-12ED7863E73F}"/>
            </a:ext>
          </a:extLst>
        </xdr:cNvPr>
        <xdr:cNvSpPr/>
      </xdr:nvSpPr>
      <xdr:spPr>
        <a:xfrm>
          <a:off x="1137157" y="12074442"/>
          <a:ext cx="17533898" cy="8068132"/>
        </a:xfrm>
        <a:prstGeom prst="roundRect">
          <a:avLst>
            <a:gd name="adj" fmla="val 4245"/>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endParaRPr lang="en-US" sz="1600" b="1" i="0" u="none" strike="noStrike" cap="all" spc="100" baseline="0" dirty="0" err="1">
            <a:solidFill>
              <a:schemeClr val="tx2"/>
            </a:solidFill>
            <a:latin typeface="+mj-lt"/>
            <a:ea typeface="+mj-ea"/>
            <a:cs typeface="+mj-cs"/>
          </a:endParaRPr>
        </a:p>
      </xdr:txBody>
    </xdr:sp>
    <xdr:clientData/>
  </xdr:twoCellAnchor>
  <xdr:twoCellAnchor>
    <xdr:from>
      <xdr:col>1</xdr:col>
      <xdr:colOff>491734</xdr:colOff>
      <xdr:row>68</xdr:row>
      <xdr:rowOff>107017</xdr:rowOff>
    </xdr:from>
    <xdr:to>
      <xdr:col>6</xdr:col>
      <xdr:colOff>4059</xdr:colOff>
      <xdr:row>81</xdr:row>
      <xdr:rowOff>134470</xdr:rowOff>
    </xdr:to>
    <xdr:graphicFrame macro="">
      <xdr:nvGraphicFramePr>
        <xdr:cNvPr id="1370" name="Graphique 32">
          <a:extLst>
            <a:ext uri="{FF2B5EF4-FFF2-40B4-BE49-F238E27FC236}">
              <a16:creationId xmlns:a16="http://schemas.microsoft.com/office/drawing/2014/main" id="{BEA2A570-977A-0FF2-EC3A-2496F48A7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12</xdr:col>
      <xdr:colOff>64599</xdr:colOff>
      <xdr:row>12</xdr:row>
      <xdr:rowOff>145951</xdr:rowOff>
    </xdr:from>
    <xdr:to>
      <xdr:col>17</xdr:col>
      <xdr:colOff>64244</xdr:colOff>
      <xdr:row>14</xdr:row>
      <xdr:rowOff>92264</xdr:rowOff>
    </xdr:to>
    <xdr:sp macro="" textlink="">
      <xdr:nvSpPr>
        <xdr:cNvPr id="7" name="Rectangle: Rounded Corners 6">
          <a:extLst>
            <a:ext uri="{FF2B5EF4-FFF2-40B4-BE49-F238E27FC236}">
              <a16:creationId xmlns:a16="http://schemas.microsoft.com/office/drawing/2014/main" id="{385C6CB4-A30C-4074-A966-9BBBF2E1CC2E}"/>
            </a:ext>
          </a:extLst>
        </xdr:cNvPr>
        <xdr:cNvSpPr/>
      </xdr:nvSpPr>
      <xdr:spPr>
        <a:xfrm>
          <a:off x="11589849" y="2649665"/>
          <a:ext cx="4047070" cy="315686"/>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l">
            <a:spcBef>
              <a:spcPts val="600"/>
            </a:spcBef>
          </a:pPr>
          <a:r>
            <a:rPr lang="en-US" sz="1200" b="0" i="0" u="none" strike="noStrike" cap="all" spc="100" baseline="0" dirty="0" err="1">
              <a:solidFill>
                <a:schemeClr val="tx1"/>
              </a:solidFill>
              <a:latin typeface="Avenir Next LT Pro"/>
              <a:ea typeface="+mj-ea"/>
              <a:cs typeface="+mj-cs"/>
            </a:rPr>
            <a:t>TOKENS D'Entrée</a:t>
          </a:r>
        </a:p>
      </xdr:txBody>
    </xdr:sp>
    <xdr:clientData/>
  </xdr:twoCellAnchor>
  <xdr:twoCellAnchor editAs="oneCell">
    <xdr:from>
      <xdr:col>8</xdr:col>
      <xdr:colOff>706946</xdr:colOff>
      <xdr:row>12</xdr:row>
      <xdr:rowOff>143208</xdr:rowOff>
    </xdr:from>
    <xdr:to>
      <xdr:col>11</xdr:col>
      <xdr:colOff>808520</xdr:colOff>
      <xdr:row>14</xdr:row>
      <xdr:rowOff>104245</xdr:rowOff>
    </xdr:to>
    <xdr:sp macro="" textlink="Calcul!M27">
      <xdr:nvSpPr>
        <xdr:cNvPr id="24" name="Rectangle: Rounded Corners 6">
          <a:extLst>
            <a:ext uri="{FF2B5EF4-FFF2-40B4-BE49-F238E27FC236}">
              <a16:creationId xmlns:a16="http://schemas.microsoft.com/office/drawing/2014/main" id="{DBD6B38E-7BF2-44F4-975E-5647962D7F70}"/>
            </a:ext>
            <a:ext uri="{147F2762-F138-4A5C-976F-8EAC2B608ADB}">
              <a16:predDERef xmlns:a16="http://schemas.microsoft.com/office/drawing/2014/main" pred="{60982B8C-DBEC-D5B2-F8CD-1961E98B7BCF}"/>
            </a:ext>
          </a:extLst>
        </xdr:cNvPr>
        <xdr:cNvSpPr/>
      </xdr:nvSpPr>
      <xdr:spPr>
        <a:xfrm>
          <a:off x="8053620" y="2685969"/>
          <a:ext cx="3263598" cy="325472"/>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7E3206D-FFE0-4DB3-9F14-9D18E21D1E13}"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1 200 000 000</a:t>
          </a:fld>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editAs="oneCell">
    <xdr:from>
      <xdr:col>12</xdr:col>
      <xdr:colOff>64599</xdr:colOff>
      <xdr:row>17</xdr:row>
      <xdr:rowOff>121479</xdr:rowOff>
    </xdr:from>
    <xdr:to>
      <xdr:col>17</xdr:col>
      <xdr:colOff>47215</xdr:colOff>
      <xdr:row>19</xdr:row>
      <xdr:rowOff>77030</xdr:rowOff>
    </xdr:to>
    <xdr:sp macro="" textlink="">
      <xdr:nvSpPr>
        <xdr:cNvPr id="26" name="Rectangle: Rounded Corners 6">
          <a:extLst>
            <a:ext uri="{FF2B5EF4-FFF2-40B4-BE49-F238E27FC236}">
              <a16:creationId xmlns:a16="http://schemas.microsoft.com/office/drawing/2014/main" id="{5A72D31D-F47F-4C75-BDC4-70A352791B96}"/>
            </a:ext>
          </a:extLst>
        </xdr:cNvPr>
        <xdr:cNvSpPr/>
      </xdr:nvSpPr>
      <xdr:spPr>
        <a:xfrm>
          <a:off x="11589849" y="3509658"/>
          <a:ext cx="4037545" cy="309336"/>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l">
            <a:spcBef>
              <a:spcPts val="600"/>
            </a:spcBef>
          </a:pPr>
          <a:r>
            <a:rPr lang="en-US" sz="1200" b="0" i="0" u="none" strike="noStrike" cap="all" spc="100" baseline="0" dirty="0" err="1">
              <a:solidFill>
                <a:schemeClr val="tx1"/>
              </a:solidFill>
              <a:latin typeface="Avenir Next LT Pro"/>
              <a:ea typeface="+mj-ea"/>
              <a:cs typeface="+mj-cs"/>
            </a:rPr>
            <a:t>TOKENS d'embedding</a:t>
          </a:r>
        </a:p>
      </xdr:txBody>
    </xdr:sp>
    <xdr:clientData/>
  </xdr:twoCellAnchor>
  <xdr:twoCellAnchor editAs="oneCell">
    <xdr:from>
      <xdr:col>8</xdr:col>
      <xdr:colOff>706946</xdr:colOff>
      <xdr:row>17</xdr:row>
      <xdr:rowOff>125086</xdr:rowOff>
    </xdr:from>
    <xdr:to>
      <xdr:col>11</xdr:col>
      <xdr:colOff>808520</xdr:colOff>
      <xdr:row>19</xdr:row>
      <xdr:rowOff>86124</xdr:rowOff>
    </xdr:to>
    <xdr:sp macro="" textlink="Calcul!M127">
      <xdr:nvSpPr>
        <xdr:cNvPr id="27" name="Rectangle: Rounded Corners 6">
          <a:extLst>
            <a:ext uri="{FF2B5EF4-FFF2-40B4-BE49-F238E27FC236}">
              <a16:creationId xmlns:a16="http://schemas.microsoft.com/office/drawing/2014/main" id="{DD68DC00-C283-4A5F-9915-E6844A6614FC}"/>
            </a:ext>
            <a:ext uri="{147F2762-F138-4A5C-976F-8EAC2B608ADB}">
              <a16:predDERef xmlns:a16="http://schemas.microsoft.com/office/drawing/2014/main" pred="{60982B8C-DBEC-D5B2-F8CD-1961E98B7BCF}"/>
            </a:ext>
          </a:extLst>
        </xdr:cNvPr>
        <xdr:cNvSpPr/>
      </xdr:nvSpPr>
      <xdr:spPr>
        <a:xfrm>
          <a:off x="8053620" y="3578934"/>
          <a:ext cx="3263598" cy="325473"/>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E55DBF8D-D683-4A45-A427-E7513D6DF131}" type="TxLink">
            <a:rPr lang="en-US" sz="1200" b="1" i="0" u="none" strike="noStrike" cap="all" spc="100" baseline="0" dirty="0" err="1">
              <a:solidFill>
                <a:schemeClr val="accent3">
                  <a:lumMod val="50000"/>
                </a:schemeClr>
              </a:solidFill>
              <a:latin typeface="Avenir Next LT Pro"/>
              <a:ea typeface="+mj-ea"/>
              <a:cs typeface="+mj-cs"/>
            </a:rPr>
            <a:pPr marL="0" indent="0" algn="ctr">
              <a:spcBef>
                <a:spcPts val="600"/>
              </a:spcBef>
            </a:pPr>
            <a:t>12000000000</a:t>
          </a:fld>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twoCellAnchor>
    <xdr:from>
      <xdr:col>1</xdr:col>
      <xdr:colOff>123157</xdr:colOff>
      <xdr:row>62</xdr:row>
      <xdr:rowOff>3018</xdr:rowOff>
    </xdr:from>
    <xdr:to>
      <xdr:col>20</xdr:col>
      <xdr:colOff>183936</xdr:colOff>
      <xdr:row>65</xdr:row>
      <xdr:rowOff>30166</xdr:rowOff>
    </xdr:to>
    <xdr:sp macro="" textlink="">
      <xdr:nvSpPr>
        <xdr:cNvPr id="31" name="Rectangle: Rounded Corners 6">
          <a:extLst>
            <a:ext uri="{FF2B5EF4-FFF2-40B4-BE49-F238E27FC236}">
              <a16:creationId xmlns:a16="http://schemas.microsoft.com/office/drawing/2014/main" id="{0E015985-2FA5-3FB3-1A21-2E9F858C3E28}"/>
            </a:ext>
            <a:ext uri="{147F2762-F138-4A5C-976F-8EAC2B608ADB}">
              <a16:predDERef xmlns:a16="http://schemas.microsoft.com/office/drawing/2014/main" pred="{DD68DC00-C283-4A5F-9915-E6844A6614FC}"/>
            </a:ext>
          </a:extLst>
        </xdr:cNvPr>
        <xdr:cNvSpPr/>
      </xdr:nvSpPr>
      <xdr:spPr>
        <a:xfrm>
          <a:off x="1016126" y="10495401"/>
          <a:ext cx="17801091" cy="562929"/>
        </a:xfrm>
        <a:prstGeom prst="roundRect">
          <a:avLst/>
        </a:prstGeom>
        <a:solidFill>
          <a:schemeClr val="accent3">
            <a:lumMod val="50000"/>
          </a:schemeClr>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r>
            <a:rPr lang="en-US" sz="1200" b="1" cap="all" spc="100" baseline="0" dirty="0" err="1">
              <a:solidFill>
                <a:schemeClr val="bg1"/>
              </a:solidFill>
              <a:latin typeface="+mj-lt"/>
              <a:ea typeface="+mj-ea"/>
              <a:cs typeface="+mj-cs"/>
            </a:rPr>
            <a:t>répartition DES IMPACTS PAR étape du cycle de vie d'un modèle IA </a:t>
          </a:r>
        </a:p>
      </xdr:txBody>
    </xdr:sp>
    <xdr:clientData/>
  </xdr:twoCellAnchor>
  <xdr:twoCellAnchor>
    <xdr:from>
      <xdr:col>8</xdr:col>
      <xdr:colOff>332415</xdr:colOff>
      <xdr:row>68</xdr:row>
      <xdr:rowOff>160057</xdr:rowOff>
    </xdr:from>
    <xdr:to>
      <xdr:col>12</xdr:col>
      <xdr:colOff>692523</xdr:colOff>
      <xdr:row>82</xdr:row>
      <xdr:rowOff>5576</xdr:rowOff>
    </xdr:to>
    <xdr:graphicFrame macro="">
      <xdr:nvGraphicFramePr>
        <xdr:cNvPr id="1381" name="Graphique 448">
          <a:extLst>
            <a:ext uri="{FF2B5EF4-FFF2-40B4-BE49-F238E27FC236}">
              <a16:creationId xmlns:a16="http://schemas.microsoft.com/office/drawing/2014/main" id="{D8697596-29A8-5253-960D-CB71A035A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15</xdr:col>
      <xdr:colOff>64540</xdr:colOff>
      <xdr:row>69</xdr:row>
      <xdr:rowOff>0</xdr:rowOff>
    </xdr:from>
    <xdr:to>
      <xdr:col>19</xdr:col>
      <xdr:colOff>584294</xdr:colOff>
      <xdr:row>82</xdr:row>
      <xdr:rowOff>27137</xdr:rowOff>
    </xdr:to>
    <xdr:graphicFrame macro="">
      <xdr:nvGraphicFramePr>
        <xdr:cNvPr id="1402" name="Graphique 449">
          <a:extLst>
            <a:ext uri="{FF2B5EF4-FFF2-40B4-BE49-F238E27FC236}">
              <a16:creationId xmlns:a16="http://schemas.microsoft.com/office/drawing/2014/main" id="{95190C28-0645-33CE-E5AD-020F2A812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4</xdr:col>
      <xdr:colOff>790064</xdr:colOff>
      <xdr:row>180</xdr:row>
      <xdr:rowOff>136056</xdr:rowOff>
    </xdr:from>
    <xdr:to>
      <xdr:col>4</xdr:col>
      <xdr:colOff>801055</xdr:colOff>
      <xdr:row>188</xdr:row>
      <xdr:rowOff>168256</xdr:rowOff>
    </xdr:to>
    <xdr:cxnSp macro="">
      <xdr:nvCxnSpPr>
        <xdr:cNvPr id="1434" name="Connecteur droit 27">
          <a:extLst>
            <a:ext uri="{FF2B5EF4-FFF2-40B4-BE49-F238E27FC236}">
              <a16:creationId xmlns:a16="http://schemas.microsoft.com/office/drawing/2014/main" id="{97204A60-3091-4F42-B6AD-63FD8A814880}"/>
            </a:ext>
          </a:extLst>
        </xdr:cNvPr>
        <xdr:cNvCxnSpPr/>
      </xdr:nvCxnSpPr>
      <xdr:spPr>
        <a:xfrm>
          <a:off x="4831385" y="32521056"/>
          <a:ext cx="10991" cy="1447343"/>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774610</xdr:colOff>
      <xdr:row>181</xdr:row>
      <xdr:rowOff>16202</xdr:rowOff>
    </xdr:from>
    <xdr:to>
      <xdr:col>8</xdr:col>
      <xdr:colOff>778432</xdr:colOff>
      <xdr:row>189</xdr:row>
      <xdr:rowOff>62120</xdr:rowOff>
    </xdr:to>
    <xdr:cxnSp macro="">
      <xdr:nvCxnSpPr>
        <xdr:cNvPr id="1431" name="Connecteur droit 450">
          <a:extLst>
            <a:ext uri="{FF2B5EF4-FFF2-40B4-BE49-F238E27FC236}">
              <a16:creationId xmlns:a16="http://schemas.microsoft.com/office/drawing/2014/main" id="{C5762A5D-BB88-46F4-B0BA-AB0043E04FDB}"/>
            </a:ext>
          </a:extLst>
        </xdr:cNvPr>
        <xdr:cNvCxnSpPr/>
      </xdr:nvCxnSpPr>
      <xdr:spPr>
        <a:xfrm>
          <a:off x="8108860" y="32578095"/>
          <a:ext cx="3822" cy="1461061"/>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876380</xdr:colOff>
      <xdr:row>181</xdr:row>
      <xdr:rowOff>16257</xdr:rowOff>
    </xdr:from>
    <xdr:to>
      <xdr:col>11</xdr:col>
      <xdr:colOff>894273</xdr:colOff>
      <xdr:row>188</xdr:row>
      <xdr:rowOff>154648</xdr:rowOff>
    </xdr:to>
    <xdr:cxnSp macro="">
      <xdr:nvCxnSpPr>
        <xdr:cNvPr id="1432" name="Connecteur droit 451">
          <a:extLst>
            <a:ext uri="{FF2B5EF4-FFF2-40B4-BE49-F238E27FC236}">
              <a16:creationId xmlns:a16="http://schemas.microsoft.com/office/drawing/2014/main" id="{A4B7182C-DC77-43D7-9B32-25C450525C28}"/>
            </a:ext>
          </a:extLst>
        </xdr:cNvPr>
        <xdr:cNvCxnSpPr/>
      </xdr:nvCxnSpPr>
      <xdr:spPr>
        <a:xfrm>
          <a:off x="11353880" y="32578150"/>
          <a:ext cx="17893" cy="1376641"/>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864513</xdr:colOff>
      <xdr:row>181</xdr:row>
      <xdr:rowOff>16201</xdr:rowOff>
    </xdr:from>
    <xdr:to>
      <xdr:col>15</xdr:col>
      <xdr:colOff>864513</xdr:colOff>
      <xdr:row>189</xdr:row>
      <xdr:rowOff>92002</xdr:rowOff>
    </xdr:to>
    <xdr:cxnSp macro="">
      <xdr:nvCxnSpPr>
        <xdr:cNvPr id="1433" name="Connecteur droit 453">
          <a:extLst>
            <a:ext uri="{FF2B5EF4-FFF2-40B4-BE49-F238E27FC236}">
              <a16:creationId xmlns:a16="http://schemas.microsoft.com/office/drawing/2014/main" id="{3ADBE14D-633F-4BA4-9DF1-996C569F135D}"/>
            </a:ext>
          </a:extLst>
        </xdr:cNvPr>
        <xdr:cNvCxnSpPr/>
      </xdr:nvCxnSpPr>
      <xdr:spPr>
        <a:xfrm>
          <a:off x="14594120" y="32578094"/>
          <a:ext cx="0" cy="1490944"/>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761900</xdr:colOff>
      <xdr:row>173</xdr:row>
      <xdr:rowOff>10207</xdr:rowOff>
    </xdr:from>
    <xdr:to>
      <xdr:col>4</xdr:col>
      <xdr:colOff>762000</xdr:colOff>
      <xdr:row>173</xdr:row>
      <xdr:rowOff>31687</xdr:rowOff>
    </xdr:to>
    <xdr:cxnSp macro="">
      <xdr:nvCxnSpPr>
        <xdr:cNvPr id="1439" name="Connecteur droit 455">
          <a:extLst>
            <a:ext uri="{FF2B5EF4-FFF2-40B4-BE49-F238E27FC236}">
              <a16:creationId xmlns:a16="http://schemas.microsoft.com/office/drawing/2014/main" id="{117DD7EB-186E-4D0F-A32B-D009EDB0FF3F}"/>
            </a:ext>
          </a:extLst>
        </xdr:cNvPr>
        <xdr:cNvCxnSpPr/>
      </xdr:nvCxnSpPr>
      <xdr:spPr>
        <a:xfrm>
          <a:off x="4803221" y="31102528"/>
          <a:ext cx="100" cy="2148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740065</xdr:colOff>
      <xdr:row>199</xdr:row>
      <xdr:rowOff>130384</xdr:rowOff>
    </xdr:from>
    <xdr:to>
      <xdr:col>8</xdr:col>
      <xdr:colOff>752377</xdr:colOff>
      <xdr:row>208</xdr:row>
      <xdr:rowOff>34452</xdr:rowOff>
    </xdr:to>
    <xdr:cxnSp macro="">
      <xdr:nvCxnSpPr>
        <xdr:cNvPr id="1440" name="Connecteur droit 456">
          <a:extLst>
            <a:ext uri="{FF2B5EF4-FFF2-40B4-BE49-F238E27FC236}">
              <a16:creationId xmlns:a16="http://schemas.microsoft.com/office/drawing/2014/main" id="{62EEA4F5-5455-4AED-80E1-288DDAF549D0}"/>
            </a:ext>
          </a:extLst>
        </xdr:cNvPr>
        <xdr:cNvCxnSpPr/>
      </xdr:nvCxnSpPr>
      <xdr:spPr>
        <a:xfrm>
          <a:off x="8074315" y="35876348"/>
          <a:ext cx="12312" cy="1496104"/>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844926</xdr:colOff>
      <xdr:row>199</xdr:row>
      <xdr:rowOff>130384</xdr:rowOff>
    </xdr:from>
    <xdr:to>
      <xdr:col>11</xdr:col>
      <xdr:colOff>868386</xdr:colOff>
      <xdr:row>208</xdr:row>
      <xdr:rowOff>102488</xdr:rowOff>
    </xdr:to>
    <xdr:cxnSp macro="">
      <xdr:nvCxnSpPr>
        <xdr:cNvPr id="1441" name="Connecteur droit 457">
          <a:extLst>
            <a:ext uri="{FF2B5EF4-FFF2-40B4-BE49-F238E27FC236}">
              <a16:creationId xmlns:a16="http://schemas.microsoft.com/office/drawing/2014/main" id="{3318B06D-72B4-48CC-AA73-0AE4AB94639C}"/>
            </a:ext>
          </a:extLst>
        </xdr:cNvPr>
        <xdr:cNvCxnSpPr/>
      </xdr:nvCxnSpPr>
      <xdr:spPr>
        <a:xfrm>
          <a:off x="11322426" y="35876348"/>
          <a:ext cx="23460" cy="156414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836235</xdr:colOff>
      <xdr:row>199</xdr:row>
      <xdr:rowOff>130439</xdr:rowOff>
    </xdr:from>
    <xdr:to>
      <xdr:col>15</xdr:col>
      <xdr:colOff>845509</xdr:colOff>
      <xdr:row>208</xdr:row>
      <xdr:rowOff>62001</xdr:rowOff>
    </xdr:to>
    <xdr:cxnSp macro="">
      <xdr:nvCxnSpPr>
        <xdr:cNvPr id="1442" name="Connecteur droit 458">
          <a:extLst>
            <a:ext uri="{FF2B5EF4-FFF2-40B4-BE49-F238E27FC236}">
              <a16:creationId xmlns:a16="http://schemas.microsoft.com/office/drawing/2014/main" id="{A03C5613-5111-478E-9091-542A27C7B24C}"/>
            </a:ext>
          </a:extLst>
        </xdr:cNvPr>
        <xdr:cNvCxnSpPr/>
      </xdr:nvCxnSpPr>
      <xdr:spPr>
        <a:xfrm>
          <a:off x="14565842" y="35876403"/>
          <a:ext cx="9274" cy="1523598"/>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664696</xdr:colOff>
      <xdr:row>29</xdr:row>
      <xdr:rowOff>142571</xdr:rowOff>
    </xdr:from>
    <xdr:to>
      <xdr:col>20</xdr:col>
      <xdr:colOff>256079</xdr:colOff>
      <xdr:row>32</xdr:row>
      <xdr:rowOff>73425</xdr:rowOff>
    </xdr:to>
    <xdr:sp macro="" textlink="">
      <xdr:nvSpPr>
        <xdr:cNvPr id="1366" name="Rectangle: Rounded Corners 6">
          <a:extLst>
            <a:ext uri="{FF2B5EF4-FFF2-40B4-BE49-F238E27FC236}">
              <a16:creationId xmlns:a16="http://schemas.microsoft.com/office/drawing/2014/main" id="{5F8AC0B6-6614-8AAB-B204-10CA53F7673D}"/>
            </a:ext>
            <a:ext uri="{147F2762-F138-4A5C-976F-8EAC2B608ADB}">
              <a16:predDERef xmlns:a16="http://schemas.microsoft.com/office/drawing/2014/main" pred="{A03C5613-5111-478E-9091-542A27C7B24C}"/>
            </a:ext>
          </a:extLst>
        </xdr:cNvPr>
        <xdr:cNvSpPr/>
      </xdr:nvSpPr>
      <xdr:spPr>
        <a:xfrm>
          <a:off x="13523446" y="5912123"/>
          <a:ext cx="5641490" cy="496870"/>
        </a:xfrm>
        <a:prstGeom prst="roundRect">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Utilisation </a:t>
          </a:r>
          <a:br>
            <a:rPr lang="en-US" sz="1200" b="1" cap="all" spc="100" baseline="0" dirty="0" err="1">
              <a:solidFill>
                <a:schemeClr val="bg1"/>
              </a:solidFill>
              <a:latin typeface="+mj-lt"/>
              <a:ea typeface="+mj-ea"/>
              <a:cs typeface="+mj-cs"/>
            </a:rPr>
          </a:br>
          <a:r>
            <a:rPr lang="en-US" sz="1200" b="1" cap="all" spc="100" baseline="0" dirty="0" err="1">
              <a:solidFill>
                <a:schemeClr val="bg1"/>
              </a:solidFill>
              <a:latin typeface="+mj-lt"/>
              <a:ea typeface="+mj-ea"/>
              <a:cs typeface="+mj-cs"/>
            </a:rPr>
            <a:t>d'eau</a:t>
          </a:r>
        </a:p>
      </xdr:txBody>
    </xdr:sp>
    <xdr:clientData/>
  </xdr:twoCellAnchor>
  <xdr:twoCellAnchor editAs="absolute">
    <xdr:from>
      <xdr:col>14</xdr:col>
      <xdr:colOff>731141</xdr:colOff>
      <xdr:row>33</xdr:row>
      <xdr:rowOff>28736</xdr:rowOff>
    </xdr:from>
    <xdr:to>
      <xdr:col>20</xdr:col>
      <xdr:colOff>102110</xdr:colOff>
      <xdr:row>35</xdr:row>
      <xdr:rowOff>188479</xdr:rowOff>
    </xdr:to>
    <xdr:sp macro="" textlink="Calcul!N16">
      <xdr:nvSpPr>
        <xdr:cNvPr id="462" name="Rectangle: Rounded Corners 6">
          <a:extLst>
            <a:ext uri="{FF2B5EF4-FFF2-40B4-BE49-F238E27FC236}">
              <a16:creationId xmlns:a16="http://schemas.microsoft.com/office/drawing/2014/main" id="{41279863-B668-8787-B0C5-C57D7F96F9C6}"/>
            </a:ext>
          </a:extLst>
        </xdr:cNvPr>
        <xdr:cNvSpPr/>
      </xdr:nvSpPr>
      <xdr:spPr>
        <a:xfrm>
          <a:off x="13593066" y="6548743"/>
          <a:ext cx="5417901" cy="538145"/>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EC9F729E-7317-4680-BE44-B468BC49F0D5}" type="TxLink">
            <a:rPr lang="en-US" sz="1800" b="1" i="0" u="none" strike="noStrike" cap="none" spc="100" baseline="0" dirty="0" err="1">
              <a:solidFill>
                <a:sysClr val="windowText" lastClr="000000"/>
              </a:solidFill>
              <a:latin typeface="Avenir Next LT Pro Light"/>
              <a:ea typeface="+mj-ea"/>
              <a:cs typeface="+mj-cs"/>
            </a:rPr>
            <a:pPr marL="0" indent="0" algn="ctr">
              <a:spcBef>
                <a:spcPts val="600"/>
              </a:spcBef>
            </a:pPr>
            <a:t>#DIV/0!</a:t>
          </a:fld>
          <a:endParaRPr lang="en-US" sz="2800" b="1" i="0" u="none" strike="noStrike" cap="none" spc="100" baseline="0" dirty="0" err="1">
            <a:solidFill>
              <a:sysClr val="windowText" lastClr="000000"/>
            </a:solidFill>
            <a:latin typeface="+mj-lt"/>
            <a:ea typeface="+mj-ea"/>
            <a:cs typeface="+mj-cs"/>
          </a:endParaRPr>
        </a:p>
      </xdr:txBody>
    </xdr:sp>
    <xdr:clientData/>
  </xdr:twoCellAnchor>
  <xdr:twoCellAnchor editAs="absolute">
    <xdr:from>
      <xdr:col>14</xdr:col>
      <xdr:colOff>744562</xdr:colOff>
      <xdr:row>36</xdr:row>
      <xdr:rowOff>1418</xdr:rowOff>
    </xdr:from>
    <xdr:to>
      <xdr:col>20</xdr:col>
      <xdr:colOff>114784</xdr:colOff>
      <xdr:row>37</xdr:row>
      <xdr:rowOff>88302</xdr:rowOff>
    </xdr:to>
    <xdr:sp macro="" textlink="Calcul!N18">
      <xdr:nvSpPr>
        <xdr:cNvPr id="459" name="Rectangle: Rounded Corners 6">
          <a:extLst>
            <a:ext uri="{FF2B5EF4-FFF2-40B4-BE49-F238E27FC236}">
              <a16:creationId xmlns:a16="http://schemas.microsoft.com/office/drawing/2014/main" id="{67E07BB1-30B0-3680-9333-C3685BD65FC5}"/>
            </a:ext>
          </a:extLst>
        </xdr:cNvPr>
        <xdr:cNvSpPr/>
      </xdr:nvSpPr>
      <xdr:spPr>
        <a:xfrm>
          <a:off x="13505452" y="7059872"/>
          <a:ext cx="5372277" cy="283088"/>
        </a:xfrm>
        <a:prstGeom prst="roundRect">
          <a:avLst/>
        </a:prstGeom>
        <a:solidFill>
          <a:schemeClr val="bg1"/>
        </a:solid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indent="0" algn="ctr">
            <a:spcBef>
              <a:spcPts val="600"/>
            </a:spcBef>
          </a:pPr>
          <a:fld id="{C8DF31D4-9F97-4704-863F-FE9601B03256}" type="TxLink">
            <a:rPr lang="en-US" sz="1200" b="0" i="0" u="none" strike="noStrike" cap="none" spc="100" baseline="0" dirty="0" err="1">
              <a:solidFill>
                <a:srgbClr val="000000"/>
              </a:solidFill>
              <a:latin typeface="Avenir Next LT Pro Light"/>
              <a:ea typeface="+mj-ea"/>
              <a:cs typeface="+mj-cs"/>
            </a:rPr>
            <a:pPr marL="0" indent="0" algn="ctr">
              <a:spcBef>
                <a:spcPts val="600"/>
              </a:spcBef>
            </a:pPr>
            <a:t>0 mL eq / requête</a:t>
          </a:fld>
          <a:endParaRPr lang="en-US" sz="1200" b="0" i="0" u="none" strike="noStrike" cap="none" spc="100" baseline="0" dirty="0" err="1">
            <a:solidFill>
              <a:schemeClr val="tx2"/>
            </a:solidFill>
            <a:latin typeface="+mj-lt"/>
            <a:ea typeface="+mj-ea"/>
            <a:cs typeface="+mj-cs"/>
          </a:endParaRPr>
        </a:p>
      </xdr:txBody>
    </xdr:sp>
    <xdr:clientData/>
  </xdr:twoCellAnchor>
  <xdr:twoCellAnchor>
    <xdr:from>
      <xdr:col>1</xdr:col>
      <xdr:colOff>468790</xdr:colOff>
      <xdr:row>66</xdr:row>
      <xdr:rowOff>54467</xdr:rowOff>
    </xdr:from>
    <xdr:to>
      <xdr:col>19</xdr:col>
      <xdr:colOff>864507</xdr:colOff>
      <xdr:row>69</xdr:row>
      <xdr:rowOff>108858</xdr:rowOff>
    </xdr:to>
    <xdr:sp macro="" textlink="">
      <xdr:nvSpPr>
        <xdr:cNvPr id="32" name="Rectangle: Top Corners Rounded 60">
          <a:extLst>
            <a:ext uri="{FF2B5EF4-FFF2-40B4-BE49-F238E27FC236}">
              <a16:creationId xmlns:a16="http://schemas.microsoft.com/office/drawing/2014/main" id="{8028E844-B85D-46D2-9622-27472C7AF408}"/>
            </a:ext>
          </a:extLst>
        </xdr:cNvPr>
        <xdr:cNvSpPr/>
      </xdr:nvSpPr>
      <xdr:spPr>
        <a:xfrm>
          <a:off x="1366861" y="11185110"/>
          <a:ext cx="17173325" cy="585069"/>
        </a:xfrm>
        <a:prstGeom prst="round2SameRect">
          <a:avLst>
            <a:gd name="adj1" fmla="val 19566"/>
            <a:gd name="adj2" fmla="val 0"/>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400" baseline="0" dirty="0" err="1">
              <a:solidFill>
                <a:schemeClr val="tx1"/>
              </a:solidFill>
              <a:ea typeface="+mj-ea"/>
              <a:cs typeface="+mj-cs"/>
            </a:rPr>
            <a:t>Ce graphique détaille les indicateurs en </a:t>
          </a:r>
          <a:r>
            <a:rPr lang="en-US" sz="1400" b="1" baseline="0" dirty="0" err="1">
              <a:solidFill>
                <a:schemeClr val="tx1"/>
              </a:solidFill>
              <a:ea typeface="+mj-ea"/>
              <a:cs typeface="+mj-cs"/>
            </a:rPr>
            <a:t>fonction des 2 étapes principales du cycle de vie de l'IA</a:t>
          </a:r>
          <a:r>
            <a:rPr lang="en-US" sz="1400" baseline="0" dirty="0" err="1">
              <a:solidFill>
                <a:schemeClr val="tx1"/>
              </a:solidFill>
              <a:ea typeface="+mj-ea"/>
              <a:cs typeface="+mj-cs"/>
            </a:rPr>
            <a:t>.</a:t>
          </a:r>
          <a:br>
            <a:rPr lang="en-US" sz="1400" baseline="0" dirty="0" err="1">
              <a:solidFill>
                <a:schemeClr val="tx1"/>
              </a:solidFill>
              <a:ea typeface="+mj-ea"/>
              <a:cs typeface="+mj-cs"/>
            </a:rPr>
          </a:br>
          <a:r>
            <a:rPr lang="en-US" sz="1400" baseline="0" dirty="0" err="1">
              <a:solidFill>
                <a:schemeClr val="tx1"/>
              </a:solidFill>
              <a:ea typeface="+mj-ea"/>
              <a:cs typeface="+mj-cs"/>
            </a:rPr>
            <a:t>L’entraînement correspond à la création du modèle. L’inférence est l’utilisation du modèle une fois qu’il est entraîné : chaque requête, chaque réponse générée. </a:t>
          </a:r>
        </a:p>
      </xdr:txBody>
    </xdr:sp>
    <xdr:clientData/>
  </xdr:twoCellAnchor>
  <xdr:twoCellAnchor editAs="oneCell">
    <xdr:from>
      <xdr:col>3</xdr:col>
      <xdr:colOff>504573</xdr:colOff>
      <xdr:row>72</xdr:row>
      <xdr:rowOff>95600</xdr:rowOff>
    </xdr:from>
    <xdr:to>
      <xdr:col>3</xdr:col>
      <xdr:colOff>959595</xdr:colOff>
      <xdr:row>75</xdr:row>
      <xdr:rowOff>66422</xdr:rowOff>
    </xdr:to>
    <xdr:pic>
      <xdr:nvPicPr>
        <xdr:cNvPr id="1371" name="Graphique 116">
          <a:extLst>
            <a:ext uri="{FF2B5EF4-FFF2-40B4-BE49-F238E27FC236}">
              <a16:creationId xmlns:a16="http://schemas.microsoft.com/office/drawing/2014/main" id="{76F9E08B-8A08-445C-B413-0E192C200E02}"/>
            </a:ext>
          </a:extLst>
        </xdr:cNvPr>
        <xdr:cNvPicPr preferRelativeResize="0">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498144" y="12287600"/>
          <a:ext cx="534397" cy="523272"/>
        </a:xfrm>
        <a:prstGeom prst="rect">
          <a:avLst/>
        </a:prstGeom>
      </xdr:spPr>
    </xdr:pic>
    <xdr:clientData/>
  </xdr:twoCellAnchor>
  <xdr:twoCellAnchor editAs="oneCell">
    <xdr:from>
      <xdr:col>10</xdr:col>
      <xdr:colOff>208904</xdr:colOff>
      <xdr:row>72</xdr:row>
      <xdr:rowOff>99390</xdr:rowOff>
    </xdr:from>
    <xdr:to>
      <xdr:col>10</xdr:col>
      <xdr:colOff>860424</xdr:colOff>
      <xdr:row>75</xdr:row>
      <xdr:rowOff>158821</xdr:rowOff>
    </xdr:to>
    <xdr:pic>
      <xdr:nvPicPr>
        <xdr:cNvPr id="485" name="Graphique 119">
          <a:extLst>
            <a:ext uri="{FF2B5EF4-FFF2-40B4-BE49-F238E27FC236}">
              <a16:creationId xmlns:a16="http://schemas.microsoft.com/office/drawing/2014/main" id="{F70618B9-879F-489E-AD20-7DB6A21E9858}"/>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38654" y="12291390"/>
          <a:ext cx="651520" cy="621406"/>
        </a:xfrm>
        <a:prstGeom prst="rect">
          <a:avLst/>
        </a:prstGeom>
      </xdr:spPr>
    </xdr:pic>
    <xdr:clientData/>
  </xdr:twoCellAnchor>
  <xdr:twoCellAnchor editAs="oneCell">
    <xdr:from>
      <xdr:col>17</xdr:col>
      <xdr:colOff>180056</xdr:colOff>
      <xdr:row>72</xdr:row>
      <xdr:rowOff>154256</xdr:rowOff>
    </xdr:from>
    <xdr:to>
      <xdr:col>17</xdr:col>
      <xdr:colOff>716881</xdr:colOff>
      <xdr:row>75</xdr:row>
      <xdr:rowOff>131428</xdr:rowOff>
    </xdr:to>
    <xdr:pic>
      <xdr:nvPicPr>
        <xdr:cNvPr id="1403" name="Image 4">
          <a:extLst>
            <a:ext uri="{FF2B5EF4-FFF2-40B4-BE49-F238E27FC236}">
              <a16:creationId xmlns:a16="http://schemas.microsoft.com/office/drawing/2014/main" id="{F09857B9-3684-4888-B3D6-976652B73673}"/>
            </a:ext>
          </a:extLst>
        </xdr:cNvPr>
        <xdr:cNvPicPr preferRelativeResize="0">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flipH="1">
          <a:off x="15760235" y="12346256"/>
          <a:ext cx="533650" cy="529622"/>
        </a:xfrm>
        <a:prstGeom prst="rect">
          <a:avLst/>
        </a:prstGeom>
      </xdr:spPr>
    </xdr:pic>
    <xdr:clientData/>
  </xdr:twoCellAnchor>
  <xdr:twoCellAnchor>
    <xdr:from>
      <xdr:col>4</xdr:col>
      <xdr:colOff>476250</xdr:colOff>
      <xdr:row>57</xdr:row>
      <xdr:rowOff>74084</xdr:rowOff>
    </xdr:from>
    <xdr:to>
      <xdr:col>16</xdr:col>
      <xdr:colOff>723155</xdr:colOff>
      <xdr:row>60</xdr:row>
      <xdr:rowOff>86050</xdr:rowOff>
    </xdr:to>
    <xdr:sp macro="" textlink="">
      <xdr:nvSpPr>
        <xdr:cNvPr id="9" name="Oval 1">
          <a:hlinkClick xmlns:r="http://schemas.openxmlformats.org/officeDocument/2006/relationships" r:id="rId35"/>
          <a:extLst>
            <a:ext uri="{FF2B5EF4-FFF2-40B4-BE49-F238E27FC236}">
              <a16:creationId xmlns:a16="http://schemas.microsoft.com/office/drawing/2014/main" id="{65F55B5F-669F-4EB3-912E-E70F5386FBEA}"/>
            </a:ext>
          </a:extLst>
        </xdr:cNvPr>
        <xdr:cNvSpPr/>
      </xdr:nvSpPr>
      <xdr:spPr>
        <a:xfrm>
          <a:off x="4519083" y="10456334"/>
          <a:ext cx="11031322" cy="551716"/>
        </a:xfrm>
        <a:prstGeom prst="roundRect">
          <a:avLst/>
        </a:prstGeom>
        <a:solidFill>
          <a:schemeClr val="accent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kern="100" cap="all" spc="100" baseline="0">
              <a:solidFill>
                <a:schemeClr val="bg1"/>
              </a:solidFill>
              <a:latin typeface="+mj-lt"/>
              <a:ea typeface="+mj-ea"/>
              <a:cs typeface="+mj-cs"/>
            </a:rPr>
            <a:t>accéder aux bonnes pratiques</a:t>
          </a:r>
        </a:p>
      </xdr:txBody>
    </xdr:sp>
    <xdr:clientData/>
  </xdr:twoCellAnchor>
  <xdr:twoCellAnchor editAs="oneCell">
    <xdr:from>
      <xdr:col>14</xdr:col>
      <xdr:colOff>167096</xdr:colOff>
      <xdr:row>59</xdr:row>
      <xdr:rowOff>101103</xdr:rowOff>
    </xdr:from>
    <xdr:to>
      <xdr:col>14</xdr:col>
      <xdr:colOff>619826</xdr:colOff>
      <xdr:row>61</xdr:row>
      <xdr:rowOff>49313</xdr:rowOff>
    </xdr:to>
    <xdr:pic>
      <xdr:nvPicPr>
        <xdr:cNvPr id="25" name="Image 7" descr="le curseur ">
          <a:extLst>
            <a:ext uri="{FF2B5EF4-FFF2-40B4-BE49-F238E27FC236}">
              <a16:creationId xmlns:a16="http://schemas.microsoft.com/office/drawing/2014/main" id="{9D7D4280-B3D5-45FE-8812-3F01EF2BD735}"/>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12845929" y="10843186"/>
          <a:ext cx="455905" cy="304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82550</xdr:colOff>
      <xdr:row>256</xdr:row>
      <xdr:rowOff>83438</xdr:rowOff>
    </xdr:from>
    <xdr:to>
      <xdr:col>16</xdr:col>
      <xdr:colOff>332630</xdr:colOff>
      <xdr:row>259</xdr:row>
      <xdr:rowOff>92229</xdr:rowOff>
    </xdr:to>
    <xdr:sp macro="" textlink="">
      <xdr:nvSpPr>
        <xdr:cNvPr id="28" name="Oval 1">
          <a:hlinkClick xmlns:r="http://schemas.openxmlformats.org/officeDocument/2006/relationships" r:id="rId35"/>
          <a:extLst>
            <a:ext uri="{FF2B5EF4-FFF2-40B4-BE49-F238E27FC236}">
              <a16:creationId xmlns:a16="http://schemas.microsoft.com/office/drawing/2014/main" id="{3E84AC95-72EB-425F-94C0-5E72F80526EA}"/>
            </a:ext>
          </a:extLst>
        </xdr:cNvPr>
        <xdr:cNvSpPr/>
      </xdr:nvSpPr>
      <xdr:spPr>
        <a:xfrm>
          <a:off x="4123871" y="45912295"/>
          <a:ext cx="11040545" cy="539470"/>
        </a:xfrm>
        <a:prstGeom prst="roundRect">
          <a:avLst/>
        </a:prstGeom>
        <a:solidFill>
          <a:schemeClr val="accent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kern="100" cap="all" spc="100" baseline="0">
              <a:solidFill>
                <a:schemeClr val="bg1"/>
              </a:solidFill>
              <a:latin typeface="+mj-lt"/>
              <a:ea typeface="+mj-ea"/>
              <a:cs typeface="+mj-cs"/>
            </a:rPr>
            <a:t>accéder aux bonnes pratiques</a:t>
          </a:r>
        </a:p>
      </xdr:txBody>
    </xdr:sp>
    <xdr:clientData/>
  </xdr:twoCellAnchor>
  <xdr:twoCellAnchor editAs="oneCell">
    <xdr:from>
      <xdr:col>12</xdr:col>
      <xdr:colOff>926979</xdr:colOff>
      <xdr:row>258</xdr:row>
      <xdr:rowOff>129507</xdr:rowOff>
    </xdr:from>
    <xdr:to>
      <xdr:col>14</xdr:col>
      <xdr:colOff>235651</xdr:colOff>
      <xdr:row>260</xdr:row>
      <xdr:rowOff>68193</xdr:rowOff>
    </xdr:to>
    <xdr:pic>
      <xdr:nvPicPr>
        <xdr:cNvPr id="29" name="Image 7" descr="le curseur ">
          <a:extLst>
            <a:ext uri="{FF2B5EF4-FFF2-40B4-BE49-F238E27FC236}">
              <a16:creationId xmlns:a16="http://schemas.microsoft.com/office/drawing/2014/main" id="{563BD5A9-0247-4D27-91CE-0A28A548ADB9}"/>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12452229" y="46312150"/>
          <a:ext cx="465279" cy="286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612322</xdr:colOff>
      <xdr:row>174</xdr:row>
      <xdr:rowOff>15175</xdr:rowOff>
    </xdr:from>
    <xdr:to>
      <xdr:col>4</xdr:col>
      <xdr:colOff>693965</xdr:colOff>
      <xdr:row>176</xdr:row>
      <xdr:rowOff>10742</xdr:rowOff>
    </xdr:to>
    <xdr:sp macro="" textlink="">
      <xdr:nvSpPr>
        <xdr:cNvPr id="2" name="Rectangle: Rounded Corners 6">
          <a:extLst>
            <a:ext uri="{FF2B5EF4-FFF2-40B4-BE49-F238E27FC236}">
              <a16:creationId xmlns:a16="http://schemas.microsoft.com/office/drawing/2014/main" id="{E0C925D7-AA79-4B59-97FA-2264D5B1D606}"/>
            </a:ext>
          </a:extLst>
        </xdr:cNvPr>
        <xdr:cNvSpPr/>
      </xdr:nvSpPr>
      <xdr:spPr>
        <a:xfrm>
          <a:off x="1510393" y="31284389"/>
          <a:ext cx="3224893" cy="34935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1" i="0" u="none" strike="noStrike" cap="none" spc="100" baseline="0" dirty="0" err="1">
              <a:solidFill>
                <a:srgbClr val="000000"/>
              </a:solidFill>
              <a:latin typeface="+mj-lt"/>
              <a:ea typeface="+mj-ea"/>
              <a:cs typeface="+mj-cs"/>
            </a:rPr>
            <a:t>Ecart par rapport au modèle utilisé</a:t>
          </a:r>
        </a:p>
      </xdr:txBody>
    </xdr:sp>
    <xdr:clientData/>
  </xdr:twoCellAnchor>
  <xdr:twoCellAnchor>
    <xdr:from>
      <xdr:col>4</xdr:col>
      <xdr:colOff>686542</xdr:colOff>
      <xdr:row>173</xdr:row>
      <xdr:rowOff>133228</xdr:rowOff>
    </xdr:from>
    <xdr:to>
      <xdr:col>8</xdr:col>
      <xdr:colOff>621681</xdr:colOff>
      <xdr:row>175</xdr:row>
      <xdr:rowOff>128794</xdr:rowOff>
    </xdr:to>
    <xdr:sp macro="" textlink="Calcul!O7">
      <xdr:nvSpPr>
        <xdr:cNvPr id="1344" name="Rectangle: Rounded Corners 6">
          <a:extLst>
            <a:ext uri="{FF2B5EF4-FFF2-40B4-BE49-F238E27FC236}">
              <a16:creationId xmlns:a16="http://schemas.microsoft.com/office/drawing/2014/main" id="{639178FC-A9B2-462A-814E-836248BCF62B}"/>
            </a:ext>
          </a:extLst>
        </xdr:cNvPr>
        <xdr:cNvSpPr/>
      </xdr:nvSpPr>
      <xdr:spPr>
        <a:xfrm>
          <a:off x="4756315" y="30699819"/>
          <a:ext cx="3242911"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B1206C73-0572-41B9-9319-EC105C207004}"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8</xdr:col>
      <xdr:colOff>601723</xdr:colOff>
      <xdr:row>173</xdr:row>
      <xdr:rowOff>133228</xdr:rowOff>
    </xdr:from>
    <xdr:to>
      <xdr:col>11</xdr:col>
      <xdr:colOff>696066</xdr:colOff>
      <xdr:row>175</xdr:row>
      <xdr:rowOff>128794</xdr:rowOff>
    </xdr:to>
    <xdr:sp macro="" textlink="Calcul!P7">
      <xdr:nvSpPr>
        <xdr:cNvPr id="1346" name="Rectangle: Rounded Corners 6">
          <a:extLst>
            <a:ext uri="{FF2B5EF4-FFF2-40B4-BE49-F238E27FC236}">
              <a16:creationId xmlns:a16="http://schemas.microsoft.com/office/drawing/2014/main" id="{05A7300B-C423-4419-9D9B-8DB137D2A7AB}"/>
            </a:ext>
          </a:extLst>
        </xdr:cNvPr>
        <xdr:cNvSpPr/>
      </xdr:nvSpPr>
      <xdr:spPr>
        <a:xfrm>
          <a:off x="7979268" y="30699819"/>
          <a:ext cx="3263571"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0485C598-D7F7-4C99-B8DB-F7B4D182C255}"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11</xdr:col>
      <xdr:colOff>911512</xdr:colOff>
      <xdr:row>173</xdr:row>
      <xdr:rowOff>133228</xdr:rowOff>
    </xdr:from>
    <xdr:to>
      <xdr:col>15</xdr:col>
      <xdr:colOff>900173</xdr:colOff>
      <xdr:row>175</xdr:row>
      <xdr:rowOff>128794</xdr:rowOff>
    </xdr:to>
    <xdr:sp macro="" textlink="Calcul!Q7">
      <xdr:nvSpPr>
        <xdr:cNvPr id="1347" name="Rectangle: Rounded Corners 6">
          <a:extLst>
            <a:ext uri="{FF2B5EF4-FFF2-40B4-BE49-F238E27FC236}">
              <a16:creationId xmlns:a16="http://schemas.microsoft.com/office/drawing/2014/main" id="{59423B8E-4550-4C8C-8496-1118A69E3BAC}"/>
            </a:ext>
          </a:extLst>
        </xdr:cNvPr>
        <xdr:cNvSpPr/>
      </xdr:nvSpPr>
      <xdr:spPr>
        <a:xfrm>
          <a:off x="11458285" y="30699819"/>
          <a:ext cx="3261797"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83EC86C-DDEB-41B8-A621-8E169E6B760F}"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15</xdr:col>
      <xdr:colOff>982723</xdr:colOff>
      <xdr:row>173</xdr:row>
      <xdr:rowOff>133228</xdr:rowOff>
    </xdr:from>
    <xdr:to>
      <xdr:col>19</xdr:col>
      <xdr:colOff>277419</xdr:colOff>
      <xdr:row>175</xdr:row>
      <xdr:rowOff>128794</xdr:rowOff>
    </xdr:to>
    <xdr:sp macro="" textlink="Calcul!R7">
      <xdr:nvSpPr>
        <xdr:cNvPr id="1348" name="Rectangle: Rounded Corners 6">
          <a:extLst>
            <a:ext uri="{FF2B5EF4-FFF2-40B4-BE49-F238E27FC236}">
              <a16:creationId xmlns:a16="http://schemas.microsoft.com/office/drawing/2014/main" id="{F1B26827-4961-4C5F-BABF-65A97AB373C6}"/>
            </a:ext>
          </a:extLst>
        </xdr:cNvPr>
        <xdr:cNvSpPr/>
      </xdr:nvSpPr>
      <xdr:spPr>
        <a:xfrm>
          <a:off x="14802632" y="30699819"/>
          <a:ext cx="3243242" cy="341930"/>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8880A690-5371-4E78-91D6-A71B0884A8B0}"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xdr:col>
      <xdr:colOff>612322</xdr:colOff>
      <xdr:row>193</xdr:row>
      <xdr:rowOff>116321</xdr:rowOff>
    </xdr:from>
    <xdr:to>
      <xdr:col>4</xdr:col>
      <xdr:colOff>693965</xdr:colOff>
      <xdr:row>195</xdr:row>
      <xdr:rowOff>140463</xdr:rowOff>
    </xdr:to>
    <xdr:sp macro="" textlink="">
      <xdr:nvSpPr>
        <xdr:cNvPr id="1349" name="Rectangle: Rounded Corners 6">
          <a:extLst>
            <a:ext uri="{FF2B5EF4-FFF2-40B4-BE49-F238E27FC236}">
              <a16:creationId xmlns:a16="http://schemas.microsoft.com/office/drawing/2014/main" id="{2E55D95A-4A34-4BC3-9F8D-9C7B5B529CC3}"/>
            </a:ext>
          </a:extLst>
        </xdr:cNvPr>
        <xdr:cNvSpPr/>
      </xdr:nvSpPr>
      <xdr:spPr>
        <a:xfrm>
          <a:off x="1510393" y="34800928"/>
          <a:ext cx="3224893" cy="377928"/>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1" i="0" u="none" strike="noStrike" cap="none" spc="100" baseline="0" dirty="0" err="1">
              <a:solidFill>
                <a:srgbClr val="000000"/>
              </a:solidFill>
              <a:latin typeface="+mj-lt"/>
              <a:ea typeface="+mj-ea"/>
              <a:cs typeface="+mj-cs"/>
            </a:rPr>
            <a:t>Ecart par rapport au modèle utilisé</a:t>
          </a:r>
        </a:p>
      </xdr:txBody>
    </xdr:sp>
    <xdr:clientData/>
  </xdr:twoCellAnchor>
  <xdr:twoCellAnchor>
    <xdr:from>
      <xdr:col>4</xdr:col>
      <xdr:colOff>686542</xdr:colOff>
      <xdr:row>193</xdr:row>
      <xdr:rowOff>64367</xdr:rowOff>
    </xdr:from>
    <xdr:to>
      <xdr:col>8</xdr:col>
      <xdr:colOff>621681</xdr:colOff>
      <xdr:row>195</xdr:row>
      <xdr:rowOff>91684</xdr:rowOff>
    </xdr:to>
    <xdr:sp macro="" textlink="Calcul!O12">
      <xdr:nvSpPr>
        <xdr:cNvPr id="1350" name="Rectangle: Rounded Corners 6">
          <a:extLst>
            <a:ext uri="{FF2B5EF4-FFF2-40B4-BE49-F238E27FC236}">
              <a16:creationId xmlns:a16="http://schemas.microsoft.com/office/drawing/2014/main" id="{2DF3D91D-5142-45BF-AECD-FFF54EF6745A}"/>
            </a:ext>
          </a:extLst>
        </xdr:cNvPr>
        <xdr:cNvSpPr/>
      </xdr:nvSpPr>
      <xdr:spPr>
        <a:xfrm>
          <a:off x="4756315" y="34163867"/>
          <a:ext cx="3242911"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77861CBF-3014-4E7F-A545-7277ACCBC0E4}"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8</xdr:col>
      <xdr:colOff>601723</xdr:colOff>
      <xdr:row>193</xdr:row>
      <xdr:rowOff>64367</xdr:rowOff>
    </xdr:from>
    <xdr:to>
      <xdr:col>11</xdr:col>
      <xdr:colOff>696066</xdr:colOff>
      <xdr:row>195</xdr:row>
      <xdr:rowOff>91684</xdr:rowOff>
    </xdr:to>
    <xdr:sp macro="" textlink="Calcul!P12">
      <xdr:nvSpPr>
        <xdr:cNvPr id="1351" name="Rectangle: Rounded Corners 6">
          <a:extLst>
            <a:ext uri="{FF2B5EF4-FFF2-40B4-BE49-F238E27FC236}">
              <a16:creationId xmlns:a16="http://schemas.microsoft.com/office/drawing/2014/main" id="{D412D7CD-65AD-4E55-B1D8-0CEB9070B67C}"/>
            </a:ext>
          </a:extLst>
        </xdr:cNvPr>
        <xdr:cNvSpPr/>
      </xdr:nvSpPr>
      <xdr:spPr>
        <a:xfrm>
          <a:off x="7979268" y="34163867"/>
          <a:ext cx="3263571"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0BDFB438-8173-451A-8340-FA94046DAA03}"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11</xdr:col>
      <xdr:colOff>911512</xdr:colOff>
      <xdr:row>193</xdr:row>
      <xdr:rowOff>64367</xdr:rowOff>
    </xdr:from>
    <xdr:to>
      <xdr:col>15</xdr:col>
      <xdr:colOff>900173</xdr:colOff>
      <xdr:row>195</xdr:row>
      <xdr:rowOff>91684</xdr:rowOff>
    </xdr:to>
    <xdr:sp macro="" textlink="Calcul!Q12">
      <xdr:nvSpPr>
        <xdr:cNvPr id="1352" name="Rectangle: Rounded Corners 6">
          <a:extLst>
            <a:ext uri="{FF2B5EF4-FFF2-40B4-BE49-F238E27FC236}">
              <a16:creationId xmlns:a16="http://schemas.microsoft.com/office/drawing/2014/main" id="{816130F3-2D9F-4FB9-8C2B-016A8968A86E}"/>
            </a:ext>
          </a:extLst>
        </xdr:cNvPr>
        <xdr:cNvSpPr/>
      </xdr:nvSpPr>
      <xdr:spPr>
        <a:xfrm>
          <a:off x="11458285" y="34163867"/>
          <a:ext cx="3261797"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D9B6513C-F8CE-424A-9FA3-9DB3D9D049D9}"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15</xdr:col>
      <xdr:colOff>982723</xdr:colOff>
      <xdr:row>193</xdr:row>
      <xdr:rowOff>64367</xdr:rowOff>
    </xdr:from>
    <xdr:to>
      <xdr:col>19</xdr:col>
      <xdr:colOff>277419</xdr:colOff>
      <xdr:row>195</xdr:row>
      <xdr:rowOff>91684</xdr:rowOff>
    </xdr:to>
    <xdr:sp macro="" textlink="Calcul!R12">
      <xdr:nvSpPr>
        <xdr:cNvPr id="1353" name="Rectangle: Rounded Corners 6">
          <a:extLst>
            <a:ext uri="{FF2B5EF4-FFF2-40B4-BE49-F238E27FC236}">
              <a16:creationId xmlns:a16="http://schemas.microsoft.com/office/drawing/2014/main" id="{7DE4C6DB-30CC-48E1-8597-6BA07B8A7B5D}"/>
            </a:ext>
          </a:extLst>
        </xdr:cNvPr>
        <xdr:cNvSpPr/>
      </xdr:nvSpPr>
      <xdr:spPr>
        <a:xfrm>
          <a:off x="14802632" y="34163867"/>
          <a:ext cx="3243242" cy="37368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BD435BE3-00E8-4B15-933C-DBFC93A14C03}"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xdr:col>
      <xdr:colOff>612322</xdr:colOff>
      <xdr:row>212</xdr:row>
      <xdr:rowOff>116775</xdr:rowOff>
    </xdr:from>
    <xdr:to>
      <xdr:col>4</xdr:col>
      <xdr:colOff>693965</xdr:colOff>
      <xdr:row>214</xdr:row>
      <xdr:rowOff>86942</xdr:rowOff>
    </xdr:to>
    <xdr:sp macro="" textlink="">
      <xdr:nvSpPr>
        <xdr:cNvPr id="1386" name="Rectangle: Rounded Corners 6">
          <a:extLst>
            <a:ext uri="{FF2B5EF4-FFF2-40B4-BE49-F238E27FC236}">
              <a16:creationId xmlns:a16="http://schemas.microsoft.com/office/drawing/2014/main" id="{5769A816-9C17-4A70-A658-AE44137B0127}"/>
            </a:ext>
          </a:extLst>
        </xdr:cNvPr>
        <xdr:cNvSpPr/>
      </xdr:nvSpPr>
      <xdr:spPr>
        <a:xfrm>
          <a:off x="1510393" y="38162346"/>
          <a:ext cx="3224893" cy="323953"/>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1" i="0" u="none" strike="noStrike" cap="none" spc="100" baseline="0" dirty="0" err="1">
              <a:solidFill>
                <a:srgbClr val="000000"/>
              </a:solidFill>
              <a:latin typeface="+mj-lt"/>
              <a:ea typeface="+mj-ea"/>
              <a:cs typeface="+mj-cs"/>
            </a:rPr>
            <a:t>Ecart par rapport au modèle utilisé</a:t>
          </a:r>
        </a:p>
      </xdr:txBody>
    </xdr:sp>
    <xdr:clientData/>
  </xdr:twoCellAnchor>
  <xdr:twoCellAnchor>
    <xdr:from>
      <xdr:col>4</xdr:col>
      <xdr:colOff>686542</xdr:colOff>
      <xdr:row>212</xdr:row>
      <xdr:rowOff>64821</xdr:rowOff>
    </xdr:from>
    <xdr:to>
      <xdr:col>8</xdr:col>
      <xdr:colOff>621681</xdr:colOff>
      <xdr:row>214</xdr:row>
      <xdr:rowOff>31813</xdr:rowOff>
    </xdr:to>
    <xdr:sp macro="" textlink="Calcul!O17">
      <xdr:nvSpPr>
        <xdr:cNvPr id="1387" name="Rectangle: Rounded Corners 6">
          <a:extLst>
            <a:ext uri="{FF2B5EF4-FFF2-40B4-BE49-F238E27FC236}">
              <a16:creationId xmlns:a16="http://schemas.microsoft.com/office/drawing/2014/main" id="{90864AED-C4F9-42A5-A120-486ECDCFCCA2}"/>
            </a:ext>
          </a:extLst>
        </xdr:cNvPr>
        <xdr:cNvSpPr/>
      </xdr:nvSpPr>
      <xdr:spPr>
        <a:xfrm>
          <a:off x="4756315" y="37454776"/>
          <a:ext cx="3242911"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10B6B49A-041A-4106-8CCF-7D698C94F7AF}"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8</xdr:col>
      <xdr:colOff>601723</xdr:colOff>
      <xdr:row>212</xdr:row>
      <xdr:rowOff>64821</xdr:rowOff>
    </xdr:from>
    <xdr:to>
      <xdr:col>11</xdr:col>
      <xdr:colOff>696066</xdr:colOff>
      <xdr:row>214</xdr:row>
      <xdr:rowOff>31813</xdr:rowOff>
    </xdr:to>
    <xdr:sp macro="" textlink="Calcul!P17">
      <xdr:nvSpPr>
        <xdr:cNvPr id="1390" name="Rectangle: Rounded Corners 6">
          <a:extLst>
            <a:ext uri="{FF2B5EF4-FFF2-40B4-BE49-F238E27FC236}">
              <a16:creationId xmlns:a16="http://schemas.microsoft.com/office/drawing/2014/main" id="{19AE7E81-D6D8-4976-BB63-3E0A611865CD}"/>
            </a:ext>
          </a:extLst>
        </xdr:cNvPr>
        <xdr:cNvSpPr/>
      </xdr:nvSpPr>
      <xdr:spPr>
        <a:xfrm>
          <a:off x="7979268" y="37454776"/>
          <a:ext cx="3263571"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F362BD1-E412-43DF-8838-FE0C6855547A}"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11</xdr:col>
      <xdr:colOff>911512</xdr:colOff>
      <xdr:row>212</xdr:row>
      <xdr:rowOff>64821</xdr:rowOff>
    </xdr:from>
    <xdr:to>
      <xdr:col>15</xdr:col>
      <xdr:colOff>900173</xdr:colOff>
      <xdr:row>214</xdr:row>
      <xdr:rowOff>31813</xdr:rowOff>
    </xdr:to>
    <xdr:sp macro="" textlink="Calcul!Q17">
      <xdr:nvSpPr>
        <xdr:cNvPr id="1391" name="Rectangle: Rounded Corners 6">
          <a:extLst>
            <a:ext uri="{FF2B5EF4-FFF2-40B4-BE49-F238E27FC236}">
              <a16:creationId xmlns:a16="http://schemas.microsoft.com/office/drawing/2014/main" id="{B4F2DF3B-1CB3-4EEA-9EE0-1D25E4A6DB62}"/>
            </a:ext>
          </a:extLst>
        </xdr:cNvPr>
        <xdr:cNvSpPr/>
      </xdr:nvSpPr>
      <xdr:spPr>
        <a:xfrm>
          <a:off x="11458285" y="37454776"/>
          <a:ext cx="3261797"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0B48FA60-EAB4-4CC9-82D1-BBFFC587DD4A}"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15</xdr:col>
      <xdr:colOff>982723</xdr:colOff>
      <xdr:row>212</xdr:row>
      <xdr:rowOff>64821</xdr:rowOff>
    </xdr:from>
    <xdr:to>
      <xdr:col>19</xdr:col>
      <xdr:colOff>277419</xdr:colOff>
      <xdr:row>214</xdr:row>
      <xdr:rowOff>31813</xdr:rowOff>
    </xdr:to>
    <xdr:sp macro="" textlink="Calcul!Q17">
      <xdr:nvSpPr>
        <xdr:cNvPr id="1392" name="Rectangle: Rounded Corners 6">
          <a:extLst>
            <a:ext uri="{FF2B5EF4-FFF2-40B4-BE49-F238E27FC236}">
              <a16:creationId xmlns:a16="http://schemas.microsoft.com/office/drawing/2014/main" id="{E6623BD2-DC94-4C22-88F5-84CD9DC7C10E}"/>
            </a:ext>
          </a:extLst>
        </xdr:cNvPr>
        <xdr:cNvSpPr/>
      </xdr:nvSpPr>
      <xdr:spPr>
        <a:xfrm>
          <a:off x="14802632" y="37454776"/>
          <a:ext cx="3243242" cy="313355"/>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fld id="{FC3B1F30-2108-480F-8D09-9B4564A2F382}" type="TxLink">
            <a:rPr lang="en-US" sz="1800" b="1" i="0" u="none" strike="noStrike" cap="none" spc="100" baseline="0" dirty="0" err="1">
              <a:solidFill>
                <a:srgbClr val="000000"/>
              </a:solidFill>
              <a:latin typeface="+mj-lt"/>
              <a:ea typeface="+mj-ea"/>
              <a:cs typeface="+mj-cs"/>
            </a:rPr>
            <a:pPr marL="0" indent="0" algn="ctr">
              <a:spcBef>
                <a:spcPts val="600"/>
              </a:spcBef>
            </a:pPr>
            <a:t>#DIV/0!</a:t>
          </a:fld>
          <a:endParaRPr lang="en-US" sz="1800" b="1" i="0" u="none" strike="noStrike" cap="none" spc="100" baseline="0" dirty="0" err="1">
            <a:solidFill>
              <a:srgbClr val="000000"/>
            </a:solidFill>
            <a:latin typeface="+mj-lt"/>
            <a:ea typeface="+mj-ea"/>
            <a:cs typeface="+mj-cs"/>
          </a:endParaRPr>
        </a:p>
      </xdr:txBody>
    </xdr:sp>
    <xdr:clientData/>
  </xdr:twoCellAnchor>
  <xdr:twoCellAnchor>
    <xdr:from>
      <xdr:col>1</xdr:col>
      <xdr:colOff>443557</xdr:colOff>
      <xdr:row>82</xdr:row>
      <xdr:rowOff>78448</xdr:rowOff>
    </xdr:from>
    <xdr:to>
      <xdr:col>19</xdr:col>
      <xdr:colOff>845624</xdr:colOff>
      <xdr:row>84</xdr:row>
      <xdr:rowOff>73307</xdr:rowOff>
    </xdr:to>
    <xdr:sp macro="" textlink="">
      <xdr:nvSpPr>
        <xdr:cNvPr id="1363" name="Rectangle: Top Corners Rounded 60">
          <a:extLst>
            <a:ext uri="{FF2B5EF4-FFF2-40B4-BE49-F238E27FC236}">
              <a16:creationId xmlns:a16="http://schemas.microsoft.com/office/drawing/2014/main" id="{9D483070-0E75-4D61-A6BD-349193F9D52B}"/>
            </a:ext>
          </a:extLst>
        </xdr:cNvPr>
        <xdr:cNvSpPr/>
      </xdr:nvSpPr>
      <xdr:spPr>
        <a:xfrm>
          <a:off x="1336526" y="14854104"/>
          <a:ext cx="17166067" cy="590172"/>
        </a:xfrm>
        <a:prstGeom prst="round2SameRect">
          <a:avLst>
            <a:gd name="adj1" fmla="val 19566"/>
            <a:gd name="adj2" fmla="val 0"/>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400" baseline="0" dirty="0" err="1">
              <a:solidFill>
                <a:sysClr val="windowText" lastClr="000000"/>
              </a:solidFill>
              <a:ea typeface="+mj-ea"/>
              <a:cs typeface="+mj-cs"/>
            </a:rPr>
            <a:t>Ce graphique détaille les indicateurs environnementauxpour </a:t>
          </a:r>
          <a:r>
            <a:rPr lang="en-US" sz="1400" b="1" baseline="0" dirty="0" err="1">
              <a:solidFill>
                <a:sysClr val="windowText" lastClr="000000"/>
              </a:solidFill>
              <a:ea typeface="+mj-ea"/>
              <a:cs typeface="+mj-cs"/>
            </a:rPr>
            <a:t>chacune des sous-étapes du cycle de vie de l'IA</a:t>
          </a:r>
          <a:r>
            <a:rPr lang="en-US" sz="1400" baseline="0" dirty="0" err="1">
              <a:solidFill>
                <a:sysClr val="windowText" lastClr="000000"/>
              </a:solidFill>
              <a:ea typeface="+mj-ea"/>
              <a:cs typeface="+mj-cs"/>
            </a:rPr>
            <a:t>.</a:t>
          </a:r>
        </a:p>
      </xdr:txBody>
    </xdr:sp>
    <xdr:clientData/>
  </xdr:twoCellAnchor>
  <xdr:twoCellAnchor>
    <xdr:from>
      <xdr:col>3</xdr:col>
      <xdr:colOff>833437</xdr:colOff>
      <xdr:row>84</xdr:row>
      <xdr:rowOff>30163</xdr:rowOff>
    </xdr:from>
    <xdr:to>
      <xdr:col>17</xdr:col>
      <xdr:colOff>622299</xdr:colOff>
      <xdr:row>106</xdr:row>
      <xdr:rowOff>126147</xdr:rowOff>
    </xdr:to>
    <xdr:graphicFrame macro="">
      <xdr:nvGraphicFramePr>
        <xdr:cNvPr id="30" name="Graphique 36">
          <a:extLst>
            <a:ext uri="{FF2B5EF4-FFF2-40B4-BE49-F238E27FC236}">
              <a16:creationId xmlns:a16="http://schemas.microsoft.com/office/drawing/2014/main" id="{C114BBBE-6165-13AF-4CF3-2285C604A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4</xdr:col>
      <xdr:colOff>468457</xdr:colOff>
      <xdr:row>106</xdr:row>
      <xdr:rowOff>9925</xdr:rowOff>
    </xdr:from>
    <xdr:to>
      <xdr:col>10</xdr:col>
      <xdr:colOff>479327</xdr:colOff>
      <xdr:row>107</xdr:row>
      <xdr:rowOff>85130</xdr:rowOff>
    </xdr:to>
    <xdr:sp macro="" textlink="">
      <xdr:nvSpPr>
        <xdr:cNvPr id="4" name="Rectangle 3">
          <a:extLst>
            <a:ext uri="{FF2B5EF4-FFF2-40B4-BE49-F238E27FC236}">
              <a16:creationId xmlns:a16="http://schemas.microsoft.com/office/drawing/2014/main" id="{FC25EFC8-008A-2318-CB2E-F9386C2359F2}"/>
            </a:ext>
          </a:extLst>
        </xdr:cNvPr>
        <xdr:cNvSpPr/>
      </xdr:nvSpPr>
      <xdr:spPr>
        <a:xfrm>
          <a:off x="4503593" y="19622766"/>
          <a:ext cx="5396825" cy="257046"/>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baseline="0" dirty="0" err="1">
              <a:solidFill>
                <a:schemeClr val="bg1"/>
              </a:solidFill>
              <a:ea typeface="+mj-ea"/>
              <a:cs typeface="+mj-cs"/>
            </a:rPr>
            <a:t>Entraînement</a:t>
          </a:r>
        </a:p>
      </xdr:txBody>
    </xdr:sp>
    <xdr:clientData/>
  </xdr:twoCellAnchor>
  <xdr:twoCellAnchor>
    <xdr:from>
      <xdr:col>10</xdr:col>
      <xdr:colOff>1007630</xdr:colOff>
      <xdr:row>106</xdr:row>
      <xdr:rowOff>9925</xdr:rowOff>
    </xdr:from>
    <xdr:to>
      <xdr:col>17</xdr:col>
      <xdr:colOff>259676</xdr:colOff>
      <xdr:row>107</xdr:row>
      <xdr:rowOff>85130</xdr:rowOff>
    </xdr:to>
    <xdr:sp macro="" textlink="">
      <xdr:nvSpPr>
        <xdr:cNvPr id="34" name="Rectangle 33">
          <a:extLst>
            <a:ext uri="{FF2B5EF4-FFF2-40B4-BE49-F238E27FC236}">
              <a16:creationId xmlns:a16="http://schemas.microsoft.com/office/drawing/2014/main" id="{CFBE7A17-DA8B-45E2-8E85-926EA461C371}"/>
            </a:ext>
          </a:extLst>
        </xdr:cNvPr>
        <xdr:cNvSpPr/>
      </xdr:nvSpPr>
      <xdr:spPr>
        <a:xfrm>
          <a:off x="10428721" y="19622766"/>
          <a:ext cx="5400000" cy="257046"/>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400" b="1" cap="all" baseline="0" dirty="0" err="1">
              <a:solidFill>
                <a:sysClr val="windowText" lastClr="000000"/>
              </a:solidFill>
              <a:ea typeface="+mj-ea"/>
              <a:cs typeface="+mj-cs"/>
            </a:rPr>
            <a:t>inférence</a:t>
          </a:r>
        </a:p>
      </xdr:txBody>
    </xdr:sp>
    <xdr:clientData/>
  </xdr:twoCellAnchor>
  <xdr:twoCellAnchor editAs="oneCell">
    <xdr:from>
      <xdr:col>0</xdr:col>
      <xdr:colOff>571500</xdr:colOff>
      <xdr:row>217</xdr:row>
      <xdr:rowOff>38099</xdr:rowOff>
    </xdr:from>
    <xdr:to>
      <xdr:col>1</xdr:col>
      <xdr:colOff>406400</xdr:colOff>
      <xdr:row>221</xdr:row>
      <xdr:rowOff>26359</xdr:rowOff>
    </xdr:to>
    <xdr:pic>
      <xdr:nvPicPr>
        <xdr:cNvPr id="33" name="Image 32">
          <a:extLst>
            <a:ext uri="{FF2B5EF4-FFF2-40B4-BE49-F238E27FC236}">
              <a16:creationId xmlns:a16="http://schemas.microsoft.com/office/drawing/2014/main" id="{CD8C02C2-2FD9-587A-0B6E-A99F97D60C62}"/>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571500" y="41859199"/>
          <a:ext cx="736600" cy="756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39</xdr:row>
      <xdr:rowOff>0</xdr:rowOff>
    </xdr:from>
    <xdr:to>
      <xdr:col>5</xdr:col>
      <xdr:colOff>273050</xdr:colOff>
      <xdr:row>40</xdr:row>
      <xdr:rowOff>220771</xdr:rowOff>
    </xdr:to>
    <xdr:pic>
      <xdr:nvPicPr>
        <xdr:cNvPr id="1379" name="Picture 13">
          <a:extLst>
            <a:ext uri="{FF2B5EF4-FFF2-40B4-BE49-F238E27FC236}">
              <a16:creationId xmlns:a16="http://schemas.microsoft.com/office/drawing/2014/main" id="{DF8F08B8-CB66-4226-8BC2-88342653190E}"/>
            </a:ext>
            <a:ext uri="{147F2762-F138-4A5C-976F-8EAC2B608ADB}">
              <a16:predDERef xmlns:a16="http://schemas.microsoft.com/office/drawing/2014/main" pred="{CD8C02C2-2FD9-587A-0B6E-A99F97D60C62}"/>
            </a:ext>
          </a:extLst>
        </xdr:cNvPr>
        <xdr:cNvPicPr>
          <a:picLocks noChangeAspect="1"/>
        </xdr:cNvPicPr>
      </xdr:nvPicPr>
      <xdr:blipFill>
        <a:blip xmlns:r="http://schemas.openxmlformats.org/officeDocument/2006/relationships" r:embed="rId40"/>
        <a:stretch>
          <a:fillRect/>
        </a:stretch>
      </xdr:blipFill>
      <xdr:spPr>
        <a:xfrm>
          <a:off x="5238750" y="7534275"/>
          <a:ext cx="419100" cy="419100"/>
        </a:xfrm>
        <a:prstGeom prst="rect">
          <a:avLst/>
        </a:prstGeom>
      </xdr:spPr>
    </xdr:pic>
    <xdr:clientData/>
  </xdr:twoCellAnchor>
  <xdr:twoCellAnchor editAs="oneCell">
    <xdr:from>
      <xdr:col>7</xdr:col>
      <xdr:colOff>989048</xdr:colOff>
      <xdr:row>19</xdr:row>
      <xdr:rowOff>180028</xdr:rowOff>
    </xdr:from>
    <xdr:to>
      <xdr:col>12</xdr:col>
      <xdr:colOff>602720</xdr:colOff>
      <xdr:row>21</xdr:row>
      <xdr:rowOff>84352</xdr:rowOff>
    </xdr:to>
    <xdr:sp macro="" textlink="">
      <xdr:nvSpPr>
        <xdr:cNvPr id="14" name="Rectangle: Rounded Corners 6">
          <a:extLst>
            <a:ext uri="{FF2B5EF4-FFF2-40B4-BE49-F238E27FC236}">
              <a16:creationId xmlns:a16="http://schemas.microsoft.com/office/drawing/2014/main" id="{063D11BF-1BDF-417E-ACAE-41C8E4232C73}"/>
            </a:ext>
          </a:extLst>
        </xdr:cNvPr>
        <xdr:cNvSpPr/>
      </xdr:nvSpPr>
      <xdr:spPr>
        <a:xfrm>
          <a:off x="7440071" y="4076619"/>
          <a:ext cx="4881285" cy="279551"/>
        </a:xfrm>
        <a:prstGeom prst="round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r>
            <a:rPr lang="en-US" sz="1200" b="0" i="0" u="none" strike="noStrike" cap="all" spc="100" baseline="0" dirty="0" err="1">
              <a:solidFill>
                <a:schemeClr val="tx1"/>
              </a:solidFill>
              <a:latin typeface="Avenir Next LT Pro"/>
              <a:ea typeface="+mj-ea"/>
              <a:cs typeface="+mj-cs"/>
            </a:rPr>
            <a:t>HYPOTHESES DE MIX ELECTRIQUE</a:t>
          </a:r>
        </a:p>
      </xdr:txBody>
    </xdr:sp>
    <xdr:clientData/>
  </xdr:twoCellAnchor>
  <xdr:twoCellAnchor editAs="oneCell">
    <xdr:from>
      <xdr:col>10</xdr:col>
      <xdr:colOff>336254</xdr:colOff>
      <xdr:row>21</xdr:row>
      <xdr:rowOff>88463</xdr:rowOff>
    </xdr:from>
    <xdr:to>
      <xdr:col>12</xdr:col>
      <xdr:colOff>613833</xdr:colOff>
      <xdr:row>24</xdr:row>
      <xdr:rowOff>123825</xdr:rowOff>
    </xdr:to>
    <xdr:sp macro="" textlink="Calcul!M28">
      <xdr:nvSpPr>
        <xdr:cNvPr id="42" name="Rectangle: Rounded Corners 6">
          <a:extLst>
            <a:ext uri="{FF2B5EF4-FFF2-40B4-BE49-F238E27FC236}">
              <a16:creationId xmlns:a16="http://schemas.microsoft.com/office/drawing/2014/main" id="{C0BC3FC7-A531-43C8-8C3F-583600176C1B}"/>
            </a:ext>
            <a:ext uri="{147F2762-F138-4A5C-976F-8EAC2B608ADB}">
              <a16:predDERef xmlns:a16="http://schemas.microsoft.com/office/drawing/2014/main" pred="{60982B8C-DBEC-D5B2-F8CD-1961E98B7BCF}"/>
            </a:ext>
          </a:extLst>
        </xdr:cNvPr>
        <xdr:cNvSpPr/>
      </xdr:nvSpPr>
      <xdr:spPr>
        <a:xfrm>
          <a:off x="9914171" y="4312977"/>
          <a:ext cx="2376606" cy="590987"/>
        </a:xfrm>
        <a:prstGeom prst="roundRect">
          <a:avLst/>
        </a:prstGeom>
        <a:noFill/>
        <a:ln>
          <a:solidFill>
            <a:schemeClr val="bg2">
              <a:lumMod val="9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marL="0" indent="0" algn="ctr">
            <a:spcBef>
              <a:spcPts val="600"/>
            </a:spcBef>
          </a:pPr>
          <a:endParaRPr lang="en-US" sz="1200" b="1" i="0" u="none" strike="noStrike" cap="all" spc="100" baseline="0" dirty="0" err="1">
            <a:solidFill>
              <a:schemeClr val="accent3">
                <a:lumMod val="50000"/>
              </a:schemeClr>
            </a:solidFill>
            <a:latin typeface="Avenir Next LT Pro"/>
            <a:ea typeface="+mj-ea"/>
            <a:cs typeface="+mj-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692226</xdr:colOff>
      <xdr:row>102</xdr:row>
      <xdr:rowOff>59758</xdr:rowOff>
    </xdr:from>
    <xdr:to>
      <xdr:col>15</xdr:col>
      <xdr:colOff>98319</xdr:colOff>
      <xdr:row>113</xdr:row>
      <xdr:rowOff>94042</xdr:rowOff>
    </xdr:to>
    <xdr:sp macro="" textlink="">
      <xdr:nvSpPr>
        <xdr:cNvPr id="11716" name="Rectangle 3">
          <a:extLst>
            <a:ext uri="{FF2B5EF4-FFF2-40B4-BE49-F238E27FC236}">
              <a16:creationId xmlns:a16="http://schemas.microsoft.com/office/drawing/2014/main" id="{886D517C-B1DA-4736-A8A7-F1069C58C9D9}"/>
            </a:ext>
          </a:extLst>
        </xdr:cNvPr>
        <xdr:cNvSpPr/>
      </xdr:nvSpPr>
      <xdr:spPr>
        <a:xfrm>
          <a:off x="692226" y="18703358"/>
          <a:ext cx="12550593" cy="19900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Sensibiliser les utilisateurs</a:t>
          </a:r>
          <a:endParaRPr lang="en-US" sz="1400" b="1" dirty="0" err="1">
            <a:solidFill>
              <a:schemeClr val="accent2"/>
            </a:solidFill>
            <a:ea typeface="+mj-ea"/>
            <a:cs typeface="+mj-cs"/>
          </a:endParaRPr>
        </a:p>
      </xdr:txBody>
    </xdr:sp>
    <xdr:clientData/>
  </xdr:twoCellAnchor>
  <xdr:twoCellAnchor>
    <xdr:from>
      <xdr:col>1</xdr:col>
      <xdr:colOff>188470</xdr:colOff>
      <xdr:row>11</xdr:row>
      <xdr:rowOff>155576</xdr:rowOff>
    </xdr:from>
    <xdr:to>
      <xdr:col>14</xdr:col>
      <xdr:colOff>786760</xdr:colOff>
      <xdr:row>18</xdr:row>
      <xdr:rowOff>175132</xdr:rowOff>
    </xdr:to>
    <xdr:sp macro="" textlink="">
      <xdr:nvSpPr>
        <xdr:cNvPr id="11654" name="Rectangle : coins arrondis 2">
          <a:extLst>
            <a:ext uri="{FF2B5EF4-FFF2-40B4-BE49-F238E27FC236}">
              <a16:creationId xmlns:a16="http://schemas.microsoft.com/office/drawing/2014/main" id="{A7592056-6A5F-D618-60D7-E7B33153E027}"/>
            </a:ext>
          </a:extLst>
        </xdr:cNvPr>
        <xdr:cNvSpPr/>
      </xdr:nvSpPr>
      <xdr:spPr>
        <a:xfrm>
          <a:off x="1140970" y="2681144"/>
          <a:ext cx="12980790" cy="1332852"/>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l" fontAlgn="t"/>
          <a:r>
            <a:rPr lang="en-US" sz="1200" b="0" i="0">
              <a:solidFill>
                <a:sysClr val="windowText" lastClr="000000"/>
              </a:solidFill>
              <a:effectLst/>
              <a:latin typeface="+mn-lt"/>
              <a:ea typeface="+mn-ea"/>
              <a:cs typeface="+mn-cs"/>
            </a:rPr>
            <a:t>L’essor de l’IA générative, ’accompagne d’une </a:t>
          </a:r>
          <a:r>
            <a:rPr lang="en-US" sz="1200" b="1" i="0">
              <a:solidFill>
                <a:sysClr val="windowText" lastClr="000000"/>
              </a:solidFill>
              <a:effectLst/>
              <a:latin typeface="+mn-lt"/>
              <a:ea typeface="+mn-ea"/>
              <a:cs typeface="+mn-cs"/>
            </a:rPr>
            <a:t>explosion de la consommation d’énergie, d’eau et de ressources</a:t>
          </a:r>
          <a:r>
            <a:rPr lang="en-US" sz="1200" b="0" i="0">
              <a:solidFill>
                <a:sysClr val="windowText" lastClr="000000"/>
              </a:solidFill>
              <a:effectLst/>
              <a:latin typeface="+mn-lt"/>
              <a:ea typeface="+mn-ea"/>
              <a:cs typeface="+mn-cs"/>
            </a:rPr>
            <a:t>. Les derniers rapports et travaux d’analyse montrent des ordres de grandeur très préoccupants :</a:t>
          </a:r>
          <a:r>
            <a:rPr lang="en-US" sz="1200" b="0" i="0" baseline="0">
              <a:solidFill>
                <a:sysClr val="windowText" lastClr="000000"/>
              </a:solidFill>
              <a:effectLst/>
              <a:latin typeface="+mn-lt"/>
              <a:ea typeface="+mn-ea"/>
              <a:cs typeface="+mn-cs"/>
            </a:rPr>
            <a:t> </a:t>
          </a:r>
          <a:r>
            <a:rPr lang="en-US" sz="1200" b="1" i="0" baseline="0">
              <a:solidFill>
                <a:sysClr val="windowText" lastClr="000000"/>
              </a:solidFill>
              <a:effectLst/>
              <a:latin typeface="+mn-lt"/>
              <a:ea typeface="+mn-ea"/>
              <a:cs typeface="+mn-cs"/>
            </a:rPr>
            <a:t>l</a:t>
          </a:r>
          <a:r>
            <a:rPr lang="en-US" sz="1200" b="1" i="0">
              <a:solidFill>
                <a:sysClr val="windowText" lastClr="000000"/>
              </a:solidFill>
              <a:effectLst/>
              <a:latin typeface="+mn-lt"/>
              <a:ea typeface="+mn-ea"/>
              <a:cs typeface="+mn-cs"/>
            </a:rPr>
            <a:t>a demande d'électricité annuelle mondiale</a:t>
          </a:r>
          <a:r>
            <a:rPr lang="en-US" sz="1200" b="1" i="0" baseline="0">
              <a:solidFill>
                <a:sysClr val="windowText" lastClr="000000"/>
              </a:solidFill>
              <a:effectLst/>
              <a:latin typeface="+mn-lt"/>
              <a:ea typeface="+mn-ea"/>
              <a:cs typeface="+mn-cs"/>
            </a:rPr>
            <a:t> de </a:t>
          </a:r>
          <a:r>
            <a:rPr lang="en-US" sz="1200" b="1" i="0">
              <a:solidFill>
                <a:sysClr val="windowText" lastClr="000000"/>
              </a:solidFill>
              <a:effectLst/>
              <a:latin typeface="+mn-lt"/>
              <a:ea typeface="+mn-ea"/>
              <a:cs typeface="+mn-cs"/>
            </a:rPr>
            <a:t>l’IA pourrait atteindre 1500 TWh</a:t>
          </a:r>
          <a:r>
            <a:rPr lang="en-US" sz="1200" b="1" i="0" baseline="0">
              <a:solidFill>
                <a:sysClr val="windowText" lastClr="000000"/>
              </a:solidFill>
              <a:effectLst/>
              <a:latin typeface="+mn-lt"/>
              <a:ea typeface="+mn-ea"/>
              <a:cs typeface="+mn-cs"/>
            </a:rPr>
            <a:t> d'ici 2035</a:t>
          </a:r>
          <a:r>
            <a:rPr lang="en-US" sz="1200" b="0" i="0">
              <a:solidFill>
                <a:sysClr val="windowText" lastClr="000000"/>
              </a:solidFill>
              <a:effectLst/>
              <a:latin typeface="+mn-lt"/>
              <a:ea typeface="+mn-ea"/>
              <a:cs typeface="+mn-cs"/>
            </a:rPr>
            <a:t>, soit environ </a:t>
          </a:r>
          <a:r>
            <a:rPr lang="en-US" sz="1200" b="1" i="0">
              <a:solidFill>
                <a:sysClr val="windowText" lastClr="000000"/>
              </a:solidFill>
              <a:effectLst/>
              <a:latin typeface="+mn-lt"/>
              <a:ea typeface="+mn-ea"/>
              <a:cs typeface="+mn-cs"/>
            </a:rPr>
            <a:t>3 fois la consommation électrique annuelle de la France</a:t>
          </a:r>
          <a:r>
            <a:rPr lang="en-US" sz="1200" b="0" i="0">
              <a:solidFill>
                <a:sysClr val="windowText" lastClr="000000"/>
              </a:solidFill>
              <a:effectLst/>
              <a:latin typeface="+mn-lt"/>
              <a:ea typeface="+mn-ea"/>
              <a:cs typeface="+mn-cs"/>
            </a:rPr>
            <a:t>,</a:t>
          </a:r>
          <a:r>
            <a:rPr lang="en-US" sz="1200" b="0" i="0" baseline="0">
              <a:solidFill>
                <a:sysClr val="windowText" lastClr="000000"/>
              </a:solidFill>
              <a:effectLst/>
              <a:latin typeface="+mn-lt"/>
              <a:ea typeface="+mn-ea"/>
              <a:cs typeface="+mn-cs"/>
            </a:rPr>
            <a:t> dans un contexte mondial où l'électricité est encore loin d'être complètement bas carbone.</a:t>
          </a:r>
          <a:endParaRPr lang="en-US" sz="1200" b="1" i="0">
            <a:solidFill>
              <a:sysClr val="windowText" lastClr="000000"/>
            </a:solidFill>
            <a:effectLst/>
            <a:latin typeface="+mn-lt"/>
            <a:ea typeface="+mn-ea"/>
            <a:cs typeface="+mn-cs"/>
          </a:endParaRPr>
        </a:p>
        <a:p>
          <a:pPr algn="l" fontAlgn="t"/>
          <a:r>
            <a:rPr lang="en-US" sz="1200" b="0" i="0">
              <a:solidFill>
                <a:sysClr val="windowText" lastClr="000000"/>
              </a:solidFill>
              <a:effectLst/>
              <a:latin typeface="+mn-lt"/>
              <a:ea typeface="+mn-ea"/>
              <a:cs typeface="+mn-cs"/>
            </a:rPr>
            <a:t>Pour autant</a:t>
          </a:r>
          <a:r>
            <a:rPr lang="en-US" sz="1200" b="0" i="0" baseline="0">
              <a:solidFill>
                <a:sysClr val="windowText" lastClr="000000"/>
              </a:solidFill>
              <a:effectLst/>
              <a:latin typeface="+mn-lt"/>
              <a:ea typeface="+mn-ea"/>
              <a:cs typeface="+mn-cs"/>
            </a:rPr>
            <a:t> nous ne sommes pas démunis et les leviers d'écoconception pour l'IA existent. </a:t>
          </a:r>
          <a:r>
            <a:rPr lang="en-US" sz="1200" b="1" i="0" baseline="0">
              <a:solidFill>
                <a:sysClr val="windowText" lastClr="000000"/>
              </a:solidFill>
              <a:effectLst/>
              <a:latin typeface="+mn-lt"/>
              <a:ea typeface="+mn-ea"/>
              <a:cs typeface="+mn-cs"/>
            </a:rPr>
            <a:t>L</a:t>
          </a:r>
          <a:r>
            <a:rPr lang="en-US" sz="1200" b="1" i="0">
              <a:solidFill>
                <a:sysClr val="windowText" lastClr="000000"/>
              </a:solidFill>
              <a:effectLst/>
              <a:latin typeface="+mn-lt"/>
              <a:ea typeface="+mn-ea"/>
              <a:cs typeface="+mn-cs"/>
            </a:rPr>
            <a:t>a généralisation d’une IA frugale pourrait diviser par deux la consommation électrique projetée en 2035. </a:t>
          </a:r>
          <a:r>
            <a:rPr lang="en-US" sz="1200" b="0" i="0">
              <a:solidFill>
                <a:sysClr val="windowText" lastClr="000000"/>
              </a:solidFill>
              <a:effectLst/>
              <a:latin typeface="+mn-lt"/>
              <a:ea typeface="+mn-ea"/>
              <a:cs typeface="+mn-cs"/>
            </a:rPr>
            <a:t>Vous trouverez ci-dessous plusieurs </a:t>
          </a:r>
          <a:r>
            <a:rPr lang="en-US" sz="1200" b="1" i="0">
              <a:solidFill>
                <a:sysClr val="windowText" lastClr="000000"/>
              </a:solidFill>
              <a:effectLst/>
              <a:latin typeface="+mn-lt"/>
              <a:ea typeface="+mn-ea"/>
              <a:cs typeface="+mn-cs"/>
            </a:rPr>
            <a:t>bonnes pratiques et recommandations d'éco-conception</a:t>
          </a:r>
          <a:r>
            <a:rPr lang="en-US" sz="1200" b="1" i="0" baseline="0">
              <a:solidFill>
                <a:sysClr val="windowText" lastClr="000000"/>
              </a:solidFill>
              <a:effectLst/>
              <a:latin typeface="+mn-lt"/>
              <a:ea typeface="+mn-ea"/>
              <a:cs typeface="+mn-cs"/>
            </a:rPr>
            <a:t> des modèles IA.</a:t>
          </a:r>
          <a:br>
            <a:rPr lang="en-US" sz="1100" b="1" i="0" baseline="0">
              <a:solidFill>
                <a:sysClr val="windowText" lastClr="000000"/>
              </a:solidFill>
              <a:effectLst/>
              <a:latin typeface="+mn-lt"/>
              <a:ea typeface="+mn-ea"/>
              <a:cs typeface="+mn-cs"/>
            </a:rPr>
          </a:br>
          <a:r>
            <a:rPr lang="en-US" sz="900" b="0" i="0" baseline="0">
              <a:solidFill>
                <a:sysClr val="windowText" lastClr="000000"/>
              </a:solidFill>
              <a:effectLst/>
              <a:latin typeface="+mn-lt"/>
              <a:ea typeface="+mn-ea"/>
              <a:cs typeface="+mn-cs"/>
            </a:rPr>
            <a:t>(Source : "Artificial Intelligence and Electricity, A system Dynamic Approach", Schneider Electric, 2024).</a:t>
          </a:r>
          <a:endParaRPr lang="en-US" sz="900" b="0" i="0">
            <a:solidFill>
              <a:schemeClr val="lt1"/>
            </a:solidFill>
            <a:effectLst/>
            <a:latin typeface="+mn-lt"/>
            <a:ea typeface="+mn-ea"/>
            <a:cs typeface="+mn-cs"/>
          </a:endParaRPr>
        </a:p>
      </xdr:txBody>
    </xdr:sp>
    <xdr:clientData/>
  </xdr:twoCellAnchor>
  <xdr:twoCellAnchor>
    <xdr:from>
      <xdr:col>0</xdr:col>
      <xdr:colOff>687124</xdr:colOff>
      <xdr:row>9</xdr:row>
      <xdr:rowOff>120893</xdr:rowOff>
    </xdr:from>
    <xdr:to>
      <xdr:col>15</xdr:col>
      <xdr:colOff>114689</xdr:colOff>
      <xdr:row>11</xdr:row>
      <xdr:rowOff>102235</xdr:rowOff>
    </xdr:to>
    <xdr:sp macro="" textlink="">
      <xdr:nvSpPr>
        <xdr:cNvPr id="11012" name="Rectangle: Rounded Corners 6">
          <a:extLst>
            <a:ext uri="{FF2B5EF4-FFF2-40B4-BE49-F238E27FC236}">
              <a16:creationId xmlns:a16="http://schemas.microsoft.com/office/drawing/2014/main" id="{49AB31D7-2C75-4D12-A7D7-CD2D9A103604}"/>
            </a:ext>
          </a:extLst>
        </xdr:cNvPr>
        <xdr:cNvSpPr/>
      </xdr:nvSpPr>
      <xdr:spPr>
        <a:xfrm>
          <a:off x="687124" y="2218967"/>
          <a:ext cx="13715065" cy="341748"/>
        </a:xfrm>
        <a:prstGeom prst="roundRect">
          <a:avLst/>
        </a:prstGeom>
        <a:solidFill>
          <a:schemeClr val="accent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un impact environnemental de l'IA préoccupant</a:t>
          </a:r>
        </a:p>
      </xdr:txBody>
    </xdr:sp>
    <xdr:clientData/>
  </xdr:twoCellAnchor>
  <xdr:twoCellAnchor>
    <xdr:from>
      <xdr:col>1</xdr:col>
      <xdr:colOff>87448</xdr:colOff>
      <xdr:row>21</xdr:row>
      <xdr:rowOff>121228</xdr:rowOff>
    </xdr:from>
    <xdr:to>
      <xdr:col>14</xdr:col>
      <xdr:colOff>685738</xdr:colOff>
      <xdr:row>31</xdr:row>
      <xdr:rowOff>95251</xdr:rowOff>
    </xdr:to>
    <xdr:sp macro="" textlink="">
      <xdr:nvSpPr>
        <xdr:cNvPr id="11298" name="Rectangle : coins arrondis 6">
          <a:extLst>
            <a:ext uri="{FF2B5EF4-FFF2-40B4-BE49-F238E27FC236}">
              <a16:creationId xmlns:a16="http://schemas.microsoft.com/office/drawing/2014/main" id="{5FB9223E-01C5-4020-BB43-CEC1DF4ABC4B}"/>
            </a:ext>
          </a:extLst>
        </xdr:cNvPr>
        <xdr:cNvSpPr/>
      </xdr:nvSpPr>
      <xdr:spPr>
        <a:xfrm>
          <a:off x="1001848" y="4498495"/>
          <a:ext cx="12485490" cy="1836689"/>
        </a:xfrm>
        <a:prstGeom prst="roundRect">
          <a:avLst/>
        </a:prstGeom>
        <a:solidFill>
          <a:schemeClr val="bg1">
            <a:alpha val="98000"/>
          </a:schemeClr>
        </a:solidFill>
        <a:ln w="12700">
          <a:solidFill>
            <a:schemeClr val="accent2"/>
          </a:solidFill>
          <a:prstDash val="sysDot"/>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l" fontAlgn="t"/>
          <a:endParaRPr lang="en-US" sz="1100" b="0" i="0">
            <a:solidFill>
              <a:schemeClr val="lt1"/>
            </a:solidFill>
            <a:effectLst/>
            <a:latin typeface="+mn-lt"/>
            <a:ea typeface="+mn-ea"/>
            <a:cs typeface="+mn-cs"/>
          </a:endParaRPr>
        </a:p>
        <a:p>
          <a:pPr algn="l">
            <a:spcBef>
              <a:spcPts val="600"/>
            </a:spcBef>
          </a:pPr>
          <a:endParaRPr lang="en-US" sz="1200" dirty="0" err="1">
            <a:solidFill>
              <a:sysClr val="windowText" lastClr="000000"/>
            </a:solidFill>
            <a:ea typeface="+mj-ea"/>
            <a:cs typeface="+mj-cs"/>
          </a:endParaRPr>
        </a:p>
      </xdr:txBody>
    </xdr:sp>
    <xdr:clientData/>
  </xdr:twoCellAnchor>
  <xdr:twoCellAnchor>
    <xdr:from>
      <xdr:col>0</xdr:col>
      <xdr:colOff>690299</xdr:colOff>
      <xdr:row>19</xdr:row>
      <xdr:rowOff>66391</xdr:rowOff>
    </xdr:from>
    <xdr:to>
      <xdr:col>15</xdr:col>
      <xdr:colOff>114689</xdr:colOff>
      <xdr:row>21</xdr:row>
      <xdr:rowOff>28685</xdr:rowOff>
    </xdr:to>
    <xdr:sp macro="" textlink="">
      <xdr:nvSpPr>
        <xdr:cNvPr id="11010" name="Rectangle: Rounded Corners 6">
          <a:extLst>
            <a:ext uri="{FF2B5EF4-FFF2-40B4-BE49-F238E27FC236}">
              <a16:creationId xmlns:a16="http://schemas.microsoft.com/office/drawing/2014/main" id="{6522571E-710B-4E13-90D9-9AC5514C29D0}"/>
            </a:ext>
          </a:extLst>
        </xdr:cNvPr>
        <xdr:cNvSpPr/>
      </xdr:nvSpPr>
      <xdr:spPr>
        <a:xfrm>
          <a:off x="690299" y="3966492"/>
          <a:ext cx="13711890" cy="322700"/>
        </a:xfrm>
        <a:prstGeom prst="roundRect">
          <a:avLst/>
        </a:prstGeom>
        <a:solidFill>
          <a:schemeClr val="accent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quelques bonnes pratiques d'écoconception, activables selon la maturité de votre projet</a:t>
          </a:r>
        </a:p>
      </xdr:txBody>
    </xdr:sp>
    <xdr:clientData/>
  </xdr:twoCellAnchor>
  <xdr:twoCellAnchor>
    <xdr:from>
      <xdr:col>3</xdr:col>
      <xdr:colOff>752816</xdr:colOff>
      <xdr:row>26</xdr:row>
      <xdr:rowOff>75277</xdr:rowOff>
    </xdr:from>
    <xdr:to>
      <xdr:col>7</xdr:col>
      <xdr:colOff>601751</xdr:colOff>
      <xdr:row>27</xdr:row>
      <xdr:rowOff>174056</xdr:rowOff>
    </xdr:to>
    <xdr:sp macro="" textlink="">
      <xdr:nvSpPr>
        <xdr:cNvPr id="11230" name="Rectangle 10">
          <a:extLst>
            <a:ext uri="{FF2B5EF4-FFF2-40B4-BE49-F238E27FC236}">
              <a16:creationId xmlns:a16="http://schemas.microsoft.com/office/drawing/2014/main" id="{8D78A7E8-EA47-4F5C-B357-707CC7E444B6}"/>
            </a:ext>
          </a:extLst>
        </xdr:cNvPr>
        <xdr:cNvSpPr/>
      </xdr:nvSpPr>
      <xdr:spPr>
        <a:xfrm>
          <a:off x="3502301" y="5312390"/>
          <a:ext cx="3514914" cy="282078"/>
        </a:xfrm>
        <a:prstGeom prst="rect">
          <a:avLst/>
        </a:prstGeom>
        <a:solidFill>
          <a:schemeClr val="accent6">
            <a:lumMod val="20000"/>
            <a:lumOff val="80000"/>
          </a:schemeClr>
        </a:solidFill>
        <a:ln>
          <a:solidFill>
            <a:schemeClr val="accent2">
              <a:lumMod val="40000"/>
              <a:lumOff val="6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Optimisation de l'inférence</a:t>
          </a:r>
        </a:p>
      </xdr:txBody>
    </xdr:sp>
    <xdr:clientData/>
  </xdr:twoCellAnchor>
  <xdr:twoCellAnchor>
    <xdr:from>
      <xdr:col>2</xdr:col>
      <xdr:colOff>395664</xdr:colOff>
      <xdr:row>29</xdr:row>
      <xdr:rowOff>3869</xdr:rowOff>
    </xdr:from>
    <xdr:to>
      <xdr:col>13</xdr:col>
      <xdr:colOff>377521</xdr:colOff>
      <xdr:row>31</xdr:row>
      <xdr:rowOff>15223</xdr:rowOff>
    </xdr:to>
    <xdr:sp macro="" textlink="">
      <xdr:nvSpPr>
        <xdr:cNvPr id="14" name="Flèche : droite rayée 13">
          <a:extLst>
            <a:ext uri="{FF2B5EF4-FFF2-40B4-BE49-F238E27FC236}">
              <a16:creationId xmlns:a16="http://schemas.microsoft.com/office/drawing/2014/main" id="{C2C718C0-3A1E-6EA8-817C-9F3D9E083877}"/>
            </a:ext>
          </a:extLst>
        </xdr:cNvPr>
        <xdr:cNvSpPr/>
      </xdr:nvSpPr>
      <xdr:spPr>
        <a:xfrm>
          <a:off x="2219846" y="5834324"/>
          <a:ext cx="10014857" cy="380808"/>
        </a:xfrm>
        <a:prstGeom prst="stripedRightArrow">
          <a:avLst>
            <a:gd name="adj1" fmla="val 67073"/>
            <a:gd name="adj2" fmla="val 65854"/>
          </a:avLst>
        </a:prstGeom>
        <a:solidFill>
          <a:schemeClr val="accent6">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Conduite du changement</a:t>
          </a:r>
        </a:p>
      </xdr:txBody>
    </xdr:sp>
    <xdr:clientData/>
  </xdr:twoCellAnchor>
  <xdr:twoCellAnchor>
    <xdr:from>
      <xdr:col>0</xdr:col>
      <xdr:colOff>687124</xdr:colOff>
      <xdr:row>32</xdr:row>
      <xdr:rowOff>158832</xdr:rowOff>
    </xdr:from>
    <xdr:to>
      <xdr:col>15</xdr:col>
      <xdr:colOff>114689</xdr:colOff>
      <xdr:row>34</xdr:row>
      <xdr:rowOff>139890</xdr:rowOff>
    </xdr:to>
    <xdr:sp macro="" textlink="">
      <xdr:nvSpPr>
        <xdr:cNvPr id="11040" name="Rectangle: Rounded Corners 6">
          <a:extLst>
            <a:ext uri="{FF2B5EF4-FFF2-40B4-BE49-F238E27FC236}">
              <a16:creationId xmlns:a16="http://schemas.microsoft.com/office/drawing/2014/main" id="{C96FE97E-56BC-495F-BC3F-1DFB02281463}"/>
            </a:ext>
          </a:extLst>
        </xdr:cNvPr>
        <xdr:cNvSpPr/>
      </xdr:nvSpPr>
      <xdr:spPr>
        <a:xfrm>
          <a:off x="687124" y="6401568"/>
          <a:ext cx="13715065" cy="341464"/>
        </a:xfrm>
        <a:prstGeom prst="roundRect">
          <a:avLst/>
        </a:prstGeom>
        <a:no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accent2"/>
              </a:solidFill>
              <a:latin typeface="+mj-lt"/>
              <a:ea typeface="+mj-ea"/>
              <a:cs typeface="+mj-cs"/>
            </a:rPr>
            <a:t>zoom sur les bonnes pratiques d'écoconception...</a:t>
          </a:r>
        </a:p>
      </xdr:txBody>
    </xdr:sp>
    <xdr:clientData/>
  </xdr:twoCellAnchor>
  <xdr:twoCellAnchor editAs="oneCell">
    <xdr:from>
      <xdr:col>5</xdr:col>
      <xdr:colOff>486762</xdr:colOff>
      <xdr:row>24</xdr:row>
      <xdr:rowOff>164399</xdr:rowOff>
    </xdr:from>
    <xdr:to>
      <xdr:col>5</xdr:col>
      <xdr:colOff>867804</xdr:colOff>
      <xdr:row>26</xdr:row>
      <xdr:rowOff>164542</xdr:rowOff>
    </xdr:to>
    <xdr:pic>
      <xdr:nvPicPr>
        <xdr:cNvPr id="62" name="Image 61">
          <a:extLst>
            <a:ext uri="{FF2B5EF4-FFF2-40B4-BE49-F238E27FC236}">
              <a16:creationId xmlns:a16="http://schemas.microsoft.com/office/drawing/2014/main" id="{97A20214-FDA7-A83B-5548-30B856C7AE25}"/>
            </a:ext>
          </a:extLst>
        </xdr:cNvPr>
        <xdr:cNvPicPr>
          <a:picLocks noChangeAspect="1"/>
        </xdr:cNvPicPr>
      </xdr:nvPicPr>
      <xdr:blipFill>
        <a:blip xmlns:r="http://schemas.openxmlformats.org/officeDocument/2006/relationships" r:embed="rId1">
          <a:duotone>
            <a:prstClr val="black"/>
            <a:schemeClr val="accent3">
              <a:tint val="45000"/>
              <a:satMod val="400000"/>
            </a:schemeClr>
          </a:duotone>
        </a:blip>
        <a:stretch>
          <a:fillRect/>
        </a:stretch>
      </xdr:blipFill>
      <xdr:spPr>
        <a:xfrm>
          <a:off x="5069236" y="5034914"/>
          <a:ext cx="381042" cy="366741"/>
        </a:xfrm>
        <a:prstGeom prst="rect">
          <a:avLst/>
        </a:prstGeom>
      </xdr:spPr>
    </xdr:pic>
    <xdr:clientData/>
  </xdr:twoCellAnchor>
  <xdr:twoCellAnchor editAs="oneCell">
    <xdr:from>
      <xdr:col>7</xdr:col>
      <xdr:colOff>682038</xdr:colOff>
      <xdr:row>27</xdr:row>
      <xdr:rowOff>178036</xdr:rowOff>
    </xdr:from>
    <xdr:to>
      <xdr:col>8</xdr:col>
      <xdr:colOff>91148</xdr:colOff>
      <xdr:row>29</xdr:row>
      <xdr:rowOff>129513</xdr:rowOff>
    </xdr:to>
    <xdr:pic>
      <xdr:nvPicPr>
        <xdr:cNvPr id="63" name="Image 62">
          <a:extLst>
            <a:ext uri="{FF2B5EF4-FFF2-40B4-BE49-F238E27FC236}">
              <a16:creationId xmlns:a16="http://schemas.microsoft.com/office/drawing/2014/main" id="{AFB6F505-B1F9-1706-0A48-788FC1F10FA3}"/>
            </a:ext>
          </a:extLst>
        </xdr:cNvPr>
        <xdr:cNvPicPr>
          <a:picLocks noChangeAspect="1"/>
        </xdr:cNvPicPr>
      </xdr:nvPicPr>
      <xdr:blipFill>
        <a:blip xmlns:r="http://schemas.openxmlformats.org/officeDocument/2006/relationships" r:embed="rId2">
          <a:duotone>
            <a:prstClr val="black"/>
            <a:schemeClr val="accent3">
              <a:tint val="45000"/>
              <a:satMod val="400000"/>
            </a:schemeClr>
          </a:duotone>
        </a:blip>
        <a:stretch>
          <a:fillRect/>
        </a:stretch>
      </xdr:blipFill>
      <xdr:spPr>
        <a:xfrm>
          <a:off x="7066674" y="5639036"/>
          <a:ext cx="321201" cy="320932"/>
        </a:xfrm>
        <a:prstGeom prst="rect">
          <a:avLst/>
        </a:prstGeom>
      </xdr:spPr>
    </xdr:pic>
    <xdr:clientData/>
  </xdr:twoCellAnchor>
  <xdr:oneCellAnchor>
    <xdr:from>
      <xdr:col>13</xdr:col>
      <xdr:colOff>482826</xdr:colOff>
      <xdr:row>3</xdr:row>
      <xdr:rowOff>49183</xdr:rowOff>
    </xdr:from>
    <xdr:ext cx="1085626" cy="600473"/>
    <xdr:pic>
      <xdr:nvPicPr>
        <xdr:cNvPr id="68" name="Picture 2" descr="Société nationale des chemins de fer français — Wikipédia">
          <a:extLst>
            <a:ext uri="{FF2B5EF4-FFF2-40B4-BE49-F238E27FC236}">
              <a16:creationId xmlns:a16="http://schemas.microsoft.com/office/drawing/2014/main" id="{4810BF57-C484-423E-B48F-84B244D211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26349" y="612024"/>
          <a:ext cx="1085626" cy="6004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677181</xdr:colOff>
      <xdr:row>1</xdr:row>
      <xdr:rowOff>124127</xdr:rowOff>
    </xdr:from>
    <xdr:to>
      <xdr:col>2</xdr:col>
      <xdr:colOff>445406</xdr:colOff>
      <xdr:row>5</xdr:row>
      <xdr:rowOff>427718</xdr:rowOff>
    </xdr:to>
    <xdr:sp macro="" textlink="">
      <xdr:nvSpPr>
        <xdr:cNvPr id="11794" name="Oval 1">
          <a:hlinkClick xmlns:r="http://schemas.openxmlformats.org/officeDocument/2006/relationships" r:id="rId4"/>
          <a:extLst>
            <a:ext uri="{FF2B5EF4-FFF2-40B4-BE49-F238E27FC236}">
              <a16:creationId xmlns:a16="http://schemas.microsoft.com/office/drawing/2014/main" id="{BF5E0E9C-1B0A-450F-838A-74FCA989C426}"/>
            </a:ext>
          </a:extLst>
        </xdr:cNvPr>
        <xdr:cNvSpPr/>
      </xdr:nvSpPr>
      <xdr:spPr>
        <a:xfrm>
          <a:off x="677181" y="304044"/>
          <a:ext cx="1673225" cy="1023257"/>
        </a:xfrm>
        <a:prstGeom prst="roundRect">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b"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800" b="1">
              <a:solidFill>
                <a:schemeClr val="bg1"/>
              </a:solidFill>
              <a:effectLst/>
              <a:latin typeface="+mj-lt"/>
              <a:ea typeface="+mn-ea"/>
              <a:cs typeface="+mn-cs"/>
            </a:rPr>
            <a:t>Notice</a:t>
          </a:r>
          <a:endParaRPr lang="en-US" sz="3600" b="1">
            <a:solidFill>
              <a:schemeClr val="bg1"/>
            </a:solidFill>
            <a:effectLst/>
            <a:latin typeface="+mj-lt"/>
          </a:endParaRPr>
        </a:p>
      </xdr:txBody>
    </xdr:sp>
    <xdr:clientData/>
  </xdr:twoCellAnchor>
  <xdr:twoCellAnchor>
    <xdr:from>
      <xdr:col>1</xdr:col>
      <xdr:colOff>333616</xdr:colOff>
      <xdr:row>2</xdr:row>
      <xdr:rowOff>57402</xdr:rowOff>
    </xdr:from>
    <xdr:to>
      <xdr:col>1</xdr:col>
      <xdr:colOff>788970</xdr:colOff>
      <xdr:row>4</xdr:row>
      <xdr:rowOff>83100</xdr:rowOff>
    </xdr:to>
    <xdr:pic>
      <xdr:nvPicPr>
        <xdr:cNvPr id="11793" name="Image 69" descr="information ">
          <a:hlinkClick xmlns:r="http://schemas.openxmlformats.org/officeDocument/2006/relationships" r:id="rId4"/>
          <a:extLst>
            <a:ext uri="{FF2B5EF4-FFF2-40B4-BE49-F238E27FC236}">
              <a16:creationId xmlns:a16="http://schemas.microsoft.com/office/drawing/2014/main" id="{2400DA8E-9FE2-4E74-BA64-FA6E7A93D860}"/>
            </a:ext>
          </a:extLst>
        </xdr:cNvPr>
        <xdr:cNvPicPr>
          <a:picLocks noChangeAspect="1" noChangeArrowheads="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rcRect/>
        <a:stretch>
          <a:fillRect/>
        </a:stretch>
      </xdr:blipFill>
      <xdr:spPr bwMode="auto">
        <a:xfrm>
          <a:off x="1286116" y="417235"/>
          <a:ext cx="455354" cy="385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185579</xdr:colOff>
      <xdr:row>5</xdr:row>
      <xdr:rowOff>100032</xdr:rowOff>
    </xdr:from>
    <xdr:to>
      <xdr:col>2</xdr:col>
      <xdr:colOff>566015</xdr:colOff>
      <xdr:row>5</xdr:row>
      <xdr:rowOff>519546</xdr:rowOff>
    </xdr:to>
    <xdr:pic>
      <xdr:nvPicPr>
        <xdr:cNvPr id="71" name="Image 70" descr="le curseur ">
          <a:hlinkClick xmlns:r="http://schemas.openxmlformats.org/officeDocument/2006/relationships" r:id="rId4"/>
          <a:extLst>
            <a:ext uri="{FF2B5EF4-FFF2-40B4-BE49-F238E27FC236}">
              <a16:creationId xmlns:a16="http://schemas.microsoft.com/office/drawing/2014/main" id="{46EDA559-0A81-40F5-B33E-6C3637BC2BF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09579" y="1009237"/>
          <a:ext cx="380436" cy="419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681868</xdr:colOff>
      <xdr:row>48</xdr:row>
      <xdr:rowOff>3376</xdr:rowOff>
    </xdr:from>
    <xdr:to>
      <xdr:col>15</xdr:col>
      <xdr:colOff>86355</xdr:colOff>
      <xdr:row>88</xdr:row>
      <xdr:rowOff>139700</xdr:rowOff>
    </xdr:to>
    <xdr:sp macro="" textlink="">
      <xdr:nvSpPr>
        <xdr:cNvPr id="11462" name="Rectangle 76">
          <a:extLst>
            <a:ext uri="{FF2B5EF4-FFF2-40B4-BE49-F238E27FC236}">
              <a16:creationId xmlns:a16="http://schemas.microsoft.com/office/drawing/2014/main" id="{5650F384-61C0-90DC-0C18-F45D2A5C4009}"/>
            </a:ext>
          </a:extLst>
        </xdr:cNvPr>
        <xdr:cNvSpPr/>
      </xdr:nvSpPr>
      <xdr:spPr>
        <a:xfrm>
          <a:off x="681868" y="9045776"/>
          <a:ext cx="12548987" cy="724832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Optimiser l'inférence</a:t>
          </a:r>
        </a:p>
      </xdr:txBody>
    </xdr:sp>
    <xdr:clientData/>
  </xdr:twoCellAnchor>
  <xdr:twoCellAnchor>
    <xdr:from>
      <xdr:col>1</xdr:col>
      <xdr:colOff>121185</xdr:colOff>
      <xdr:row>52</xdr:row>
      <xdr:rowOff>1257</xdr:rowOff>
    </xdr:from>
    <xdr:to>
      <xdr:col>5</xdr:col>
      <xdr:colOff>312671</xdr:colOff>
      <xdr:row>60</xdr:row>
      <xdr:rowOff>38079</xdr:rowOff>
    </xdr:to>
    <xdr:sp macro="" textlink="">
      <xdr:nvSpPr>
        <xdr:cNvPr id="11667" name="Rectangle : coins arrondis 91">
          <a:extLst>
            <a:ext uri="{FF2B5EF4-FFF2-40B4-BE49-F238E27FC236}">
              <a16:creationId xmlns:a16="http://schemas.microsoft.com/office/drawing/2014/main" id="{4BA667B7-0732-DE0E-C047-A690E700DC52}"/>
            </a:ext>
          </a:extLst>
        </xdr:cNvPr>
        <xdr:cNvSpPr/>
      </xdr:nvSpPr>
      <xdr:spPr>
        <a:xfrm>
          <a:off x="1073685" y="9848048"/>
          <a:ext cx="4001486" cy="147844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baseline="0" dirty="0" err="1">
              <a:solidFill>
                <a:schemeClr val="accent3">
                  <a:lumMod val="50000"/>
                </a:schemeClr>
              </a:solidFill>
              <a:ea typeface="+mj-ea"/>
              <a:cs typeface="+mj-cs"/>
            </a:rPr>
            <a:t>PROMPTS</a:t>
          </a:r>
        </a:p>
        <a:p>
          <a:pPr algn="l">
            <a:spcBef>
              <a:spcPts val="600"/>
            </a:spcBef>
          </a:pPr>
          <a:r>
            <a:rPr lang="en-US" sz="1200" b="1" baseline="0" dirty="0" err="1">
              <a:solidFill>
                <a:schemeClr val="tx1"/>
              </a:solidFill>
              <a:ea typeface="+mj-ea"/>
              <a:cs typeface="+mj-cs"/>
            </a:rPr>
            <a:t>Former les utilisateurs </a:t>
          </a:r>
        </a:p>
        <a:p>
          <a:pPr algn="l">
            <a:spcBef>
              <a:spcPts val="600"/>
            </a:spcBef>
          </a:pPr>
          <a:r>
            <a:rPr lang="en-US" sz="1200" b="0" baseline="0" dirty="0" err="1">
              <a:solidFill>
                <a:schemeClr val="tx1"/>
              </a:solidFill>
              <a:ea typeface="+mj-ea"/>
              <a:cs typeface="+mj-cs"/>
            </a:rPr>
            <a:t>Privilégier une architecture qui permet de </a:t>
          </a:r>
          <a:r>
            <a:rPr lang="en-US" sz="1200" b="1" baseline="0" dirty="0" err="1">
              <a:solidFill>
                <a:schemeClr val="tx1"/>
              </a:solidFill>
              <a:ea typeface="+mj-ea"/>
              <a:cs typeface="+mj-cs"/>
            </a:rPr>
            <a:t>reformuler et d’optimiser les prompts utilisateurs</a:t>
          </a:r>
          <a:r>
            <a:rPr lang="en-US" sz="1200" b="0" baseline="0" dirty="0" err="1">
              <a:solidFill>
                <a:schemeClr val="tx1"/>
              </a:solidFill>
              <a:ea typeface="+mj-ea"/>
              <a:cs typeface="+mj-cs"/>
            </a:rPr>
            <a:t>​</a:t>
          </a:r>
        </a:p>
      </xdr:txBody>
    </xdr:sp>
    <xdr:clientData/>
  </xdr:twoCellAnchor>
  <xdr:twoCellAnchor>
    <xdr:from>
      <xdr:col>5</xdr:col>
      <xdr:colOff>654901</xdr:colOff>
      <xdr:row>52</xdr:row>
      <xdr:rowOff>1257</xdr:rowOff>
    </xdr:from>
    <xdr:to>
      <xdr:col>10</xdr:col>
      <xdr:colOff>93498</xdr:colOff>
      <xdr:row>60</xdr:row>
      <xdr:rowOff>38079</xdr:rowOff>
    </xdr:to>
    <xdr:sp macro="" textlink="">
      <xdr:nvSpPr>
        <xdr:cNvPr id="11822" name="Rectangle : coins arrondis 96">
          <a:extLst>
            <a:ext uri="{FF2B5EF4-FFF2-40B4-BE49-F238E27FC236}">
              <a16:creationId xmlns:a16="http://schemas.microsoft.com/office/drawing/2014/main" id="{7835A652-B918-4352-B4EC-9B2685890CF7}"/>
            </a:ext>
          </a:extLst>
        </xdr:cNvPr>
        <xdr:cNvSpPr/>
      </xdr:nvSpPr>
      <xdr:spPr>
        <a:xfrm>
          <a:off x="5417401" y="9848048"/>
          <a:ext cx="4201097" cy="147844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200" b="1" i="0" cap="all" baseline="0">
              <a:solidFill>
                <a:schemeClr val="accent3">
                  <a:lumMod val="50000"/>
                </a:schemeClr>
              </a:solidFill>
              <a:effectLst/>
              <a:latin typeface="+mn-lt"/>
              <a:ea typeface="+mn-ea"/>
              <a:cs typeface="+mn-cs"/>
            </a:rPr>
            <a:t>TOKENS générés</a:t>
          </a:r>
        </a:p>
        <a:p>
          <a:pPr marL="0" marR="0" lvl="0" indent="0" algn="l" defTabSz="914400" eaLnBrk="1" fontAlgn="auto" latinLnBrk="0" hangingPunct="1">
            <a:lnSpc>
              <a:spcPct val="100000"/>
            </a:lnSpc>
            <a:spcBef>
              <a:spcPts val="600"/>
            </a:spcBef>
            <a:spcAft>
              <a:spcPts val="0"/>
            </a:spcAft>
            <a:buClrTx/>
            <a:buSzTx/>
            <a:buFontTx/>
            <a:buNone/>
            <a:tabLst/>
            <a:defRPr/>
          </a:pPr>
          <a:r>
            <a:rPr lang="en-US" sz="1200" b="0" i="0">
              <a:solidFill>
                <a:schemeClr val="tx1"/>
              </a:solidFill>
              <a:effectLst/>
              <a:latin typeface="+mn-lt"/>
              <a:ea typeface="+mn-ea"/>
              <a:cs typeface="+mn-cs"/>
            </a:rPr>
            <a:t>Paramétrer le modèle pour </a:t>
          </a:r>
          <a:r>
            <a:rPr lang="en-US" sz="1200" b="1" i="0">
              <a:solidFill>
                <a:schemeClr val="tx1"/>
              </a:solidFill>
              <a:effectLst/>
              <a:latin typeface="+mn-lt"/>
              <a:ea typeface="+mn-ea"/>
              <a:cs typeface="+mn-cs"/>
            </a:rPr>
            <a:t>limiter sa verbosité</a:t>
          </a:r>
        </a:p>
        <a:p>
          <a:pPr marL="0" marR="0" lvl="0" indent="0" algn="l" defTabSz="914400" eaLnBrk="1" fontAlgn="auto" latinLnBrk="0" hangingPunct="1">
            <a:lnSpc>
              <a:spcPct val="100000"/>
            </a:lnSpc>
            <a:spcBef>
              <a:spcPts val="600"/>
            </a:spcBef>
            <a:spcAft>
              <a:spcPts val="0"/>
            </a:spcAft>
            <a:buClrTx/>
            <a:buSzTx/>
            <a:buFontTx/>
            <a:buNone/>
            <a:tabLst/>
            <a:defRPr/>
          </a:pPr>
          <a:r>
            <a:rPr lang="en-US" sz="1200" b="0" i="0">
              <a:solidFill>
                <a:schemeClr val="tx1"/>
              </a:solidFill>
              <a:effectLst/>
              <a:latin typeface="+mn-lt"/>
              <a:ea typeface="+mn-ea"/>
              <a:cs typeface="+mn-cs"/>
            </a:rPr>
            <a:t>Implémenter une </a:t>
          </a:r>
          <a:r>
            <a:rPr lang="en-US" sz="1200" b="1" i="0">
              <a:solidFill>
                <a:schemeClr val="tx1"/>
              </a:solidFill>
              <a:effectLst/>
              <a:latin typeface="+mn-lt"/>
              <a:ea typeface="+mn-ea"/>
              <a:cs typeface="+mn-cs"/>
            </a:rPr>
            <a:t>borne maximum concernant le nombre de tokens en réponse à chaque requête</a:t>
          </a:r>
        </a:p>
      </xdr:txBody>
    </xdr:sp>
    <xdr:clientData/>
  </xdr:twoCellAnchor>
  <xdr:twoCellAnchor>
    <xdr:from>
      <xdr:col>10</xdr:col>
      <xdr:colOff>402311</xdr:colOff>
      <xdr:row>52</xdr:row>
      <xdr:rowOff>1257</xdr:rowOff>
    </xdr:from>
    <xdr:to>
      <xdr:col>14</xdr:col>
      <xdr:colOff>596972</xdr:colOff>
      <xdr:row>60</xdr:row>
      <xdr:rowOff>38079</xdr:rowOff>
    </xdr:to>
    <xdr:sp macro="" textlink="">
      <xdr:nvSpPr>
        <xdr:cNvPr id="11469" name="Rectangle : coins arrondis 98">
          <a:extLst>
            <a:ext uri="{FF2B5EF4-FFF2-40B4-BE49-F238E27FC236}">
              <a16:creationId xmlns:a16="http://schemas.microsoft.com/office/drawing/2014/main" id="{FD1898B7-304D-4B4E-91AB-ED338A77211C}"/>
            </a:ext>
          </a:extLst>
        </xdr:cNvPr>
        <xdr:cNvSpPr/>
      </xdr:nvSpPr>
      <xdr:spPr>
        <a:xfrm>
          <a:off x="9927311" y="9848048"/>
          <a:ext cx="4004661" cy="147844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dirty="0" err="1">
              <a:solidFill>
                <a:schemeClr val="accent3">
                  <a:lumMod val="50000"/>
                </a:schemeClr>
              </a:solidFill>
              <a:ea typeface="+mj-ea"/>
              <a:cs typeface="+mj-cs"/>
            </a:rPr>
            <a:t>routage automatique</a:t>
          </a:r>
        </a:p>
        <a:p>
          <a:pPr algn="l">
            <a:spcBef>
              <a:spcPts val="600"/>
            </a:spcBef>
          </a:pPr>
          <a:r>
            <a:rPr lang="en-US" sz="1200" b="0" baseline="0" dirty="0" err="1">
              <a:solidFill>
                <a:schemeClr val="tx1"/>
              </a:solidFill>
              <a:ea typeface="+mj-ea"/>
              <a:cs typeface="+mj-cs"/>
            </a:rPr>
            <a:t>Implémenter un routage vers </a:t>
          </a:r>
          <a:r>
            <a:rPr lang="en-US" sz="1200" b="1" baseline="0" dirty="0" err="1">
              <a:solidFill>
                <a:schemeClr val="tx1"/>
              </a:solidFill>
              <a:ea typeface="+mj-ea"/>
              <a:cs typeface="+mj-cs"/>
            </a:rPr>
            <a:t>le modèle IA optimal </a:t>
          </a:r>
          <a:r>
            <a:rPr lang="en-US" sz="1200" b="0" baseline="0" dirty="0" err="1">
              <a:solidFill>
                <a:schemeClr val="tx1"/>
              </a:solidFill>
              <a:ea typeface="+mj-ea"/>
              <a:cs typeface="+mj-cs"/>
            </a:rPr>
            <a:t>selon l'usage. Utiliser des </a:t>
          </a:r>
          <a:r>
            <a:rPr lang="en-US" sz="1200" b="1" baseline="0" dirty="0" err="1">
              <a:solidFill>
                <a:schemeClr val="tx1"/>
              </a:solidFill>
              <a:ea typeface="+mj-ea"/>
              <a:cs typeface="+mj-cs"/>
            </a:rPr>
            <a:t>SLM plutôt que LLM </a:t>
          </a:r>
          <a:r>
            <a:rPr lang="en-US" sz="1200" b="0" baseline="0" dirty="0" err="1">
              <a:solidFill>
                <a:schemeClr val="tx1"/>
              </a:solidFill>
              <a:ea typeface="+mj-ea"/>
              <a:cs typeface="+mj-cs"/>
            </a:rPr>
            <a:t>lorsque c'est possible</a:t>
          </a:r>
        </a:p>
      </xdr:txBody>
    </xdr:sp>
    <xdr:clientData/>
  </xdr:twoCellAnchor>
  <xdr:twoCellAnchor>
    <xdr:from>
      <xdr:col>1</xdr:col>
      <xdr:colOff>114986</xdr:colOff>
      <xdr:row>61</xdr:row>
      <xdr:rowOff>137349</xdr:rowOff>
    </xdr:from>
    <xdr:to>
      <xdr:col>5</xdr:col>
      <xdr:colOff>315997</xdr:colOff>
      <xdr:row>69</xdr:row>
      <xdr:rowOff>173523</xdr:rowOff>
    </xdr:to>
    <xdr:sp macro="" textlink="">
      <xdr:nvSpPr>
        <xdr:cNvPr id="10832" name="Rectangle : coins arrondis 100">
          <a:extLst>
            <a:ext uri="{FF2B5EF4-FFF2-40B4-BE49-F238E27FC236}">
              <a16:creationId xmlns:a16="http://schemas.microsoft.com/office/drawing/2014/main" id="{B2328FE2-3945-40D9-AE67-0523DCF03B07}"/>
            </a:ext>
          </a:extLst>
        </xdr:cNvPr>
        <xdr:cNvSpPr/>
      </xdr:nvSpPr>
      <xdr:spPr>
        <a:xfrm>
          <a:off x="992441" y="11867531"/>
          <a:ext cx="3710829" cy="1513992"/>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dirty="0" err="1">
              <a:solidFill>
                <a:schemeClr val="accent3">
                  <a:lumMod val="50000"/>
                </a:schemeClr>
              </a:solidFill>
              <a:ea typeface="+mj-ea"/>
              <a:cs typeface="+mj-cs"/>
            </a:rPr>
            <a:t>BESOINS DE calculs</a:t>
          </a:r>
        </a:p>
        <a:p>
          <a:pPr algn="l">
            <a:spcBef>
              <a:spcPts val="600"/>
            </a:spcBef>
          </a:pPr>
          <a:r>
            <a:rPr lang="en-US" sz="1200" b="0" baseline="0" dirty="0" err="1">
              <a:solidFill>
                <a:schemeClr val="tx1"/>
              </a:solidFill>
              <a:ea typeface="+mj-ea"/>
              <a:cs typeface="+mj-cs"/>
            </a:rPr>
            <a:t>Activer la </a:t>
          </a:r>
          <a:r>
            <a:rPr lang="en-US" sz="1200" b="1" baseline="0" dirty="0" err="1">
              <a:solidFill>
                <a:schemeClr val="tx1"/>
              </a:solidFill>
              <a:ea typeface="+mj-ea"/>
              <a:cs typeface="+mj-cs"/>
            </a:rPr>
            <a:t>mise en cache des réponses récurrentes </a:t>
          </a:r>
          <a:r>
            <a:rPr lang="en-US" sz="1200" b="0" baseline="0" dirty="0" err="1">
              <a:solidFill>
                <a:schemeClr val="tx1"/>
              </a:solidFill>
              <a:ea typeface="+mj-ea"/>
              <a:cs typeface="+mj-cs"/>
            </a:rPr>
            <a:t>(stockage temporaire)</a:t>
          </a:r>
        </a:p>
        <a:p>
          <a:pPr algn="l">
            <a:spcBef>
              <a:spcPts val="600"/>
            </a:spcBef>
          </a:pPr>
          <a:r>
            <a:rPr lang="en-US" sz="1200" b="0" baseline="0" dirty="0" err="1">
              <a:solidFill>
                <a:schemeClr val="tx1"/>
              </a:solidFill>
              <a:ea typeface="+mj-ea"/>
              <a:cs typeface="+mj-cs"/>
            </a:rPr>
            <a:t>Choisir un modèle d'</a:t>
          </a:r>
          <a:r>
            <a:rPr lang="en-US" sz="1200" b="1" baseline="0" dirty="0" err="1">
              <a:solidFill>
                <a:schemeClr val="tx1"/>
              </a:solidFill>
              <a:ea typeface="+mj-ea"/>
              <a:cs typeface="+mj-cs"/>
            </a:rPr>
            <a:t>architecture "Mixture of expert" </a:t>
          </a:r>
          <a:r>
            <a:rPr lang="en-US" sz="1200" b="0" baseline="0" dirty="0" err="1">
              <a:solidFill>
                <a:schemeClr val="tx1"/>
              </a:solidFill>
              <a:ea typeface="+mj-ea"/>
              <a:cs typeface="+mj-cs"/>
            </a:rPr>
            <a:t>(prioriser les paramètres les plus pertinents du modèle selon la requête)</a:t>
          </a:r>
          <a:endParaRPr lang="en-US" sz="1200" b="0" dirty="0" err="1">
            <a:solidFill>
              <a:schemeClr val="tx1"/>
            </a:solidFill>
            <a:ea typeface="+mj-ea"/>
            <a:cs typeface="+mj-cs"/>
          </a:endParaRPr>
        </a:p>
      </xdr:txBody>
    </xdr:sp>
    <xdr:clientData/>
  </xdr:twoCellAnchor>
  <xdr:twoCellAnchor>
    <xdr:from>
      <xdr:col>5</xdr:col>
      <xdr:colOff>724060</xdr:colOff>
      <xdr:row>61</xdr:row>
      <xdr:rowOff>137349</xdr:rowOff>
    </xdr:from>
    <xdr:to>
      <xdr:col>10</xdr:col>
      <xdr:colOff>38092</xdr:colOff>
      <xdr:row>69</xdr:row>
      <xdr:rowOff>173523</xdr:rowOff>
    </xdr:to>
    <xdr:sp macro="" textlink="">
      <xdr:nvSpPr>
        <xdr:cNvPr id="10833" name="Rectangle : coins arrondis 105">
          <a:extLst>
            <a:ext uri="{FF2B5EF4-FFF2-40B4-BE49-F238E27FC236}">
              <a16:creationId xmlns:a16="http://schemas.microsoft.com/office/drawing/2014/main" id="{AEE48C87-9A30-46A0-AF4F-EAD6EEB3408A}"/>
            </a:ext>
          </a:extLst>
        </xdr:cNvPr>
        <xdr:cNvSpPr/>
      </xdr:nvSpPr>
      <xdr:spPr>
        <a:xfrm>
          <a:off x="5111333" y="11867531"/>
          <a:ext cx="3701304" cy="1513992"/>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dirty="0" err="1">
              <a:solidFill>
                <a:schemeClr val="accent3">
                  <a:lumMod val="50000"/>
                </a:schemeClr>
              </a:solidFill>
              <a:ea typeface="+mj-ea"/>
              <a:cs typeface="+mj-cs"/>
            </a:rPr>
            <a:t>exécution en local</a:t>
          </a:r>
        </a:p>
        <a:p>
          <a:pPr algn="l">
            <a:spcBef>
              <a:spcPts val="600"/>
            </a:spcBef>
          </a:pPr>
          <a:r>
            <a:rPr lang="en-US" sz="1200" b="0" baseline="0" dirty="0" err="1">
              <a:solidFill>
                <a:schemeClr val="tx1"/>
              </a:solidFill>
              <a:ea typeface="+mj-ea"/>
              <a:cs typeface="+mj-cs"/>
            </a:rPr>
            <a:t>Évaluer l'opportunité d'exécuter les cas d'usages via des </a:t>
          </a:r>
          <a:r>
            <a:rPr lang="en-US" sz="1200" b="1" baseline="0" dirty="0" err="1">
              <a:solidFill>
                <a:schemeClr val="tx1"/>
              </a:solidFill>
              <a:ea typeface="+mj-ea"/>
              <a:cs typeface="+mj-cs"/>
            </a:rPr>
            <a:t>SLMs </a:t>
          </a:r>
          <a:r>
            <a:rPr lang="en-US" sz="1200" b="0" baseline="0" dirty="0" err="1">
              <a:solidFill>
                <a:schemeClr val="tx1"/>
              </a:solidFill>
              <a:ea typeface="+mj-ea"/>
              <a:cs typeface="+mj-cs"/>
            </a:rPr>
            <a:t>directement sur le poste utilisateur</a:t>
          </a:r>
        </a:p>
      </xdr:txBody>
    </xdr:sp>
    <xdr:clientData/>
  </xdr:twoCellAnchor>
  <xdr:twoCellAnchor editAs="oneCell">
    <xdr:from>
      <xdr:col>0</xdr:col>
      <xdr:colOff>426800</xdr:colOff>
      <xdr:row>47</xdr:row>
      <xdr:rowOff>123204</xdr:rowOff>
    </xdr:from>
    <xdr:to>
      <xdr:col>1</xdr:col>
      <xdr:colOff>186973</xdr:colOff>
      <xdr:row>50</xdr:row>
      <xdr:rowOff>152346</xdr:rowOff>
    </xdr:to>
    <xdr:pic>
      <xdr:nvPicPr>
        <xdr:cNvPr id="10838" name="Image 109">
          <a:extLst>
            <a:ext uri="{FF2B5EF4-FFF2-40B4-BE49-F238E27FC236}">
              <a16:creationId xmlns:a16="http://schemas.microsoft.com/office/drawing/2014/main" id="{9F87E9DA-D713-47D8-B8E3-A42C6FECDD6D}"/>
            </a:ext>
          </a:extLst>
        </xdr:cNvPr>
        <xdr:cNvPicPr>
          <a:picLocks noChangeAspect="1"/>
        </xdr:cNvPicPr>
      </xdr:nvPicPr>
      <xdr:blipFill>
        <a:blip xmlns:r="http://schemas.openxmlformats.org/officeDocument/2006/relationships" r:embed="rId1">
          <a:duotone>
            <a:prstClr val="black"/>
            <a:schemeClr val="accent3">
              <a:tint val="45000"/>
              <a:satMod val="400000"/>
            </a:schemeClr>
          </a:duotone>
        </a:blip>
        <a:stretch>
          <a:fillRect/>
        </a:stretch>
      </xdr:blipFill>
      <xdr:spPr>
        <a:xfrm>
          <a:off x="426800" y="9210760"/>
          <a:ext cx="671398" cy="568892"/>
        </a:xfrm>
        <a:prstGeom prst="rect">
          <a:avLst/>
        </a:prstGeom>
      </xdr:spPr>
    </xdr:pic>
    <xdr:clientData/>
  </xdr:twoCellAnchor>
  <xdr:twoCellAnchor>
    <xdr:from>
      <xdr:col>0</xdr:col>
      <xdr:colOff>673176</xdr:colOff>
      <xdr:row>90</xdr:row>
      <xdr:rowOff>59050</xdr:rowOff>
    </xdr:from>
    <xdr:to>
      <xdr:col>15</xdr:col>
      <xdr:colOff>88763</xdr:colOff>
      <xdr:row>100</xdr:row>
      <xdr:rowOff>131258</xdr:rowOff>
    </xdr:to>
    <xdr:sp macro="" textlink="">
      <xdr:nvSpPr>
        <xdr:cNvPr id="11464" name="Rectangle 120">
          <a:extLst>
            <a:ext uri="{FF2B5EF4-FFF2-40B4-BE49-F238E27FC236}">
              <a16:creationId xmlns:a16="http://schemas.microsoft.com/office/drawing/2014/main" id="{D51A423D-CBC1-4779-86CC-EC26FE32569D}"/>
            </a:ext>
          </a:extLst>
        </xdr:cNvPr>
        <xdr:cNvSpPr/>
      </xdr:nvSpPr>
      <xdr:spPr>
        <a:xfrm>
          <a:off x="673176" y="16569050"/>
          <a:ext cx="12560087" cy="18502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Optimiser l'infrastructure</a:t>
          </a:r>
          <a:endParaRPr lang="en-US" sz="1400" b="1" dirty="0" err="1">
            <a:solidFill>
              <a:schemeClr val="accent2"/>
            </a:solidFill>
            <a:ea typeface="+mj-ea"/>
            <a:cs typeface="+mj-cs"/>
          </a:endParaRPr>
        </a:p>
      </xdr:txBody>
    </xdr:sp>
    <xdr:clientData/>
  </xdr:twoCellAnchor>
  <xdr:twoCellAnchor editAs="oneCell">
    <xdr:from>
      <xdr:col>0</xdr:col>
      <xdr:colOff>435118</xdr:colOff>
      <xdr:row>89</xdr:row>
      <xdr:rowOff>52016</xdr:rowOff>
    </xdr:from>
    <xdr:to>
      <xdr:col>1</xdr:col>
      <xdr:colOff>180975</xdr:colOff>
      <xdr:row>92</xdr:row>
      <xdr:rowOff>107475</xdr:rowOff>
    </xdr:to>
    <xdr:pic>
      <xdr:nvPicPr>
        <xdr:cNvPr id="11069" name="Image 124">
          <a:extLst>
            <a:ext uri="{FF2B5EF4-FFF2-40B4-BE49-F238E27FC236}">
              <a16:creationId xmlns:a16="http://schemas.microsoft.com/office/drawing/2014/main" id="{A0F95742-BC45-45AF-9EB3-89E308EE3D13}"/>
            </a:ext>
          </a:extLst>
        </xdr:cNvPr>
        <xdr:cNvPicPr>
          <a:picLocks noChangeAspect="1"/>
        </xdr:cNvPicPr>
      </xdr:nvPicPr>
      <xdr:blipFill>
        <a:blip xmlns:r="http://schemas.openxmlformats.org/officeDocument/2006/relationships" r:embed="rId7">
          <a:duotone>
            <a:prstClr val="black"/>
            <a:schemeClr val="accent3">
              <a:tint val="45000"/>
              <a:satMod val="400000"/>
            </a:schemeClr>
          </a:duotone>
        </a:blip>
        <a:stretch>
          <a:fillRect/>
        </a:stretch>
      </xdr:blipFill>
      <xdr:spPr>
        <a:xfrm>
          <a:off x="435118" y="16384216"/>
          <a:ext cx="622157" cy="588859"/>
        </a:xfrm>
        <a:prstGeom prst="rect">
          <a:avLst/>
        </a:prstGeom>
      </xdr:spPr>
    </xdr:pic>
    <xdr:clientData/>
  </xdr:twoCellAnchor>
  <xdr:twoCellAnchor>
    <xdr:from>
      <xdr:col>1</xdr:col>
      <xdr:colOff>121185</xdr:colOff>
      <xdr:row>71</xdr:row>
      <xdr:rowOff>126849</xdr:rowOff>
    </xdr:from>
    <xdr:to>
      <xdr:col>5</xdr:col>
      <xdr:colOff>312671</xdr:colOff>
      <xdr:row>79</xdr:row>
      <xdr:rowOff>162013</xdr:rowOff>
    </xdr:to>
    <xdr:sp macro="" textlink="">
      <xdr:nvSpPr>
        <xdr:cNvPr id="11472" name="Rectangle : coins arrondis 131">
          <a:extLst>
            <a:ext uri="{FF2B5EF4-FFF2-40B4-BE49-F238E27FC236}">
              <a16:creationId xmlns:a16="http://schemas.microsoft.com/office/drawing/2014/main" id="{61A04B34-0D78-4572-8BDD-0EC7C2D1E743}"/>
            </a:ext>
          </a:extLst>
        </xdr:cNvPr>
        <xdr:cNvSpPr/>
      </xdr:nvSpPr>
      <xdr:spPr>
        <a:xfrm>
          <a:off x="1073685" y="13397491"/>
          <a:ext cx="4001486" cy="1476786"/>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a:solidFill>
                <a:schemeClr val="accent3">
                  <a:lumMod val="50000"/>
                </a:schemeClr>
              </a:solidFill>
              <a:effectLst/>
            </a:rPr>
            <a:t>compression d'historique</a:t>
          </a:r>
        </a:p>
        <a:p>
          <a:pPr algn="l">
            <a:spcBef>
              <a:spcPts val="600"/>
            </a:spcBef>
          </a:pPr>
          <a:r>
            <a:rPr lang="en-US" sz="1200" b="1">
              <a:solidFill>
                <a:schemeClr val="tx1"/>
              </a:solidFill>
              <a:effectLst/>
            </a:rPr>
            <a:t>Résumer régulièrement l'historique</a:t>
          </a:r>
          <a:r>
            <a:rPr lang="en-US" sz="1200">
              <a:solidFill>
                <a:schemeClr val="tx1"/>
              </a:solidFill>
              <a:effectLst/>
            </a:rPr>
            <a:t>, à fréquence définie, afin de </a:t>
          </a:r>
          <a:r>
            <a:rPr lang="en-US" sz="1200" b="1">
              <a:solidFill>
                <a:schemeClr val="tx1"/>
              </a:solidFill>
              <a:effectLst/>
            </a:rPr>
            <a:t>limiter le nombre de tokens d'entrée</a:t>
          </a:r>
          <a:endParaRPr lang="en-US" sz="1200" b="1" dirty="0" err="1">
            <a:solidFill>
              <a:schemeClr val="tx1"/>
            </a:solidFill>
            <a:ea typeface="+mj-ea"/>
            <a:cs typeface="+mj-cs"/>
          </a:endParaRPr>
        </a:p>
      </xdr:txBody>
    </xdr:sp>
    <xdr:clientData/>
  </xdr:twoCellAnchor>
  <xdr:twoCellAnchor>
    <xdr:from>
      <xdr:col>5</xdr:col>
      <xdr:colOff>658076</xdr:colOff>
      <xdr:row>71</xdr:row>
      <xdr:rowOff>126849</xdr:rowOff>
    </xdr:from>
    <xdr:to>
      <xdr:col>10</xdr:col>
      <xdr:colOff>93498</xdr:colOff>
      <xdr:row>79</xdr:row>
      <xdr:rowOff>162013</xdr:rowOff>
    </xdr:to>
    <xdr:sp macro="" textlink="">
      <xdr:nvSpPr>
        <xdr:cNvPr id="11473" name="Rectangle : coins arrondis 133">
          <a:extLst>
            <a:ext uri="{FF2B5EF4-FFF2-40B4-BE49-F238E27FC236}">
              <a16:creationId xmlns:a16="http://schemas.microsoft.com/office/drawing/2014/main" id="{5D2536C5-342B-4D59-AC1E-7D8BEC938149}"/>
            </a:ext>
          </a:extLst>
        </xdr:cNvPr>
        <xdr:cNvSpPr/>
      </xdr:nvSpPr>
      <xdr:spPr>
        <a:xfrm>
          <a:off x="5420576" y="13397491"/>
          <a:ext cx="4197922" cy="1476786"/>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fr-FR" sz="1200" b="1" i="0" cap="all" baseline="0">
              <a:solidFill>
                <a:schemeClr val="accent3">
                  <a:lumMod val="50000"/>
                </a:schemeClr>
              </a:solidFill>
              <a:effectLst/>
              <a:latin typeface="+mn-lt"/>
              <a:ea typeface="+mn-ea"/>
              <a:cs typeface="+mn-cs"/>
            </a:rPr>
            <a:t>streaming de réponses</a:t>
          </a:r>
        </a:p>
        <a:p>
          <a:pPr marL="0" marR="0" lvl="0" indent="0" algn="l" defTabSz="914400" rtl="0" eaLnBrk="1" fontAlgn="auto" latinLnBrk="0" hangingPunct="1">
            <a:lnSpc>
              <a:spcPct val="100000"/>
            </a:lnSpc>
            <a:spcBef>
              <a:spcPts val="600"/>
            </a:spcBef>
            <a:spcAft>
              <a:spcPts val="0"/>
            </a:spcAft>
            <a:buClrTx/>
            <a:buSzTx/>
            <a:buFontTx/>
            <a:buNone/>
            <a:tabLst/>
            <a:defRPr/>
          </a:pPr>
          <a:r>
            <a:rPr lang="fr-FR" sz="1200" b="0" i="0">
              <a:solidFill>
                <a:schemeClr val="tx1"/>
              </a:solidFill>
              <a:effectLst/>
              <a:latin typeface="+mn-lt"/>
              <a:ea typeface="+mn-ea"/>
              <a:cs typeface="+mn-cs"/>
            </a:rPr>
            <a:t>Afficher </a:t>
          </a:r>
          <a:r>
            <a:rPr lang="fr-FR" sz="1200" b="1" i="0">
              <a:solidFill>
                <a:schemeClr val="tx1"/>
              </a:solidFill>
              <a:effectLst/>
              <a:latin typeface="+mn-lt"/>
              <a:ea typeface="+mn-ea"/>
              <a:cs typeface="+mn-cs"/>
            </a:rPr>
            <a:t>progressivement</a:t>
          </a:r>
          <a:r>
            <a:rPr lang="fr-FR" sz="1200" b="0" i="0">
              <a:solidFill>
                <a:schemeClr val="tx1"/>
              </a:solidFill>
              <a:effectLst/>
              <a:latin typeface="+mn-lt"/>
              <a:ea typeface="+mn-ea"/>
              <a:cs typeface="+mn-cs"/>
            </a:rPr>
            <a:t> la réponse jusqu'à satisfaction</a:t>
          </a:r>
          <a:r>
            <a:rPr lang="fr-FR" sz="1200" b="0" i="0" baseline="0">
              <a:solidFill>
                <a:schemeClr val="tx1"/>
              </a:solidFill>
              <a:effectLst/>
              <a:latin typeface="+mn-lt"/>
              <a:ea typeface="+mn-ea"/>
              <a:cs typeface="+mn-cs"/>
            </a:rPr>
            <a:t> de l'utilisateur, pour </a:t>
          </a:r>
          <a:r>
            <a:rPr lang="fr-FR" sz="1200" b="1" i="0" baseline="0">
              <a:solidFill>
                <a:schemeClr val="tx1"/>
              </a:solidFill>
              <a:effectLst/>
              <a:latin typeface="+mn-lt"/>
              <a:ea typeface="+mn-ea"/>
              <a:cs typeface="+mn-cs"/>
            </a:rPr>
            <a:t>limiter les tokens de sortie</a:t>
          </a:r>
          <a:endParaRPr lang="en-US" sz="1200" b="1" dirty="0" err="1">
            <a:solidFill>
              <a:schemeClr val="tx1"/>
            </a:solidFill>
            <a:ea typeface="+mj-ea"/>
            <a:cs typeface="+mj-cs"/>
          </a:endParaRPr>
        </a:p>
      </xdr:txBody>
    </xdr:sp>
    <xdr:clientData/>
  </xdr:twoCellAnchor>
  <xdr:twoCellAnchor editAs="oneCell">
    <xdr:from>
      <xdr:col>5</xdr:col>
      <xdr:colOff>8467</xdr:colOff>
      <xdr:row>51</xdr:row>
      <xdr:rowOff>100739</xdr:rowOff>
    </xdr:from>
    <xdr:to>
      <xdr:col>5</xdr:col>
      <xdr:colOff>286811</xdr:colOff>
      <xdr:row>53</xdr:row>
      <xdr:rowOff>25953</xdr:rowOff>
    </xdr:to>
    <xdr:pic>
      <xdr:nvPicPr>
        <xdr:cNvPr id="10834" name="Image 163">
          <a:extLst>
            <a:ext uri="{FF2B5EF4-FFF2-40B4-BE49-F238E27FC236}">
              <a16:creationId xmlns:a16="http://schemas.microsoft.com/office/drawing/2014/main" id="{6B1E7DC6-EE2F-7B55-44AC-E07A3857836E}"/>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4594578" y="9922072"/>
          <a:ext cx="275169" cy="283989"/>
        </a:xfrm>
        <a:prstGeom prst="rect">
          <a:avLst/>
        </a:prstGeom>
      </xdr:spPr>
    </xdr:pic>
    <xdr:clientData/>
  </xdr:twoCellAnchor>
  <xdr:twoCellAnchor editAs="oneCell">
    <xdr:from>
      <xdr:col>14</xdr:col>
      <xdr:colOff>341490</xdr:colOff>
      <xdr:row>51</xdr:row>
      <xdr:rowOff>109207</xdr:rowOff>
    </xdr:from>
    <xdr:to>
      <xdr:col>14</xdr:col>
      <xdr:colOff>616659</xdr:colOff>
      <xdr:row>53</xdr:row>
      <xdr:rowOff>19252</xdr:rowOff>
    </xdr:to>
    <xdr:pic>
      <xdr:nvPicPr>
        <xdr:cNvPr id="10830" name="Image 165">
          <a:extLst>
            <a:ext uri="{FF2B5EF4-FFF2-40B4-BE49-F238E27FC236}">
              <a16:creationId xmlns:a16="http://schemas.microsoft.com/office/drawing/2014/main" id="{B3801513-B026-4EEB-B820-34F15C91364D}"/>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13182601" y="9930540"/>
          <a:ext cx="275169" cy="275170"/>
        </a:xfrm>
        <a:prstGeom prst="rect">
          <a:avLst/>
        </a:prstGeom>
      </xdr:spPr>
    </xdr:pic>
    <xdr:clientData/>
  </xdr:twoCellAnchor>
  <xdr:twoCellAnchor editAs="oneCell">
    <xdr:from>
      <xdr:col>11</xdr:col>
      <xdr:colOff>72374</xdr:colOff>
      <xdr:row>48</xdr:row>
      <xdr:rowOff>81431</xdr:rowOff>
    </xdr:from>
    <xdr:to>
      <xdr:col>11</xdr:col>
      <xdr:colOff>280752</xdr:colOff>
      <xdr:row>49</xdr:row>
      <xdr:rowOff>120265</xdr:rowOff>
    </xdr:to>
    <xdr:pic>
      <xdr:nvPicPr>
        <xdr:cNvPr id="11465" name="Image 166">
          <a:extLst>
            <a:ext uri="{FF2B5EF4-FFF2-40B4-BE49-F238E27FC236}">
              <a16:creationId xmlns:a16="http://schemas.microsoft.com/office/drawing/2014/main" id="{0229605C-40A2-4C73-A359-5786C8AF86AE}"/>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10549874" y="9207411"/>
          <a:ext cx="208378" cy="226159"/>
        </a:xfrm>
        <a:prstGeom prst="rect">
          <a:avLst/>
        </a:prstGeom>
      </xdr:spPr>
    </xdr:pic>
    <xdr:clientData/>
  </xdr:twoCellAnchor>
  <xdr:oneCellAnchor>
    <xdr:from>
      <xdr:col>11</xdr:col>
      <xdr:colOff>304786</xdr:colOff>
      <xdr:row>48</xdr:row>
      <xdr:rowOff>81520</xdr:rowOff>
    </xdr:from>
    <xdr:ext cx="3433889" cy="212678"/>
    <xdr:sp macro="" textlink="">
      <xdr:nvSpPr>
        <xdr:cNvPr id="11466" name="ZoneTexte 167">
          <a:extLst>
            <a:ext uri="{FF2B5EF4-FFF2-40B4-BE49-F238E27FC236}">
              <a16:creationId xmlns:a16="http://schemas.microsoft.com/office/drawing/2014/main" id="{A09609B0-CDF3-4F34-8F5A-FAA8E6F86310}"/>
            </a:ext>
          </a:extLst>
        </xdr:cNvPr>
        <xdr:cNvSpPr txBox="1"/>
      </xdr:nvSpPr>
      <xdr:spPr>
        <a:xfrm>
          <a:off x="10782286" y="9207500"/>
          <a:ext cx="3433889" cy="212678"/>
        </a:xfrm>
        <a:prstGeom prst="rect">
          <a:avLst/>
        </a:prstGeom>
        <a:noFill/>
      </xdr:spPr>
      <xdr:txBody>
        <a:bodyPr vertOverflow="clip" horzOverflow="clip" wrap="none" lIns="0" tIns="36000" rIns="0" bIns="36000" rtlCol="0" anchor="t">
          <a:spAutoFit/>
        </a:bodyPr>
        <a:lstStyle/>
        <a:p>
          <a:pPr algn="l">
            <a:spcBef>
              <a:spcPts val="600"/>
            </a:spcBef>
          </a:pPr>
          <a:r>
            <a:rPr lang="en-US" sz="900" b="1" i="1" baseline="0">
              <a:effectLst/>
              <a:latin typeface="+mn-lt"/>
              <a:ea typeface="+mn-ea"/>
              <a:cs typeface="+mn-cs"/>
            </a:rPr>
            <a:t> </a:t>
          </a:r>
          <a:r>
            <a:rPr lang="en-US" sz="900" b="0" i="1" baseline="0">
              <a:effectLst/>
              <a:latin typeface="+mn-lt"/>
              <a:ea typeface="+mn-ea"/>
              <a:cs typeface="+mn-cs"/>
            </a:rPr>
            <a:t>Leviers présentant un potentiel important et une complexité faible</a:t>
          </a:r>
          <a:endParaRPr lang="en-US" sz="1100" i="1" dirty="0" err="1"/>
        </a:p>
      </xdr:txBody>
    </xdr:sp>
    <xdr:clientData/>
  </xdr:oneCellAnchor>
  <xdr:twoCellAnchor>
    <xdr:from>
      <xdr:col>0</xdr:col>
      <xdr:colOff>690299</xdr:colOff>
      <xdr:row>115</xdr:row>
      <xdr:rowOff>5187</xdr:rowOff>
    </xdr:from>
    <xdr:to>
      <xdr:col>15</xdr:col>
      <xdr:colOff>114689</xdr:colOff>
      <xdr:row>116</xdr:row>
      <xdr:rowOff>103479</xdr:rowOff>
    </xdr:to>
    <xdr:sp macro="" textlink="">
      <xdr:nvSpPr>
        <xdr:cNvPr id="11013" name="Rectangle: Rounded Corners 6">
          <a:extLst>
            <a:ext uri="{FF2B5EF4-FFF2-40B4-BE49-F238E27FC236}">
              <a16:creationId xmlns:a16="http://schemas.microsoft.com/office/drawing/2014/main" id="{AA963674-728B-4311-B0EE-83EC2E3B4202}"/>
            </a:ext>
          </a:extLst>
        </xdr:cNvPr>
        <xdr:cNvSpPr/>
      </xdr:nvSpPr>
      <xdr:spPr>
        <a:xfrm>
          <a:off x="690299" y="20960187"/>
          <a:ext cx="12568890" cy="276092"/>
        </a:xfrm>
        <a:prstGeom prst="roundRect">
          <a:avLst/>
        </a:prstGeom>
        <a:solidFill>
          <a:schemeClr val="accent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spc="100" baseline="0" dirty="0" err="1">
              <a:solidFill>
                <a:schemeClr val="bg1"/>
              </a:solidFill>
              <a:latin typeface="+mj-lt"/>
              <a:ea typeface="+mj-ea"/>
              <a:cs typeface="+mj-cs"/>
            </a:rPr>
            <a:t>Lien vers des référentiels et articles sur l'IA frugale</a:t>
          </a:r>
        </a:p>
      </xdr:txBody>
    </xdr:sp>
    <xdr:clientData/>
  </xdr:twoCellAnchor>
  <xdr:twoCellAnchor>
    <xdr:from>
      <xdr:col>0</xdr:col>
      <xdr:colOff>677939</xdr:colOff>
      <xdr:row>117</xdr:row>
      <xdr:rowOff>103631</xdr:rowOff>
    </xdr:from>
    <xdr:to>
      <xdr:col>15</xdr:col>
      <xdr:colOff>136559</xdr:colOff>
      <xdr:row>126</xdr:row>
      <xdr:rowOff>45283</xdr:rowOff>
    </xdr:to>
    <xdr:sp macro="" textlink="">
      <xdr:nvSpPr>
        <xdr:cNvPr id="11205" name="Rectangle 175">
          <a:extLst>
            <a:ext uri="{FF2B5EF4-FFF2-40B4-BE49-F238E27FC236}">
              <a16:creationId xmlns:a16="http://schemas.microsoft.com/office/drawing/2014/main" id="{0E89181E-4B05-40F7-A83F-5B42CD993623}"/>
            </a:ext>
          </a:extLst>
        </xdr:cNvPr>
        <xdr:cNvSpPr/>
      </xdr:nvSpPr>
      <xdr:spPr>
        <a:xfrm>
          <a:off x="677939" y="21414231"/>
          <a:ext cx="12603120" cy="154185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endParaRPr lang="en-US" sz="1400" b="1" dirty="0" err="1">
            <a:solidFill>
              <a:sysClr val="windowText" lastClr="000000"/>
            </a:solidFill>
            <a:ea typeface="+mj-ea"/>
            <a:cs typeface="+mj-cs"/>
          </a:endParaRPr>
        </a:p>
      </xdr:txBody>
    </xdr:sp>
    <xdr:clientData/>
  </xdr:twoCellAnchor>
  <xdr:twoCellAnchor>
    <xdr:from>
      <xdr:col>1</xdr:col>
      <xdr:colOff>182738</xdr:colOff>
      <xdr:row>118</xdr:row>
      <xdr:rowOff>158237</xdr:rowOff>
    </xdr:from>
    <xdr:to>
      <xdr:col>3</xdr:col>
      <xdr:colOff>126736</xdr:colOff>
      <xdr:row>125</xdr:row>
      <xdr:rowOff>46376</xdr:rowOff>
    </xdr:to>
    <xdr:sp macro="" textlink="">
      <xdr:nvSpPr>
        <xdr:cNvPr id="11270" name="Rectangle : coins arrondis 168">
          <a:hlinkClick xmlns:r="http://schemas.openxmlformats.org/officeDocument/2006/relationships" r:id="rId9"/>
          <a:extLst>
            <a:ext uri="{FF2B5EF4-FFF2-40B4-BE49-F238E27FC236}">
              <a16:creationId xmlns:a16="http://schemas.microsoft.com/office/drawing/2014/main" id="{FD719AC9-9E62-2220-C011-2958E55A0CA6}"/>
            </a:ext>
          </a:extLst>
        </xdr:cNvPr>
        <xdr:cNvSpPr/>
      </xdr:nvSpPr>
      <xdr:spPr>
        <a:xfrm>
          <a:off x="1059038"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1" i="1" dirty="0" err="1">
              <a:solidFill>
                <a:schemeClr val="tx1"/>
              </a:solidFill>
              <a:ea typeface="+mj-ea"/>
              <a:cs typeface="+mj-cs"/>
            </a:rPr>
            <a:t>Référentiel général d'écoconception de services numériques </a:t>
          </a:r>
          <a:r>
            <a:rPr lang="en-US" sz="1000" dirty="0" err="1">
              <a:solidFill>
                <a:schemeClr val="tx1"/>
              </a:solidFill>
              <a:ea typeface="+mj-ea"/>
              <a:cs typeface="+mj-cs"/>
            </a:rPr>
            <a:t>(RGESN)</a:t>
          </a:r>
          <a:r>
            <a:rPr lang="en-US" sz="1000" baseline="0" dirty="0" err="1">
              <a:solidFill>
                <a:schemeClr val="tx1"/>
              </a:solidFill>
              <a:ea typeface="+mj-ea"/>
              <a:cs typeface="+mj-cs"/>
            </a:rPr>
            <a:t> - 2024</a:t>
          </a:r>
          <a:endParaRPr lang="en-US" sz="1000" dirty="0" err="1">
            <a:solidFill>
              <a:schemeClr val="tx1"/>
            </a:solidFill>
            <a:ea typeface="+mj-ea"/>
            <a:cs typeface="+mj-cs"/>
          </a:endParaRPr>
        </a:p>
      </xdr:txBody>
    </xdr:sp>
    <xdr:clientData/>
  </xdr:twoCellAnchor>
  <xdr:twoCellAnchor>
    <xdr:from>
      <xdr:col>3</xdr:col>
      <xdr:colOff>403139</xdr:colOff>
      <xdr:row>118</xdr:row>
      <xdr:rowOff>158237</xdr:rowOff>
    </xdr:from>
    <xdr:to>
      <xdr:col>5</xdr:col>
      <xdr:colOff>347137</xdr:colOff>
      <xdr:row>125</xdr:row>
      <xdr:rowOff>46376</xdr:rowOff>
    </xdr:to>
    <xdr:sp macro="" textlink="">
      <xdr:nvSpPr>
        <xdr:cNvPr id="11269" name="Rectangle : coins arrondis 170">
          <a:hlinkClick xmlns:r="http://schemas.openxmlformats.org/officeDocument/2006/relationships" r:id="rId9"/>
          <a:extLst>
            <a:ext uri="{FF2B5EF4-FFF2-40B4-BE49-F238E27FC236}">
              <a16:creationId xmlns:a16="http://schemas.microsoft.com/office/drawing/2014/main" id="{F6F531D6-4FBB-714F-15DD-B8C42EFE64FC}"/>
            </a:ext>
          </a:extLst>
        </xdr:cNvPr>
        <xdr:cNvSpPr/>
      </xdr:nvSpPr>
      <xdr:spPr>
        <a:xfrm>
          <a:off x="3032039"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dirty="0" err="1">
              <a:solidFill>
                <a:schemeClr val="tx1"/>
              </a:solidFill>
              <a:ea typeface="+mj-ea"/>
              <a:cs typeface="+mj-cs"/>
            </a:rPr>
            <a:t>AFNOR Spec 2314 - </a:t>
          </a:r>
          <a:r>
            <a:rPr lang="en-US" sz="1000" b="1" dirty="0" err="1">
              <a:solidFill>
                <a:schemeClr val="tx1"/>
              </a:solidFill>
              <a:ea typeface="+mj-ea"/>
              <a:cs typeface="+mj-cs"/>
            </a:rPr>
            <a:t>Référentiel général pour l'IA frugale - </a:t>
          </a:r>
          <a:r>
            <a:rPr lang="en-US" sz="1000" i="1" dirty="0" err="1">
              <a:solidFill>
                <a:schemeClr val="tx1"/>
              </a:solidFill>
              <a:ea typeface="+mj-ea"/>
              <a:cs typeface="+mj-cs"/>
            </a:rPr>
            <a:t>Mesurer et réduire l'impact environnemental de l'IA </a:t>
          </a:r>
          <a:r>
            <a:rPr lang="en-US" sz="1000" dirty="0" err="1">
              <a:solidFill>
                <a:schemeClr val="tx1"/>
              </a:solidFill>
              <a:ea typeface="+mj-ea"/>
              <a:cs typeface="+mj-cs"/>
            </a:rPr>
            <a:t>- 2024</a:t>
          </a:r>
        </a:p>
      </xdr:txBody>
    </xdr:sp>
    <xdr:clientData/>
  </xdr:twoCellAnchor>
  <xdr:twoCellAnchor>
    <xdr:from>
      <xdr:col>10</xdr:col>
      <xdr:colOff>445197</xdr:colOff>
      <xdr:row>118</xdr:row>
      <xdr:rowOff>158237</xdr:rowOff>
    </xdr:from>
    <xdr:to>
      <xdr:col>12</xdr:col>
      <xdr:colOff>389195</xdr:colOff>
      <xdr:row>125</xdr:row>
      <xdr:rowOff>46376</xdr:rowOff>
    </xdr:to>
    <xdr:sp macro="" textlink="">
      <xdr:nvSpPr>
        <xdr:cNvPr id="11295" name="Rectangle : coins arrondis 171">
          <a:hlinkClick xmlns:r="http://schemas.openxmlformats.org/officeDocument/2006/relationships" r:id="rId10"/>
          <a:extLst>
            <a:ext uri="{FF2B5EF4-FFF2-40B4-BE49-F238E27FC236}">
              <a16:creationId xmlns:a16="http://schemas.microsoft.com/office/drawing/2014/main" id="{E5689CE9-12BE-2303-8BBB-6A19CEDB9629}"/>
            </a:ext>
          </a:extLst>
        </xdr:cNvPr>
        <xdr:cNvSpPr/>
      </xdr:nvSpPr>
      <xdr:spPr>
        <a:xfrm>
          <a:off x="9208197"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1" i="1">
              <a:solidFill>
                <a:schemeClr val="tx1"/>
              </a:solidFill>
              <a:effectLst/>
              <a:latin typeface="+mn-lt"/>
              <a:ea typeface="+mn-ea"/>
              <a:cs typeface="+mn-cs"/>
            </a:rPr>
            <a:t>Qu’est-ce que la Green AI et comment rend-elle l’intelligence artificielle plus écologique ? </a:t>
          </a:r>
          <a:r>
            <a:rPr lang="en-US" sz="1000" b="1" i="0">
              <a:solidFill>
                <a:schemeClr val="tx1"/>
              </a:solidFill>
              <a:effectLst/>
              <a:latin typeface="+mn-lt"/>
              <a:ea typeface="+mn-ea"/>
              <a:cs typeface="+mn-cs"/>
            </a:rPr>
            <a:t>-</a:t>
          </a:r>
          <a:r>
            <a:rPr lang="en-US" sz="1000" b="1" i="0" baseline="0">
              <a:solidFill>
                <a:schemeClr val="tx1"/>
              </a:solidFill>
              <a:effectLst/>
              <a:latin typeface="+mn-lt"/>
              <a:ea typeface="+mn-ea"/>
              <a:cs typeface="+mn-cs"/>
            </a:rPr>
            <a:t> </a:t>
          </a:r>
          <a:r>
            <a:rPr lang="en-US" sz="1000" b="0" i="0" baseline="0">
              <a:solidFill>
                <a:schemeClr val="tx1"/>
              </a:solidFill>
              <a:effectLst/>
              <a:latin typeface="+mn-lt"/>
              <a:ea typeface="+mn-ea"/>
              <a:cs typeface="+mn-cs"/>
            </a:rPr>
            <a:t>Gaël Lemaire  (2026)</a:t>
          </a:r>
          <a:endParaRPr lang="en-US" sz="1000" b="0" dirty="0" err="1">
            <a:solidFill>
              <a:schemeClr val="tx1"/>
            </a:solidFill>
            <a:ea typeface="+mj-ea"/>
            <a:cs typeface="+mj-cs"/>
          </a:endParaRPr>
        </a:p>
      </xdr:txBody>
    </xdr:sp>
    <xdr:clientData/>
  </xdr:twoCellAnchor>
  <xdr:twoCellAnchor>
    <xdr:from>
      <xdr:col>5</xdr:col>
      <xdr:colOff>640482</xdr:colOff>
      <xdr:row>118</xdr:row>
      <xdr:rowOff>158237</xdr:rowOff>
    </xdr:from>
    <xdr:to>
      <xdr:col>7</xdr:col>
      <xdr:colOff>712263</xdr:colOff>
      <xdr:row>125</xdr:row>
      <xdr:rowOff>28914</xdr:rowOff>
    </xdr:to>
    <xdr:sp macro="" textlink="">
      <xdr:nvSpPr>
        <xdr:cNvPr id="11268" name="Rectangle : coins arrondis 172">
          <a:hlinkClick xmlns:r="http://schemas.openxmlformats.org/officeDocument/2006/relationships" r:id="rId11"/>
          <a:extLst>
            <a:ext uri="{FF2B5EF4-FFF2-40B4-BE49-F238E27FC236}">
              <a16:creationId xmlns:a16="http://schemas.microsoft.com/office/drawing/2014/main" id="{B471CCDE-9BA6-47A5-A09F-EAEECD8325A5}"/>
            </a:ext>
          </a:extLst>
        </xdr:cNvPr>
        <xdr:cNvSpPr/>
      </xdr:nvSpPr>
      <xdr:spPr>
        <a:xfrm>
          <a:off x="5021982" y="21646637"/>
          <a:ext cx="1824381" cy="111527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eaLnBrk="1" fontAlgn="auto" latinLnBrk="0" hangingPunct="1"/>
          <a:r>
            <a:rPr lang="en-US" sz="1000" b="0" i="0" baseline="0">
              <a:solidFill>
                <a:schemeClr val="tx1"/>
              </a:solidFill>
              <a:effectLst/>
              <a:latin typeface="+mn-lt"/>
              <a:ea typeface="+mn-ea"/>
              <a:cs typeface="+mn-cs"/>
            </a:rPr>
            <a:t>Articles de l'Université de Cornell - </a:t>
          </a:r>
          <a:r>
            <a:rPr lang="en-US" sz="1000" b="1" i="1" baseline="0">
              <a:solidFill>
                <a:schemeClr val="tx1"/>
              </a:solidFill>
              <a:effectLst/>
              <a:latin typeface="+mn-lt"/>
              <a:ea typeface="+mn-ea"/>
              <a:cs typeface="+mn-cs"/>
            </a:rPr>
            <a:t>Green LLM Techniques in Action </a:t>
          </a:r>
          <a:r>
            <a:rPr lang="en-US" sz="1000" b="0" i="0" baseline="0">
              <a:solidFill>
                <a:schemeClr val="tx1"/>
              </a:solidFill>
              <a:effectLst/>
              <a:latin typeface="+mn-lt"/>
              <a:ea typeface="+mn-ea"/>
              <a:cs typeface="+mn-cs"/>
            </a:rPr>
            <a:t>(2026) </a:t>
          </a:r>
          <a:endParaRPr lang="en-US" sz="1000" dirty="0" err="1">
            <a:solidFill>
              <a:schemeClr val="tx1"/>
            </a:solidFill>
            <a:ea typeface="+mj-ea"/>
            <a:cs typeface="+mj-cs"/>
          </a:endParaRPr>
        </a:p>
      </xdr:txBody>
    </xdr:sp>
    <xdr:clientData/>
  </xdr:twoCellAnchor>
  <xdr:twoCellAnchor>
    <xdr:from>
      <xdr:col>8</xdr:col>
      <xdr:colOff>82738</xdr:colOff>
      <xdr:row>118</xdr:row>
      <xdr:rowOff>158237</xdr:rowOff>
    </xdr:from>
    <xdr:to>
      <xdr:col>10</xdr:col>
      <xdr:colOff>151857</xdr:colOff>
      <xdr:row>125</xdr:row>
      <xdr:rowOff>28914</xdr:rowOff>
    </xdr:to>
    <xdr:sp macro="" textlink="">
      <xdr:nvSpPr>
        <xdr:cNvPr id="11274" name="Rectangle : coins arrondis 173">
          <a:hlinkClick xmlns:r="http://schemas.openxmlformats.org/officeDocument/2006/relationships" r:id="rId12"/>
          <a:extLst>
            <a:ext uri="{FF2B5EF4-FFF2-40B4-BE49-F238E27FC236}">
              <a16:creationId xmlns:a16="http://schemas.microsoft.com/office/drawing/2014/main" id="{1B39A7F0-B3FC-4B0A-9BAE-1A07C574AC58}"/>
            </a:ext>
          </a:extLst>
        </xdr:cNvPr>
        <xdr:cNvSpPr/>
      </xdr:nvSpPr>
      <xdr:spPr>
        <a:xfrm>
          <a:off x="7093138" y="21646637"/>
          <a:ext cx="1821719" cy="111527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0" i="0" baseline="0">
              <a:solidFill>
                <a:schemeClr val="tx1"/>
              </a:solidFill>
              <a:effectLst/>
              <a:latin typeface="+mn-lt"/>
              <a:ea typeface="+mn-ea"/>
              <a:cs typeface="+mn-cs"/>
            </a:rPr>
            <a:t>Articles de l'Université de Cornell - </a:t>
          </a:r>
          <a:r>
            <a:rPr lang="en-US" sz="1000" b="1" i="1" baseline="0">
              <a:solidFill>
                <a:schemeClr val="tx1"/>
              </a:solidFill>
              <a:effectLst/>
              <a:latin typeface="+mn-lt"/>
              <a:ea typeface="+mn-ea"/>
              <a:cs typeface="+mn-cs"/>
            </a:rPr>
            <a:t>Data-Centric Green AI </a:t>
          </a:r>
          <a:r>
            <a:rPr lang="en-US" sz="1000" b="0" i="0" baseline="0">
              <a:solidFill>
                <a:schemeClr val="tx1"/>
              </a:solidFill>
              <a:effectLst/>
              <a:latin typeface="+mn-lt"/>
              <a:ea typeface="+mn-ea"/>
              <a:cs typeface="+mn-cs"/>
            </a:rPr>
            <a:t>(2022)</a:t>
          </a:r>
          <a:endParaRPr lang="en-US" sz="1000" dirty="0" err="1">
            <a:solidFill>
              <a:schemeClr val="tx1"/>
            </a:solidFill>
            <a:ea typeface="+mj-ea"/>
            <a:cs typeface="+mj-cs"/>
          </a:endParaRPr>
        </a:p>
      </xdr:txBody>
    </xdr:sp>
    <xdr:clientData/>
  </xdr:twoCellAnchor>
  <xdr:twoCellAnchor editAs="oneCell">
    <xdr:from>
      <xdr:col>0</xdr:col>
      <xdr:colOff>487412</xdr:colOff>
      <xdr:row>117</xdr:row>
      <xdr:rowOff>45280</xdr:rowOff>
    </xdr:from>
    <xdr:to>
      <xdr:col>1</xdr:col>
      <xdr:colOff>149225</xdr:colOff>
      <xdr:row>120</xdr:row>
      <xdr:rowOff>24468</xdr:rowOff>
    </xdr:to>
    <xdr:pic>
      <xdr:nvPicPr>
        <xdr:cNvPr id="11204" name="Image 181">
          <a:extLst>
            <a:ext uri="{FF2B5EF4-FFF2-40B4-BE49-F238E27FC236}">
              <a16:creationId xmlns:a16="http://schemas.microsoft.com/office/drawing/2014/main" id="{EB2A192B-FC32-810B-407B-42BCDF31564B}"/>
            </a:ext>
          </a:extLst>
        </xdr:cNvPr>
        <xdr:cNvPicPr>
          <a:picLocks noChangeAspect="1"/>
        </xdr:cNvPicPr>
      </xdr:nvPicPr>
      <xdr:blipFill>
        <a:blip xmlns:r="http://schemas.openxmlformats.org/officeDocument/2006/relationships" r:embed="rId13">
          <a:duotone>
            <a:prstClr val="black"/>
            <a:schemeClr val="accent3">
              <a:tint val="45000"/>
              <a:satMod val="400000"/>
            </a:schemeClr>
          </a:duotone>
        </a:blip>
        <a:stretch>
          <a:fillRect/>
        </a:stretch>
      </xdr:blipFill>
      <xdr:spPr>
        <a:xfrm>
          <a:off x="487412" y="21355880"/>
          <a:ext cx="538113" cy="512588"/>
        </a:xfrm>
        <a:prstGeom prst="rect">
          <a:avLst/>
        </a:prstGeom>
      </xdr:spPr>
    </xdr:pic>
    <xdr:clientData/>
  </xdr:twoCellAnchor>
  <xdr:twoCellAnchor>
    <xdr:from>
      <xdr:col>10</xdr:col>
      <xdr:colOff>411852</xdr:colOff>
      <xdr:row>61</xdr:row>
      <xdr:rowOff>127766</xdr:rowOff>
    </xdr:from>
    <xdr:to>
      <xdr:col>14</xdr:col>
      <xdr:colOff>612863</xdr:colOff>
      <xdr:row>69</xdr:row>
      <xdr:rowOff>175669</xdr:rowOff>
    </xdr:to>
    <xdr:sp macro="" textlink="">
      <xdr:nvSpPr>
        <xdr:cNvPr id="2" name="Rectangle : coins arrondis 184">
          <a:extLst>
            <a:ext uri="{FF2B5EF4-FFF2-40B4-BE49-F238E27FC236}">
              <a16:creationId xmlns:a16="http://schemas.microsoft.com/office/drawing/2014/main" id="{4999C3EE-0F4B-4D3E-A87C-58F994960C8F}"/>
            </a:ext>
          </a:extLst>
        </xdr:cNvPr>
        <xdr:cNvSpPr/>
      </xdr:nvSpPr>
      <xdr:spPr>
        <a:xfrm>
          <a:off x="9217185" y="11481566"/>
          <a:ext cx="3723145" cy="147030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cap="all" baseline="0">
              <a:solidFill>
                <a:schemeClr val="accent3">
                  <a:lumMod val="50000"/>
                </a:schemeClr>
              </a:solidFill>
              <a:effectLst/>
              <a:latin typeface="+mn-lt"/>
              <a:ea typeface="+mn-ea"/>
              <a:cs typeface="+mn-cs"/>
            </a:rPr>
            <a:t>optimisation du rag</a:t>
          </a:r>
        </a:p>
        <a:p>
          <a:pPr algn="l">
            <a:spcBef>
              <a:spcPts val="600"/>
            </a:spcBef>
          </a:pPr>
          <a:r>
            <a:rPr lang="en-US" sz="1200" b="1" baseline="0">
              <a:solidFill>
                <a:schemeClr val="tx1"/>
              </a:solidFill>
              <a:effectLst/>
              <a:latin typeface="+mn-lt"/>
              <a:ea typeface="+mn-ea"/>
              <a:cs typeface="+mn-cs"/>
            </a:rPr>
            <a:t>Limiter la taille et le nombre de chunks </a:t>
          </a:r>
          <a:r>
            <a:rPr lang="en-US" sz="1200" b="0" baseline="0">
              <a:solidFill>
                <a:schemeClr val="tx1"/>
              </a:solidFill>
              <a:effectLst/>
              <a:latin typeface="+mn-lt"/>
              <a:ea typeface="+mn-ea"/>
              <a:cs typeface="+mn-cs"/>
            </a:rPr>
            <a:t>pour optimiser le RAG (Retrieval Augmented Generation)</a:t>
          </a:r>
          <a:endParaRPr lang="en-US" sz="1200" b="0" dirty="0" err="1">
            <a:solidFill>
              <a:schemeClr val="tx1"/>
            </a:solidFill>
            <a:ea typeface="+mj-ea"/>
            <a:cs typeface="+mj-cs"/>
          </a:endParaRPr>
        </a:p>
      </xdr:txBody>
    </xdr:sp>
    <xdr:clientData/>
  </xdr:twoCellAnchor>
  <xdr:twoCellAnchor>
    <xdr:from>
      <xdr:col>10</xdr:col>
      <xdr:colOff>432890</xdr:colOff>
      <xdr:row>71</xdr:row>
      <xdr:rowOff>92521</xdr:rowOff>
    </xdr:from>
    <xdr:to>
      <xdr:col>14</xdr:col>
      <xdr:colOff>565108</xdr:colOff>
      <xdr:row>79</xdr:row>
      <xdr:rowOff>120395</xdr:rowOff>
    </xdr:to>
    <xdr:sp macro="" textlink="">
      <xdr:nvSpPr>
        <xdr:cNvPr id="3" name="Rectangle : coins arrondis 186">
          <a:extLst>
            <a:ext uri="{FF2B5EF4-FFF2-40B4-BE49-F238E27FC236}">
              <a16:creationId xmlns:a16="http://schemas.microsoft.com/office/drawing/2014/main" id="{31E139BE-DDBC-41C0-ACC7-7096C85FF417}"/>
            </a:ext>
          </a:extLst>
        </xdr:cNvPr>
        <xdr:cNvSpPr/>
      </xdr:nvSpPr>
      <xdr:spPr>
        <a:xfrm>
          <a:off x="9238223" y="13224321"/>
          <a:ext cx="3654352" cy="1450274"/>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600"/>
            </a:spcBef>
            <a:spcAft>
              <a:spcPts val="0"/>
            </a:spcAft>
            <a:buClrTx/>
            <a:buSzTx/>
            <a:buFontTx/>
            <a:buNone/>
            <a:tabLst/>
            <a:defRPr/>
          </a:pPr>
          <a:r>
            <a:rPr lang="en-US" sz="1200" b="1" i="0" cap="all" baseline="0">
              <a:solidFill>
                <a:schemeClr val="accent3">
                  <a:lumMod val="50000"/>
                </a:schemeClr>
              </a:solidFill>
              <a:effectLst/>
              <a:latin typeface="+mn-lt"/>
              <a:ea typeface="+mn-ea"/>
              <a:cs typeface="+mn-cs"/>
            </a:rPr>
            <a:t>observabilité</a:t>
          </a:r>
        </a:p>
        <a:p>
          <a:pPr marL="0" marR="0" lvl="0" indent="0" algn="l" defTabSz="914400" eaLnBrk="1" fontAlgn="auto" latinLnBrk="0" hangingPunct="1">
            <a:lnSpc>
              <a:spcPct val="100000"/>
            </a:lnSpc>
            <a:spcBef>
              <a:spcPts val="600"/>
            </a:spcBef>
            <a:spcAft>
              <a:spcPts val="0"/>
            </a:spcAft>
            <a:buClrTx/>
            <a:buSzTx/>
            <a:buFontTx/>
            <a:buNone/>
            <a:tabLst/>
            <a:defRPr/>
          </a:pPr>
          <a:r>
            <a:rPr lang="en-US" sz="1200" b="1" i="0">
              <a:solidFill>
                <a:schemeClr val="tx1"/>
              </a:solidFill>
              <a:effectLst/>
              <a:latin typeface="+mn-lt"/>
              <a:ea typeface="+mn-ea"/>
              <a:cs typeface="+mn-cs"/>
            </a:rPr>
            <a:t>Mesurer</a:t>
          </a:r>
          <a:r>
            <a:rPr lang="en-US" sz="1200" b="0" i="0">
              <a:solidFill>
                <a:schemeClr val="tx1"/>
              </a:solidFill>
              <a:effectLst/>
              <a:latin typeface="+mn-lt"/>
              <a:ea typeface="+mn-ea"/>
              <a:cs typeface="+mn-cs"/>
            </a:rPr>
            <a:t> la pertinence des inputs, la qualité des réponses et la justesse du routage etc. (ex. : LLM-as-a-Judge)</a:t>
          </a:r>
        </a:p>
      </xdr:txBody>
    </xdr:sp>
    <xdr:clientData/>
  </xdr:twoCellAnchor>
  <xdr:twoCellAnchor>
    <xdr:from>
      <xdr:col>2</xdr:col>
      <xdr:colOff>383320</xdr:colOff>
      <xdr:row>23</xdr:row>
      <xdr:rowOff>31712</xdr:rowOff>
    </xdr:from>
    <xdr:to>
      <xdr:col>13</xdr:col>
      <xdr:colOff>389867</xdr:colOff>
      <xdr:row>24</xdr:row>
      <xdr:rowOff>130979</xdr:rowOff>
    </xdr:to>
    <xdr:sp macro="" textlink="">
      <xdr:nvSpPr>
        <xdr:cNvPr id="11959" name="Rectangle 190">
          <a:extLst>
            <a:ext uri="{FF2B5EF4-FFF2-40B4-BE49-F238E27FC236}">
              <a16:creationId xmlns:a16="http://schemas.microsoft.com/office/drawing/2014/main" id="{524DE1E1-D83A-4638-BA6C-73E0D1197A63}"/>
            </a:ext>
          </a:extLst>
        </xdr:cNvPr>
        <xdr:cNvSpPr/>
      </xdr:nvSpPr>
      <xdr:spPr>
        <a:xfrm>
          <a:off x="2212120" y="4781512"/>
          <a:ext cx="10064947" cy="285534"/>
        </a:xfrm>
        <a:prstGeom prst="rect">
          <a:avLst/>
        </a:prstGeom>
        <a:solidFill>
          <a:schemeClr val="accent6">
            <a:lumMod val="20000"/>
            <a:lumOff val="80000"/>
          </a:schemeClr>
        </a:solidFill>
        <a:ln>
          <a:solidFill>
            <a:schemeClr val="accent2">
              <a:lumMod val="40000"/>
              <a:lumOff val="6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Usages et modèles</a:t>
          </a:r>
        </a:p>
      </xdr:txBody>
    </xdr:sp>
    <xdr:clientData/>
  </xdr:twoCellAnchor>
  <xdr:twoCellAnchor>
    <xdr:from>
      <xdr:col>8</xdr:col>
      <xdr:colOff>146718</xdr:colOff>
      <xdr:row>26</xdr:row>
      <xdr:rowOff>75277</xdr:rowOff>
    </xdr:from>
    <xdr:to>
      <xdr:col>11</xdr:col>
      <xdr:colOff>902368</xdr:colOff>
      <xdr:row>27</xdr:row>
      <xdr:rowOff>174056</xdr:rowOff>
    </xdr:to>
    <xdr:sp macro="" textlink="">
      <xdr:nvSpPr>
        <xdr:cNvPr id="11231" name="Rectangle 8191">
          <a:extLst>
            <a:ext uri="{FF2B5EF4-FFF2-40B4-BE49-F238E27FC236}">
              <a16:creationId xmlns:a16="http://schemas.microsoft.com/office/drawing/2014/main" id="{012AF8C0-8875-42A6-9CA5-0BC48FAD1F74}"/>
            </a:ext>
          </a:extLst>
        </xdr:cNvPr>
        <xdr:cNvSpPr/>
      </xdr:nvSpPr>
      <xdr:spPr>
        <a:xfrm>
          <a:off x="7478677" y="5312390"/>
          <a:ext cx="3505134" cy="282078"/>
        </a:xfrm>
        <a:prstGeom prst="rect">
          <a:avLst/>
        </a:prstGeom>
        <a:solidFill>
          <a:schemeClr val="accent6">
            <a:lumMod val="20000"/>
            <a:lumOff val="80000"/>
          </a:schemeClr>
        </a:solidFill>
        <a:ln>
          <a:solidFill>
            <a:schemeClr val="accent2">
              <a:lumMod val="40000"/>
              <a:lumOff val="6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200" b="1" dirty="0" err="1">
              <a:solidFill>
                <a:sysClr val="windowText" lastClr="000000"/>
              </a:solidFill>
              <a:ea typeface="+mj-ea"/>
              <a:cs typeface="+mj-cs"/>
            </a:rPr>
            <a:t>Optimisation de l'infrastructure</a:t>
          </a:r>
        </a:p>
      </xdr:txBody>
    </xdr:sp>
    <xdr:clientData/>
  </xdr:twoCellAnchor>
  <xdr:twoCellAnchor editAs="oneCell">
    <xdr:from>
      <xdr:col>9</xdr:col>
      <xdr:colOff>779884</xdr:colOff>
      <xdr:row>24</xdr:row>
      <xdr:rowOff>164398</xdr:rowOff>
    </xdr:from>
    <xdr:to>
      <xdr:col>10</xdr:col>
      <xdr:colOff>269202</xdr:colOff>
      <xdr:row>27</xdr:row>
      <xdr:rowOff>2970</xdr:rowOff>
    </xdr:to>
    <xdr:pic>
      <xdr:nvPicPr>
        <xdr:cNvPr id="21" name="Image 20">
          <a:extLst>
            <a:ext uri="{FF2B5EF4-FFF2-40B4-BE49-F238E27FC236}">
              <a16:creationId xmlns:a16="http://schemas.microsoft.com/office/drawing/2014/main" id="{57EE85EE-33DE-486A-4D56-0FDC409A42BF}"/>
            </a:ext>
          </a:extLst>
        </xdr:cNvPr>
        <xdr:cNvPicPr>
          <a:picLocks noChangeAspect="1"/>
        </xdr:cNvPicPr>
      </xdr:nvPicPr>
      <xdr:blipFill>
        <a:blip xmlns:r="http://schemas.openxmlformats.org/officeDocument/2006/relationships" r:embed="rId7">
          <a:duotone>
            <a:prstClr val="black"/>
            <a:schemeClr val="accent3">
              <a:tint val="45000"/>
              <a:satMod val="400000"/>
            </a:schemeClr>
          </a:duotone>
        </a:blip>
        <a:stretch>
          <a:fillRect/>
        </a:stretch>
      </xdr:blipFill>
      <xdr:spPr>
        <a:xfrm>
          <a:off x="9028338" y="5034913"/>
          <a:ext cx="405812" cy="382970"/>
        </a:xfrm>
        <a:prstGeom prst="rect">
          <a:avLst/>
        </a:prstGeom>
      </xdr:spPr>
    </xdr:pic>
    <xdr:clientData/>
  </xdr:twoCellAnchor>
  <xdr:twoCellAnchor>
    <xdr:from>
      <xdr:col>1</xdr:col>
      <xdr:colOff>706262</xdr:colOff>
      <xdr:row>93</xdr:row>
      <xdr:rowOff>126747</xdr:rowOff>
    </xdr:from>
    <xdr:to>
      <xdr:col>14</xdr:col>
      <xdr:colOff>278249</xdr:colOff>
      <xdr:row>98</xdr:row>
      <xdr:rowOff>142955</xdr:rowOff>
    </xdr:to>
    <xdr:sp macro="" textlink="">
      <xdr:nvSpPr>
        <xdr:cNvPr id="10882" name="Rectangle : coins arrondis 8200">
          <a:extLst>
            <a:ext uri="{FF2B5EF4-FFF2-40B4-BE49-F238E27FC236}">
              <a16:creationId xmlns:a16="http://schemas.microsoft.com/office/drawing/2014/main" id="{C363A721-F548-4DF3-803F-9EB537E5962D}"/>
            </a:ext>
          </a:extLst>
        </xdr:cNvPr>
        <xdr:cNvSpPr/>
      </xdr:nvSpPr>
      <xdr:spPr>
        <a:xfrm>
          <a:off x="1582562" y="17170147"/>
          <a:ext cx="10963887" cy="905208"/>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cap="all" baseline="0">
              <a:solidFill>
                <a:schemeClr val="accent3">
                  <a:lumMod val="50000"/>
                </a:schemeClr>
              </a:solidFill>
              <a:effectLst/>
              <a:latin typeface="+mn-lt"/>
              <a:ea typeface="+mn-ea"/>
              <a:cs typeface="+mn-cs"/>
            </a:rPr>
            <a:t>datacenters responsables</a:t>
          </a: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solidFill>
                <a:schemeClr val="tx1"/>
              </a:solidFill>
              <a:effectLst/>
              <a:latin typeface="+mn-lt"/>
              <a:ea typeface="+mn-ea"/>
              <a:cs typeface="+mn-cs"/>
            </a:rPr>
            <a:t>Exiger auprès du fournisseur un </a:t>
          </a:r>
          <a:r>
            <a:rPr lang="en-US" sz="1200" b="1" baseline="0">
              <a:solidFill>
                <a:schemeClr val="tx1"/>
              </a:solidFill>
              <a:effectLst/>
              <a:latin typeface="+mn-lt"/>
              <a:ea typeface="+mn-ea"/>
              <a:cs typeface="+mn-cs"/>
            </a:rPr>
            <a:t>hébergement en France </a:t>
          </a:r>
          <a:r>
            <a:rPr lang="en-US" sz="1200" b="0" baseline="0">
              <a:solidFill>
                <a:schemeClr val="tx1"/>
              </a:solidFill>
              <a:effectLst/>
              <a:latin typeface="+mn-lt"/>
              <a:ea typeface="+mn-ea"/>
              <a:cs typeface="+mn-cs"/>
            </a:rPr>
            <a:t>ou à défaut en Europe, dans un </a:t>
          </a:r>
          <a:r>
            <a:rPr lang="en-US" sz="1200" b="1" baseline="0">
              <a:solidFill>
                <a:schemeClr val="tx1"/>
              </a:solidFill>
              <a:effectLst/>
              <a:latin typeface="+mn-lt"/>
              <a:ea typeface="+mn-ea"/>
              <a:cs typeface="+mn-cs"/>
            </a:rPr>
            <a:t>datacenter physiquement alimenté en électricité bas carbone, méthode location based</a:t>
          </a:r>
          <a:r>
            <a:rPr lang="en-US" sz="1200" b="0" baseline="0">
              <a:solidFill>
                <a:schemeClr val="tx1"/>
              </a:solidFill>
              <a:effectLst/>
              <a:latin typeface="+mn-lt"/>
              <a:ea typeface="+mn-ea"/>
              <a:cs typeface="+mn-cs"/>
            </a:rPr>
            <a:t> (les indicateurs</a:t>
          </a:r>
          <a:r>
            <a:rPr lang="en-US" sz="1200" b="1" baseline="0">
              <a:solidFill>
                <a:schemeClr val="tx1"/>
              </a:solidFill>
              <a:effectLst/>
              <a:latin typeface="+mn-lt"/>
              <a:ea typeface="+mn-ea"/>
              <a:cs typeface="+mn-cs"/>
            </a:rPr>
            <a:t> </a:t>
          </a:r>
          <a:r>
            <a:rPr lang="en-US" sz="1200" b="0" baseline="0">
              <a:solidFill>
                <a:schemeClr val="tx1"/>
              </a:solidFill>
              <a:effectLst/>
              <a:latin typeface="+mn-lt"/>
              <a:ea typeface="+mn-ea"/>
              <a:cs typeface="+mn-cs"/>
            </a:rPr>
            <a:t>Power Usage Efficiency (PUE) et Water Usage Effectiveness (WUE) mesurent l'efficacité environnementale des datacenters). Le market based est exclu.</a:t>
          </a:r>
        </a:p>
      </xdr:txBody>
    </xdr:sp>
    <xdr:clientData/>
  </xdr:twoCellAnchor>
  <xdr:twoCellAnchor>
    <xdr:from>
      <xdr:col>1</xdr:col>
      <xdr:colOff>45737</xdr:colOff>
      <xdr:row>104</xdr:row>
      <xdr:rowOff>151700</xdr:rowOff>
    </xdr:from>
    <xdr:to>
      <xdr:col>5</xdr:col>
      <xdr:colOff>440809</xdr:colOff>
      <xdr:row>112</xdr:row>
      <xdr:rowOff>27111</xdr:rowOff>
    </xdr:to>
    <xdr:sp macro="" textlink="">
      <xdr:nvSpPr>
        <xdr:cNvPr id="11756" name="Rectangle : coins arrondis 1">
          <a:extLst>
            <a:ext uri="{FF2B5EF4-FFF2-40B4-BE49-F238E27FC236}">
              <a16:creationId xmlns:a16="http://schemas.microsoft.com/office/drawing/2014/main" id="{1B021228-7CA5-9E99-6E60-7B3A16E977EE}"/>
            </a:ext>
          </a:extLst>
        </xdr:cNvPr>
        <xdr:cNvSpPr/>
      </xdr:nvSpPr>
      <xdr:spPr>
        <a:xfrm>
          <a:off x="922037" y="19150900"/>
          <a:ext cx="3900272" cy="129781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lvl="0" algn="ctr" rtl="0" fontAlgn="ctr"/>
          <a:r>
            <a:rPr lang="en-US" sz="1200" b="1" cap="all" baseline="0">
              <a:solidFill>
                <a:schemeClr val="accent3">
                  <a:lumMod val="50000"/>
                </a:schemeClr>
              </a:solidFill>
              <a:effectLst/>
              <a:latin typeface="+mn-lt"/>
              <a:ea typeface="+mn-ea"/>
              <a:cs typeface="+mn-cs"/>
            </a:rPr>
            <a:t>construction du Prompt</a:t>
          </a:r>
        </a:p>
        <a:p>
          <a:pPr lvl="0" algn="l" rtl="0" fontAlgn="ctr"/>
          <a:r>
            <a:rPr lang="en-US" sz="1200" b="0">
              <a:solidFill>
                <a:sysClr val="windowText" lastClr="000000"/>
              </a:solidFill>
              <a:effectLst/>
              <a:latin typeface="+mn-lt"/>
              <a:ea typeface="+mn-ea"/>
              <a:cs typeface="+mn-cs"/>
            </a:rPr>
            <a:t>Rappeler</a:t>
          </a:r>
          <a:r>
            <a:rPr lang="en-US" sz="1200" b="0" baseline="0">
              <a:solidFill>
                <a:sysClr val="windowText" lastClr="000000"/>
              </a:solidFill>
              <a:effectLst/>
              <a:latin typeface="+mn-lt"/>
              <a:ea typeface="+mn-ea"/>
              <a:cs typeface="+mn-cs"/>
            </a:rPr>
            <a:t> l'importance </a:t>
          </a:r>
          <a:r>
            <a:rPr lang="en-US" sz="1200" b="1" baseline="0">
              <a:solidFill>
                <a:sysClr val="windowText" lastClr="000000"/>
              </a:solidFill>
              <a:effectLst/>
              <a:latin typeface="+mn-lt"/>
              <a:ea typeface="+mn-ea"/>
              <a:cs typeface="+mn-cs"/>
            </a:rPr>
            <a:t>d'un prompt bien construit </a:t>
          </a:r>
          <a:r>
            <a:rPr lang="en-US" sz="1200" b="0" baseline="0">
              <a:solidFill>
                <a:sysClr val="windowText" lastClr="000000"/>
              </a:solidFill>
              <a:effectLst/>
              <a:latin typeface="+mn-lt"/>
              <a:ea typeface="+mn-ea"/>
              <a:cs typeface="+mn-cs"/>
            </a:rPr>
            <a:t>et former au prompt engineering</a:t>
          </a:r>
        </a:p>
        <a:p>
          <a:pPr lvl="0" algn="l" rtl="0" fontAlgn="ctr"/>
          <a:endParaRPr lang="en-US" sz="1200" b="0">
            <a:solidFill>
              <a:sysClr val="windowText" lastClr="000000"/>
            </a:solidFill>
            <a:effectLst/>
            <a:latin typeface="+mn-lt"/>
            <a:ea typeface="+mn-ea"/>
            <a:cs typeface="+mn-cs"/>
          </a:endParaRPr>
        </a:p>
        <a:p>
          <a:pPr lvl="0" algn="l" rtl="0" fontAlgn="ctr"/>
          <a:r>
            <a:rPr lang="en-US" sz="1200" b="0">
              <a:solidFill>
                <a:sysClr val="windowText" lastClr="000000"/>
              </a:solidFill>
              <a:effectLst/>
              <a:latin typeface="+mn-lt"/>
              <a:ea typeface="+mn-ea"/>
              <a:cs typeface="+mn-cs"/>
            </a:rPr>
            <a:t>Rappeler l'importance de </a:t>
          </a:r>
          <a:r>
            <a:rPr lang="en-US" sz="1200" b="1">
              <a:solidFill>
                <a:sysClr val="windowText" lastClr="000000"/>
              </a:solidFill>
              <a:effectLst/>
              <a:latin typeface="+mn-lt"/>
              <a:ea typeface="+mn-ea"/>
              <a:cs typeface="+mn-cs"/>
            </a:rPr>
            <a:t>la réutilisation des  prompts bien construits</a:t>
          </a:r>
          <a:r>
            <a:rPr lang="en-US" sz="1200" b="0">
              <a:solidFill>
                <a:sysClr val="windowText" lastClr="000000"/>
              </a:solidFill>
              <a:effectLst/>
              <a:latin typeface="+mn-lt"/>
              <a:ea typeface="+mn-ea"/>
              <a:cs typeface="+mn-cs"/>
            </a:rPr>
            <a:t> ou templates déjà sauvegardés </a:t>
          </a:r>
        </a:p>
      </xdr:txBody>
    </xdr:sp>
    <xdr:clientData/>
  </xdr:twoCellAnchor>
  <xdr:twoCellAnchor editAs="oneCell">
    <xdr:from>
      <xdr:col>0</xdr:col>
      <xdr:colOff>523965</xdr:colOff>
      <xdr:row>101</xdr:row>
      <xdr:rowOff>129009</xdr:rowOff>
    </xdr:from>
    <xdr:to>
      <xdr:col>1</xdr:col>
      <xdr:colOff>149225</xdr:colOff>
      <xdr:row>104</xdr:row>
      <xdr:rowOff>90233</xdr:rowOff>
    </xdr:to>
    <xdr:pic>
      <xdr:nvPicPr>
        <xdr:cNvPr id="11297" name="Image 16">
          <a:extLst>
            <a:ext uri="{FF2B5EF4-FFF2-40B4-BE49-F238E27FC236}">
              <a16:creationId xmlns:a16="http://schemas.microsoft.com/office/drawing/2014/main" id="{85066A3D-48DB-4677-A5DD-A9452D33C7D0}"/>
            </a:ext>
          </a:extLst>
        </xdr:cNvPr>
        <xdr:cNvPicPr>
          <a:picLocks noChangeAspect="1"/>
        </xdr:cNvPicPr>
      </xdr:nvPicPr>
      <xdr:blipFill>
        <a:blip xmlns:r="http://schemas.openxmlformats.org/officeDocument/2006/relationships" r:embed="rId2">
          <a:duotone>
            <a:prstClr val="black"/>
            <a:schemeClr val="accent3">
              <a:tint val="45000"/>
              <a:satMod val="400000"/>
            </a:schemeClr>
          </a:duotone>
        </a:blip>
        <a:stretch>
          <a:fillRect/>
        </a:stretch>
      </xdr:blipFill>
      <xdr:spPr>
        <a:xfrm>
          <a:off x="523965" y="18594809"/>
          <a:ext cx="501560" cy="494624"/>
        </a:xfrm>
        <a:prstGeom prst="rect">
          <a:avLst/>
        </a:prstGeom>
      </xdr:spPr>
    </xdr:pic>
    <xdr:clientData/>
  </xdr:twoCellAnchor>
  <xdr:twoCellAnchor>
    <xdr:from>
      <xdr:col>1</xdr:col>
      <xdr:colOff>211130</xdr:colOff>
      <xdr:row>83</xdr:row>
      <xdr:rowOff>164635</xdr:rowOff>
    </xdr:from>
    <xdr:to>
      <xdr:col>14</xdr:col>
      <xdr:colOff>429146</xdr:colOff>
      <xdr:row>86</xdr:row>
      <xdr:rowOff>102659</xdr:rowOff>
    </xdr:to>
    <xdr:sp macro="" textlink="">
      <xdr:nvSpPr>
        <xdr:cNvPr id="11488" name="Flèche : droite rayée 18">
          <a:extLst>
            <a:ext uri="{FF2B5EF4-FFF2-40B4-BE49-F238E27FC236}">
              <a16:creationId xmlns:a16="http://schemas.microsoft.com/office/drawing/2014/main" id="{61F21EBB-D2D3-44BE-A335-164174DAEC16}"/>
            </a:ext>
          </a:extLst>
        </xdr:cNvPr>
        <xdr:cNvSpPr/>
      </xdr:nvSpPr>
      <xdr:spPr>
        <a:xfrm>
          <a:off x="1087430" y="15430035"/>
          <a:ext cx="11609916" cy="471424"/>
        </a:xfrm>
        <a:prstGeom prst="stripedRightArrow">
          <a:avLst>
            <a:gd name="adj1" fmla="val 67073"/>
            <a:gd name="adj2" fmla="val 65854"/>
          </a:avLst>
        </a:prstGeom>
        <a:solidFill>
          <a:schemeClr val="accent6">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600"/>
            </a:spcBef>
            <a:spcAft>
              <a:spcPts val="0"/>
            </a:spcAft>
            <a:buClrTx/>
            <a:buSzTx/>
            <a:buFontTx/>
            <a:buNone/>
            <a:tabLst/>
            <a:defRPr/>
          </a:pPr>
          <a:r>
            <a:rPr lang="en-US" sz="1200" b="1" dirty="0" err="1">
              <a:solidFill>
                <a:sysClr val="windowText" lastClr="000000"/>
              </a:solidFill>
              <a:ea typeface="+mj-ea"/>
              <a:cs typeface="+mj-cs"/>
            </a:rPr>
            <a:t>Piloter l'inférence : </a:t>
          </a:r>
          <a:r>
            <a:rPr lang="fr-FR" sz="1200">
              <a:solidFill>
                <a:sysClr val="windowText" lastClr="000000"/>
              </a:solidFill>
              <a:effectLst/>
              <a:latin typeface="+mn-lt"/>
              <a:ea typeface="+mn-ea"/>
              <a:cs typeface="+mn-cs"/>
            </a:rPr>
            <a:t>Mesurer régulièrement l'impact pour suivre la progression et ajuster l'usage si besoin</a:t>
          </a:r>
          <a:r>
            <a:rPr lang="en-US" sz="1400" b="1" dirty="0" err="1">
              <a:solidFill>
                <a:sysClr val="windowText" lastClr="000000"/>
              </a:solidFill>
              <a:ea typeface="+mj-ea"/>
              <a:cs typeface="+mj-cs"/>
            </a:rPr>
            <a:t> </a:t>
          </a:r>
          <a:endParaRPr lang="en-US" sz="1200" b="1" dirty="0" err="1">
            <a:solidFill>
              <a:sysClr val="windowText" lastClr="000000"/>
            </a:solidFill>
            <a:ea typeface="+mj-ea"/>
            <a:cs typeface="+mj-cs"/>
          </a:endParaRPr>
        </a:p>
      </xdr:txBody>
    </xdr:sp>
    <xdr:clientData/>
  </xdr:twoCellAnchor>
  <xdr:twoCellAnchor editAs="oneCell">
    <xdr:from>
      <xdr:col>7</xdr:col>
      <xdr:colOff>676413</xdr:colOff>
      <xdr:row>21</xdr:row>
      <xdr:rowOff>162409</xdr:rowOff>
    </xdr:from>
    <xdr:to>
      <xdr:col>8</xdr:col>
      <xdr:colOff>67692</xdr:colOff>
      <xdr:row>23</xdr:row>
      <xdr:rowOff>110004</xdr:rowOff>
    </xdr:to>
    <xdr:pic>
      <xdr:nvPicPr>
        <xdr:cNvPr id="10886" name="Image 19">
          <a:extLst>
            <a:ext uri="{FF2B5EF4-FFF2-40B4-BE49-F238E27FC236}">
              <a16:creationId xmlns:a16="http://schemas.microsoft.com/office/drawing/2014/main" id="{E7349AA8-2850-7017-7B07-F5861F2483B9}"/>
            </a:ext>
          </a:extLst>
        </xdr:cNvPr>
        <xdr:cNvPicPr>
          <a:picLocks noChangeAspect="1"/>
        </xdr:cNvPicPr>
      </xdr:nvPicPr>
      <xdr:blipFill>
        <a:blip xmlns:r="http://schemas.openxmlformats.org/officeDocument/2006/relationships" r:embed="rId14">
          <a:duotone>
            <a:prstClr val="black"/>
            <a:schemeClr val="accent3">
              <a:tint val="45000"/>
              <a:satMod val="400000"/>
            </a:schemeClr>
          </a:duotone>
        </a:blip>
        <a:stretch>
          <a:fillRect/>
        </a:stretch>
      </xdr:blipFill>
      <xdr:spPr>
        <a:xfrm>
          <a:off x="7091877" y="4483028"/>
          <a:ext cx="308854" cy="312720"/>
        </a:xfrm>
        <a:prstGeom prst="rect">
          <a:avLst/>
        </a:prstGeom>
      </xdr:spPr>
    </xdr:pic>
    <xdr:clientData/>
  </xdr:twoCellAnchor>
  <xdr:twoCellAnchor editAs="oneCell">
    <xdr:from>
      <xdr:col>9</xdr:col>
      <xdr:colOff>705172</xdr:colOff>
      <xdr:row>51</xdr:row>
      <xdr:rowOff>93172</xdr:rowOff>
    </xdr:from>
    <xdr:to>
      <xdr:col>10</xdr:col>
      <xdr:colOff>71072</xdr:colOff>
      <xdr:row>53</xdr:row>
      <xdr:rowOff>6247</xdr:rowOff>
    </xdr:to>
    <xdr:pic>
      <xdr:nvPicPr>
        <xdr:cNvPr id="10831" name="Image 37">
          <a:extLst>
            <a:ext uri="{FF2B5EF4-FFF2-40B4-BE49-F238E27FC236}">
              <a16:creationId xmlns:a16="http://schemas.microsoft.com/office/drawing/2014/main" id="{FD4310EC-F382-4956-844B-1ADC790A614B}"/>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8960172" y="9914505"/>
          <a:ext cx="280300" cy="275025"/>
        </a:xfrm>
        <a:prstGeom prst="rect">
          <a:avLst/>
        </a:prstGeom>
      </xdr:spPr>
    </xdr:pic>
    <xdr:clientData/>
  </xdr:twoCellAnchor>
  <xdr:twoCellAnchor>
    <xdr:from>
      <xdr:col>0</xdr:col>
      <xdr:colOff>675255</xdr:colOff>
      <xdr:row>35</xdr:row>
      <xdr:rowOff>163823</xdr:rowOff>
    </xdr:from>
    <xdr:to>
      <xdr:col>15</xdr:col>
      <xdr:colOff>83180</xdr:colOff>
      <xdr:row>46</xdr:row>
      <xdr:rowOff>55057</xdr:rowOff>
    </xdr:to>
    <xdr:sp macro="" textlink="">
      <xdr:nvSpPr>
        <xdr:cNvPr id="11975" name="Rectangle 5">
          <a:extLst>
            <a:ext uri="{FF2B5EF4-FFF2-40B4-BE49-F238E27FC236}">
              <a16:creationId xmlns:a16="http://schemas.microsoft.com/office/drawing/2014/main" id="{88AD6AC9-1352-4047-86F7-01E1C7DB4E0F}"/>
            </a:ext>
          </a:extLst>
        </xdr:cNvPr>
        <xdr:cNvSpPr/>
      </xdr:nvSpPr>
      <xdr:spPr>
        <a:xfrm>
          <a:off x="675255" y="6947168"/>
          <a:ext cx="13695425" cy="18734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a:spcBef>
              <a:spcPts val="600"/>
            </a:spcBef>
          </a:pPr>
          <a:r>
            <a:rPr lang="en-US" sz="1400" b="1" dirty="0" err="1">
              <a:solidFill>
                <a:sysClr val="windowText" lastClr="000000"/>
              </a:solidFill>
              <a:ea typeface="+mj-ea"/>
              <a:cs typeface="+mj-cs"/>
            </a:rPr>
            <a:t>Usages et modèles</a:t>
          </a:r>
          <a:endParaRPr lang="en-US" sz="1400" b="1" dirty="0" err="1">
            <a:solidFill>
              <a:schemeClr val="accent2"/>
            </a:solidFill>
            <a:ea typeface="+mj-ea"/>
            <a:cs typeface="+mj-cs"/>
          </a:endParaRPr>
        </a:p>
      </xdr:txBody>
    </xdr:sp>
    <xdr:clientData/>
  </xdr:twoCellAnchor>
  <xdr:twoCellAnchor>
    <xdr:from>
      <xdr:col>1</xdr:col>
      <xdr:colOff>686793</xdr:colOff>
      <xdr:row>39</xdr:row>
      <xdr:rowOff>50544</xdr:rowOff>
    </xdr:from>
    <xdr:to>
      <xdr:col>14</xdr:col>
      <xdr:colOff>258780</xdr:colOff>
      <xdr:row>44</xdr:row>
      <xdr:rowOff>66753</xdr:rowOff>
    </xdr:to>
    <xdr:sp macro="" textlink="">
      <xdr:nvSpPr>
        <xdr:cNvPr id="11942" name="Rectangle : coins arrondis 7">
          <a:extLst>
            <a:ext uri="{FF2B5EF4-FFF2-40B4-BE49-F238E27FC236}">
              <a16:creationId xmlns:a16="http://schemas.microsoft.com/office/drawing/2014/main" id="{0523F9AB-66A8-45E2-9A63-6CCE482C5BDC}"/>
            </a:ext>
          </a:extLst>
        </xdr:cNvPr>
        <xdr:cNvSpPr/>
      </xdr:nvSpPr>
      <xdr:spPr>
        <a:xfrm>
          <a:off x="1639293" y="7829294"/>
          <a:ext cx="11954487" cy="954277"/>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ysClr val="windowText" lastClr="000000"/>
              </a:solidFill>
              <a:effectLst/>
              <a:latin typeface="+mn-lt"/>
              <a:ea typeface="+mn-ea"/>
              <a:cs typeface="+mn-cs"/>
            </a:rPr>
            <a:t>Challenger le besoin </a:t>
          </a:r>
          <a:r>
            <a:rPr lang="en-US" sz="1200" b="0" baseline="0">
              <a:solidFill>
                <a:sysClr val="windowText" lastClr="000000"/>
              </a:solidFill>
              <a:effectLst/>
              <a:latin typeface="+mn-lt"/>
              <a:ea typeface="+mn-ea"/>
              <a:cs typeface="+mn-cs"/>
            </a:rPr>
            <a:t>en IA générative du projet</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ysClr val="windowText" lastClr="000000"/>
              </a:solidFill>
              <a:effectLst/>
              <a:latin typeface="+mn-lt"/>
              <a:ea typeface="+mn-ea"/>
              <a:cs typeface="+mn-cs"/>
            </a:rPr>
            <a:t>Privilégier les modèles spécialisés </a:t>
          </a:r>
          <a:r>
            <a:rPr lang="en-US" sz="1200" b="0" baseline="0">
              <a:solidFill>
                <a:sysClr val="windowText" lastClr="000000"/>
              </a:solidFill>
              <a:effectLst/>
              <a:latin typeface="+mn-lt"/>
              <a:ea typeface="+mn-ea"/>
              <a:cs typeface="+mn-cs"/>
            </a:rPr>
            <a:t>aux modèles généralistes </a:t>
          </a: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Pour un même process métier, évaluer l'opportunité de </a:t>
          </a:r>
          <a:r>
            <a:rPr lang="en-US" sz="1200" b="1" baseline="0">
              <a:solidFill>
                <a:sysClr val="windowText" lastClr="000000"/>
              </a:solidFill>
              <a:effectLst/>
              <a:latin typeface="+mn-lt"/>
              <a:ea typeface="+mn-ea"/>
              <a:cs typeface="+mn-cs"/>
            </a:rPr>
            <a:t>cibler </a:t>
          </a:r>
          <a:r>
            <a:rPr lang="en-US" sz="1200" b="0" baseline="0">
              <a:solidFill>
                <a:sysClr val="windowText" lastClr="000000"/>
              </a:solidFill>
              <a:effectLst/>
              <a:latin typeface="+mn-lt"/>
              <a:ea typeface="+mn-ea"/>
              <a:cs typeface="+mn-cs"/>
            </a:rPr>
            <a:t>au mieux l'utilisation de tel ou tel modèle IA </a:t>
          </a:r>
          <a:r>
            <a:rPr lang="en-US" sz="1200" b="1" baseline="0">
              <a:solidFill>
                <a:sysClr val="windowText" lastClr="000000"/>
              </a:solidFill>
              <a:effectLst/>
              <a:latin typeface="+mn-lt"/>
              <a:ea typeface="+mn-ea"/>
              <a:cs typeface="+mn-cs"/>
            </a:rPr>
            <a:t>en fonction des étapes du processus</a:t>
          </a:r>
        </a:p>
      </xdr:txBody>
    </xdr:sp>
    <xdr:clientData/>
  </xdr:twoCellAnchor>
  <xdr:twoCellAnchor editAs="oneCell">
    <xdr:from>
      <xdr:col>0</xdr:col>
      <xdr:colOff>419096</xdr:colOff>
      <xdr:row>35</xdr:row>
      <xdr:rowOff>85682</xdr:rowOff>
    </xdr:from>
    <xdr:to>
      <xdr:col>0</xdr:col>
      <xdr:colOff>872460</xdr:colOff>
      <xdr:row>38</xdr:row>
      <xdr:rowOff>54572</xdr:rowOff>
    </xdr:to>
    <xdr:pic>
      <xdr:nvPicPr>
        <xdr:cNvPr id="11138" name="Image 11">
          <a:extLst>
            <a:ext uri="{FF2B5EF4-FFF2-40B4-BE49-F238E27FC236}">
              <a16:creationId xmlns:a16="http://schemas.microsoft.com/office/drawing/2014/main" id="{362A59D4-E60D-48D6-B009-385172541E8C}"/>
            </a:ext>
          </a:extLst>
        </xdr:cNvPr>
        <xdr:cNvPicPr>
          <a:picLocks noChangeAspect="1"/>
        </xdr:cNvPicPr>
      </xdr:nvPicPr>
      <xdr:blipFill>
        <a:blip xmlns:r="http://schemas.openxmlformats.org/officeDocument/2006/relationships" r:embed="rId14">
          <a:duotone>
            <a:prstClr val="black"/>
            <a:schemeClr val="accent3">
              <a:tint val="45000"/>
              <a:satMod val="400000"/>
            </a:schemeClr>
          </a:duotone>
        </a:blip>
        <a:stretch>
          <a:fillRect/>
        </a:stretch>
      </xdr:blipFill>
      <xdr:spPr>
        <a:xfrm>
          <a:off x="419096" y="7070682"/>
          <a:ext cx="491464" cy="508640"/>
        </a:xfrm>
        <a:prstGeom prst="rect">
          <a:avLst/>
        </a:prstGeom>
      </xdr:spPr>
    </xdr:pic>
    <xdr:clientData/>
  </xdr:twoCellAnchor>
  <xdr:twoCellAnchor>
    <xdr:from>
      <xdr:col>12</xdr:col>
      <xdr:colOff>699470</xdr:colOff>
      <xdr:row>118</xdr:row>
      <xdr:rowOff>158237</xdr:rowOff>
    </xdr:from>
    <xdr:to>
      <xdr:col>14</xdr:col>
      <xdr:colOff>643468</xdr:colOff>
      <xdr:row>125</xdr:row>
      <xdr:rowOff>46376</xdr:rowOff>
    </xdr:to>
    <xdr:sp macro="" textlink="">
      <xdr:nvSpPr>
        <xdr:cNvPr id="11296" name="Rectangle : coins arrondis 12">
          <a:hlinkClick xmlns:r="http://schemas.openxmlformats.org/officeDocument/2006/relationships" r:id="rId15"/>
          <a:extLst>
            <a:ext uri="{FF2B5EF4-FFF2-40B4-BE49-F238E27FC236}">
              <a16:creationId xmlns:a16="http://schemas.microsoft.com/office/drawing/2014/main" id="{94071D92-91AA-48AB-9AC2-71644271257F}"/>
            </a:ext>
          </a:extLst>
        </xdr:cNvPr>
        <xdr:cNvSpPr/>
      </xdr:nvSpPr>
      <xdr:spPr>
        <a:xfrm>
          <a:off x="11215070" y="21646637"/>
          <a:ext cx="1696598" cy="113273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ctr" anchorCtr="0" forceAA="0" compatLnSpc="1">
          <a:prstTxWarp prst="textNoShape">
            <a:avLst/>
          </a:prstTxWarp>
          <a:noAutofit/>
        </a:bodyPr>
        <a:lstStyle/>
        <a:p>
          <a:pPr algn="ctr">
            <a:spcBef>
              <a:spcPts val="600"/>
            </a:spcBef>
          </a:pPr>
          <a:r>
            <a:rPr lang="en-US" sz="1000" b="1" dirty="0" err="1">
              <a:solidFill>
                <a:schemeClr val="tx1"/>
              </a:solidFill>
              <a:ea typeface="+mj-ea"/>
              <a:cs typeface="+mj-cs"/>
            </a:rPr>
            <a:t>Guide RESIL IT NR </a:t>
          </a:r>
          <a:r>
            <a:rPr lang="en-US" sz="1000" b="0" dirty="0" err="1">
              <a:solidFill>
                <a:schemeClr val="tx1"/>
              </a:solidFill>
              <a:ea typeface="+mj-ea"/>
              <a:cs typeface="+mj-cs"/>
            </a:rPr>
            <a:t>- Digital League (2026)</a:t>
          </a:r>
        </a:p>
      </xdr:txBody>
    </xdr:sp>
    <xdr:clientData/>
  </xdr:twoCellAnchor>
  <xdr:twoCellAnchor editAs="oneCell">
    <xdr:from>
      <xdr:col>4</xdr:col>
      <xdr:colOff>777760</xdr:colOff>
      <xdr:row>33</xdr:row>
      <xdr:rowOff>25174</xdr:rowOff>
    </xdr:from>
    <xdr:to>
      <xdr:col>5</xdr:col>
      <xdr:colOff>89426</xdr:colOff>
      <xdr:row>34</xdr:row>
      <xdr:rowOff>139673</xdr:rowOff>
    </xdr:to>
    <xdr:pic>
      <xdr:nvPicPr>
        <xdr:cNvPr id="11778" name="Image 11">
          <a:extLst>
            <a:ext uri="{FF2B5EF4-FFF2-40B4-BE49-F238E27FC236}">
              <a16:creationId xmlns:a16="http://schemas.microsoft.com/office/drawing/2014/main" id="{4CC171D8-CFFD-A1DE-B2E0-9EB49E95194F}"/>
            </a:ext>
          </a:extLst>
        </xdr:cNvPr>
        <xdr:cNvPicPr>
          <a:picLocks noChangeAspect="1"/>
        </xdr:cNvPicPr>
      </xdr:nvPicPr>
      <xdr:blipFill>
        <a:blip xmlns:r="http://schemas.openxmlformats.org/officeDocument/2006/relationships" r:embed="rId16">
          <a:duotone>
            <a:schemeClr val="accent2">
              <a:shade val="45000"/>
              <a:satMod val="135000"/>
            </a:schemeClr>
            <a:prstClr val="white"/>
          </a:duotone>
        </a:blip>
        <a:stretch>
          <a:fillRect/>
        </a:stretch>
      </xdr:blipFill>
      <xdr:spPr>
        <a:xfrm>
          <a:off x="4587760" y="6449257"/>
          <a:ext cx="295916" cy="295474"/>
        </a:xfrm>
        <a:prstGeom prst="rect">
          <a:avLst/>
        </a:prstGeom>
      </xdr:spPr>
    </xdr:pic>
    <xdr:clientData/>
  </xdr:twoCellAnchor>
  <xdr:twoCellAnchor>
    <xdr:from>
      <xdr:col>10</xdr:col>
      <xdr:colOff>393272</xdr:colOff>
      <xdr:row>104</xdr:row>
      <xdr:rowOff>151700</xdr:rowOff>
    </xdr:from>
    <xdr:to>
      <xdr:col>14</xdr:col>
      <xdr:colOff>788344</xdr:colOff>
      <xdr:row>112</xdr:row>
      <xdr:rowOff>27111</xdr:rowOff>
    </xdr:to>
    <xdr:sp macro="" textlink="">
      <xdr:nvSpPr>
        <xdr:cNvPr id="11777" name="Rectangle : coins arrondis 1">
          <a:extLst>
            <a:ext uri="{FF2B5EF4-FFF2-40B4-BE49-F238E27FC236}">
              <a16:creationId xmlns:a16="http://schemas.microsoft.com/office/drawing/2014/main" id="{D172DDEF-0201-4F6B-A574-CAAF9E1D3345}"/>
            </a:ext>
          </a:extLst>
        </xdr:cNvPr>
        <xdr:cNvSpPr/>
      </xdr:nvSpPr>
      <xdr:spPr>
        <a:xfrm>
          <a:off x="9156272" y="19150900"/>
          <a:ext cx="3900272" cy="129781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algn="ctr" rtl="0" fontAlgn="ctr"/>
          <a:r>
            <a:rPr lang="fr-FR" sz="1200" b="1" cap="all" baseline="0">
              <a:solidFill>
                <a:schemeClr val="accent3">
                  <a:lumMod val="50000"/>
                </a:schemeClr>
              </a:solidFill>
              <a:effectLst/>
              <a:latin typeface="+mn-lt"/>
              <a:ea typeface="+mn-ea"/>
              <a:cs typeface="+mn-cs"/>
            </a:rPr>
            <a:t>factorisation</a:t>
          </a:r>
        </a:p>
        <a:p>
          <a:pPr rtl="0" fontAlgn="ctr"/>
          <a:r>
            <a:rPr lang="fr-FR" sz="1200" b="1">
              <a:solidFill>
                <a:sysClr val="windowText" lastClr="000000"/>
              </a:solidFill>
              <a:effectLst/>
              <a:latin typeface="+mn-lt"/>
              <a:ea typeface="+mn-ea"/>
              <a:cs typeface="+mn-cs"/>
            </a:rPr>
            <a:t>Sensibiliser à la factorisation </a:t>
          </a:r>
          <a:r>
            <a:rPr lang="fr-FR" sz="1200">
              <a:solidFill>
                <a:sysClr val="windowText" lastClr="000000"/>
              </a:solidFill>
              <a:effectLst/>
              <a:latin typeface="+mn-lt"/>
              <a:ea typeface="+mn-ea"/>
              <a:cs typeface="+mn-cs"/>
            </a:rPr>
            <a:t>: regrouper plusieurs demandes en une seule requête </a:t>
          </a:r>
        </a:p>
      </xdr:txBody>
    </xdr:sp>
    <xdr:clientData/>
  </xdr:twoCellAnchor>
  <xdr:twoCellAnchor>
    <xdr:from>
      <xdr:col>5</xdr:col>
      <xdr:colOff>673453</xdr:colOff>
      <xdr:row>104</xdr:row>
      <xdr:rowOff>151700</xdr:rowOff>
    </xdr:from>
    <xdr:to>
      <xdr:col>10</xdr:col>
      <xdr:colOff>123442</xdr:colOff>
      <xdr:row>112</xdr:row>
      <xdr:rowOff>27111</xdr:rowOff>
    </xdr:to>
    <xdr:sp macro="" textlink="">
      <xdr:nvSpPr>
        <xdr:cNvPr id="11757" name="Rectangle : coins arrondis 1">
          <a:extLst>
            <a:ext uri="{FF2B5EF4-FFF2-40B4-BE49-F238E27FC236}">
              <a16:creationId xmlns:a16="http://schemas.microsoft.com/office/drawing/2014/main" id="{EE7CCE69-7253-4294-9E7D-0507013F42A0}"/>
            </a:ext>
          </a:extLst>
        </xdr:cNvPr>
        <xdr:cNvSpPr/>
      </xdr:nvSpPr>
      <xdr:spPr>
        <a:xfrm>
          <a:off x="5054953" y="19150900"/>
          <a:ext cx="3831489" cy="129781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p>
          <a:pPr lvl="0" algn="ctr" rtl="0" fontAlgn="ctr"/>
          <a:r>
            <a:rPr lang="fr-FR" sz="1200" b="1" cap="all" baseline="0">
              <a:solidFill>
                <a:schemeClr val="accent3">
                  <a:lumMod val="50000"/>
                </a:schemeClr>
              </a:solidFill>
              <a:effectLst/>
              <a:latin typeface="+mn-lt"/>
              <a:ea typeface="+mn-ea"/>
              <a:cs typeface="+mn-cs"/>
            </a:rPr>
            <a:t>génération d'images</a:t>
          </a:r>
        </a:p>
        <a:p>
          <a:pPr lvl="0" algn="l" rtl="0" fontAlgn="ctr"/>
          <a:r>
            <a:rPr lang="fr-FR" sz="1200" b="0">
              <a:solidFill>
                <a:sysClr val="windowText" lastClr="000000"/>
              </a:solidFill>
              <a:effectLst/>
              <a:latin typeface="+mn-lt"/>
              <a:ea typeface="+mn-ea"/>
              <a:cs typeface="+mn-cs"/>
            </a:rPr>
            <a:t>Rappeler que lorsque le texte suffit, il faut </a:t>
          </a:r>
          <a:r>
            <a:rPr lang="fr-FR" sz="1200" b="1">
              <a:solidFill>
                <a:sysClr val="windowText" lastClr="000000"/>
              </a:solidFill>
              <a:effectLst/>
              <a:latin typeface="+mn-lt"/>
              <a:ea typeface="+mn-ea"/>
              <a:cs typeface="+mn-cs"/>
            </a:rPr>
            <a:t>éviter</a:t>
          </a:r>
          <a:r>
            <a:rPr lang="fr-FR" sz="1200" b="1" baseline="0">
              <a:solidFill>
                <a:sysClr val="windowText" lastClr="000000"/>
              </a:solidFill>
              <a:effectLst/>
              <a:latin typeface="+mn-lt"/>
              <a:ea typeface="+mn-ea"/>
              <a:cs typeface="+mn-cs"/>
            </a:rPr>
            <a:t> de </a:t>
          </a:r>
          <a:r>
            <a:rPr lang="fr-FR" sz="1200" b="1">
              <a:solidFill>
                <a:sysClr val="windowText" lastClr="000000"/>
              </a:solidFill>
              <a:effectLst/>
              <a:latin typeface="+mn-lt"/>
              <a:ea typeface="+mn-ea"/>
              <a:cs typeface="+mn-cs"/>
            </a:rPr>
            <a:t>générer des images et vidéos</a:t>
          </a:r>
          <a:r>
            <a:rPr lang="fr-FR" sz="1200" b="0">
              <a:solidFill>
                <a:sysClr val="windowText" lastClr="000000"/>
              </a:solidFill>
              <a:effectLst/>
              <a:latin typeface="+mn-lt"/>
              <a:ea typeface="+mn-ea"/>
              <a:cs typeface="+mn-cs"/>
            </a:rPr>
            <a:t>, ou d'insérer dans le prompt une image ou une vidéo</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93F863-592B-4FC7-AB36-0CA4FDA40169}" name="Tableau2" displayName="Tableau2" ref="A1:L60" totalsRowShown="0" headerRowDxfId="30" dataDxfId="29">
  <autoFilter ref="A1:L60" xr:uid="{0293F863-592B-4FC7-AB36-0CA4FDA40169}"/>
  <sortState xmlns:xlrd2="http://schemas.microsoft.com/office/spreadsheetml/2017/richdata2" ref="A2:L53">
    <sortCondition ref="A1:A53"/>
  </sortState>
  <tableColumns count="12">
    <tableColumn id="1" xr3:uid="{70220193-5E28-4937-BBD7-D62DBB44F170}" name="Catégorie" dataDxfId="28"/>
    <tableColumn id="2" xr3:uid="{29D680B9-1721-4E97-8DEF-9E4A64B0463F}" name="Sous-catégorie" dataDxfId="27"/>
    <tableColumn id="3" xr3:uid="{E20EB369-37CA-4C94-B392-FE5B25FC7F3D}" name="Variable" dataDxfId="26"/>
    <tableColumn id="4" xr3:uid="{23BC5835-8CBC-408A-80B2-FB7C1862ACA4}" name="Valeur" dataDxfId="25"/>
    <tableColumn id="5" xr3:uid="{D2E7F2A6-7AB1-4D7F-9514-8E423C7757EF}" name="Unité" dataDxfId="24"/>
    <tableColumn id="6" xr3:uid="{A2A57D59-6382-4526-8202-41149DA87F63}" name="Source" dataDxfId="23"/>
    <tableColumn id="7" xr3:uid="{3199A3D6-5E8A-45C2-AB59-21B7F0378587}" name="MAJ" dataDxfId="22"/>
    <tableColumn id="8" xr3:uid="{AE304B77-1189-4F2B-9A53-B476D3D11E75}" name="Commentaire" dataDxfId="21"/>
    <tableColumn id="12" xr3:uid="{9A4F16D8-8102-4806-AC32-9238FFC59F94}" name="Valeur historique1"/>
    <tableColumn id="11" xr3:uid="{B07F1AE3-6BAC-4F01-B24E-0ED24F48B834}" name="Source1"/>
    <tableColumn id="9" xr3:uid="{2CA34FAC-7EE2-417C-B982-1CF8F11FC336}" name="Historique " dataDxfId="20"/>
    <tableColumn id="10" xr3:uid="{FB722B7A-19E6-4951-B0CB-95F7245E8D1F}" name="Source Historique" dataDxfId="1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5C170-6E83-4018-8CB4-89218F134BF0}" name="Tableau1" displayName="Tableau1" ref="A1:AD41" totalsRowShown="0">
  <autoFilter ref="A1:AD41" xr:uid="{20D5C170-6E83-4018-8CB4-89218F134BF0}"/>
  <tableColumns count="30">
    <tableColumn id="1" xr3:uid="{A9C2DF47-2956-4057-BC63-F9E3DDDEC663}" name="SNCF"/>
    <tableColumn id="2" xr3:uid="{BF38A412-25E6-4B34-AE3F-7DE0C18681E3}" name="Fournisseurs"/>
    <tableColumn id="3" xr3:uid="{F4B00FF9-B8A1-4B4B-95EB-7BA1B18009BF}" name="Nom du modèle" dataDxfId="18"/>
    <tableColumn id="24" xr3:uid="{83FCA542-DC74-461D-9B72-1F32592C6F09}" name="Catégorie" dataDxfId="17"/>
    <tableColumn id="4" xr3:uid="{7DBE3867-74D0-4145-BA78-3F7B6808DABC}" name="Architecture"/>
    <tableColumn id="5" xr3:uid="{C9D27678-3BFE-49D1-8428-2A5142348C17}" name="P_total (Mds)"/>
    <tableColumn id="6" xr3:uid="{69C01296-7FD9-4C8B-BE86-057D9F6DFAD0}" name="P_total_min"/>
    <tableColumn id="7" xr3:uid="{7408375A-8052-4699-9F33-26D60B097372}" name="P_total_max"/>
    <tableColumn id="8" xr3:uid="{4191DA12-0D72-454D-BB9F-BCB5AA512A66}" name="P_active_min (Mds)"/>
    <tableColumn id="9" xr3:uid="{DFA3CF33-1DC5-4E62-9FBC-D8C6B77B83FA}" name="P_active_max (Mds)"/>
    <tableColumn id="10" xr3:uid="{E8792885-E0EC-488B-9A75-B2B620A9D29F}" name="Sources"/>
    <tableColumn id="11" xr3:uid="{2FA3925C-8ABB-4666-ABF8-51818E55CC1B}" name="Localisation"/>
    <tableColumn id="12" xr3:uid="{13551723-B2D8-4F08-B245-B5A462A3AA62}" name="PUE"/>
    <tableColumn id="14" xr3:uid="{68DA9C80-57BC-4B59-B3C5-CE6CF23D75AA}" name="Source PUE" dataDxfId="16"/>
    <tableColumn id="13" xr3:uid="{316EE987-EF0B-46D1-8582-AD7773CA75A4}" name="WUE on-site - eau utilisée directement dans le centre de donnée"/>
    <tableColumn id="15" xr3:uid="{03981EC6-5149-49E4-95C4-C2A2D20471EE}" name="Source WUE" dataDxfId="15"/>
    <tableColumn id="16" xr3:uid="{D080F5EB-498D-481B-B314-068D1CA5285D}" name="P_total" dataDxfId="14">
      <calculatedColumnFormula>IF(
  NOT(ISBLANK(F2)),
 F2,
  IF(
    AND(NOT(ISBLANK(G2)), NOT(ISBLANK(H2))),
    INT(AVERAGE(G2, H2)),
    ""
  )
)</calculatedColumnFormula>
    </tableColumn>
    <tableColumn id="17" xr3:uid="{6D740CF1-A8DA-4677-9E01-2FF4E106444C}" name="P_active_moyenne" dataDxfId="13">
      <calculatedColumnFormula>IF(
  NOT(ISBLANK(I2)),
INT(AVERAGE(I2,J2)),
  IF(
    AND(NOT(ISBLANK(G2)), NOT(ISBLANK(H2))),
   INT(AVERAGE(G2, H2)),
    ""
  )
)</calculatedColumnFormula>
    </tableColumn>
    <tableColumn id="18" xr3:uid="{F2AF7F9B-59F0-4AD9-AB6B-FBD8E438C86B}" name="Average TPS"/>
    <tableColumn id="19" xr3:uid="{451376A3-1600-4F8B-9FCF-CF2BF28AE496}" name="Average TTFT"/>
    <tableColumn id="20" xr3:uid="{A46B7B5C-166A-4994-AEC9-FCCCBD0AE18C}" name="Coefficient" dataDxfId="12">
      <calculatedColumnFormula>0.062*(Tableau1[[#This Row],[Average TTFT]]/0.44)</calculatedColumnFormula>
    </tableColumn>
    <tableColumn id="21" xr3:uid="{2F8F412F-11FA-45FC-92CB-A0D7BD17FF80}" name="Estimation du nombre de requêtes par jour (par fournisseurs)"/>
    <tableColumn id="22" xr3:uid="{10F18848-416B-42E6-A109-CEE6EE2C36CF}" name="Source" dataDxfId="11"/>
    <tableColumn id="25" xr3:uid="{C306FD55-CAEF-47C6-AA96-56A9B3E860FE}" name="Energie consommée pour un FLOP" dataDxfId="10">
      <calculatedColumnFormula>2.25*(10^12)</calculatedColumnFormula>
    </tableColumn>
    <tableColumn id="26" xr3:uid="{2293746F-D2B8-4724-AE33-CA7A378C046D}" name="Nombre de tokens à l'entrainement" dataDxfId="9">
      <calculatedColumnFormula>1500*(1-EXP(-(Tableau1[[#This Row],[P_total]]^2)/1000))*Tableau1[[#This Row],[P_total]]*10^9</calculatedColumnFormula>
    </tableColumn>
    <tableColumn id="27" xr3:uid="{C39E5279-46DD-4508-9048-B31565B7660B}" name="Date de publication" dataDxfId="8"/>
    <tableColumn id="28" xr3:uid="{65176E6B-0450-4F4F-A67B-A424A83AF65F}" name="Source2" dataDxfId="7"/>
    <tableColumn id="23" xr3:uid="{533F5987-7F85-4A78-89D1-2D1F41F9876E}" name="Active_model" dataDxfId="6">
      <calculatedColumnFormula>IF(Tableau1[[#This Row],[Date de publication]]&gt;=EDATE(TODAY(),-24),"Oui","Non")</calculatedColumnFormula>
    </tableColumn>
    <tableColumn id="29" xr3:uid="{E5332683-EF22-47EC-9C63-EF216D4B575A}" name="Compute Capacity (kW)" dataDxfId="5"/>
    <tableColumn id="31" xr3:uid="{515CF22E-4925-4839-A8C8-54B836C4041B}" name="Source Compute " dataDxfId="4"/>
  </tableColumns>
  <tableStyleInfo name="TableStyleMedium2" showFirstColumn="0" showLastColumn="0" showRowStripes="1" showColumnStripes="0"/>
</table>
</file>

<file path=xl/theme/theme1.xml><?xml version="1.0" encoding="utf-8"?>
<a:theme xmlns:a="http://schemas.openxmlformats.org/drawingml/2006/main" name="SNCG charte">
  <a:themeElements>
    <a:clrScheme name="SNCF">
      <a:dk1>
        <a:srgbClr val="000000"/>
      </a:dk1>
      <a:lt1>
        <a:srgbClr val="FFFFFF"/>
      </a:lt1>
      <a:dk2>
        <a:srgbClr val="3C3732"/>
      </a:dk2>
      <a:lt2>
        <a:srgbClr val="D0D3D4"/>
      </a:lt2>
      <a:accent1>
        <a:srgbClr val="0088CE"/>
      </a:accent1>
      <a:accent2>
        <a:srgbClr val="D52B1E"/>
      </a:accent2>
      <a:accent3>
        <a:srgbClr val="00B388"/>
      </a:accent3>
      <a:accent4>
        <a:srgbClr val="8374D1"/>
      </a:accent4>
      <a:accent5>
        <a:srgbClr val="EC86D0"/>
      </a:accent5>
      <a:accent6>
        <a:srgbClr val="F2827F"/>
      </a:accent6>
      <a:hlink>
        <a:srgbClr val="0088CE"/>
      </a:hlink>
      <a:folHlink>
        <a:srgbClr val="DC582A"/>
      </a:folHlink>
    </a:clrScheme>
    <a:fontScheme name="Custom 1">
      <a:majorFont>
        <a:latin typeface="Avenir Next LT Pro"/>
        <a:ea typeface=""/>
        <a:cs typeface=""/>
      </a:majorFont>
      <a:minorFont>
        <a:latin typeface="Avenir Next LT Pro Light"/>
        <a:ea typeface=""/>
        <a:cs typeface=""/>
      </a:minorFont>
    </a:fontScheme>
    <a:fmtScheme name="Thème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6">
            <a:lumMod val="100000"/>
          </a:schemeClr>
        </a:solidFill>
        <a:ln>
          <a:noFill/>
        </a:ln>
      </a:spPr>
      <a:bodyPr rot="0" spcFirstLastPara="0" vertOverflow="overflow" horzOverflow="overflow" vert="horz" wrap="square" lIns="108000" tIns="108000" rIns="108000" bIns="108000" numCol="1" spcCol="0" rtlCol="0" fromWordArt="0" anchor="t" anchorCtr="0" forceAA="0" compatLnSpc="1">
        <a:prstTxWarp prst="textNoShape">
          <a:avLst/>
        </a:prstTxWarp>
        <a:noAutofit/>
      </a:bodyPr>
      <a:lstStyle>
        <a:defPPr algn="l">
          <a:spcBef>
            <a:spcPts val="600"/>
          </a:spcBef>
          <a:defRPr sz="2000" dirty="0" err="1" smtClean="0">
            <a:solidFill>
              <a:schemeClr val="bg2"/>
            </a:solidFill>
            <a:ea typeface="+mj-ea"/>
            <a:cs typeface="+mj-cs"/>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bg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36000" rIns="0" bIns="36000" rtlCol="0">
        <a:spAutoFit/>
      </a:bodyPr>
      <a:lstStyle>
        <a:defPPr algn="l">
          <a:spcBef>
            <a:spcPts val="600"/>
          </a:spcBef>
          <a:defRPr sz="1600" dirty="0" err="1" smtClean="0"/>
        </a:defPPr>
      </a:lstStyle>
    </a:txDef>
  </a:objectDefaults>
  <a:extraClrSchemeLst/>
  <a:extLst>
    <a:ext uri="{05A4C25C-085E-4340-85A3-A5531E510DB2}">
      <thm15:themeFamily xmlns:thm15="http://schemas.microsoft.com/office/thememl/2012/main" name="SNCG charte" id="{D8F4CC75-9A91-47AA-BE9B-C091B6288F2F}" vid="{4A244A5C-A80F-4B9C-B9DB-234A7B6C0423}"/>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SNCFdevelopers/ImpactIA"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ourworldindata.org/grapher/electricity-mix?tab=table&amp;country=%7EUSA&amp;mapSelect=%7EUSA&amp;tableSearch=Ireland&amp;source=total&amp;metric=carbon_intensity&amp;frequency=annual" TargetMode="External"/><Relationship Id="rId13" Type="http://schemas.openxmlformats.org/officeDocument/2006/relationships/printerSettings" Target="../printerSettings/printerSettings6.bin"/><Relationship Id="rId3" Type="http://schemas.openxmlformats.org/officeDocument/2006/relationships/hyperlink" Target="https://epoch.ai/data/ai-models" TargetMode="External"/><Relationship Id="rId7" Type="http://schemas.openxmlformats.org/officeDocument/2006/relationships/hyperlink" Target="https://ourworldindata.org/grapher/electricity-mix?tab=table&amp;country=%7EUSA&amp;mapSelect=%7EUSA&amp;tableSearch=Germany&amp;source=total&amp;metric=carbon_intensity&amp;frequency=annual" TargetMode="External"/><Relationship Id="rId12" Type="http://schemas.openxmlformats.org/officeDocument/2006/relationships/hyperlink" Target="https://ourworldindata.org/grapher/electricity-mix?tab=table&amp;country=%7EUSA&amp;mapSelect=%7EUSA&amp;tableSearch=Sweden&amp;source=total&amp;metric=carbon_intensity&amp;frequency=annual" TargetMode="External"/><Relationship Id="rId2" Type="http://schemas.openxmlformats.org/officeDocument/2006/relationships/hyperlink" Target="https://epoch.ai/data-insights/gpt-4s-trainable" TargetMode="External"/><Relationship Id="rId1" Type="http://schemas.openxmlformats.org/officeDocument/2006/relationships/hyperlink" Target="https://www.kitguru.net/components/hard-drives/simon-crisp/seagate-exos-m-30tb-hdd-review/" TargetMode="External"/><Relationship Id="rId6" Type="http://schemas.openxmlformats.org/officeDocument/2006/relationships/hyperlink" Target="https://ourworldindata.org/grapher/electricity-mix?tab=table&amp;country=%7EUSA&amp;mapSelect=%7EUSA&amp;tableSearch=United+kingdom&amp;source=total&amp;metric=carbon_intensity&amp;frequency=annual" TargetMode="External"/><Relationship Id="rId11" Type="http://schemas.openxmlformats.org/officeDocument/2006/relationships/hyperlink" Target="https://base-empreinte.ademe.fr/donnees/jeu-donnees/34c2331d-95eb-343f-ad4a-e54a577f42c3/0/false/null" TargetMode="External"/><Relationship Id="rId5" Type="http://schemas.openxmlformats.org/officeDocument/2006/relationships/hyperlink" Target="https://ourworldindata.org/grapher/electricity-mix?tab=table&amp;country=%7EUSA&amp;mapSelect=%7EUSA&amp;tableSearch=United+States&amp;source=total&amp;metric=carbon_intensity&amp;frequency=annual" TargetMode="External"/><Relationship Id="rId10" Type="http://schemas.openxmlformats.org/officeDocument/2006/relationships/hyperlink" Target="https://ourworldindata.org/grapher/electricity-mix?tab=table&amp;country=%7EUSA&amp;mapSelect=%7EUSA&amp;tableSearch=world&amp;source=total&amp;metric=carbon_intensity&amp;frequency=annual" TargetMode="External"/><Relationship Id="rId4" Type="http://schemas.openxmlformats.org/officeDocument/2006/relationships/hyperlink" Target="https://ourworldindata.org/grapher/electricity-mix?tab=table&amp;country=%7EUSA&amp;mapSelect=%7EUSA&amp;tableSearch=europe+27&amp;source=total&amp;metric=carbon_intensity&amp;frequency=annual" TargetMode="External"/><Relationship Id="rId9" Type="http://schemas.openxmlformats.org/officeDocument/2006/relationships/hyperlink" Target="https://ourworldindata.org/grapher/electricity-mix?tab=table&amp;country=%7EUSA&amp;mapSelect=%7EUSA&amp;tableSearch=netherlands&amp;source=total&amp;metric=carbon_intensity&amp;frequency=annual" TargetMode="External"/><Relationship Id="rId1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hyperlink" Target="https://www.google.com/url?sa=t&amp;rct=j&amp;q=&amp;esrc=s&amp;source=web&amp;cd=&amp;cad=rja&amp;uact=8&amp;ved=2ahUKEwjSoMeoof-TAxW0UaQEHaapGyoQFnoECB4QAQ&amp;url=https%3A%2F%2Fdocs.cloud.google.com%2Fvertex-ai%2Fgenerative-ai%2Fdocs%2Fmodels%2Fgemini%2F2-5-flash-image%3Fhl%3Dfr&amp;usg=AOvVaw240LkjGOmYCMjaQY_ISxbk&amp;opi=89978449" TargetMode="External"/><Relationship Id="rId18" Type="http://schemas.openxmlformats.org/officeDocument/2006/relationships/hyperlink" Target="https://www.google.com/url?sa=t&amp;rct=j&amp;q=&amp;esrc=s&amp;source=web&amp;cd=&amp;ved=2ahUKEwil25K7pf-TAxXwU6QEHRY2D2cQFnoECBcQAQ&amp;url=https%3A%2F%2Fdocs.mistral.ai%2Fmodels%2Fministral-8b-24-1&amp;usg=AOvVaw3F-RcSpD4Ewct9sPJgiE8G&amp;opi=89978449" TargetMode="External"/><Relationship Id="rId26" Type="http://schemas.openxmlformats.org/officeDocument/2006/relationships/hyperlink" Target="https://www.cnbc.com/2025/11/21/google-must-double-ai-serving-capacity-every-6-months-to-meet-demand.html" TargetMode="External"/><Relationship Id="rId39" Type="http://schemas.openxmlformats.org/officeDocument/2006/relationships/hyperlink" Target="https://community.openai.com/t/introducing-gpt-5-6-series-sol-terra-and-luna-coming-july-9-10am-pt/1384931" TargetMode="External"/><Relationship Id="rId21" Type="http://schemas.openxmlformats.org/officeDocument/2006/relationships/hyperlink" Target="https://www.google.com/url?sa=t&amp;rct=j&amp;q=&amp;esrc=s&amp;source=web&amp;cd=&amp;cad=rja&amp;uact=8&amp;ved=2ahUKEwi_5970sP-TAxVb87sIHdU0EIoQFnoECBgQAw&amp;url=https%3A%2F%2Flearn.microsoft.com%2Ffr-fr%2Fazure%2Ffoundry%2Fopenai%2Fconcepts%2Fmodel-retirements&amp;usg=AOvVaw0Z_vPzlKDmhM04E_4m2kah&amp;opi=89978449" TargetMode="External"/><Relationship Id="rId34" Type="http://schemas.openxmlformats.org/officeDocument/2006/relationships/hyperlink" Target="https://www.numerama.com/tech/2255631-google-devoile-gemini-3-5-flash-aussi-intelligent-que-claude-opus-4-6-mais-4-fois-plus-rapide.html" TargetMode="External"/><Relationship Id="rId42" Type="http://schemas.openxmlformats.org/officeDocument/2006/relationships/hyperlink" Target="https://www.technobezz.com/news/google-slashes-free-gemini-api-requests-to-20-per-day-2025-12-20-gl06" TargetMode="External"/><Relationship Id="rId7" Type="http://schemas.openxmlformats.org/officeDocument/2006/relationships/hyperlink" Target="https://www.demandsage.com/claude-ai-statistics/" TargetMode="External"/><Relationship Id="rId2" Type="http://schemas.openxmlformats.org/officeDocument/2006/relationships/hyperlink" Target="https://www.feedough.com/openai-statistics/" TargetMode="External"/><Relationship Id="rId16" Type="http://schemas.openxmlformats.org/officeDocument/2006/relationships/hyperlink" Target="https://docs.mistral.ai/models/model-cards/magistral-medium-1-0-25-06" TargetMode="External"/><Relationship Id="rId29" Type="http://schemas.openxmlformats.org/officeDocument/2006/relationships/hyperlink" Target="https://finance.yahoo.com/sectors/technology/articles/coreweave-signs-multi-deal-anthropic-162247263.html" TargetMode="External"/><Relationship Id="rId1" Type="http://schemas.openxmlformats.org/officeDocument/2006/relationships/hyperlink" Target="https://www.feedough.com/openai-statistics/" TargetMode="External"/><Relationship Id="rId6" Type="http://schemas.openxmlformats.org/officeDocument/2006/relationships/hyperlink" Target="https://fueler.io/blog/mistral-ai-usage-revenue-valuation-growth-statistics" TargetMode="External"/><Relationship Id="rId11" Type="http://schemas.openxmlformats.org/officeDocument/2006/relationships/hyperlink" Target="https://aisisters.ai/post/nouveaute-claude-2026" TargetMode="External"/><Relationship Id="rId24" Type="http://schemas.openxmlformats.org/officeDocument/2006/relationships/hyperlink" Target="https://wccftech.com/openai-sets-goal-to-scale-up-ai-compute-capacity-to-a-whopping-30gw-by-2030/" TargetMode="External"/><Relationship Id="rId32" Type="http://schemas.openxmlformats.org/officeDocument/2006/relationships/hyperlink" Target="https://www.feedough.com/openai-statistics/" TargetMode="External"/><Relationship Id="rId37" Type="http://schemas.openxmlformats.org/officeDocument/2006/relationships/hyperlink" Target="https://wccftech.com/openai-sets-goal-to-scale-up-ai-compute-capacity-to-a-whopping-30gw-by-2030/" TargetMode="External"/><Relationship Id="rId40" Type="http://schemas.openxmlformats.org/officeDocument/2006/relationships/hyperlink" Target="https://community.openai.com/t/introducing-gpt-5-6-series-sol-terra-and-luna-coming-july-9-10am-pt/1384931" TargetMode="External"/><Relationship Id="rId45" Type="http://schemas.openxmlformats.org/officeDocument/2006/relationships/table" Target="../tables/table2.xml"/><Relationship Id="rId5" Type="http://schemas.openxmlformats.org/officeDocument/2006/relationships/hyperlink" Target="https://fueler.io/blog/mistral-ai-usage-revenue-valuation-growth-statistics" TargetMode="External"/><Relationship Id="rId15" Type="http://schemas.openxmlformats.org/officeDocument/2006/relationships/hyperlink" Target="https://legal.mistral.ai/ai-governance/models/codestral" TargetMode="External"/><Relationship Id="rId23" Type="http://schemas.openxmlformats.org/officeDocument/2006/relationships/hyperlink" Target="https://www.google.com/url?sa=t&amp;rct=j&amp;q=&amp;esrc=s&amp;source=web&amp;cd=&amp;cad=rja&amp;uact=8&amp;ved=2ahUKEwialdy7sf-TAxUO87sIHf-rOHYQFnoECBcQAw&amp;url=https%3A%2F%2Fhelp.openai.com%2Ffr-fr%2Farticles%2F9624314-notes-de-version-des-mod%25C3%25A8les%23%3A~%3Atext%3DOpenAI%2520o3%2520et%2520o4%252Dmini%2520(16%2520avril%25202025)&amp;usg=AOvVaw2rDroTDrp2BwhjEqarUFj1&amp;opi=89978449" TargetMode="External"/><Relationship Id="rId28" Type="http://schemas.openxmlformats.org/officeDocument/2006/relationships/hyperlink" Target="https://www.cnbc.com/2026/03/30/mistral-ai-paris-data-center-cluster-debt-financing.html" TargetMode="External"/><Relationship Id="rId36" Type="http://schemas.openxmlformats.org/officeDocument/2006/relationships/hyperlink" Target="https://www.anthropic.com/news/claude-sonnet-5" TargetMode="External"/><Relationship Id="rId10" Type="http://schemas.openxmlformats.org/officeDocument/2006/relationships/hyperlink" Target="https://platform.claude.com/docs/fr/release-notes/overview" TargetMode="External"/><Relationship Id="rId19" Type="http://schemas.openxmlformats.org/officeDocument/2006/relationships/hyperlink" Target="https://docs.mistral.ai/models/model-cards/mistral-medium-3-1-25-08" TargetMode="External"/><Relationship Id="rId31" Type="http://schemas.openxmlformats.org/officeDocument/2006/relationships/hyperlink" Target="https://www.cnbc.com/2025/11/21/google-must-double-ai-serving-capacity-every-6-months-to-meet-demand.html" TargetMode="External"/><Relationship Id="rId44" Type="http://schemas.openxmlformats.org/officeDocument/2006/relationships/printerSettings" Target="../printerSettings/printerSettings7.bin"/><Relationship Id="rId4" Type="http://schemas.openxmlformats.org/officeDocument/2006/relationships/hyperlink" Target="https://www.technobezz.com/news/google-slashes-free-gemini-api-requests-to-20-per-day-2025-12-20-gl06" TargetMode="External"/><Relationship Id="rId9" Type="http://schemas.openxmlformats.org/officeDocument/2006/relationships/hyperlink" Target="https://platform.claude.com/docs/en/about-claude/model-deprecations" TargetMode="External"/><Relationship Id="rId14" Type="http://schemas.openxmlformats.org/officeDocument/2006/relationships/hyperlink" Target="https://www.google.com/url?sa=t&amp;rct=j&amp;q=&amp;esrc=s&amp;source=web&amp;cd=&amp;cad=rja&amp;uact=8&amp;ved=2ahUKEwihj6zHof-TAxUAU6QEHdqSN5kQFnoECA4QAw&amp;url=https%3A%2F%2Fai.google.dev%2Fgemini-api%2Fdocs%2Fchangelog%3Fhl%3Dfr%23%3A~%3Atext%3Dla%2520page%2520Veo.-%2C22%2520juillet%25202025%2C2.5%2520rapide%252C%2520%25C3%25A9conomique%2520et%2520performant.&amp;usg=AOvVaw3TBX7_ZE0wPumJW5CJhNuE&amp;opi=89978449" TargetMode="External"/><Relationship Id="rId22" Type="http://schemas.openxmlformats.org/officeDocument/2006/relationships/hyperlink" Target="https://www.google.com/url?sa=t&amp;rct=j&amp;q=&amp;esrc=s&amp;source=web&amp;cd=&amp;cad=rja&amp;uact=8&amp;ved=2ahUKEwi_5970sP-TAxVb87sIHdU0EIoQFnoECBgQAw&amp;url=https%3A%2F%2Flearn.microsoft.com%2Ffr-fr%2Fazure%2Ffoundry%2Fopenai%2Fconcepts%2Fmodel-retirements&amp;usg=AOvVaw0Z_vPzlKDmhM04E_4m2kah&amp;opi=89978449" TargetMode="External"/><Relationship Id="rId27" Type="http://schemas.openxmlformats.org/officeDocument/2006/relationships/hyperlink" Target="https://www.cnbc.com/2025/11/21/google-must-double-ai-serving-capacity-every-6-months-to-meet-demand.html" TargetMode="External"/><Relationship Id="rId30" Type="http://schemas.openxmlformats.org/officeDocument/2006/relationships/hyperlink" Target="https://www.feedough.com/openai-statistics/" TargetMode="External"/><Relationship Id="rId35" Type="http://schemas.openxmlformats.org/officeDocument/2006/relationships/hyperlink" Target="https://www.feedough.com/openai-statistics/" TargetMode="External"/><Relationship Id="rId43" Type="http://schemas.openxmlformats.org/officeDocument/2006/relationships/hyperlink" Target="https://www.technobezz.com/news/google-slashes-free-gemini-api-requests-to-20-per-day-2025-12-20-gl06" TargetMode="External"/><Relationship Id="rId8" Type="http://schemas.openxmlformats.org/officeDocument/2006/relationships/hyperlink" Target="https://www.demandsage.com/claude-ai-statistics/" TargetMode="External"/><Relationship Id="rId3" Type="http://schemas.openxmlformats.org/officeDocument/2006/relationships/hyperlink" Target="https://www.technobezz.com/news/google-slashes-free-gemini-api-requests-to-20-per-day-2025-12-20-gl06" TargetMode="External"/><Relationship Id="rId12" Type="http://schemas.openxmlformats.org/officeDocument/2006/relationships/hyperlink" Target="https://www.google.com/url?sa=t&amp;rct=j&amp;q=&amp;esrc=s&amp;source=web&amp;cd=&amp;cad=rja&amp;uact=8&amp;ved=2ahUKEwi178Kbof-TAxXULPsDHbUIGcEQFnoECBwQAw&amp;url=https%3A%2F%2Fai.google.dev%2Fgemini-api%2Fdocs%2Fchangelog%3Fhl%3Dfr%23%3A~%3Atext%3D17%2520juin%25202025%2C-Sortie%2520le%2520gemini%26text%3DSortie%2520de%2520gemini%252D2.5%252Dflash%2Cplus%252C%2520consultez%2520Gemini%25202.5%2520Flash.&amp;usg=AOvVaw3TBX7_ZE0wPumJW5CJhNuE&amp;opi=89978449" TargetMode="External"/><Relationship Id="rId17" Type="http://schemas.openxmlformats.org/officeDocument/2006/relationships/hyperlink" Target="https://docs.mistral.ai/models/model-cards/ministral-3b-24-1" TargetMode="External"/><Relationship Id="rId25" Type="http://schemas.openxmlformats.org/officeDocument/2006/relationships/hyperlink" Target="https://wccftech.com/openai-sets-goal-to-scale-up-ai-compute-capacity-to-a-whopping-30gw-by-2030/" TargetMode="External"/><Relationship Id="rId33" Type="http://schemas.openxmlformats.org/officeDocument/2006/relationships/hyperlink" Target="https://www.anthropic.com/news/claude-opus-4-8" TargetMode="External"/><Relationship Id="rId38" Type="http://schemas.openxmlformats.org/officeDocument/2006/relationships/hyperlink" Target="https://wccftech.com/openai-sets-goal-to-scale-up-ai-compute-capacity-to-a-whopping-30gw-by-2030/" TargetMode="External"/><Relationship Id="rId20" Type="http://schemas.openxmlformats.org/officeDocument/2006/relationships/hyperlink" Target="https://www.google.com/url?sa=t&amp;rct=j&amp;q=&amp;esrc=s&amp;source=web&amp;cd=&amp;cad=rja&amp;uact=8&amp;ved=2ahUKEwj7_9S1qP-TAxU1hv0HHbB-DUYQFnoECBcQAQ&amp;url=https%3A%2F%2Fhelp.openai.com%2Ffr-fr%2Farticles%2F9624314-notes-de-version-des-mod%25C3%25A8les&amp;usg=AOvVaw2rDroTDrp2BwhjEqarUFj1&amp;opi=89978449" TargetMode="External"/><Relationship Id="rId41" Type="http://schemas.openxmlformats.org/officeDocument/2006/relationships/hyperlink" Target="https://www.technobezz.com/news/google-slashes-free-gemini-api-requests-to-20-per-day-2025-12-20-gl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C3E5-B46A-4F5C-B9A5-2B55AADEDCFA}">
  <sheetPr codeName="Sheet1">
    <tabColor theme="8" tint="-0.499984740745262"/>
    <pageSetUpPr fitToPage="1"/>
  </sheetPr>
  <dimension ref="B2:P109"/>
  <sheetViews>
    <sheetView showGridLines="0" tabSelected="1" zoomScale="87" zoomScaleNormal="115" workbookViewId="0">
      <selection activeCell="E110" sqref="E110"/>
      <extLst>
        <ext xmlns:xlsdti="http://schemas.microsoft.com/office/spreadsheetml/2023/showDataTypeIcons" uri="{77bfe23e-c014-4d31-8a63-9c772dbf06b6}">
          <xlsdti:showDataTypeIcons visible="0"/>
        </ext>
      </extLst>
    </sheetView>
  </sheetViews>
  <sheetFormatPr baseColWidth="10" defaultColWidth="10.77734375" defaultRowHeight="15"/>
  <cols>
    <col min="1" max="16384" width="10.77734375" style="3"/>
  </cols>
  <sheetData>
    <row r="2" spans="2:13" ht="38.1" customHeight="1">
      <c r="C2" s="248" t="s">
        <v>0</v>
      </c>
      <c r="D2" s="248"/>
      <c r="E2" s="248"/>
      <c r="F2" s="248"/>
      <c r="G2" s="248"/>
      <c r="H2" s="248"/>
      <c r="I2" s="248"/>
      <c r="J2" s="248"/>
      <c r="K2" s="248"/>
      <c r="L2" s="248"/>
    </row>
    <row r="3" spans="2:13" ht="27.6" customHeight="1">
      <c r="C3" s="248"/>
      <c r="D3" s="248"/>
      <c r="E3" s="248"/>
      <c r="F3" s="248"/>
      <c r="G3" s="248"/>
      <c r="H3" s="248"/>
      <c r="I3" s="248"/>
      <c r="J3" s="248"/>
      <c r="K3" s="248"/>
      <c r="L3" s="248"/>
    </row>
    <row r="4" spans="2:13" ht="13.5" hidden="1" customHeight="1">
      <c r="C4" s="248"/>
      <c r="D4" s="248"/>
      <c r="E4" s="248"/>
      <c r="F4" s="248"/>
      <c r="G4" s="248"/>
      <c r="H4" s="248"/>
      <c r="I4" s="248"/>
      <c r="J4" s="248"/>
      <c r="K4" s="248"/>
      <c r="L4" s="248"/>
    </row>
    <row r="6" spans="2:13" ht="18.600000000000001" customHeight="1">
      <c r="B6" s="238" t="s">
        <v>1</v>
      </c>
      <c r="C6" s="238"/>
      <c r="D6" s="238"/>
      <c r="E6" s="238"/>
      <c r="F6" s="238"/>
      <c r="G6" s="238"/>
      <c r="H6" s="238"/>
      <c r="I6" s="238"/>
      <c r="J6" s="238"/>
      <c r="K6" s="238"/>
      <c r="L6" s="238"/>
      <c r="M6" s="238"/>
    </row>
    <row r="7" spans="2:13" ht="15.75" thickBot="1">
      <c r="B7" s="14"/>
      <c r="C7" s="14"/>
      <c r="D7" s="14"/>
      <c r="E7" s="14"/>
      <c r="F7" s="14"/>
      <c r="G7" s="14"/>
      <c r="H7" s="14"/>
      <c r="I7" s="14"/>
      <c r="J7" s="14"/>
      <c r="K7" s="14"/>
      <c r="L7" s="14"/>
      <c r="M7" s="14"/>
    </row>
    <row r="8" spans="2:13">
      <c r="B8" s="300" t="s">
        <v>2</v>
      </c>
      <c r="C8" s="301"/>
      <c r="D8" s="301"/>
      <c r="E8" s="301"/>
      <c r="F8" s="301"/>
      <c r="G8" s="301"/>
      <c r="H8" s="301"/>
      <c r="I8" s="301"/>
      <c r="J8" s="301"/>
      <c r="K8" s="301"/>
      <c r="L8" s="301"/>
      <c r="M8" s="302"/>
    </row>
    <row r="9" spans="2:13" ht="33.950000000000003" customHeight="1">
      <c r="B9" s="291" t="s">
        <v>446</v>
      </c>
      <c r="C9" s="292"/>
      <c r="D9" s="292"/>
      <c r="E9" s="292"/>
      <c r="F9" s="292"/>
      <c r="G9" s="292"/>
      <c r="H9" s="292"/>
      <c r="I9" s="292"/>
      <c r="J9" s="292"/>
      <c r="K9" s="292"/>
      <c r="L9" s="292"/>
      <c r="M9" s="293"/>
    </row>
    <row r="10" spans="2:13" ht="15.6" customHeight="1">
      <c r="B10" s="294"/>
      <c r="C10" s="295"/>
      <c r="D10" s="295"/>
      <c r="E10" s="295"/>
      <c r="F10" s="295"/>
      <c r="G10" s="295"/>
      <c r="H10" s="295"/>
      <c r="I10" s="295"/>
      <c r="J10" s="295"/>
      <c r="K10" s="295"/>
      <c r="L10" s="295"/>
      <c r="M10" s="296"/>
    </row>
    <row r="11" spans="2:13" ht="15.6" customHeight="1">
      <c r="B11" s="294"/>
      <c r="C11" s="295"/>
      <c r="D11" s="295"/>
      <c r="E11" s="295"/>
      <c r="F11" s="295"/>
      <c r="G11" s="295"/>
      <c r="H11" s="295"/>
      <c r="I11" s="295"/>
      <c r="J11" s="295"/>
      <c r="K11" s="295"/>
      <c r="L11" s="295"/>
      <c r="M11" s="296"/>
    </row>
    <row r="12" spans="2:13" ht="15.6" customHeight="1">
      <c r="B12" s="294"/>
      <c r="C12" s="295"/>
      <c r="D12" s="295"/>
      <c r="E12" s="295"/>
      <c r="F12" s="295"/>
      <c r="G12" s="295"/>
      <c r="H12" s="295"/>
      <c r="I12" s="295"/>
      <c r="J12" s="295"/>
      <c r="K12" s="295"/>
      <c r="L12" s="295"/>
      <c r="M12" s="296"/>
    </row>
    <row r="13" spans="2:13" ht="15.6" customHeight="1">
      <c r="B13" s="294"/>
      <c r="C13" s="295"/>
      <c r="D13" s="295"/>
      <c r="E13" s="295"/>
      <c r="F13" s="295"/>
      <c r="G13" s="295"/>
      <c r="H13" s="295"/>
      <c r="I13" s="295"/>
      <c r="J13" s="295"/>
      <c r="K13" s="295"/>
      <c r="L13" s="295"/>
      <c r="M13" s="296"/>
    </row>
    <row r="14" spans="2:13" ht="81" customHeight="1">
      <c r="B14" s="297"/>
      <c r="C14" s="298"/>
      <c r="D14" s="298"/>
      <c r="E14" s="298"/>
      <c r="F14" s="298"/>
      <c r="G14" s="298"/>
      <c r="H14" s="298"/>
      <c r="I14" s="298"/>
      <c r="J14" s="298"/>
      <c r="K14" s="298"/>
      <c r="L14" s="298"/>
      <c r="M14" s="299"/>
    </row>
    <row r="15" spans="2:13">
      <c r="B15" s="15"/>
      <c r="C15" s="15"/>
      <c r="D15" s="15"/>
      <c r="E15" s="15"/>
      <c r="F15" s="15"/>
      <c r="G15" s="15"/>
      <c r="H15" s="15"/>
      <c r="I15" s="15"/>
      <c r="J15" s="15"/>
      <c r="K15" s="15"/>
      <c r="L15" s="15"/>
      <c r="M15" s="15"/>
    </row>
    <row r="16" spans="2:13" ht="15.75">
      <c r="B16" s="277" t="s">
        <v>3</v>
      </c>
      <c r="C16" s="278"/>
      <c r="D16" s="278"/>
      <c r="E16" s="278"/>
      <c r="F16" s="278"/>
      <c r="G16" s="278"/>
      <c r="H16" s="278"/>
      <c r="I16" s="278"/>
      <c r="J16" s="278"/>
      <c r="K16" s="278"/>
      <c r="L16" s="278"/>
      <c r="M16" s="279"/>
    </row>
    <row r="17" spans="2:13" ht="40.5" customHeight="1">
      <c r="B17" s="46"/>
      <c r="C17" s="47"/>
      <c r="D17" s="47"/>
      <c r="E17" s="47"/>
      <c r="F17" s="47"/>
      <c r="G17" s="47"/>
      <c r="H17" s="47"/>
      <c r="I17" s="47"/>
      <c r="J17" s="47"/>
      <c r="K17" s="47"/>
      <c r="L17" s="47"/>
      <c r="M17" s="48"/>
    </row>
    <row r="18" spans="2:13">
      <c r="B18" s="280" t="s">
        <v>4</v>
      </c>
      <c r="C18" s="281"/>
      <c r="D18" s="281"/>
      <c r="E18" s="281"/>
      <c r="F18" s="281" t="s">
        <v>5</v>
      </c>
      <c r="G18" s="281"/>
      <c r="H18" s="281"/>
      <c r="I18" s="281"/>
      <c r="J18" s="281" t="s">
        <v>6</v>
      </c>
      <c r="K18" s="281"/>
      <c r="L18" s="281"/>
      <c r="M18" s="282"/>
    </row>
    <row r="19" spans="2:13" ht="9.9499999999999993" customHeight="1">
      <c r="B19" s="280"/>
      <c r="C19" s="281"/>
      <c r="D19" s="281"/>
      <c r="E19" s="281"/>
      <c r="F19" s="281"/>
      <c r="G19" s="281"/>
      <c r="H19" s="281"/>
      <c r="I19" s="281"/>
      <c r="J19" s="281"/>
      <c r="K19" s="281"/>
      <c r="L19" s="281"/>
      <c r="M19" s="282"/>
    </row>
    <row r="20" spans="2:13" ht="23.1" customHeight="1">
      <c r="B20" s="286" t="s">
        <v>7</v>
      </c>
      <c r="C20" s="275"/>
      <c r="D20" s="275"/>
      <c r="E20" s="275"/>
      <c r="F20" s="275" t="s">
        <v>8</v>
      </c>
      <c r="G20" s="275"/>
      <c r="H20" s="275"/>
      <c r="I20" s="275"/>
      <c r="J20" s="275" t="s">
        <v>9</v>
      </c>
      <c r="K20" s="275"/>
      <c r="L20" s="275"/>
      <c r="M20" s="276"/>
    </row>
    <row r="21" spans="2:13">
      <c r="B21" s="16"/>
      <c r="C21" s="16"/>
      <c r="D21" s="16"/>
      <c r="E21" s="16"/>
      <c r="F21" s="16"/>
      <c r="G21" s="16"/>
      <c r="H21" s="16"/>
      <c r="I21" s="16"/>
      <c r="J21" s="16"/>
      <c r="K21" s="16"/>
      <c r="L21" s="16"/>
      <c r="M21" s="16"/>
    </row>
    <row r="22" spans="2:13" ht="15.75" thickBot="1">
      <c r="B22" s="16"/>
      <c r="C22" s="16"/>
      <c r="D22" s="16"/>
      <c r="E22" s="16"/>
      <c r="F22" s="16"/>
      <c r="G22" s="16"/>
      <c r="H22" s="16"/>
      <c r="I22" s="16"/>
      <c r="J22" s="16"/>
      <c r="K22" s="16"/>
      <c r="L22" s="16"/>
      <c r="M22" s="16"/>
    </row>
    <row r="23" spans="2:13">
      <c r="B23" s="303" t="s">
        <v>10</v>
      </c>
      <c r="C23" s="304"/>
      <c r="D23" s="304"/>
      <c r="E23" s="304"/>
      <c r="F23" s="304"/>
      <c r="G23" s="304"/>
      <c r="H23" s="304"/>
      <c r="I23" s="304"/>
      <c r="J23" s="304"/>
      <c r="K23" s="304"/>
      <c r="L23" s="304"/>
      <c r="M23" s="305"/>
    </row>
    <row r="24" spans="2:13" ht="53.45" customHeight="1">
      <c r="B24" s="306" t="s">
        <v>443</v>
      </c>
      <c r="C24" s="307"/>
      <c r="D24" s="307"/>
      <c r="E24" s="307"/>
      <c r="F24" s="307"/>
      <c r="G24" s="307"/>
      <c r="H24" s="307"/>
      <c r="I24" s="307"/>
      <c r="J24" s="307"/>
      <c r="K24" s="307"/>
      <c r="L24" s="307"/>
      <c r="M24" s="308"/>
    </row>
    <row r="25" spans="2:13">
      <c r="B25" s="309"/>
      <c r="C25" s="310"/>
      <c r="D25" s="310"/>
      <c r="E25" s="310"/>
      <c r="F25" s="310"/>
      <c r="G25" s="310"/>
      <c r="H25" s="310"/>
      <c r="I25" s="310"/>
      <c r="J25" s="310"/>
      <c r="K25" s="310"/>
      <c r="L25" s="310"/>
      <c r="M25" s="311"/>
    </row>
    <row r="26" spans="2:13">
      <c r="B26" s="309"/>
      <c r="C26" s="310"/>
      <c r="D26" s="310"/>
      <c r="E26" s="310"/>
      <c r="F26" s="310"/>
      <c r="G26" s="310"/>
      <c r="H26" s="310"/>
      <c r="I26" s="310"/>
      <c r="J26" s="310"/>
      <c r="K26" s="310"/>
      <c r="L26" s="310"/>
      <c r="M26" s="311"/>
    </row>
    <row r="27" spans="2:13" ht="45" customHeight="1">
      <c r="B27" s="312"/>
      <c r="C27" s="313"/>
      <c r="D27" s="313"/>
      <c r="E27" s="313"/>
      <c r="F27" s="313"/>
      <c r="G27" s="313"/>
      <c r="H27" s="313"/>
      <c r="I27" s="313"/>
      <c r="J27" s="313"/>
      <c r="K27" s="313"/>
      <c r="L27" s="313"/>
      <c r="M27" s="314"/>
    </row>
    <row r="28" spans="2:13">
      <c r="B28" s="17"/>
      <c r="C28" s="17"/>
      <c r="D28" s="17"/>
      <c r="E28" s="17"/>
      <c r="F28" s="17"/>
      <c r="G28" s="17"/>
      <c r="H28" s="17"/>
      <c r="I28" s="17"/>
      <c r="J28" s="17"/>
      <c r="K28" s="17"/>
      <c r="L28" s="17"/>
      <c r="M28" s="17"/>
    </row>
    <row r="29" spans="2:13">
      <c r="B29" s="17"/>
      <c r="C29" s="17"/>
      <c r="D29" s="17"/>
      <c r="E29" s="17"/>
      <c r="F29" s="17"/>
      <c r="G29" s="17"/>
      <c r="H29" s="17"/>
      <c r="I29" s="17"/>
      <c r="J29" s="17"/>
      <c r="K29" s="17"/>
      <c r="L29" s="17"/>
      <c r="M29" s="17"/>
    </row>
    <row r="30" spans="2:13">
      <c r="B30" s="17"/>
      <c r="C30" s="17"/>
      <c r="D30" s="17"/>
      <c r="E30" s="17"/>
      <c r="F30" s="17"/>
      <c r="G30" s="17"/>
      <c r="H30" s="17"/>
      <c r="I30" s="17"/>
      <c r="J30" s="17"/>
      <c r="K30" s="17"/>
      <c r="L30" s="17"/>
      <c r="M30" s="17"/>
    </row>
    <row r="31" spans="2:13">
      <c r="B31" s="17"/>
      <c r="C31" s="17"/>
      <c r="D31" s="17"/>
      <c r="E31" s="17"/>
      <c r="F31" s="17"/>
      <c r="G31" s="17"/>
      <c r="H31" s="17"/>
      <c r="I31" s="17"/>
      <c r="J31" s="17"/>
      <c r="K31" s="17"/>
      <c r="L31" s="17"/>
      <c r="M31" s="17"/>
    </row>
    <row r="32" spans="2:13" ht="15.75" thickBot="1">
      <c r="B32" s="18"/>
      <c r="C32" s="18"/>
      <c r="D32" s="18"/>
      <c r="E32" s="18"/>
      <c r="F32" s="18"/>
      <c r="G32" s="18"/>
      <c r="H32" s="18"/>
      <c r="I32" s="18"/>
      <c r="J32" s="18"/>
      <c r="K32" s="18"/>
      <c r="L32" s="18"/>
      <c r="M32" s="18"/>
    </row>
    <row r="33" spans="2:13">
      <c r="B33" s="303" t="s">
        <v>11</v>
      </c>
      <c r="C33" s="304"/>
      <c r="D33" s="304"/>
      <c r="E33" s="304"/>
      <c r="F33" s="304"/>
      <c r="G33" s="304"/>
      <c r="H33" s="304"/>
      <c r="I33" s="304"/>
      <c r="J33" s="304"/>
      <c r="K33" s="304"/>
      <c r="L33" s="304"/>
      <c r="M33" s="305"/>
    </row>
    <row r="34" spans="2:13" ht="14.45" customHeight="1">
      <c r="B34" s="315"/>
      <c r="C34" s="316"/>
      <c r="D34" s="316"/>
      <c r="E34" s="316"/>
      <c r="F34" s="316"/>
      <c r="G34" s="316"/>
      <c r="H34" s="316"/>
      <c r="I34" s="316"/>
      <c r="J34" s="316"/>
      <c r="K34" s="316"/>
      <c r="L34" s="316"/>
      <c r="M34" s="317"/>
    </row>
    <row r="35" spans="2:13" ht="15.6" customHeight="1">
      <c r="B35" s="318"/>
      <c r="C35" s="319"/>
      <c r="D35" s="319"/>
      <c r="E35" s="319"/>
      <c r="F35" s="319"/>
      <c r="G35" s="319"/>
      <c r="H35" s="319"/>
      <c r="I35" s="319"/>
      <c r="J35" s="319"/>
      <c r="K35" s="319"/>
      <c r="L35" s="319"/>
      <c r="M35" s="320"/>
    </row>
    <row r="36" spans="2:13" ht="19.5" customHeight="1">
      <c r="B36" s="318"/>
      <c r="C36" s="319"/>
      <c r="D36" s="319"/>
      <c r="E36" s="319"/>
      <c r="F36" s="319"/>
      <c r="G36" s="319"/>
      <c r="H36" s="319"/>
      <c r="I36" s="319"/>
      <c r="J36" s="319"/>
      <c r="K36" s="319"/>
      <c r="L36" s="319"/>
      <c r="M36" s="320"/>
    </row>
    <row r="37" spans="2:13" ht="15.6" customHeight="1">
      <c r="B37" s="318"/>
      <c r="C37" s="319"/>
      <c r="D37" s="319"/>
      <c r="E37" s="319"/>
      <c r="F37" s="319"/>
      <c r="G37" s="319"/>
      <c r="H37" s="319"/>
      <c r="I37" s="319"/>
      <c r="J37" s="319"/>
      <c r="K37" s="319"/>
      <c r="L37" s="319"/>
      <c r="M37" s="320"/>
    </row>
    <row r="38" spans="2:13" ht="183" customHeight="1">
      <c r="B38" s="318"/>
      <c r="C38" s="319"/>
      <c r="D38" s="319"/>
      <c r="E38" s="319"/>
      <c r="F38" s="319"/>
      <c r="G38" s="319"/>
      <c r="H38" s="319"/>
      <c r="I38" s="319"/>
      <c r="J38" s="319"/>
      <c r="K38" s="319"/>
      <c r="L38" s="319"/>
      <c r="M38" s="320"/>
    </row>
    <row r="39" spans="2:13" ht="29.45" customHeight="1">
      <c r="B39" s="318"/>
      <c r="C39" s="319"/>
      <c r="D39" s="319"/>
      <c r="E39" s="319"/>
      <c r="F39" s="319"/>
      <c r="G39" s="319"/>
      <c r="H39" s="319"/>
      <c r="I39" s="319"/>
      <c r="J39" s="319"/>
      <c r="K39" s="319"/>
      <c r="L39" s="319"/>
      <c r="M39" s="320"/>
    </row>
    <row r="40" spans="2:13" ht="30" customHeight="1">
      <c r="B40" s="318"/>
      <c r="C40" s="319"/>
      <c r="D40" s="319"/>
      <c r="E40" s="319"/>
      <c r="F40" s="319"/>
      <c r="G40" s="319"/>
      <c r="H40" s="319"/>
      <c r="I40" s="319"/>
      <c r="J40" s="319"/>
      <c r="K40" s="319"/>
      <c r="L40" s="319"/>
      <c r="M40" s="320"/>
    </row>
    <row r="41" spans="2:13" ht="17.45" customHeight="1">
      <c r="B41" s="318"/>
      <c r="C41" s="319"/>
      <c r="D41" s="319"/>
      <c r="E41" s="319"/>
      <c r="F41" s="319"/>
      <c r="G41" s="319"/>
      <c r="H41" s="319"/>
      <c r="I41" s="319"/>
      <c r="J41" s="319"/>
      <c r="K41" s="319"/>
      <c r="L41" s="319"/>
      <c r="M41" s="320"/>
    </row>
    <row r="42" spans="2:13">
      <c r="B42" s="318"/>
      <c r="C42" s="319"/>
      <c r="D42" s="319"/>
      <c r="E42" s="319"/>
      <c r="F42" s="319"/>
      <c r="G42" s="319"/>
      <c r="H42" s="319"/>
      <c r="I42" s="319"/>
      <c r="J42" s="319"/>
      <c r="K42" s="319"/>
      <c r="L42" s="319"/>
      <c r="M42" s="320"/>
    </row>
    <row r="43" spans="2:13">
      <c r="B43" s="318"/>
      <c r="C43" s="319"/>
      <c r="D43" s="319"/>
      <c r="E43" s="319"/>
      <c r="F43" s="319"/>
      <c r="G43" s="319"/>
      <c r="H43" s="319"/>
      <c r="I43" s="319"/>
      <c r="J43" s="319"/>
      <c r="K43" s="319"/>
      <c r="L43" s="319"/>
      <c r="M43" s="320"/>
    </row>
    <row r="44" spans="2:13" ht="42.95" customHeight="1">
      <c r="B44" s="318"/>
      <c r="C44" s="319"/>
      <c r="D44" s="319"/>
      <c r="E44" s="319"/>
      <c r="F44" s="319"/>
      <c r="G44" s="319"/>
      <c r="H44" s="319"/>
      <c r="I44" s="319"/>
      <c r="J44" s="319"/>
      <c r="K44" s="319"/>
      <c r="L44" s="319"/>
      <c r="M44" s="320"/>
    </row>
    <row r="45" spans="2:13" ht="14.45" customHeight="1">
      <c r="B45" s="318"/>
      <c r="C45" s="319"/>
      <c r="D45" s="319"/>
      <c r="E45" s="319"/>
      <c r="F45" s="319"/>
      <c r="G45" s="319"/>
      <c r="H45" s="319"/>
      <c r="I45" s="319"/>
      <c r="J45" s="319"/>
      <c r="K45" s="319"/>
      <c r="L45" s="319"/>
      <c r="M45" s="320"/>
    </row>
    <row r="46" spans="2:13" ht="14.45" customHeight="1">
      <c r="B46" s="318"/>
      <c r="C46" s="319"/>
      <c r="D46" s="319"/>
      <c r="E46" s="319"/>
      <c r="F46" s="319"/>
      <c r="G46" s="319"/>
      <c r="H46" s="319"/>
      <c r="I46" s="319"/>
      <c r="J46" s="319"/>
      <c r="K46" s="319"/>
      <c r="L46" s="319"/>
      <c r="M46" s="320"/>
    </row>
    <row r="47" spans="2:13" ht="14.45" customHeight="1">
      <c r="B47" s="318"/>
      <c r="C47" s="319"/>
      <c r="D47" s="319"/>
      <c r="E47" s="319"/>
      <c r="F47" s="319"/>
      <c r="G47" s="319"/>
      <c r="H47" s="319"/>
      <c r="I47" s="319"/>
      <c r="J47" s="319"/>
      <c r="K47" s="319"/>
      <c r="L47" s="319"/>
      <c r="M47" s="320"/>
    </row>
    <row r="48" spans="2:13" ht="39.6" customHeight="1">
      <c r="B48" s="318"/>
      <c r="C48" s="319"/>
      <c r="D48" s="319"/>
      <c r="E48" s="319"/>
      <c r="F48" s="319"/>
      <c r="G48" s="319"/>
      <c r="H48" s="319"/>
      <c r="I48" s="319"/>
      <c r="J48" s="319"/>
      <c r="K48" s="319"/>
      <c r="L48" s="319"/>
      <c r="M48" s="320"/>
    </row>
    <row r="49" spans="2:16">
      <c r="B49" s="318"/>
      <c r="C49" s="319"/>
      <c r="D49" s="319"/>
      <c r="E49" s="319"/>
      <c r="F49" s="319"/>
      <c r="G49" s="319"/>
      <c r="H49" s="319"/>
      <c r="I49" s="319"/>
      <c r="J49" s="319"/>
      <c r="K49" s="319"/>
      <c r="L49" s="319"/>
      <c r="M49" s="320"/>
    </row>
    <row r="50" spans="2:16">
      <c r="B50" s="318"/>
      <c r="C50" s="319"/>
      <c r="D50" s="319"/>
      <c r="E50" s="319"/>
      <c r="F50" s="319"/>
      <c r="G50" s="319"/>
      <c r="H50" s="319"/>
      <c r="I50" s="319"/>
      <c r="J50" s="319"/>
      <c r="K50" s="319"/>
      <c r="L50" s="319"/>
      <c r="M50" s="320"/>
      <c r="N50" s="290"/>
      <c r="O50" s="290"/>
    </row>
    <row r="51" spans="2:16" ht="29.1" customHeight="1">
      <c r="B51" s="318"/>
      <c r="C51" s="319"/>
      <c r="D51" s="319"/>
      <c r="E51" s="319"/>
      <c r="F51" s="319"/>
      <c r="G51" s="319"/>
      <c r="H51" s="319"/>
      <c r="I51" s="319"/>
      <c r="J51" s="319"/>
      <c r="K51" s="319"/>
      <c r="L51" s="319"/>
      <c r="M51" s="320"/>
      <c r="N51" s="290"/>
      <c r="O51" s="290"/>
    </row>
    <row r="52" spans="2:16" ht="30.95" customHeight="1">
      <c r="B52" s="318"/>
      <c r="C52" s="319"/>
      <c r="D52" s="319"/>
      <c r="E52" s="319"/>
      <c r="F52" s="319"/>
      <c r="G52" s="319"/>
      <c r="H52" s="319"/>
      <c r="I52" s="319"/>
      <c r="J52" s="319"/>
      <c r="K52" s="319"/>
      <c r="L52" s="319"/>
      <c r="M52" s="320"/>
    </row>
    <row r="53" spans="2:16" ht="14.45" customHeight="1">
      <c r="B53" s="318"/>
      <c r="C53" s="319"/>
      <c r="D53" s="319"/>
      <c r="E53" s="319"/>
      <c r="F53" s="319"/>
      <c r="G53" s="319"/>
      <c r="H53" s="319"/>
      <c r="I53" s="319"/>
      <c r="J53" s="319"/>
      <c r="K53" s="319"/>
      <c r="L53" s="319"/>
      <c r="M53" s="320"/>
    </row>
    <row r="54" spans="2:16" ht="14.45" customHeight="1">
      <c r="B54" s="318"/>
      <c r="C54" s="319"/>
      <c r="D54" s="319"/>
      <c r="E54" s="319"/>
      <c r="F54" s="319"/>
      <c r="G54" s="319"/>
      <c r="H54" s="319"/>
      <c r="I54" s="319"/>
      <c r="J54" s="319"/>
      <c r="K54" s="319"/>
      <c r="L54" s="319"/>
      <c r="M54" s="320"/>
      <c r="P54" s="159"/>
    </row>
    <row r="55" spans="2:16" ht="14.45" customHeight="1">
      <c r="B55" s="318"/>
      <c r="C55" s="319"/>
      <c r="D55" s="319"/>
      <c r="E55" s="319"/>
      <c r="F55" s="319"/>
      <c r="G55" s="319"/>
      <c r="H55" s="319"/>
      <c r="I55" s="319"/>
      <c r="J55" s="319"/>
      <c r="K55" s="319"/>
      <c r="L55" s="319"/>
      <c r="M55" s="320"/>
    </row>
    <row r="56" spans="2:16" ht="14.45" customHeight="1">
      <c r="B56" s="318"/>
      <c r="C56" s="319"/>
      <c r="D56" s="319"/>
      <c r="E56" s="319"/>
      <c r="F56" s="319"/>
      <c r="G56" s="319"/>
      <c r="H56" s="319"/>
      <c r="I56" s="319"/>
      <c r="J56" s="319"/>
      <c r="K56" s="319"/>
      <c r="L56" s="319"/>
      <c r="M56" s="320"/>
    </row>
    <row r="57" spans="2:16">
      <c r="B57" s="318"/>
      <c r="C57" s="319"/>
      <c r="D57" s="319"/>
      <c r="E57" s="319"/>
      <c r="F57" s="319"/>
      <c r="G57" s="319"/>
      <c r="H57" s="319"/>
      <c r="I57" s="319"/>
      <c r="J57" s="319"/>
      <c r="K57" s="319"/>
      <c r="L57" s="319"/>
      <c r="M57" s="320"/>
    </row>
    <row r="58" spans="2:16">
      <c r="B58" s="318"/>
      <c r="C58" s="319"/>
      <c r="D58" s="319"/>
      <c r="E58" s="319"/>
      <c r="F58" s="319"/>
      <c r="G58" s="319"/>
      <c r="H58" s="319"/>
      <c r="I58" s="319"/>
      <c r="J58" s="319"/>
      <c r="K58" s="319"/>
      <c r="L58" s="319"/>
      <c r="M58" s="320"/>
    </row>
    <row r="59" spans="2:16">
      <c r="B59" s="318"/>
      <c r="C59" s="319"/>
      <c r="D59" s="319"/>
      <c r="E59" s="319"/>
      <c r="F59" s="319"/>
      <c r="G59" s="319"/>
      <c r="H59" s="319"/>
      <c r="I59" s="319"/>
      <c r="J59" s="319"/>
      <c r="K59" s="319"/>
      <c r="L59" s="319"/>
      <c r="M59" s="320"/>
    </row>
    <row r="60" spans="2:16">
      <c r="B60" s="318"/>
      <c r="C60" s="319"/>
      <c r="D60" s="319"/>
      <c r="E60" s="319"/>
      <c r="F60" s="319"/>
      <c r="G60" s="319"/>
      <c r="H60" s="319"/>
      <c r="I60" s="319"/>
      <c r="J60" s="319"/>
      <c r="K60" s="319"/>
      <c r="L60" s="319"/>
      <c r="M60" s="320"/>
    </row>
    <row r="61" spans="2:16">
      <c r="B61" s="318"/>
      <c r="C61" s="319"/>
      <c r="D61" s="319"/>
      <c r="E61" s="319"/>
      <c r="F61" s="319"/>
      <c r="G61" s="319"/>
      <c r="H61" s="319"/>
      <c r="I61" s="319"/>
      <c r="J61" s="319"/>
      <c r="K61" s="319"/>
      <c r="L61" s="319"/>
      <c r="M61" s="320"/>
    </row>
    <row r="62" spans="2:16">
      <c r="B62" s="318"/>
      <c r="C62" s="319"/>
      <c r="D62" s="319"/>
      <c r="E62" s="319"/>
      <c r="F62" s="319"/>
      <c r="G62" s="319"/>
      <c r="H62" s="319"/>
      <c r="I62" s="319"/>
      <c r="J62" s="319"/>
      <c r="K62" s="319"/>
      <c r="L62" s="319"/>
      <c r="M62" s="320"/>
    </row>
    <row r="63" spans="2:16">
      <c r="B63" s="318"/>
      <c r="C63" s="319"/>
      <c r="D63" s="319"/>
      <c r="E63" s="319"/>
      <c r="F63" s="319"/>
      <c r="G63" s="319"/>
      <c r="H63" s="319"/>
      <c r="I63" s="319"/>
      <c r="J63" s="319"/>
      <c r="K63" s="319"/>
      <c r="L63" s="319"/>
      <c r="M63" s="320"/>
    </row>
    <row r="64" spans="2:16">
      <c r="B64" s="318"/>
      <c r="C64" s="319"/>
      <c r="D64" s="319"/>
      <c r="E64" s="319"/>
      <c r="F64" s="319"/>
      <c r="G64" s="319"/>
      <c r="H64" s="319"/>
      <c r="I64" s="319"/>
      <c r="J64" s="319"/>
      <c r="K64" s="319"/>
      <c r="L64" s="319"/>
      <c r="M64" s="320"/>
    </row>
    <row r="65" spans="2:13">
      <c r="B65" s="318"/>
      <c r="C65" s="319"/>
      <c r="D65" s="319"/>
      <c r="E65" s="319"/>
      <c r="F65" s="319"/>
      <c r="G65" s="319"/>
      <c r="H65" s="319"/>
      <c r="I65" s="319"/>
      <c r="J65" s="319"/>
      <c r="K65" s="319"/>
      <c r="L65" s="319"/>
      <c r="M65" s="320"/>
    </row>
    <row r="66" spans="2:13">
      <c r="B66" s="318"/>
      <c r="C66" s="319"/>
      <c r="D66" s="319"/>
      <c r="E66" s="319"/>
      <c r="F66" s="319"/>
      <c r="G66" s="319"/>
      <c r="H66" s="319"/>
      <c r="I66" s="319"/>
      <c r="J66" s="319"/>
      <c r="K66" s="319"/>
      <c r="L66" s="319"/>
      <c r="M66" s="320"/>
    </row>
    <row r="70" spans="2:13" ht="24.95" customHeight="1">
      <c r="B70" s="321" t="s">
        <v>12</v>
      </c>
      <c r="C70" s="322"/>
      <c r="D70" s="322"/>
      <c r="E70" s="322"/>
      <c r="F70" s="322"/>
      <c r="G70" s="322"/>
      <c r="H70" s="322"/>
      <c r="I70" s="322"/>
      <c r="J70" s="322"/>
      <c r="K70" s="322"/>
      <c r="L70" s="322"/>
      <c r="M70" s="323"/>
    </row>
    <row r="71" spans="2:13" ht="24.95" customHeight="1">
      <c r="B71" s="324"/>
      <c r="C71" s="295"/>
      <c r="D71" s="295"/>
      <c r="E71" s="295"/>
      <c r="F71" s="295"/>
      <c r="G71" s="295"/>
      <c r="H71" s="295"/>
      <c r="I71" s="295"/>
      <c r="J71" s="295"/>
      <c r="K71" s="295"/>
      <c r="L71" s="295"/>
      <c r="M71" s="325"/>
    </row>
    <row r="72" spans="2:13" ht="24.95" customHeight="1">
      <c r="B72" s="326" t="s">
        <v>13</v>
      </c>
      <c r="C72" s="327"/>
      <c r="D72" s="327"/>
      <c r="E72" s="327"/>
      <c r="F72" s="327"/>
      <c r="G72" s="327"/>
      <c r="H72" s="327"/>
      <c r="I72" s="327"/>
      <c r="J72" s="327"/>
      <c r="K72" s="327"/>
      <c r="L72" s="327"/>
      <c r="M72" s="328"/>
    </row>
    <row r="73" spans="2:13" ht="24.95" customHeight="1">
      <c r="B73" s="326"/>
      <c r="C73" s="327"/>
      <c r="D73" s="327"/>
      <c r="E73" s="327"/>
      <c r="F73" s="327"/>
      <c r="G73" s="327"/>
      <c r="H73" s="327"/>
      <c r="I73" s="327"/>
      <c r="J73" s="327"/>
      <c r="K73" s="327"/>
      <c r="L73" s="327"/>
      <c r="M73" s="328"/>
    </row>
    <row r="74" spans="2:13" ht="24.95" customHeight="1">
      <c r="B74" s="326"/>
      <c r="C74" s="327"/>
      <c r="D74" s="327"/>
      <c r="E74" s="327"/>
      <c r="F74" s="327"/>
      <c r="G74" s="327"/>
      <c r="H74" s="327"/>
      <c r="I74" s="327"/>
      <c r="J74" s="327"/>
      <c r="K74" s="327"/>
      <c r="L74" s="327"/>
      <c r="M74" s="328"/>
    </row>
    <row r="75" spans="2:13" ht="24.95" customHeight="1">
      <c r="B75" s="326"/>
      <c r="C75" s="327"/>
      <c r="D75" s="327"/>
      <c r="E75" s="327"/>
      <c r="F75" s="327"/>
      <c r="G75" s="327"/>
      <c r="H75" s="327"/>
      <c r="I75" s="327"/>
      <c r="J75" s="327"/>
      <c r="K75" s="327"/>
      <c r="L75" s="327"/>
      <c r="M75" s="328"/>
    </row>
    <row r="76" spans="2:13" ht="24.95" customHeight="1">
      <c r="B76" s="326"/>
      <c r="C76" s="327"/>
      <c r="D76" s="327"/>
      <c r="E76" s="327"/>
      <c r="F76" s="327"/>
      <c r="G76" s="327"/>
      <c r="H76" s="327"/>
      <c r="I76" s="327"/>
      <c r="J76" s="327"/>
      <c r="K76" s="327"/>
      <c r="L76" s="327"/>
      <c r="M76" s="328"/>
    </row>
    <row r="77" spans="2:13" ht="24.95" customHeight="1">
      <c r="B77" s="326"/>
      <c r="C77" s="327"/>
      <c r="D77" s="327"/>
      <c r="E77" s="327"/>
      <c r="F77" s="327"/>
      <c r="G77" s="327"/>
      <c r="H77" s="327"/>
      <c r="I77" s="327"/>
      <c r="J77" s="327"/>
      <c r="K77" s="327"/>
      <c r="L77" s="327"/>
      <c r="M77" s="328"/>
    </row>
    <row r="78" spans="2:13" ht="24.95" customHeight="1">
      <c r="B78" s="326"/>
      <c r="C78" s="327"/>
      <c r="D78" s="327"/>
      <c r="E78" s="327"/>
      <c r="F78" s="327"/>
      <c r="G78" s="327"/>
      <c r="H78" s="327"/>
      <c r="I78" s="327"/>
      <c r="J78" s="327"/>
      <c r="K78" s="327"/>
      <c r="L78" s="327"/>
      <c r="M78" s="328"/>
    </row>
    <row r="79" spans="2:13" ht="24.95" customHeight="1">
      <c r="B79" s="326"/>
      <c r="C79" s="327"/>
      <c r="D79" s="327"/>
      <c r="E79" s="327"/>
      <c r="F79" s="327"/>
      <c r="G79" s="327"/>
      <c r="H79" s="327"/>
      <c r="I79" s="327"/>
      <c r="J79" s="327"/>
      <c r="K79" s="327"/>
      <c r="L79" s="327"/>
      <c r="M79" s="328"/>
    </row>
    <row r="80" spans="2:13" ht="24.95" customHeight="1">
      <c r="B80" s="326"/>
      <c r="C80" s="327"/>
      <c r="D80" s="327"/>
      <c r="E80" s="327"/>
      <c r="F80" s="327"/>
      <c r="G80" s="327"/>
      <c r="H80" s="327"/>
      <c r="I80" s="327"/>
      <c r="J80" s="327"/>
      <c r="K80" s="327"/>
      <c r="L80" s="327"/>
      <c r="M80" s="328"/>
    </row>
    <row r="81" spans="2:13" ht="24.95" customHeight="1">
      <c r="B81" s="326"/>
      <c r="C81" s="327"/>
      <c r="D81" s="327"/>
      <c r="E81" s="327"/>
      <c r="F81" s="327"/>
      <c r="G81" s="327"/>
      <c r="H81" s="327"/>
      <c r="I81" s="327"/>
      <c r="J81" s="327"/>
      <c r="K81" s="327"/>
      <c r="L81" s="327"/>
      <c r="M81" s="328"/>
    </row>
    <row r="82" spans="2:13" ht="24.95" customHeight="1">
      <c r="B82" s="326"/>
      <c r="C82" s="327"/>
      <c r="D82" s="327"/>
      <c r="E82" s="327"/>
      <c r="F82" s="327"/>
      <c r="G82" s="327"/>
      <c r="H82" s="327"/>
      <c r="I82" s="327"/>
      <c r="J82" s="327"/>
      <c r="K82" s="327"/>
      <c r="L82" s="327"/>
      <c r="M82" s="328"/>
    </row>
    <row r="83" spans="2:13" ht="24.95" customHeight="1">
      <c r="B83" s="326"/>
      <c r="C83" s="327"/>
      <c r="D83" s="327"/>
      <c r="E83" s="327"/>
      <c r="F83" s="327"/>
      <c r="G83" s="327"/>
      <c r="H83" s="327"/>
      <c r="I83" s="327"/>
      <c r="J83" s="327"/>
      <c r="K83" s="327"/>
      <c r="L83" s="327"/>
      <c r="M83" s="328"/>
    </row>
    <row r="84" spans="2:13" ht="24.95" customHeight="1">
      <c r="B84" s="326"/>
      <c r="C84" s="327"/>
      <c r="D84" s="327"/>
      <c r="E84" s="327"/>
      <c r="F84" s="327"/>
      <c r="G84" s="327"/>
      <c r="H84" s="327"/>
      <c r="I84" s="327"/>
      <c r="J84" s="327"/>
      <c r="K84" s="327"/>
      <c r="L84" s="327"/>
      <c r="M84" s="328"/>
    </row>
    <row r="85" spans="2:13" ht="24.95" customHeight="1">
      <c r="B85" s="326"/>
      <c r="C85" s="327"/>
      <c r="D85" s="327"/>
      <c r="E85" s="327"/>
      <c r="F85" s="327"/>
      <c r="G85" s="327"/>
      <c r="H85" s="327"/>
      <c r="I85" s="327"/>
      <c r="J85" s="327"/>
      <c r="K85" s="327"/>
      <c r="L85" s="327"/>
      <c r="M85" s="328"/>
    </row>
    <row r="86" spans="2:13" ht="24.95" customHeight="1">
      <c r="B86" s="326"/>
      <c r="C86" s="327"/>
      <c r="D86" s="327"/>
      <c r="E86" s="327"/>
      <c r="F86" s="327"/>
      <c r="G86" s="327"/>
      <c r="H86" s="327"/>
      <c r="I86" s="327"/>
      <c r="J86" s="327"/>
      <c r="K86" s="327"/>
      <c r="L86" s="327"/>
      <c r="M86" s="328"/>
    </row>
    <row r="87" spans="2:13" ht="24.95" customHeight="1">
      <c r="B87" s="326"/>
      <c r="C87" s="327"/>
      <c r="D87" s="327"/>
      <c r="E87" s="327"/>
      <c r="F87" s="327"/>
      <c r="G87" s="327"/>
      <c r="H87" s="327"/>
      <c r="I87" s="327"/>
      <c r="J87" s="327"/>
      <c r="K87" s="327"/>
      <c r="L87" s="327"/>
      <c r="M87" s="328"/>
    </row>
    <row r="88" spans="2:13" ht="24.95" customHeight="1">
      <c r="B88" s="326"/>
      <c r="C88" s="327"/>
      <c r="D88" s="327"/>
      <c r="E88" s="327"/>
      <c r="F88" s="327"/>
      <c r="G88" s="327"/>
      <c r="H88" s="327"/>
      <c r="I88" s="327"/>
      <c r="J88" s="327"/>
      <c r="K88" s="327"/>
      <c r="L88" s="327"/>
      <c r="M88" s="328"/>
    </row>
    <row r="89" spans="2:13" ht="24.95" customHeight="1">
      <c r="B89" s="326"/>
      <c r="C89" s="327"/>
      <c r="D89" s="327"/>
      <c r="E89" s="327"/>
      <c r="F89" s="327"/>
      <c r="G89" s="327"/>
      <c r="H89" s="327"/>
      <c r="I89" s="327"/>
      <c r="J89" s="327"/>
      <c r="K89" s="327"/>
      <c r="L89" s="327"/>
      <c r="M89" s="328"/>
    </row>
    <row r="90" spans="2:13" ht="24.95" customHeight="1">
      <c r="B90" s="326"/>
      <c r="C90" s="327"/>
      <c r="D90" s="327"/>
      <c r="E90" s="327"/>
      <c r="F90" s="327"/>
      <c r="G90" s="327"/>
      <c r="H90" s="327"/>
      <c r="I90" s="327"/>
      <c r="J90" s="327"/>
      <c r="K90" s="327"/>
      <c r="L90" s="327"/>
      <c r="M90" s="328"/>
    </row>
    <row r="91" spans="2:13" ht="24.95" customHeight="1">
      <c r="B91" s="326"/>
      <c r="C91" s="327"/>
      <c r="D91" s="327"/>
      <c r="E91" s="327"/>
      <c r="F91" s="327"/>
      <c r="G91" s="327"/>
      <c r="H91" s="327"/>
      <c r="I91" s="327"/>
      <c r="J91" s="327"/>
      <c r="K91" s="327"/>
      <c r="L91" s="327"/>
      <c r="M91" s="328"/>
    </row>
    <row r="92" spans="2:13" ht="24.95" customHeight="1">
      <c r="B92" s="326"/>
      <c r="C92" s="327"/>
      <c r="D92" s="327"/>
      <c r="E92" s="327"/>
      <c r="F92" s="327"/>
      <c r="G92" s="327"/>
      <c r="H92" s="327"/>
      <c r="I92" s="327"/>
      <c r="J92" s="327"/>
      <c r="K92" s="327"/>
      <c r="L92" s="327"/>
      <c r="M92" s="328"/>
    </row>
    <row r="93" spans="2:13" ht="24.95" customHeight="1">
      <c r="B93" s="326"/>
      <c r="C93" s="327"/>
      <c r="D93" s="327"/>
      <c r="E93" s="327"/>
      <c r="F93" s="327"/>
      <c r="G93" s="327"/>
      <c r="H93" s="327"/>
      <c r="I93" s="327"/>
      <c r="J93" s="327"/>
      <c r="K93" s="327"/>
      <c r="L93" s="327"/>
      <c r="M93" s="328"/>
    </row>
    <row r="94" spans="2:13" ht="24.95" customHeight="1">
      <c r="B94" s="326"/>
      <c r="C94" s="327"/>
      <c r="D94" s="327"/>
      <c r="E94" s="327"/>
      <c r="F94" s="327"/>
      <c r="G94" s="327"/>
      <c r="H94" s="327"/>
      <c r="I94" s="327"/>
      <c r="J94" s="327"/>
      <c r="K94" s="327"/>
      <c r="L94" s="327"/>
      <c r="M94" s="328"/>
    </row>
    <row r="95" spans="2:13" ht="24.95" customHeight="1">
      <c r="B95" s="326"/>
      <c r="C95" s="327"/>
      <c r="D95" s="327"/>
      <c r="E95" s="327"/>
      <c r="F95" s="327"/>
      <c r="G95" s="327"/>
      <c r="H95" s="327"/>
      <c r="I95" s="327"/>
      <c r="J95" s="327"/>
      <c r="K95" s="327"/>
      <c r="L95" s="327"/>
      <c r="M95" s="328"/>
    </row>
    <row r="96" spans="2:13" ht="38.1" customHeight="1">
      <c r="B96" s="329"/>
      <c r="C96" s="330"/>
      <c r="D96" s="330"/>
      <c r="E96" s="330"/>
      <c r="F96" s="330"/>
      <c r="G96" s="330"/>
      <c r="H96" s="330"/>
      <c r="I96" s="330"/>
      <c r="J96" s="330"/>
      <c r="K96" s="330"/>
      <c r="L96" s="330"/>
      <c r="M96" s="331"/>
    </row>
    <row r="98" spans="2:13" ht="14.1" customHeight="1"/>
    <row r="101" spans="2:13" ht="32.450000000000003" customHeight="1">
      <c r="B101" s="270" t="s">
        <v>14</v>
      </c>
      <c r="C101" s="271"/>
      <c r="D101" s="271"/>
      <c r="E101" s="271"/>
      <c r="F101" s="271"/>
      <c r="G101" s="271"/>
      <c r="H101" s="272" t="s">
        <v>463</v>
      </c>
      <c r="I101" s="273"/>
      <c r="J101" s="273"/>
      <c r="K101" s="273"/>
      <c r="L101" s="273"/>
      <c r="M101" s="274"/>
    </row>
    <row r="105" spans="2:13" ht="20.45" customHeight="1">
      <c r="B105" s="289" t="s">
        <v>15</v>
      </c>
      <c r="C105" s="287"/>
      <c r="D105" s="287"/>
      <c r="E105" s="287"/>
      <c r="F105" s="287" t="s">
        <v>16</v>
      </c>
      <c r="G105" s="287"/>
      <c r="H105" s="287"/>
      <c r="I105" s="287" t="s">
        <v>461</v>
      </c>
      <c r="J105" s="287"/>
      <c r="K105" s="287"/>
      <c r="L105" s="287"/>
      <c r="M105" s="288"/>
    </row>
    <row r="106" spans="2:13" ht="37.5" customHeight="1">
      <c r="B106" s="283">
        <v>46211</v>
      </c>
      <c r="C106" s="284"/>
      <c r="D106" s="284"/>
      <c r="E106" s="284"/>
      <c r="F106" s="284" t="s">
        <v>445</v>
      </c>
      <c r="G106" s="284"/>
      <c r="H106" s="284"/>
      <c r="I106" s="284" t="s">
        <v>462</v>
      </c>
      <c r="J106" s="284"/>
      <c r="K106" s="284"/>
      <c r="L106" s="284"/>
      <c r="M106" s="285"/>
    </row>
    <row r="107" spans="2:13" ht="49.5" customHeight="1">
      <c r="B107" s="283">
        <v>46281</v>
      </c>
      <c r="C107" s="284"/>
      <c r="D107" s="284"/>
      <c r="E107" s="284"/>
      <c r="F107" s="284" t="s">
        <v>445</v>
      </c>
      <c r="G107" s="284"/>
      <c r="H107" s="284"/>
      <c r="I107" s="284" t="s">
        <v>502</v>
      </c>
      <c r="J107" s="284"/>
      <c r="K107" s="284"/>
      <c r="L107" s="284"/>
      <c r="M107" s="285"/>
    </row>
    <row r="109" spans="2:13">
      <c r="B109" s="268" t="s">
        <v>444</v>
      </c>
      <c r="C109" s="269"/>
      <c r="D109" s="269"/>
      <c r="E109" s="269"/>
      <c r="F109" s="269"/>
      <c r="G109" s="269"/>
      <c r="H109" s="269"/>
      <c r="I109" s="269"/>
      <c r="J109" s="269"/>
      <c r="K109" s="269"/>
      <c r="L109" s="269"/>
      <c r="M109" s="269"/>
    </row>
  </sheetData>
  <mergeCells count="30">
    <mergeCell ref="B107:E107"/>
    <mergeCell ref="F107:H107"/>
    <mergeCell ref="I107:M107"/>
    <mergeCell ref="N50:O51"/>
    <mergeCell ref="C2:L4"/>
    <mergeCell ref="B6:M6"/>
    <mergeCell ref="B9:M14"/>
    <mergeCell ref="B8:M8"/>
    <mergeCell ref="B23:M23"/>
    <mergeCell ref="B24:M27"/>
    <mergeCell ref="B33:M33"/>
    <mergeCell ref="B34:M66"/>
    <mergeCell ref="B70:M71"/>
    <mergeCell ref="B72:M96"/>
    <mergeCell ref="B109:M109"/>
    <mergeCell ref="B101:G101"/>
    <mergeCell ref="H101:M101"/>
    <mergeCell ref="J20:M20"/>
    <mergeCell ref="B16:M16"/>
    <mergeCell ref="B18:E19"/>
    <mergeCell ref="F18:I19"/>
    <mergeCell ref="J18:M19"/>
    <mergeCell ref="B106:E106"/>
    <mergeCell ref="F106:H106"/>
    <mergeCell ref="I106:M106"/>
    <mergeCell ref="B20:E20"/>
    <mergeCell ref="F20:I20"/>
    <mergeCell ref="I105:M105"/>
    <mergeCell ref="F105:H105"/>
    <mergeCell ref="B105:E105"/>
  </mergeCells>
  <hyperlinks>
    <hyperlink ref="H101" r:id="rId1" xr:uid="{260D5E5B-366D-4CE3-B0E3-97F10F32AD14}"/>
  </hyperlinks>
  <pageMargins left="0.7" right="0.7" top="0.75" bottom="0.75" header="0.3" footer="0.3"/>
  <pageSetup paperSize="9" scale="47" fitToHeight="0" orientation="portrait" r:id="rId2"/>
  <headerFooter>
    <oddFooter>&amp;L_x000D_&amp;1#&amp;"Aptos"&amp;10&amp;K008000 Interne</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0D6E-FD73-496B-AFA8-3E0C9F63096D}">
  <sheetPr codeName="Sheet7">
    <tabColor theme="7" tint="-0.499984740745262"/>
    <pageSetUpPr fitToPage="1"/>
  </sheetPr>
  <dimension ref="B1:V45"/>
  <sheetViews>
    <sheetView showGridLines="0" topLeftCell="B1" zoomScale="99" zoomScaleNormal="85" workbookViewId="0">
      <selection activeCell="J26" sqref="J26:J27"/>
      <extLst>
        <ext xmlns:xlsdti="http://schemas.microsoft.com/office/spreadsheetml/2023/showDataTypeIcons" uri="{77bfe23e-c014-4d31-8a63-9c772dbf06b6}">
          <xlsdti:showDataTypeIcons visible="0"/>
        </ext>
      </extLst>
    </sheetView>
  </sheetViews>
  <sheetFormatPr baseColWidth="10" defaultColWidth="8.6640625" defaultRowHeight="15"/>
  <cols>
    <col min="1" max="2" width="8.6640625" style="13"/>
    <col min="3" max="3" width="20.44140625" style="13" customWidth="1"/>
    <col min="4" max="4" width="14.109375" style="13" bestFit="1" customWidth="1"/>
    <col min="5" max="5" width="14.6640625" style="13" customWidth="1"/>
    <col min="6" max="6" width="17.6640625" style="13" customWidth="1"/>
    <col min="7" max="7" width="10.6640625" style="13" customWidth="1"/>
    <col min="8" max="8" width="15.6640625" style="13" bestFit="1" customWidth="1"/>
    <col min="9" max="9" width="13.109375" style="13" customWidth="1"/>
    <col min="10" max="10" width="17.109375" style="13" customWidth="1"/>
    <col min="11" max="16" width="8.6640625" style="13"/>
    <col min="17" max="17" width="1.109375" style="13" customWidth="1"/>
    <col min="18" max="19" width="8.6640625" style="13"/>
    <col min="20" max="20" width="2.44140625" style="13" customWidth="1"/>
    <col min="21" max="16384" width="8.6640625" style="13"/>
  </cols>
  <sheetData>
    <row r="1" spans="2:13" s="3" customFormat="1"/>
    <row r="2" spans="2:13" s="3" customFormat="1" ht="38.1" customHeight="1">
      <c r="C2" s="248" t="s">
        <v>0</v>
      </c>
      <c r="D2" s="248"/>
      <c r="E2" s="248"/>
      <c r="F2" s="248"/>
      <c r="G2" s="248"/>
      <c r="H2" s="248"/>
      <c r="I2" s="248"/>
      <c r="J2" s="248"/>
      <c r="K2" s="248"/>
      <c r="L2" s="248"/>
    </row>
    <row r="3" spans="2:13" s="3" customFormat="1" ht="27.6" customHeight="1">
      <c r="C3" s="248"/>
      <c r="D3" s="248"/>
      <c r="E3" s="248"/>
      <c r="F3" s="248"/>
      <c r="G3" s="248"/>
      <c r="H3" s="248"/>
      <c r="I3" s="248"/>
      <c r="J3" s="248"/>
      <c r="K3" s="248"/>
      <c r="L3" s="248"/>
    </row>
    <row r="4" spans="2:13" s="3" customFormat="1" ht="13.5" hidden="1" customHeight="1">
      <c r="C4" s="248"/>
      <c r="D4" s="248"/>
      <c r="E4" s="248"/>
      <c r="F4" s="248"/>
      <c r="G4" s="248"/>
      <c r="H4" s="248"/>
      <c r="I4" s="248"/>
      <c r="J4" s="248"/>
      <c r="K4" s="248"/>
      <c r="L4" s="248"/>
    </row>
    <row r="5" spans="2:13" s="3" customFormat="1"/>
    <row r="6" spans="2:13" s="3" customFormat="1" ht="18">
      <c r="B6" s="238" t="s">
        <v>1</v>
      </c>
      <c r="C6" s="238"/>
      <c r="D6" s="238"/>
      <c r="E6" s="238"/>
      <c r="F6" s="238"/>
      <c r="G6" s="238"/>
      <c r="H6" s="238"/>
      <c r="I6" s="238"/>
      <c r="J6" s="238"/>
      <c r="K6" s="238"/>
      <c r="L6" s="238"/>
      <c r="M6" s="238"/>
    </row>
    <row r="7" spans="2:13" s="3" customFormat="1"/>
    <row r="8" spans="2:13" s="3" customFormat="1" ht="18.600000000000001" customHeight="1">
      <c r="B8" s="238" t="s">
        <v>17</v>
      </c>
      <c r="C8" s="238"/>
      <c r="D8" s="238"/>
      <c r="E8" s="238"/>
      <c r="F8" s="238"/>
      <c r="G8" s="238"/>
      <c r="H8" s="238"/>
      <c r="I8" s="238"/>
      <c r="J8" s="238"/>
      <c r="K8" s="238"/>
      <c r="L8" s="238"/>
      <c r="M8" s="238"/>
    </row>
    <row r="9" spans="2:13" s="3" customFormat="1">
      <c r="B9" s="239" t="s">
        <v>447</v>
      </c>
      <c r="C9" s="240"/>
      <c r="D9" s="240"/>
      <c r="E9" s="240"/>
      <c r="F9" s="240"/>
      <c r="G9" s="240"/>
      <c r="H9" s="240"/>
      <c r="I9" s="240"/>
      <c r="J9" s="240"/>
      <c r="K9" s="240"/>
      <c r="L9" s="240"/>
      <c r="M9" s="241"/>
    </row>
    <row r="10" spans="2:13" s="3" customFormat="1">
      <c r="B10" s="242"/>
      <c r="C10" s="243"/>
      <c r="D10" s="243"/>
      <c r="E10" s="243"/>
      <c r="F10" s="243"/>
      <c r="G10" s="243"/>
      <c r="H10" s="243"/>
      <c r="I10" s="243"/>
      <c r="J10" s="243"/>
      <c r="K10" s="243"/>
      <c r="L10" s="243"/>
      <c r="M10" s="244"/>
    </row>
    <row r="11" spans="2:13" s="3" customFormat="1">
      <c r="B11" s="242"/>
      <c r="C11" s="243"/>
      <c r="D11" s="243"/>
      <c r="E11" s="243"/>
      <c r="F11" s="243"/>
      <c r="G11" s="243"/>
      <c r="H11" s="243"/>
      <c r="I11" s="243"/>
      <c r="J11" s="243"/>
      <c r="K11" s="243"/>
      <c r="L11" s="243"/>
      <c r="M11" s="244"/>
    </row>
    <row r="12" spans="2:13" s="3" customFormat="1">
      <c r="B12" s="242"/>
      <c r="C12" s="243"/>
      <c r="D12" s="243"/>
      <c r="E12" s="243"/>
      <c r="F12" s="243"/>
      <c r="G12" s="243"/>
      <c r="H12" s="243"/>
      <c r="I12" s="243"/>
      <c r="J12" s="243"/>
      <c r="K12" s="243"/>
      <c r="L12" s="243"/>
      <c r="M12" s="244"/>
    </row>
    <row r="13" spans="2:13" s="3" customFormat="1">
      <c r="B13" s="242"/>
      <c r="C13" s="243"/>
      <c r="D13" s="243"/>
      <c r="E13" s="243"/>
      <c r="F13" s="243"/>
      <c r="G13" s="243"/>
      <c r="H13" s="243"/>
      <c r="I13" s="243"/>
      <c r="J13" s="243"/>
      <c r="K13" s="243"/>
      <c r="L13" s="243"/>
      <c r="M13" s="244"/>
    </row>
    <row r="14" spans="2:13" s="3" customFormat="1" ht="45" customHeight="1">
      <c r="B14" s="245"/>
      <c r="C14" s="246"/>
      <c r="D14" s="246"/>
      <c r="E14" s="246"/>
      <c r="F14" s="246"/>
      <c r="G14" s="246"/>
      <c r="H14" s="246"/>
      <c r="I14" s="246"/>
      <c r="J14" s="246"/>
      <c r="K14" s="246"/>
      <c r="L14" s="246"/>
      <c r="M14" s="247"/>
    </row>
    <row r="15" spans="2:13" s="62" customFormat="1" ht="20.45" customHeight="1">
      <c r="B15" s="13"/>
      <c r="C15" s="13"/>
      <c r="D15" s="13"/>
      <c r="E15" s="13"/>
      <c r="F15" s="13"/>
      <c r="G15" s="13"/>
      <c r="H15" s="13"/>
      <c r="I15" s="13"/>
      <c r="J15" s="13"/>
      <c r="K15" s="13"/>
      <c r="L15" s="13"/>
      <c r="M15" s="13"/>
    </row>
    <row r="16" spans="2:13" s="62" customFormat="1" ht="12.6" customHeight="1">
      <c r="B16" s="13"/>
      <c r="C16" s="13"/>
      <c r="D16" s="13"/>
      <c r="E16" s="13"/>
      <c r="F16" s="13"/>
      <c r="G16" s="13"/>
      <c r="H16" s="13"/>
      <c r="I16" s="13"/>
      <c r="J16" s="13"/>
      <c r="K16" s="13"/>
      <c r="L16" s="13"/>
      <c r="M16" s="13"/>
    </row>
    <row r="17" spans="2:22" s="62" customFormat="1" ht="20.100000000000001" customHeight="1">
      <c r="B17" s="249"/>
      <c r="C17" s="250"/>
      <c r="D17" s="250"/>
      <c r="E17" s="250"/>
      <c r="F17" s="250"/>
      <c r="G17" s="250"/>
      <c r="H17" s="250"/>
      <c r="I17" s="250"/>
      <c r="J17" s="250"/>
      <c r="K17" s="250"/>
      <c r="L17" s="250"/>
      <c r="M17" s="251"/>
      <c r="N17" s="13"/>
      <c r="O17" s="13"/>
      <c r="P17" s="13"/>
      <c r="Q17" s="13"/>
      <c r="R17" s="13"/>
      <c r="S17" s="13"/>
      <c r="T17" s="13"/>
      <c r="U17" s="13"/>
      <c r="V17" s="13"/>
    </row>
    <row r="18" spans="2:22" s="62" customFormat="1" ht="20.100000000000001" customHeight="1">
      <c r="B18" s="19"/>
      <c r="C18" s="20"/>
      <c r="D18" s="20"/>
      <c r="E18" s="20"/>
      <c r="F18" s="20"/>
      <c r="G18" s="20"/>
      <c r="H18" s="20"/>
      <c r="I18" s="20"/>
      <c r="J18" s="20"/>
      <c r="K18" s="20"/>
      <c r="L18" s="20"/>
      <c r="M18" s="21"/>
      <c r="N18" s="13"/>
      <c r="O18" s="13"/>
      <c r="P18" s="13"/>
      <c r="Q18" s="13"/>
      <c r="R18" s="13"/>
      <c r="S18" s="13"/>
      <c r="T18" s="13"/>
      <c r="U18" s="13"/>
      <c r="V18" s="13"/>
    </row>
    <row r="19" spans="2:22" s="62" customFormat="1" ht="18" customHeight="1">
      <c r="B19" s="19"/>
      <c r="C19" s="20"/>
      <c r="D19" s="20"/>
      <c r="E19" s="261" t="s">
        <v>18</v>
      </c>
      <c r="F19" s="261"/>
      <c r="G19" s="261"/>
      <c r="H19" s="262" t="s">
        <v>19</v>
      </c>
      <c r="I19" s="263"/>
      <c r="J19" s="20"/>
      <c r="K19" s="20"/>
      <c r="L19" s="20"/>
      <c r="M19" s="21"/>
      <c r="N19" s="13"/>
      <c r="O19" s="13"/>
      <c r="P19" s="13"/>
      <c r="Q19" s="13"/>
      <c r="R19" s="13"/>
      <c r="S19" s="13"/>
      <c r="T19" s="13"/>
      <c r="U19" s="13"/>
      <c r="V19" s="13"/>
    </row>
    <row r="20" spans="2:22" s="62" customFormat="1" ht="9" customHeight="1">
      <c r="B20" s="22"/>
      <c r="C20" s="23"/>
      <c r="D20" s="23"/>
      <c r="E20" s="23"/>
      <c r="F20" s="23"/>
      <c r="G20" s="23"/>
      <c r="H20" s="23"/>
      <c r="I20" s="23"/>
      <c r="J20" s="23"/>
      <c r="K20" s="23"/>
      <c r="L20" s="23"/>
      <c r="M20" s="24"/>
      <c r="N20" s="13"/>
      <c r="O20" s="13"/>
      <c r="P20" s="13"/>
      <c r="Q20" s="13"/>
      <c r="R20" s="13"/>
      <c r="S20" s="13"/>
      <c r="T20" s="13"/>
      <c r="U20" s="13"/>
      <c r="V20" s="13"/>
    </row>
    <row r="21" spans="2:22" s="62" customFormat="1">
      <c r="B21" s="13"/>
      <c r="C21" s="13"/>
      <c r="D21" s="13"/>
      <c r="E21" s="13"/>
      <c r="F21" s="13"/>
      <c r="G21" s="13"/>
      <c r="H21" s="13"/>
      <c r="I21" s="13"/>
      <c r="J21" s="13"/>
      <c r="K21" s="13"/>
      <c r="L21" s="13"/>
      <c r="M21" s="13"/>
      <c r="N21" s="13"/>
      <c r="O21" s="13"/>
      <c r="P21" s="13"/>
      <c r="Q21" s="13"/>
      <c r="R21" s="13"/>
      <c r="S21" s="13"/>
      <c r="T21" s="13"/>
      <c r="U21" s="13"/>
      <c r="V21" s="13"/>
    </row>
    <row r="24" spans="2:22">
      <c r="B24" s="256"/>
      <c r="C24" s="257"/>
      <c r="D24" s="257"/>
      <c r="E24" s="257"/>
      <c r="F24" s="257"/>
      <c r="G24" s="257"/>
      <c r="H24" s="257"/>
      <c r="I24" s="257"/>
      <c r="J24" s="257"/>
      <c r="K24" s="257"/>
      <c r="L24" s="257"/>
      <c r="M24" s="258"/>
    </row>
    <row r="25" spans="2:22">
      <c r="B25" s="25"/>
      <c r="C25" s="26"/>
      <c r="D25" s="26"/>
      <c r="E25" s="26"/>
      <c r="F25" s="26"/>
      <c r="G25" s="26"/>
      <c r="H25" s="26"/>
      <c r="I25" s="26"/>
      <c r="J25" s="120"/>
      <c r="K25" s="26"/>
      <c r="L25" s="119" t="str" cm="1">
        <f t="array" aca="1" ref="L25" ca="1">IFERROR(
  FILTRER(
     Tableau1[Nom du modèle],
    Tableau1[Fournisseurs] = $F$26
  ),
  ""
)</f>
        <v/>
      </c>
      <c r="M25" s="27"/>
    </row>
    <row r="26" spans="2:22">
      <c r="B26" s="19"/>
      <c r="C26" s="20"/>
      <c r="D26" s="20"/>
      <c r="E26" s="252" t="s">
        <v>20</v>
      </c>
      <c r="F26" s="253"/>
      <c r="G26" s="28"/>
      <c r="H26" s="28"/>
      <c r="I26" s="255" t="s">
        <v>22</v>
      </c>
      <c r="J26" s="259"/>
      <c r="K26" s="20"/>
      <c r="L26" s="20"/>
      <c r="M26" s="21"/>
    </row>
    <row r="27" spans="2:22">
      <c r="B27" s="19"/>
      <c r="C27" s="20"/>
      <c r="D27" s="20"/>
      <c r="E27" s="252"/>
      <c r="F27" s="254"/>
      <c r="G27" s="28"/>
      <c r="H27" s="28"/>
      <c r="I27" s="255"/>
      <c r="J27" s="260"/>
      <c r="K27" s="20"/>
      <c r="L27" s="20"/>
      <c r="M27" s="21"/>
    </row>
    <row r="28" spans="2:22">
      <c r="B28" s="22"/>
      <c r="C28" s="23"/>
      <c r="D28" s="23"/>
      <c r="E28" s="23"/>
      <c r="F28" s="23"/>
      <c r="G28" s="23"/>
      <c r="H28" s="23"/>
      <c r="I28" s="23"/>
      <c r="J28" s="23"/>
      <c r="K28" s="23"/>
      <c r="L28" s="23"/>
      <c r="M28" s="24"/>
    </row>
    <row r="31" spans="2:22">
      <c r="B31" s="49"/>
      <c r="C31" s="50"/>
      <c r="D31" s="50"/>
      <c r="E31" s="50"/>
      <c r="F31" s="50"/>
      <c r="G31" s="50"/>
      <c r="H31" s="50"/>
      <c r="I31" s="50"/>
      <c r="J31" s="50"/>
      <c r="K31" s="50"/>
      <c r="L31" s="50"/>
      <c r="M31" s="51"/>
    </row>
    <row r="32" spans="2:22">
      <c r="B32" s="52"/>
      <c r="C32"/>
      <c r="D32"/>
      <c r="E32"/>
      <c r="F32"/>
      <c r="G32"/>
      <c r="H32"/>
      <c r="I32"/>
      <c r="J32"/>
      <c r="K32"/>
      <c r="L32"/>
      <c r="M32" s="53"/>
    </row>
    <row r="33" spans="2:13" ht="35.1" customHeight="1">
      <c r="B33" s="52"/>
      <c r="C33" s="149" t="s">
        <v>24</v>
      </c>
      <c r="D33" s="266" t="s">
        <v>25</v>
      </c>
      <c r="E33" s="267"/>
      <c r="F33" s="236" t="s">
        <v>26</v>
      </c>
      <c r="G33" s="237"/>
      <c r="H33" s="63">
        <v>1</v>
      </c>
      <c r="I33"/>
      <c r="J33" s="236" t="s">
        <v>27</v>
      </c>
      <c r="K33" s="237"/>
      <c r="L33" s="63">
        <v>1</v>
      </c>
      <c r="M33" s="53"/>
    </row>
    <row r="34" spans="2:13">
      <c r="B34" s="52"/>
      <c r="C34"/>
      <c r="D34"/>
      <c r="E34"/>
      <c r="F34"/>
      <c r="G34"/>
      <c r="H34"/>
      <c r="I34"/>
      <c r="J34"/>
      <c r="K34"/>
      <c r="L34"/>
      <c r="M34" s="53"/>
    </row>
    <row r="35" spans="2:13">
      <c r="B35" s="52"/>
      <c r="C35"/>
      <c r="D35"/>
      <c r="E35"/>
      <c r="F35"/>
      <c r="G35"/>
      <c r="H35"/>
      <c r="I35"/>
      <c r="J35"/>
      <c r="K35"/>
      <c r="L35"/>
      <c r="M35" s="53"/>
    </row>
    <row r="36" spans="2:13" ht="41.1" customHeight="1">
      <c r="B36" s="52"/>
      <c r="C36" s="77" t="s">
        <v>28</v>
      </c>
      <c r="D36" s="64">
        <v>100000</v>
      </c>
      <c r="E36"/>
      <c r="F36" s="236" t="s">
        <v>29</v>
      </c>
      <c r="G36" s="237"/>
      <c r="H36" s="64">
        <v>100000000</v>
      </c>
      <c r="I36"/>
      <c r="J36" s="77" t="s">
        <v>30</v>
      </c>
      <c r="K36" s="234">
        <v>100000000</v>
      </c>
      <c r="L36" s="235"/>
      <c r="M36" s="53"/>
    </row>
    <row r="37" spans="2:13" ht="41.1" customHeight="1">
      <c r="B37" s="52"/>
      <c r="C37"/>
      <c r="D37"/>
      <c r="E37"/>
      <c r="F37"/>
      <c r="G37"/>
      <c r="H37"/>
      <c r="I37"/>
      <c r="J37"/>
      <c r="K37"/>
      <c r="L37"/>
      <c r="M37" s="53"/>
    </row>
    <row r="38" spans="2:13" ht="41.1" customHeight="1">
      <c r="B38" s="52"/>
      <c r="C38"/>
      <c r="D38"/>
      <c r="E38"/>
      <c r="F38" s="236" t="s">
        <v>31</v>
      </c>
      <c r="G38" s="237"/>
      <c r="H38" s="64">
        <v>1000000000</v>
      </c>
      <c r="I38"/>
      <c r="J38"/>
      <c r="K38"/>
      <c r="L38"/>
      <c r="M38" s="53"/>
    </row>
    <row r="39" spans="2:13">
      <c r="B39" s="54"/>
      <c r="C39" s="55"/>
      <c r="D39" s="55"/>
      <c r="E39" s="55"/>
      <c r="F39" s="55"/>
      <c r="G39" s="55"/>
      <c r="H39" s="55"/>
      <c r="I39" s="55"/>
      <c r="J39" s="55"/>
      <c r="K39" s="55"/>
      <c r="L39" s="55"/>
      <c r="M39" s="56"/>
    </row>
    <row r="43" spans="2:13">
      <c r="B43" s="214">
        <v>2</v>
      </c>
      <c r="C43" s="215"/>
      <c r="D43" s="215"/>
      <c r="E43" s="216"/>
      <c r="F43" s="215"/>
      <c r="G43" s="215"/>
      <c r="H43" s="216"/>
      <c r="I43" s="215"/>
      <c r="J43" s="215"/>
      <c r="K43" s="215"/>
      <c r="L43" s="215"/>
      <c r="M43" s="215"/>
    </row>
    <row r="44" spans="2:13" ht="60">
      <c r="B44" s="20"/>
      <c r="C44" s="215"/>
      <c r="D44" s="264" t="s">
        <v>496</v>
      </c>
      <c r="E44" s="265"/>
      <c r="F44" s="215"/>
      <c r="G44" s="217" t="s">
        <v>475</v>
      </c>
      <c r="H44" s="218" t="s">
        <v>259</v>
      </c>
      <c r="I44" s="215"/>
      <c r="J44" s="217" t="s">
        <v>477</v>
      </c>
      <c r="K44" s="219">
        <v>0</v>
      </c>
      <c r="L44" s="220" t="s">
        <v>478</v>
      </c>
      <c r="M44" s="215"/>
    </row>
    <row r="45" spans="2:13">
      <c r="B45" s="20"/>
      <c r="C45" s="215"/>
      <c r="D45" s="215"/>
      <c r="E45" s="216"/>
      <c r="F45" s="215"/>
      <c r="G45" s="215"/>
      <c r="H45" s="221" t="str">
        <f>TEXT(_xlfn.XLOOKUP('⚙️Données'!H44,Tableau2[Sous-catégorie],Tableau2[Valeur],"null"),"0,000")&amp;" kgCO2e/kWh"</f>
        <v>0,046 kgCO2e/kWh</v>
      </c>
      <c r="I45" s="215"/>
      <c r="J45" s="215"/>
      <c r="K45" s="215"/>
      <c r="L45" s="222" t="s">
        <v>479</v>
      </c>
      <c r="M45" s="215"/>
    </row>
  </sheetData>
  <mergeCells count="19">
    <mergeCell ref="D44:E44"/>
    <mergeCell ref="D33:E33"/>
    <mergeCell ref="F38:G38"/>
    <mergeCell ref="F36:G36"/>
    <mergeCell ref="F33:G33"/>
    <mergeCell ref="K36:L36"/>
    <mergeCell ref="J33:K33"/>
    <mergeCell ref="B8:M8"/>
    <mergeCell ref="B9:M14"/>
    <mergeCell ref="C2:L4"/>
    <mergeCell ref="B17:M17"/>
    <mergeCell ref="E26:E27"/>
    <mergeCell ref="F26:F27"/>
    <mergeCell ref="I26:I27"/>
    <mergeCell ref="B24:M24"/>
    <mergeCell ref="J26:J27"/>
    <mergeCell ref="E19:G19"/>
    <mergeCell ref="H19:I19"/>
    <mergeCell ref="B6:M6"/>
  </mergeCells>
  <conditionalFormatting sqref="C33:L33">
    <cfRule type="expression" dxfId="3" priority="4">
      <formula>$H$19="Production"</formula>
    </cfRule>
  </conditionalFormatting>
  <conditionalFormatting sqref="C36:L38">
    <cfRule type="expression" dxfId="2" priority="3">
      <formula>$H$19="Conception"</formula>
    </cfRule>
  </conditionalFormatting>
  <conditionalFormatting sqref="H44:H45">
    <cfRule type="expression" dxfId="1" priority="1">
      <formula>$B$43&lt;&gt;1</formula>
    </cfRule>
  </conditionalFormatting>
  <conditionalFormatting sqref="K44">
    <cfRule type="expression" dxfId="0" priority="2">
      <formula>$B$43&lt;&gt;3</formula>
    </cfRule>
  </conditionalFormatting>
  <dataValidations count="1">
    <dataValidation type="list" allowBlank="1" showInputMessage="1" showErrorMessage="1" sqref="H19:I19" xr:uid="{820F75D3-8F17-45BC-BA01-44B4B140B39F}">
      <formula1>"Conception, Production"</formula1>
    </dataValidation>
  </dataValidations>
  <pageMargins left="0.7" right="0.7" top="0.75" bottom="0.75" header="0.3" footer="0.3"/>
  <pageSetup paperSize="9" scale="44" fitToHeight="0" orientation="portrait" r:id="rId1"/>
  <headerFooter>
    <oddFooter>&amp;L_x000D_&amp;1#&amp;"Aptos"&amp;10&amp;K008000 Interne</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50" r:id="rId4" name="Option Button 2">
              <controlPr locked="0" defaultSize="0" autoFill="0" autoLine="0" autoPict="0">
                <anchor moveWithCells="1">
                  <from>
                    <xdr:col>5</xdr:col>
                    <xdr:colOff>1000125</xdr:colOff>
                    <xdr:row>43</xdr:row>
                    <xdr:rowOff>171450</xdr:rowOff>
                  </from>
                  <to>
                    <xdr:col>5</xdr:col>
                    <xdr:colOff>1257300</xdr:colOff>
                    <xdr:row>43</xdr:row>
                    <xdr:rowOff>428625</xdr:rowOff>
                  </to>
                </anchor>
              </controlPr>
            </control>
          </mc:Choice>
        </mc:AlternateContent>
        <mc:AlternateContent xmlns:mc="http://schemas.openxmlformats.org/markup-compatibility/2006">
          <mc:Choice Requires="x14">
            <control shapeId="2051" r:id="rId5" name="Option Button 3">
              <controlPr locked="0" defaultSize="0" autoFill="0" autoLine="0" autoPict="0">
                <anchor moveWithCells="1">
                  <from>
                    <xdr:col>2</xdr:col>
                    <xdr:colOff>1343025</xdr:colOff>
                    <xdr:row>43</xdr:row>
                    <xdr:rowOff>123825</xdr:rowOff>
                  </from>
                  <to>
                    <xdr:col>2</xdr:col>
                    <xdr:colOff>1581150</xdr:colOff>
                    <xdr:row>43</xdr:row>
                    <xdr:rowOff>438150</xdr:rowOff>
                  </to>
                </anchor>
              </controlPr>
            </control>
          </mc:Choice>
        </mc:AlternateContent>
        <mc:AlternateContent xmlns:mc="http://schemas.openxmlformats.org/markup-compatibility/2006">
          <mc:Choice Requires="x14">
            <control shapeId="2052" r:id="rId6" name="Option Button 4">
              <controlPr locked="0" defaultSize="0" autoFill="0" autoLine="0" autoPict="0">
                <anchor moveWithCells="1">
                  <from>
                    <xdr:col>8</xdr:col>
                    <xdr:colOff>695325</xdr:colOff>
                    <xdr:row>43</xdr:row>
                    <xdr:rowOff>180975</xdr:rowOff>
                  </from>
                  <to>
                    <xdr:col>8</xdr:col>
                    <xdr:colOff>971550</xdr:colOff>
                    <xdr:row>43</xdr:row>
                    <xdr:rowOff>466725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768FAC07-918F-4934-99E3-C2EE117AA713}">
          <x14:formula1>
            <xm:f>Paramètres!$B$2:$B$4</xm:f>
          </x14:formula1>
          <xm:sqref>D33:E33</xm:sqref>
        </x14:dataValidation>
        <x14:dataValidation type="list" allowBlank="1" showInputMessage="1" showErrorMessage="1" promptTitle="ℹ️Information" prompt="Choisissez un fournisseur d'IA parmi ceux proposés dans la liste déroulante" xr:uid="{BF68CBFB-6069-4CD1-B8BC-BA72B3C13CE1}">
          <x14:formula1>
            <xm:f>_xlfn.ANCHORARRAY(Paramètres!$M$1)</xm:f>
          </x14:formula1>
          <xm:sqref>F26:F27</xm:sqref>
        </x14:dataValidation>
        <x14:dataValidation type="list" allowBlank="1" showInputMessage="1" showErrorMessage="1" xr:uid="{C8DD9F10-294B-4ABD-8DC4-C58A77263B19}">
          <x14:formula1>
            <xm:f>_xlfn.ANCHORARRAY(Paramètres!$O$1)</xm:f>
          </x14:formula1>
          <xm:sqref>J26:J27</xm:sqref>
        </x14:dataValidation>
        <x14:dataValidation type="list" allowBlank="1" showInputMessage="1" showErrorMessage="1" xr:uid="{01F80267-41BF-4E77-9E19-721D03A37E18}">
          <x14:formula1>
            <xm:f>_xlfn.ANCHORARRAY(Paramètres!$AB$2)</xm:f>
          </x14:formula1>
          <xm:sqref>H44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9F150-F0CA-4967-8622-8E82335E3980}">
  <sheetPr codeName="Sheet4">
    <tabColor theme="6" tint="-0.499984740745262"/>
    <pageSetUpPr fitToPage="1"/>
  </sheetPr>
  <dimension ref="B2:Y180"/>
  <sheetViews>
    <sheetView showGridLines="0" zoomScale="108" zoomScaleNormal="85" zoomScaleSheetLayoutView="20" workbookViewId="0">
      <selection activeCell="B41" sqref="B41"/>
      <extLst>
        <ext xmlns:xlsdti="http://schemas.microsoft.com/office/spreadsheetml/2023/showDataTypeIcons" uri="{77bfe23e-c014-4d31-8a63-9c772dbf06b6}">
          <xlsdti:showDataTypeIcons visible="0"/>
        </ext>
      </extLst>
    </sheetView>
  </sheetViews>
  <sheetFormatPr baseColWidth="10" defaultColWidth="10.77734375" defaultRowHeight="15"/>
  <cols>
    <col min="1" max="1" width="12.5546875" style="3" customWidth="1"/>
    <col min="2" max="6" width="12.6640625" style="3" customWidth="1"/>
    <col min="7" max="7" width="1.6640625" style="3" customWidth="1"/>
    <col min="8" max="13" width="12.6640625" style="3" customWidth="1"/>
    <col min="14" max="14" width="1.109375" style="3" customWidth="1"/>
    <col min="15" max="15" width="12.6640625" style="3" customWidth="1"/>
    <col min="16" max="16" width="13.109375" style="3" customWidth="1"/>
    <col min="17" max="17" width="9.109375" style="3" customWidth="1"/>
    <col min="18" max="20" width="12.6640625" style="3" customWidth="1"/>
    <col min="21" max="16384" width="10.77734375" style="3"/>
  </cols>
  <sheetData>
    <row r="2" spans="2:20" ht="38.1" customHeight="1">
      <c r="C2" s="248" t="s">
        <v>0</v>
      </c>
      <c r="D2" s="248"/>
      <c r="E2" s="248"/>
      <c r="F2" s="248"/>
      <c r="G2" s="248"/>
      <c r="H2" s="248"/>
      <c r="I2" s="248"/>
      <c r="J2" s="248"/>
      <c r="K2" s="248"/>
      <c r="L2" s="248"/>
      <c r="M2" s="248"/>
      <c r="N2" s="248"/>
      <c r="O2" s="248"/>
      <c r="P2" s="248"/>
      <c r="Q2" s="248"/>
      <c r="R2" s="248"/>
      <c r="S2" s="248"/>
    </row>
    <row r="3" spans="2:20" ht="27.6" customHeight="1">
      <c r="C3" s="248"/>
      <c r="D3" s="248"/>
      <c r="E3" s="248"/>
      <c r="F3" s="248"/>
      <c r="G3" s="248"/>
      <c r="H3" s="248"/>
      <c r="I3" s="248"/>
      <c r="J3" s="248"/>
      <c r="K3" s="248"/>
      <c r="L3" s="248"/>
      <c r="M3" s="248"/>
      <c r="N3" s="248"/>
      <c r="O3" s="248"/>
      <c r="P3" s="248"/>
      <c r="Q3" s="248"/>
      <c r="R3" s="248"/>
      <c r="S3" s="248"/>
    </row>
    <row r="4" spans="2:20" ht="13.5" hidden="1" customHeight="1">
      <c r="C4" s="248"/>
      <c r="D4" s="248"/>
      <c r="E4" s="248"/>
      <c r="F4" s="248"/>
      <c r="G4" s="248"/>
      <c r="H4" s="248"/>
      <c r="I4" s="248"/>
      <c r="J4" s="248"/>
      <c r="K4" s="248"/>
      <c r="L4" s="248"/>
      <c r="M4" s="248"/>
      <c r="N4" s="248"/>
      <c r="O4" s="248"/>
      <c r="P4" s="248"/>
      <c r="Q4" s="248"/>
      <c r="R4" s="248"/>
      <c r="S4" s="248"/>
    </row>
    <row r="6" spans="2:20" ht="18.600000000000001" customHeight="1">
      <c r="B6" s="238" t="s">
        <v>1</v>
      </c>
      <c r="C6" s="238"/>
      <c r="D6" s="238"/>
      <c r="E6" s="238"/>
      <c r="F6" s="238"/>
      <c r="G6" s="238"/>
      <c r="H6" s="238"/>
      <c r="I6" s="238"/>
      <c r="J6" s="238"/>
      <c r="K6" s="238"/>
      <c r="L6" s="238"/>
      <c r="M6" s="238"/>
      <c r="N6" s="238"/>
      <c r="O6" s="238"/>
      <c r="P6" s="238"/>
      <c r="Q6" s="238"/>
      <c r="R6" s="238"/>
      <c r="S6" s="238"/>
      <c r="T6" s="238"/>
    </row>
    <row r="7" spans="2:20">
      <c r="B7" s="14"/>
      <c r="C7" s="14"/>
      <c r="D7" s="14"/>
      <c r="E7" s="14"/>
      <c r="F7" s="14"/>
      <c r="G7" s="14"/>
      <c r="H7" s="14"/>
      <c r="I7" s="14"/>
      <c r="J7" s="14"/>
      <c r="K7" s="14"/>
      <c r="L7" s="14"/>
      <c r="M7" s="14"/>
      <c r="N7" s="14"/>
      <c r="O7" s="14"/>
      <c r="P7" s="14"/>
      <c r="Q7" s="14"/>
      <c r="R7" s="14"/>
      <c r="S7" s="14"/>
      <c r="T7" s="14"/>
    </row>
    <row r="8" spans="2:20">
      <c r="B8" s="14"/>
      <c r="C8" s="14"/>
      <c r="D8" s="14"/>
      <c r="E8" s="14"/>
      <c r="F8" s="14"/>
      <c r="G8" s="14"/>
      <c r="H8" s="14"/>
      <c r="I8" s="14"/>
      <c r="J8" s="14"/>
      <c r="K8" s="14"/>
      <c r="L8" s="14"/>
      <c r="M8" s="14"/>
      <c r="N8" s="14"/>
      <c r="O8" s="14"/>
      <c r="P8" s="14"/>
      <c r="Q8" s="14"/>
      <c r="R8" s="14"/>
      <c r="S8" s="14"/>
      <c r="T8" s="14"/>
    </row>
    <row r="9" spans="2:20">
      <c r="B9" s="14"/>
      <c r="C9" s="14"/>
      <c r="D9" s="14"/>
      <c r="E9" s="14"/>
      <c r="F9" s="14"/>
      <c r="G9" s="14"/>
      <c r="H9" s="14"/>
      <c r="I9" s="14"/>
      <c r="J9" s="14"/>
      <c r="K9" s="14"/>
      <c r="L9" s="14"/>
      <c r="M9" s="14"/>
      <c r="N9" s="14"/>
      <c r="O9" s="14"/>
      <c r="P9" s="14"/>
      <c r="Q9" s="14"/>
      <c r="R9" s="14"/>
      <c r="S9" s="14"/>
      <c r="T9" s="14"/>
    </row>
    <row r="10" spans="2:20" ht="14.45" customHeight="1">
      <c r="B10" s="35"/>
      <c r="C10" s="36"/>
      <c r="D10" s="36"/>
      <c r="E10" s="36"/>
      <c r="F10" s="36"/>
      <c r="G10" s="36"/>
      <c r="H10" s="36"/>
      <c r="I10" s="36"/>
      <c r="J10" s="36"/>
      <c r="K10" s="36"/>
      <c r="L10" s="36"/>
      <c r="M10" s="36"/>
      <c r="N10" s="36"/>
      <c r="O10" s="36"/>
      <c r="P10" s="36"/>
      <c r="Q10" s="36"/>
      <c r="R10" s="36"/>
      <c r="S10" s="36"/>
      <c r="T10" s="37"/>
    </row>
    <row r="11" spans="2:20" ht="14.45" customHeight="1">
      <c r="B11" s="38"/>
      <c r="C11" s="39"/>
      <c r="D11" s="39"/>
      <c r="E11" s="39"/>
      <c r="F11" s="39"/>
      <c r="G11" s="39"/>
      <c r="H11" s="39"/>
      <c r="I11" s="39"/>
      <c r="J11" s="39"/>
      <c r="K11" s="39"/>
      <c r="L11" s="39"/>
      <c r="M11" s="39"/>
      <c r="N11" s="39"/>
      <c r="O11" s="39"/>
      <c r="P11" s="39"/>
      <c r="Q11" s="39"/>
      <c r="R11" s="39"/>
      <c r="S11" s="39"/>
      <c r="T11" s="40"/>
    </row>
    <row r="12" spans="2:20" ht="14.45" customHeight="1">
      <c r="B12" s="38"/>
      <c r="C12" s="39"/>
      <c r="D12" s="39"/>
      <c r="E12" s="39"/>
      <c r="F12" s="39"/>
      <c r="G12" s="39"/>
      <c r="H12" s="39"/>
      <c r="I12" s="39"/>
      <c r="J12" s="39"/>
      <c r="K12" s="39"/>
      <c r="L12" s="39"/>
      <c r="M12" s="39"/>
      <c r="N12" s="39"/>
      <c r="O12" s="39"/>
      <c r="P12" s="39"/>
      <c r="Q12" s="39"/>
      <c r="R12" s="39"/>
      <c r="S12" s="39"/>
      <c r="T12" s="40"/>
    </row>
    <row r="13" spans="2:20" ht="14.45" customHeight="1">
      <c r="B13" s="38"/>
      <c r="C13" s="39"/>
      <c r="D13" s="39"/>
      <c r="E13" s="39"/>
      <c r="F13" s="39"/>
      <c r="G13" s="39"/>
      <c r="H13" s="39"/>
      <c r="I13" s="39"/>
      <c r="J13" s="39"/>
      <c r="K13" s="39"/>
      <c r="L13" s="39"/>
      <c r="M13" s="39"/>
      <c r="N13" s="39"/>
      <c r="O13" s="39"/>
      <c r="P13" s="39"/>
      <c r="Q13" s="39"/>
      <c r="R13" s="39"/>
      <c r="S13" s="39"/>
      <c r="T13" s="40"/>
    </row>
    <row r="14" spans="2:20" ht="14.45" customHeight="1">
      <c r="B14" s="38"/>
      <c r="C14" s="39"/>
      <c r="D14" s="39"/>
      <c r="E14" s="39"/>
      <c r="F14" s="39"/>
      <c r="G14" s="39"/>
      <c r="H14" s="39"/>
      <c r="I14" s="39"/>
      <c r="J14" s="39"/>
      <c r="K14" s="39"/>
      <c r="L14" s="39"/>
      <c r="M14" s="39"/>
      <c r="N14" s="39"/>
      <c r="O14" s="39"/>
      <c r="P14" s="39"/>
      <c r="Q14" s="39"/>
      <c r="R14" s="39"/>
      <c r="S14" s="39"/>
      <c r="T14" s="40"/>
    </row>
    <row r="15" spans="2:20" ht="14.45" customHeight="1">
      <c r="B15" s="38"/>
      <c r="C15" s="39"/>
      <c r="D15" s="39"/>
      <c r="E15" s="39"/>
      <c r="F15" s="39"/>
      <c r="G15" s="39"/>
      <c r="H15" s="39"/>
      <c r="I15" s="39"/>
      <c r="J15" s="39"/>
      <c r="K15" s="39"/>
      <c r="L15" s="39"/>
      <c r="M15" s="39"/>
      <c r="N15" s="39"/>
      <c r="O15" s="39"/>
      <c r="P15" s="39"/>
      <c r="Q15" s="39"/>
      <c r="R15" s="39"/>
      <c r="S15" s="39"/>
      <c r="T15" s="40"/>
    </row>
    <row r="16" spans="2:20" ht="14.45" customHeight="1">
      <c r="B16" s="38"/>
      <c r="C16" s="39"/>
      <c r="D16" s="39"/>
      <c r="E16" s="39"/>
      <c r="F16" s="39"/>
      <c r="G16" s="39"/>
      <c r="H16" s="39"/>
      <c r="I16" s="39"/>
      <c r="J16" s="39"/>
      <c r="K16" s="39"/>
      <c r="L16" s="39"/>
      <c r="M16" s="39"/>
      <c r="N16" s="39"/>
      <c r="O16" s="39"/>
      <c r="P16" s="39"/>
      <c r="Q16" s="39"/>
      <c r="R16" s="39"/>
      <c r="S16" s="39"/>
      <c r="T16" s="40"/>
    </row>
    <row r="17" spans="2:20" ht="14.45" customHeight="1">
      <c r="B17" s="38"/>
      <c r="C17" s="39"/>
      <c r="D17" s="39"/>
      <c r="E17" s="39"/>
      <c r="F17" s="39"/>
      <c r="G17" s="39"/>
      <c r="H17" s="39"/>
      <c r="I17" s="39"/>
      <c r="J17" s="39"/>
      <c r="K17" s="39"/>
      <c r="L17" s="39"/>
      <c r="M17" s="39"/>
      <c r="N17" s="39"/>
      <c r="O17" s="39"/>
      <c r="P17" s="39"/>
      <c r="Q17" s="39"/>
      <c r="R17" s="39"/>
      <c r="S17" s="39"/>
      <c r="T17" s="40"/>
    </row>
    <row r="18" spans="2:20" ht="14.45" customHeight="1">
      <c r="B18" s="38"/>
      <c r="C18" s="39"/>
      <c r="D18" s="39"/>
      <c r="E18" s="39"/>
      <c r="F18" s="39"/>
      <c r="G18" s="39"/>
      <c r="H18" s="39"/>
      <c r="I18" s="39"/>
      <c r="J18" s="39"/>
      <c r="K18" s="39"/>
      <c r="L18" s="39"/>
      <c r="M18" s="39"/>
      <c r="N18" s="39"/>
      <c r="O18" s="39"/>
      <c r="P18" s="39"/>
      <c r="Q18" s="39"/>
      <c r="R18" s="39"/>
      <c r="S18" s="39"/>
      <c r="T18" s="40"/>
    </row>
    <row r="19" spans="2:20" ht="14.45" customHeight="1">
      <c r="B19" s="38"/>
      <c r="C19" s="39"/>
      <c r="D19" s="39"/>
      <c r="E19" s="39"/>
      <c r="F19" s="39"/>
      <c r="G19" s="39"/>
      <c r="H19" s="39"/>
      <c r="I19" s="39"/>
      <c r="J19" s="39"/>
      <c r="K19" s="39"/>
      <c r="L19" s="39"/>
      <c r="M19" s="39"/>
      <c r="N19" s="39"/>
      <c r="O19" s="39"/>
      <c r="P19" s="39"/>
      <c r="Q19" s="39"/>
      <c r="R19" s="39"/>
      <c r="S19" s="39"/>
      <c r="T19" s="40"/>
    </row>
    <row r="20" spans="2:20" ht="14.45" customHeight="1">
      <c r="B20" s="38"/>
      <c r="C20" s="39"/>
      <c r="D20" s="39"/>
      <c r="E20" s="39"/>
      <c r="F20" s="39"/>
      <c r="G20" s="39"/>
      <c r="H20" s="39"/>
      <c r="I20" s="39"/>
      <c r="J20" s="39"/>
      <c r="K20" s="39"/>
      <c r="L20" s="39"/>
      <c r="M20" s="39"/>
      <c r="N20" s="39"/>
      <c r="O20" s="39"/>
      <c r="P20" s="39"/>
      <c r="Q20" s="39"/>
      <c r="R20" s="39"/>
      <c r="S20" s="39"/>
      <c r="T20" s="40"/>
    </row>
    <row r="21" spans="2:20" ht="14.45" customHeight="1">
      <c r="B21" s="38"/>
      <c r="C21" s="39"/>
      <c r="D21" s="39"/>
      <c r="E21" s="39"/>
      <c r="F21" s="39"/>
      <c r="G21" s="39"/>
      <c r="H21" s="39"/>
      <c r="I21" s="39"/>
      <c r="J21" s="39"/>
      <c r="K21" s="39"/>
      <c r="L21" s="39"/>
      <c r="M21" s="39"/>
      <c r="N21" s="39"/>
      <c r="O21" s="39"/>
      <c r="P21" s="39"/>
      <c r="Q21" s="39"/>
      <c r="R21" s="39"/>
      <c r="S21" s="39"/>
      <c r="T21" s="40"/>
    </row>
    <row r="22" spans="2:20" ht="14.45" customHeight="1">
      <c r="B22" s="38"/>
      <c r="C22" s="39"/>
      <c r="D22" s="39"/>
      <c r="E22" s="39"/>
      <c r="F22" s="39"/>
      <c r="G22" s="39"/>
      <c r="H22" s="39"/>
      <c r="I22" s="223"/>
      <c r="J22" s="223"/>
      <c r="K22" s="223"/>
      <c r="L22" s="223"/>
      <c r="M22" s="223"/>
      <c r="N22" s="223"/>
      <c r="O22" s="39"/>
      <c r="P22" s="39"/>
      <c r="Q22" s="39"/>
      <c r="R22" s="39"/>
      <c r="S22" s="39"/>
      <c r="T22" s="40"/>
    </row>
    <row r="23" spans="2:20" ht="14.45" customHeight="1">
      <c r="B23" s="38"/>
      <c r="C23" s="39"/>
      <c r="D23" s="39"/>
      <c r="E23" s="39"/>
      <c r="F23" s="39"/>
      <c r="G23" s="39"/>
      <c r="H23" s="39"/>
      <c r="I23" s="339" t="s">
        <v>480</v>
      </c>
      <c r="J23" s="339"/>
      <c r="K23" s="230"/>
      <c r="L23" s="224" t="str" cm="1">
        <f t="array" ref="L23">"Inférence"&amp;" : "&amp;_xlfn.SWITCH('⚙️Données'!B43,2,"valeur France par défaut",1,'⚙️Données'!H44,3,"mix personalisé")</f>
        <v>Inférence : valeur France par défaut</v>
      </c>
      <c r="M23" s="225"/>
      <c r="N23" s="223"/>
      <c r="O23" s="39"/>
      <c r="P23" s="39"/>
      <c r="Q23" s="39"/>
      <c r="R23" s="39"/>
      <c r="S23" s="39"/>
      <c r="T23" s="40"/>
    </row>
    <row r="24" spans="2:20" ht="14.45" customHeight="1">
      <c r="B24" s="38"/>
      <c r="C24" s="39"/>
      <c r="D24" s="39"/>
      <c r="E24" s="39"/>
      <c r="F24" s="39"/>
      <c r="G24" s="39"/>
      <c r="H24" s="39"/>
      <c r="I24" s="338" t="str">
        <f>ROUND(Calcul!M84,2)&amp;" kg CO₂e / kWh"</f>
        <v>0,46 kg CO₂e / kWh</v>
      </c>
      <c r="J24" s="338"/>
      <c r="K24" s="231"/>
      <c r="L24" s="232" t="str">
        <f>ROUND(Calcul!$M$210,2)&amp;" kg CO₂e / kWh"</f>
        <v>0,05 kg CO₂e / kWh</v>
      </c>
      <c r="M24" s="227"/>
      <c r="N24" s="223"/>
      <c r="O24" s="39"/>
      <c r="P24" s="39"/>
      <c r="Q24" s="39"/>
      <c r="R24" s="39"/>
      <c r="S24" s="39"/>
      <c r="T24" s="40"/>
    </row>
    <row r="25" spans="2:20" ht="14.45" customHeight="1">
      <c r="B25" s="38"/>
      <c r="C25" s="39"/>
      <c r="D25" s="39"/>
      <c r="E25" s="39"/>
      <c r="F25" s="39"/>
      <c r="G25" s="39"/>
      <c r="H25" s="39"/>
      <c r="I25" s="224"/>
      <c r="J25" s="229"/>
      <c r="K25" s="229"/>
      <c r="L25" s="226"/>
      <c r="M25" s="228"/>
      <c r="N25" s="223"/>
      <c r="O25" s="39"/>
      <c r="P25" s="39"/>
      <c r="Q25" s="39"/>
      <c r="R25" s="39"/>
      <c r="S25" s="39"/>
      <c r="T25" s="40"/>
    </row>
    <row r="26" spans="2:20" ht="14.45" customHeight="1">
      <c r="B26" s="38"/>
      <c r="C26" s="39"/>
      <c r="D26" s="39"/>
      <c r="E26" s="39"/>
      <c r="F26" s="39"/>
      <c r="G26" s="39"/>
      <c r="H26" s="39"/>
      <c r="I26" s="223"/>
      <c r="J26" s="223"/>
      <c r="K26" s="223"/>
      <c r="L26" s="223"/>
      <c r="M26" s="223"/>
      <c r="N26" s="223"/>
      <c r="O26" s="39"/>
      <c r="P26" s="39"/>
      <c r="Q26" s="39"/>
      <c r="R26" s="39"/>
      <c r="S26" s="39"/>
      <c r="T26" s="40"/>
    </row>
    <row r="27" spans="2:20" ht="14.45" customHeight="1">
      <c r="B27" s="41"/>
      <c r="C27" s="42"/>
      <c r="D27" s="42"/>
      <c r="E27" s="42"/>
      <c r="F27" s="42"/>
      <c r="G27" s="42"/>
      <c r="H27" s="42"/>
      <c r="I27" s="42"/>
      <c r="J27" s="42"/>
      <c r="K27" s="42"/>
      <c r="L27" s="42"/>
      <c r="M27" s="42"/>
      <c r="N27" s="42"/>
      <c r="O27" s="42"/>
      <c r="P27" s="42"/>
      <c r="Q27" s="42"/>
      <c r="R27" s="42"/>
      <c r="S27" s="42"/>
      <c r="T27" s="43"/>
    </row>
    <row r="28" spans="2:20">
      <c r="B28" s="14"/>
      <c r="C28" s="14"/>
      <c r="D28" s="14"/>
      <c r="E28" s="14"/>
      <c r="F28" s="14"/>
      <c r="G28" s="14"/>
      <c r="H28" s="14"/>
      <c r="I28" s="14"/>
      <c r="J28" s="14"/>
      <c r="K28" s="14"/>
      <c r="L28" s="14"/>
      <c r="M28" s="14"/>
      <c r="N28" s="14"/>
      <c r="O28" s="14"/>
      <c r="P28" s="14"/>
      <c r="Q28" s="14"/>
      <c r="R28" s="14"/>
      <c r="S28" s="14"/>
      <c r="T28" s="14"/>
    </row>
    <row r="29" spans="2:20">
      <c r="B29" s="14"/>
      <c r="C29" s="14"/>
      <c r="D29" s="14"/>
      <c r="E29" s="14"/>
      <c r="F29" s="14"/>
      <c r="G29" s="14"/>
      <c r="H29" s="14"/>
      <c r="I29" s="14"/>
      <c r="J29" s="14"/>
      <c r="K29" s="14"/>
      <c r="L29" s="14"/>
      <c r="M29" s="14"/>
      <c r="N29" s="14"/>
      <c r="O29" s="14"/>
      <c r="P29" s="14"/>
      <c r="Q29" s="14"/>
      <c r="R29" s="14"/>
      <c r="S29" s="14"/>
      <c r="T29" s="14"/>
    </row>
    <row r="30" spans="2:20">
      <c r="B30" s="14"/>
      <c r="C30" s="14"/>
      <c r="D30" s="14"/>
      <c r="E30" s="14"/>
      <c r="F30" s="14"/>
      <c r="G30" s="14"/>
      <c r="H30" s="14"/>
      <c r="I30" s="14"/>
      <c r="J30" s="14"/>
      <c r="K30" s="14"/>
      <c r="L30" s="14"/>
      <c r="M30" s="14"/>
      <c r="N30" s="14"/>
      <c r="O30" s="14"/>
      <c r="P30" s="14"/>
      <c r="Q30" s="14"/>
      <c r="R30" s="14"/>
      <c r="S30" s="14"/>
      <c r="T30" s="14"/>
    </row>
    <row r="31" spans="2:20">
      <c r="B31" s="14"/>
      <c r="C31" s="14"/>
      <c r="D31" s="14"/>
      <c r="E31" s="14"/>
      <c r="F31" s="14"/>
      <c r="G31" s="14"/>
      <c r="H31" s="14"/>
      <c r="I31" s="14"/>
      <c r="J31" s="14"/>
      <c r="K31" s="14"/>
      <c r="L31" s="14"/>
      <c r="M31" s="14"/>
      <c r="N31" s="14"/>
      <c r="O31" s="14"/>
      <c r="P31" s="14"/>
      <c r="Q31" s="14"/>
      <c r="R31" s="14"/>
      <c r="S31" s="14"/>
      <c r="T31" s="14"/>
    </row>
    <row r="33" spans="2:20">
      <c r="B33" s="344"/>
      <c r="C33" s="344"/>
      <c r="D33" s="345"/>
      <c r="E33" s="345"/>
      <c r="F33" s="345"/>
      <c r="G33" s="345"/>
      <c r="H33" s="345"/>
      <c r="I33" s="345"/>
      <c r="J33" s="345"/>
      <c r="K33" s="345"/>
      <c r="L33" s="345"/>
      <c r="M33" s="345"/>
      <c r="N33" s="345"/>
      <c r="O33" s="345"/>
      <c r="P33" s="345"/>
      <c r="Q33" s="345"/>
      <c r="R33" s="345"/>
      <c r="S33" s="345"/>
      <c r="T33" s="345"/>
    </row>
    <row r="36" spans="2:20" ht="26.45" customHeight="1">
      <c r="C36" s="346"/>
      <c r="D36" s="346"/>
      <c r="F36" s="343"/>
      <c r="G36" s="343"/>
      <c r="H36" s="31"/>
      <c r="I36" s="31"/>
      <c r="J36" s="31"/>
      <c r="K36" s="31"/>
      <c r="L36" s="31"/>
      <c r="M36" s="31"/>
    </row>
    <row r="37" spans="2:20">
      <c r="C37" s="202"/>
      <c r="D37" s="201"/>
      <c r="F37" s="334"/>
      <c r="G37" s="334"/>
      <c r="H37" s="44"/>
      <c r="I37" s="44"/>
      <c r="J37" s="44"/>
      <c r="K37" s="44"/>
      <c r="L37" s="44"/>
      <c r="M37" s="32"/>
    </row>
    <row r="38" spans="2:20">
      <c r="C38" s="202"/>
      <c r="D38" s="201"/>
      <c r="F38" s="334"/>
      <c r="G38" s="334"/>
      <c r="H38" s="44"/>
      <c r="I38" s="44"/>
      <c r="J38" s="44"/>
      <c r="K38" s="44"/>
      <c r="L38" s="44"/>
      <c r="M38" s="32"/>
    </row>
    <row r="39" spans="2:20">
      <c r="C39" s="202"/>
      <c r="D39" s="201"/>
      <c r="F39" s="334"/>
      <c r="G39" s="334"/>
      <c r="H39" s="44"/>
      <c r="I39" s="44"/>
      <c r="J39" s="44"/>
      <c r="K39" s="44"/>
      <c r="L39" s="44"/>
      <c r="M39" s="32"/>
    </row>
    <row r="40" spans="2:20" ht="15.75" thickBot="1">
      <c r="B40" s="203"/>
      <c r="C40" s="203"/>
      <c r="D40" s="203"/>
      <c r="E40" s="203"/>
      <c r="F40" s="203"/>
      <c r="G40" s="203"/>
      <c r="H40" s="44"/>
      <c r="I40" s="204"/>
      <c r="J40" s="204"/>
      <c r="K40" s="204"/>
      <c r="L40" s="204"/>
      <c r="M40" s="205"/>
    </row>
    <row r="41" spans="2:20" ht="67.5" customHeight="1" thickBot="1">
      <c r="B41" s="203"/>
      <c r="C41" s="203"/>
      <c r="D41" s="203"/>
      <c r="E41" s="203"/>
      <c r="F41" s="335" t="s">
        <v>448</v>
      </c>
      <c r="G41" s="336"/>
      <c r="H41" s="336"/>
      <c r="I41" s="336"/>
      <c r="J41" s="336"/>
      <c r="K41" s="336"/>
      <c r="L41" s="336"/>
      <c r="M41" s="336"/>
      <c r="N41" s="336"/>
      <c r="O41" s="336"/>
      <c r="P41" s="337"/>
    </row>
    <row r="45" spans="2:20">
      <c r="B45" s="344"/>
      <c r="C45" s="344"/>
      <c r="D45" s="344"/>
      <c r="E45" s="344"/>
      <c r="F45" s="344"/>
      <c r="G45" s="344"/>
      <c r="H45" s="344"/>
      <c r="I45" s="344"/>
      <c r="J45" s="344"/>
      <c r="K45" s="344"/>
      <c r="L45" s="344"/>
      <c r="M45" s="344"/>
      <c r="N45" s="344"/>
      <c r="O45" s="344"/>
      <c r="P45" s="344"/>
      <c r="Q45" s="344"/>
      <c r="R45" s="344"/>
      <c r="S45" s="344"/>
      <c r="T45" s="344"/>
    </row>
    <row r="47" spans="2:20" ht="25.5" customHeight="1"/>
    <row r="55" spans="2:20">
      <c r="B55" s="344"/>
      <c r="C55" s="344"/>
      <c r="D55" s="345"/>
      <c r="E55" s="345"/>
      <c r="F55" s="345"/>
      <c r="G55" s="345"/>
      <c r="H55" s="345"/>
      <c r="I55" s="345"/>
      <c r="J55" s="345"/>
      <c r="K55" s="345"/>
      <c r="L55" s="345"/>
      <c r="M55" s="345"/>
      <c r="N55" s="345"/>
      <c r="O55" s="345"/>
      <c r="P55" s="345"/>
      <c r="Q55" s="345"/>
      <c r="R55" s="345"/>
      <c r="S55" s="345"/>
      <c r="T55" s="345"/>
    </row>
    <row r="84" spans="3:25" ht="33" customHeight="1">
      <c r="C84" s="342"/>
      <c r="D84" s="342"/>
      <c r="F84" s="343"/>
      <c r="G84" s="343"/>
      <c r="H84" s="31"/>
      <c r="I84" s="31"/>
      <c r="J84" s="31"/>
      <c r="K84" s="31"/>
      <c r="L84" s="31"/>
      <c r="M84" s="31"/>
    </row>
    <row r="85" spans="3:25">
      <c r="C85" s="340"/>
      <c r="D85" s="341"/>
      <c r="F85" s="334"/>
      <c r="G85" s="334"/>
      <c r="H85" s="44"/>
      <c r="I85" s="44"/>
      <c r="J85" s="44"/>
      <c r="K85" s="44"/>
      <c r="L85" s="44"/>
    </row>
    <row r="86" spans="3:25">
      <c r="C86" s="340"/>
      <c r="D86" s="341"/>
      <c r="F86" s="334"/>
      <c r="G86" s="334"/>
      <c r="H86" s="44"/>
      <c r="I86" s="44"/>
      <c r="J86" s="44"/>
      <c r="K86" s="44"/>
      <c r="L86" s="44"/>
    </row>
    <row r="87" spans="3:25">
      <c r="C87" s="340"/>
      <c r="D87" s="341"/>
      <c r="F87" s="334"/>
      <c r="G87" s="334"/>
      <c r="H87" s="44"/>
      <c r="I87" s="44"/>
      <c r="J87" s="44"/>
      <c r="K87" s="44"/>
      <c r="L87" s="44"/>
    </row>
    <row r="88" spans="3:25">
      <c r="C88" s="340"/>
      <c r="D88" s="341"/>
      <c r="F88" s="334"/>
      <c r="G88" s="334"/>
      <c r="H88" s="44"/>
      <c r="I88" s="44"/>
      <c r="J88" s="44"/>
      <c r="K88" s="44"/>
      <c r="L88" s="44"/>
    </row>
    <row r="91" spans="3:25">
      <c r="V91" s="332"/>
      <c r="W91" s="332"/>
      <c r="X91" s="332"/>
      <c r="Y91" s="332"/>
    </row>
    <row r="92" spans="3:25">
      <c r="V92" s="332"/>
      <c r="W92" s="332"/>
      <c r="X92" s="332"/>
      <c r="Y92" s="332"/>
    </row>
    <row r="130" ht="20.45" customHeight="1"/>
    <row r="149" spans="5:19">
      <c r="E149" s="261" t="s">
        <v>34</v>
      </c>
      <c r="F149" s="261"/>
      <c r="G149" s="261"/>
      <c r="H149" s="261"/>
      <c r="I149" s="261"/>
      <c r="J149" s="261"/>
      <c r="K149" s="261"/>
      <c r="L149" s="261"/>
      <c r="M149" s="261"/>
      <c r="N149" s="261"/>
      <c r="O149" s="261"/>
      <c r="P149" s="261"/>
      <c r="Q149" s="261"/>
      <c r="R149" s="261"/>
      <c r="S149" s="261"/>
    </row>
    <row r="157" spans="5:19" ht="21.6" customHeight="1">
      <c r="F157" s="333" t="s">
        <v>418</v>
      </c>
      <c r="G157" s="333"/>
      <c r="H157" s="333"/>
      <c r="J157" s="333" t="s">
        <v>36</v>
      </c>
      <c r="K157" s="333"/>
      <c r="M157" s="333" t="s">
        <v>37</v>
      </c>
      <c r="N157" s="333"/>
      <c r="O157" s="333"/>
      <c r="Q157" s="333" t="s">
        <v>391</v>
      </c>
      <c r="R157" s="333"/>
    </row>
    <row r="177" spans="22:22">
      <c r="V177" s="58"/>
    </row>
    <row r="178" spans="22:22" ht="16.5">
      <c r="V178" s="59"/>
    </row>
    <row r="179" spans="22:22">
      <c r="V179" s="60"/>
    </row>
    <row r="180" spans="22:22" ht="16.5">
      <c r="V180" s="59"/>
    </row>
  </sheetData>
  <sheetProtection formatCells="0" formatColumns="0" formatRows="0" insertColumns="0" insertRows="0" insertHyperlinks="0" deleteColumns="0" deleteRows="0" sort="0" autoFilter="0" pivotTables="0"/>
  <mergeCells count="27">
    <mergeCell ref="I24:J24"/>
    <mergeCell ref="I23:J23"/>
    <mergeCell ref="B6:T6"/>
    <mergeCell ref="C2:S4"/>
    <mergeCell ref="F86:G86"/>
    <mergeCell ref="C85:C88"/>
    <mergeCell ref="D85:D88"/>
    <mergeCell ref="C84:D84"/>
    <mergeCell ref="F84:G84"/>
    <mergeCell ref="F85:G85"/>
    <mergeCell ref="B45:T45"/>
    <mergeCell ref="B33:T33"/>
    <mergeCell ref="B55:T55"/>
    <mergeCell ref="C36:D36"/>
    <mergeCell ref="F36:G36"/>
    <mergeCell ref="F37:G37"/>
    <mergeCell ref="V91:Y92"/>
    <mergeCell ref="Q157:R157"/>
    <mergeCell ref="F38:G38"/>
    <mergeCell ref="F39:G39"/>
    <mergeCell ref="F87:G87"/>
    <mergeCell ref="F88:G88"/>
    <mergeCell ref="J157:K157"/>
    <mergeCell ref="F157:H157"/>
    <mergeCell ref="M157:O157"/>
    <mergeCell ref="E149:S149"/>
    <mergeCell ref="F41:P41"/>
  </mergeCells>
  <pageMargins left="0.7" right="0.7" top="0.75" bottom="0.75" header="0.3" footer="0.3"/>
  <pageSetup paperSize="9" scale="32" fitToHeight="0" orientation="portrait" r:id="rId1"/>
  <headerFooter>
    <oddFooter>&amp;L_x000D_&amp;1#&amp;"Aptos"&amp;10&amp;K008000 Interne</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8D56B51-9220-4536-9446-8758D578F312}">
          <x14:formula1>
            <xm:f>Paramètres!$K$2:$K$9</xm:f>
          </x14:formula1>
          <xm:sqref>F157:H157</xm:sqref>
        </x14:dataValidation>
        <x14:dataValidation type="list" allowBlank="1" showInputMessage="1" showErrorMessage="1" xr:uid="{882CB657-DF9C-443B-8CE5-8DEAF93038A5}">
          <x14:formula1>
            <xm:f>Paramètres!$J$2:$J$7</xm:f>
          </x14:formula1>
          <xm:sqref>J157:K157</xm:sqref>
        </x14:dataValidation>
        <x14:dataValidation type="list" allowBlank="1" showInputMessage="1" showErrorMessage="1" xr:uid="{B564BE85-E12F-4073-954F-4CCAE5EE9AD9}">
          <x14:formula1>
            <xm:f>Paramètres!$H$2:$H$8</xm:f>
          </x14:formula1>
          <xm:sqref>M157:O157</xm:sqref>
        </x14:dataValidation>
        <x14:dataValidation type="list" allowBlank="1" showInputMessage="1" showErrorMessage="1" xr:uid="{80415990-4FDD-41A4-ADD3-D5805536F188}">
          <x14:formula1>
            <xm:f>Paramètres!$I$2:$I$8</xm:f>
          </x14:formula1>
          <xm:sqref>Q157:R157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8FB6-C344-449D-9075-E03FB3CC6C45}">
  <sheetPr>
    <tabColor theme="5" tint="0.79998168889431442"/>
  </sheetPr>
  <dimension ref="A1:BF154"/>
  <sheetViews>
    <sheetView showGridLines="0" zoomScale="81" zoomScaleNormal="100" workbookViewId="0">
      <selection activeCell="S107" sqref="S107"/>
      <extLst>
        <ext xmlns:xlsdti="http://schemas.microsoft.com/office/spreadsheetml/2023/showDataTypeIcons" uri="{77bfe23e-c014-4d31-8a63-9c772dbf06b6}">
          <xlsdti:showDataTypeIcons visible="0"/>
        </ext>
      </extLst>
    </sheetView>
  </sheetViews>
  <sheetFormatPr baseColWidth="10" defaultColWidth="11.44140625" defaultRowHeight="15"/>
  <sheetData>
    <row r="1" spans="1:58">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row>
    <row r="2" spans="1:58">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spans="1:58">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row>
    <row r="4" spans="1:58" ht="14.45" customHeight="1">
      <c r="A4" s="3"/>
      <c r="B4" s="3"/>
      <c r="C4" s="3"/>
      <c r="D4" s="248" t="s">
        <v>0</v>
      </c>
      <c r="E4" s="248"/>
      <c r="F4" s="248"/>
      <c r="G4" s="248"/>
      <c r="H4" s="248"/>
      <c r="I4" s="248"/>
      <c r="J4" s="248"/>
      <c r="K4" s="248"/>
      <c r="L4" s="248"/>
      <c r="M4" s="248"/>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spans="1:58" ht="14.45" customHeight="1">
      <c r="A5" s="3"/>
      <c r="B5" s="3"/>
      <c r="C5" s="3"/>
      <c r="D5" s="248"/>
      <c r="E5" s="248"/>
      <c r="F5" s="248"/>
      <c r="G5" s="248"/>
      <c r="H5" s="248"/>
      <c r="I5" s="248"/>
      <c r="J5" s="248"/>
      <c r="K5" s="248"/>
      <c r="L5" s="248"/>
      <c r="M5" s="248"/>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spans="1:58" ht="48" customHeight="1">
      <c r="A6" s="3"/>
      <c r="B6" s="3"/>
      <c r="C6" s="3"/>
      <c r="D6" s="248"/>
      <c r="E6" s="248"/>
      <c r="F6" s="248"/>
      <c r="G6" s="248"/>
      <c r="H6" s="248"/>
      <c r="I6" s="248"/>
      <c r="J6" s="248"/>
      <c r="K6" s="248"/>
      <c r="L6" s="248"/>
      <c r="M6" s="248"/>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row>
    <row r="7" spans="1:58" ht="14.4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row>
    <row r="8" spans="1:58" ht="18">
      <c r="A8" s="3"/>
      <c r="B8" s="238" t="s">
        <v>1</v>
      </c>
      <c r="C8" s="238"/>
      <c r="D8" s="238"/>
      <c r="E8" s="238"/>
      <c r="F8" s="238"/>
      <c r="G8" s="238"/>
      <c r="H8" s="238"/>
      <c r="I8" s="238"/>
      <c r="J8" s="238"/>
      <c r="K8" s="238"/>
      <c r="L8" s="238"/>
      <c r="M8" s="238"/>
      <c r="N8" s="238"/>
      <c r="O8" s="238"/>
      <c r="P8" s="238"/>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row>
    <row r="9" spans="1:58">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row>
    <row r="10" spans="1:58">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row>
    <row r="11" spans="1:58">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spans="1:58">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row>
    <row r="13" spans="1:58">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row>
    <row r="14" spans="1:58">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row>
    <row r="15" spans="1:58">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row>
    <row r="16" spans="1:58">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row>
    <row r="17" spans="1:58">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row>
    <row r="18" spans="1:5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1:58">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1:58">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1:58">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1:58">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1:58">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1:58">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row>
    <row r="25" spans="1:58">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spans="1:58">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row>
    <row r="27" spans="1:58">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spans="1:5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spans="1:58">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row>
    <row r="30" spans="1:58">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spans="1:58">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row>
    <row r="32" spans="1:58">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row>
    <row r="33" spans="1:58">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row>
    <row r="34" spans="1:58">
      <c r="A34" s="3"/>
      <c r="B34" s="347"/>
      <c r="C34" s="347"/>
      <c r="D34" s="347"/>
      <c r="E34" s="347"/>
      <c r="F34" s="347"/>
      <c r="G34" s="347"/>
      <c r="H34" s="347"/>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row>
    <row r="35" spans="1:58">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row>
    <row r="36" spans="1:58">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row>
    <row r="37" spans="1:58">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row>
    <row r="38" spans="1:5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row>
    <row r="39" spans="1:58">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row>
    <row r="40" spans="1:58">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row>
    <row r="41" spans="1:58">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row>
    <row r="42" spans="1:58">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row>
    <row r="43" spans="1:58">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row>
    <row r="44" spans="1:58">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row>
    <row r="45" spans="1:58">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row>
    <row r="46" spans="1:58">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row>
    <row r="47" spans="1:58">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row>
    <row r="48" spans="1:5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row>
    <row r="49" spans="1:58">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row>
    <row r="50" spans="1:58">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row>
    <row r="51" spans="1:58">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row>
    <row r="52" spans="1:58">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row>
    <row r="53" spans="1:58">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row>
    <row r="54" spans="1:58">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row>
    <row r="55" spans="1:58">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row>
    <row r="56" spans="1:58">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row>
    <row r="57" spans="1:58">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spans="1: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row>
    <row r="59" spans="1:58">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spans="1:58">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spans="1:58">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spans="1:58">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spans="1:58">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spans="1:58">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spans="1:58">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spans="1:58">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row r="67" spans="1:58">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spans="1:5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row>
    <row r="69" spans="1:58">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row>
    <row r="70" spans="1:58">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row>
    <row r="71" spans="1:58">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row>
    <row r="72" spans="1:58">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row>
    <row r="73" spans="1:58">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row>
    <row r="74" spans="1:58">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row>
    <row r="75" spans="1:58">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row>
    <row r="76" spans="1:58">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row>
    <row r="77" spans="1:58">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row>
    <row r="78" spans="1:5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row>
    <row r="79" spans="1:58">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row>
    <row r="80" spans="1:58">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row>
    <row r="81" spans="1:58">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row>
    <row r="82" spans="1:58">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row>
    <row r="83" spans="1:58">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row>
    <row r="84" spans="1:58">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row>
    <row r="85" spans="1:58">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row>
    <row r="86" spans="1:58">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row>
    <row r="87" spans="1:58">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row>
    <row r="88" spans="1:5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row>
    <row r="89" spans="1:58">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row>
    <row r="90" spans="1:58">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row>
    <row r="91" spans="1:58">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row>
    <row r="92" spans="1:58">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row>
    <row r="93" spans="1:58">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row>
    <row r="94" spans="1:58">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row>
    <row r="95" spans="1:58">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row>
    <row r="96" spans="1:58">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row>
    <row r="97" spans="1:58">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row>
    <row r="98" spans="1:5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row>
    <row r="99" spans="1:58">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row>
    <row r="100" spans="1:58">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row>
    <row r="101" spans="1:58">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row>
    <row r="102" spans="1:58">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row>
    <row r="103" spans="1:58">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row>
    <row r="104" spans="1:58">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row>
    <row r="105" spans="1:58">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row>
    <row r="106" spans="1:58">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row>
    <row r="107" spans="1:58">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row>
    <row r="108" spans="1:5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row>
    <row r="109" spans="1:58">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row>
    <row r="110" spans="1:58">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row>
    <row r="111" spans="1:58">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row>
    <row r="112" spans="1:58">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row>
    <row r="113" spans="1:58">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row>
    <row r="114" spans="1:58">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row>
    <row r="115" spans="1:58">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row>
    <row r="116" spans="1:58">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row>
    <row r="117" spans="1:58">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row>
    <row r="118" spans="1:5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row>
    <row r="119" spans="1:58">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row>
    <row r="120" spans="1:5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row>
    <row r="121" spans="1:58">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row>
    <row r="122" spans="1:58">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row>
    <row r="123" spans="1:58">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row>
    <row r="124" spans="1:58">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row>
    <row r="125" spans="1:58">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row>
    <row r="126" spans="1:58">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row>
    <row r="127" spans="1:58">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row>
    <row r="128" spans="1:5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row>
    <row r="129" spans="1:58">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row>
    <row r="130" spans="1:58">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row>
    <row r="131" spans="1:58">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row>
    <row r="132" spans="1:58">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row>
    <row r="133" spans="1:58">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row>
    <row r="134" spans="1:58">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row>
    <row r="135" spans="1:58">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row>
    <row r="136" spans="1:58">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row>
    <row r="137" spans="1:58">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row>
    <row r="138" spans="1:5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row>
    <row r="139" spans="1:58">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row>
    <row r="140" spans="1:58">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row>
    <row r="141" spans="1:58">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row>
    <row r="142" spans="1:58">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row>
    <row r="143" spans="1:58">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row>
    <row r="144" spans="1:58">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row>
    <row r="145" spans="1:58">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row>
    <row r="146" spans="1:58">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row>
    <row r="147" spans="1:58">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row>
    <row r="148" spans="1:5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row>
    <row r="149" spans="1:58">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row>
    <row r="150" spans="1:58">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row>
    <row r="151" spans="1:58">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row>
    <row r="152" spans="1:58">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spans="1:58">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row>
    <row r="154" spans="1:58">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row>
  </sheetData>
  <mergeCells count="3">
    <mergeCell ref="D4:M6"/>
    <mergeCell ref="B8:P8"/>
    <mergeCell ref="B34:H34"/>
  </mergeCells>
  <pageMargins left="0.7" right="0.7" top="0.75" bottom="0.75" header="0.3" footer="0.3"/>
  <pageSetup paperSize="9" orientation="portrait" r:id="rId1"/>
  <headerFooter>
    <oddFooter>&amp;L_x000D_&amp;1#&amp;"Aptos"&amp;10&amp;K008000 Interne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1A24-EF5A-47C7-B82B-8A70026FB66B}">
  <sheetPr codeName="Sheet3"/>
  <dimension ref="A2:R272"/>
  <sheetViews>
    <sheetView topLeftCell="K113" zoomScale="62" zoomScaleNormal="75" workbookViewId="0">
      <selection activeCell="L191" sqref="L191"/>
    </sheetView>
  </sheetViews>
  <sheetFormatPr baseColWidth="10" defaultColWidth="10.77734375" defaultRowHeight="15"/>
  <cols>
    <col min="3" max="3" width="10.77734375" bestFit="1" customWidth="1"/>
    <col min="4" max="4" width="31" bestFit="1" customWidth="1"/>
    <col min="5" max="5" width="18.33203125" bestFit="1" customWidth="1"/>
    <col min="6" max="6" width="11" bestFit="1" customWidth="1"/>
    <col min="7" max="7" width="11.109375" bestFit="1" customWidth="1"/>
    <col min="8" max="8" width="29.77734375" bestFit="1" customWidth="1"/>
    <col min="9" max="9" width="2.77734375" customWidth="1"/>
    <col min="10" max="10" width="33.44140625" bestFit="1" customWidth="1"/>
    <col min="11" max="11" width="81.44140625" customWidth="1"/>
    <col min="12" max="12" width="36.33203125" bestFit="1" customWidth="1"/>
    <col min="13" max="13" width="19.5546875" bestFit="1" customWidth="1"/>
    <col min="14" max="14" width="24.21875" bestFit="1" customWidth="1"/>
    <col min="15" max="15" width="22.77734375" bestFit="1" customWidth="1"/>
    <col min="16" max="16" width="22.109375" bestFit="1" customWidth="1"/>
    <col min="17" max="17" width="22.5546875" bestFit="1" customWidth="1"/>
    <col min="18" max="18" width="23.5546875" bestFit="1" customWidth="1"/>
    <col min="20" max="20" width="22.77734375" bestFit="1" customWidth="1"/>
    <col min="21" max="21" width="18.44140625" bestFit="1" customWidth="1"/>
    <col min="22" max="22" width="12.44140625" bestFit="1" customWidth="1"/>
  </cols>
  <sheetData>
    <row r="2" spans="11:18" ht="18.75">
      <c r="K2" s="186" t="s">
        <v>309</v>
      </c>
      <c r="L2" s="140"/>
      <c r="M2" s="140"/>
      <c r="N2" s="140"/>
      <c r="O2" s="140"/>
      <c r="P2" s="140"/>
      <c r="Q2" s="140"/>
      <c r="R2" s="140"/>
    </row>
    <row r="3" spans="11:18">
      <c r="K3" t="s">
        <v>39</v>
      </c>
      <c r="N3" t="e">
        <f>_xlfn.XLOOKUP(N4,Tableau1[Nom du modèle],Tableau1[Fournisseurs])</f>
        <v>#N/A</v>
      </c>
      <c r="O3" t="str">
        <f>_xlfn.XLOOKUP(O4,Tableau1[Nom du modèle],Tableau1[Fournisseurs])</f>
        <v>OpenAI</v>
      </c>
      <c r="P3" t="str">
        <f>_xlfn.XLOOKUP(P4,Tableau1[Nom du modèle],Tableau1[Fournisseurs])</f>
        <v>Mistral AI</v>
      </c>
      <c r="Q3" t="str">
        <f>_xlfn.XLOOKUP(Q4,Tableau1[Nom du modèle],Tableau1[Fournisseurs])</f>
        <v>Anthropic</v>
      </c>
      <c r="R3" t="str">
        <f>_xlfn.XLOOKUP(R4,Tableau1[Nom du modèle],Tableau1[Fournisseurs])</f>
        <v>Google</v>
      </c>
    </row>
    <row r="4" spans="11:18">
      <c r="K4" t="s">
        <v>43</v>
      </c>
      <c r="N4">
        <f>N24</f>
        <v>0</v>
      </c>
      <c r="O4" t="str">
        <f t="shared" ref="O4:R4" si="0">O24</f>
        <v>GPT-4.1-mini</v>
      </c>
      <c r="P4" t="str">
        <f t="shared" si="0"/>
        <v>Mistral Large</v>
      </c>
      <c r="Q4" t="str">
        <f t="shared" si="0"/>
        <v>Claude Sonnet 4</v>
      </c>
      <c r="R4" t="str">
        <f t="shared" si="0"/>
        <v>Gemini 2.5 flash lite</v>
      </c>
    </row>
    <row r="6" spans="11:18" ht="18.75">
      <c r="K6" s="190" t="e">
        <f ca="1">📓Notice!$B$18&amp;" ("&amp;L6&amp;")"</f>
        <v>#DIV/0!</v>
      </c>
      <c r="L6" s="178" t="e">
        <f ca="1">IF(N33&gt;=1,
   " kWh / an",
   IF(N33&gt;=0.001,
     " Wh / an",
      " mWh / an"
   )
)</f>
        <v>#DIV/0!</v>
      </c>
      <c r="M6" s="178"/>
      <c r="N6" s="187" t="e">
        <f ca="1">IF($N$33&gt;=1,
   TEXT(ROUND(N33,0),"# ##0"),
   IF($N$33&gt;=0.001,
      TEXT(ROUND(N33*1000,2),"# ##0"),
      TEXT(ROUND(N33*1000000,0),"# ##0")
   )
)&amp;" "&amp;$L$6</f>
        <v>#DIV/0!</v>
      </c>
      <c r="O6" s="178" t="e">
        <f ca="1">IF($N$33&gt;=1,
   TEXT(ROUND(O33,0),"# ##0"),
   IF($N$33&gt;=0.001,
      TEXT(ROUND(O33*1000,2),"# ##0"),
      TEXT(ROUND(O33*1000000,0),"# ##0")
   )
)&amp;" "&amp;$L$6</f>
        <v>#DIV/0!</v>
      </c>
      <c r="P6" s="178" t="e">
        <f t="shared" ref="P6:R6" ca="1" si="1">IF($N$33&gt;=1,
   TEXT(ROUND(P33,0),"# ##0"),
   IF($N$33&gt;=0.001,
      TEXT(ROUND(P33*1000,2),"# ##0"),
      TEXT(ROUND(P33*1000000,0),"# ##0")
   )
)&amp;" "&amp;$L$6</f>
        <v>#DIV/0!</v>
      </c>
      <c r="Q6" s="178" t="e">
        <f t="shared" ca="1" si="1"/>
        <v>#DIV/0!</v>
      </c>
      <c r="R6" s="178" t="e">
        <f t="shared" ca="1" si="1"/>
        <v>#DIV/0!</v>
      </c>
    </row>
    <row r="7" spans="11:18">
      <c r="K7" t="s">
        <v>310</v>
      </c>
      <c r="N7" s="5" t="e">
        <f ca="1">IF(
   N33/$N$33&lt;1,
   "👍 x "&amp;TEXT(N33/$N$33,"0,0"),
   "x "&amp;TEXT(ROUNDUP(N33/$N$33,1),"0,0")
)</f>
        <v>#DIV/0!</v>
      </c>
      <c r="O7" s="5" t="e">
        <f t="shared" ref="O7:R7" ca="1" si="2">IF(
   O33/$N$33&lt;1,
   "👍 x "&amp;TEXT(O33/$N$33,"0,0"),
   "x "&amp;TEXT(ROUNDUP(O33/$N$33,1),"0,0")
)</f>
        <v>#DIV/0!</v>
      </c>
      <c r="P7" s="5" t="e">
        <f t="shared" ca="1" si="2"/>
        <v>#DIV/0!</v>
      </c>
      <c r="Q7" s="5" t="e">
        <f t="shared" ca="1" si="2"/>
        <v>#DIV/0!</v>
      </c>
      <c r="R7" s="5" t="e">
        <f t="shared" ca="1" si="2"/>
        <v>#DIV/0!</v>
      </c>
    </row>
    <row r="8" spans="11:18">
      <c r="K8" t="str">
        <f>📓Notice!$B$18&amp;" par requête"</f>
        <v>Consommation d'électricité par requête</v>
      </c>
      <c r="L8" t="str">
        <f ca="1">IF(N34&gt;=1,
   " kWh / requête",
   IF(N34&gt;=0.001,
     " Wh / requête",
      " mWh / requête"
   )
)</f>
        <v xml:space="preserve"> mWh / requête</v>
      </c>
      <c r="N8" t="str">
        <f ca="1">IF($N$34&gt;=1,
   ROUND(Calcul!N34,0),
   IF(Calcul!$N$34&gt;=0.001,
      ROUND(Calcul!N34*1000,1),
      ROUND(Calcul!N34*1000000,0)
   )
)&amp;" "&amp;$L$8</f>
        <v>0  mWh / requête</v>
      </c>
      <c r="O8" t="str">
        <f ca="1">IF($N$34&gt;=1,
   ROUND(Calcul!O34,0),
   IF(Calcul!$N$34&gt;=0.001,
      ROUND(Calcul!O34*1000,1),
      ROUND(Calcul!O34*1000000,0)
   )
)&amp;" "&amp;$L$8</f>
        <v>0  mWh / requête</v>
      </c>
      <c r="P8" t="str">
        <f ca="1">IF($N$34&gt;=1,
   ROUND(Calcul!P34,0),
   IF(Calcul!$N$34&gt;=0.001,
      ROUND(Calcul!P34*1000,1),
      ROUND(Calcul!P34*1000000,0)
   )
)&amp;" "&amp;$L$8</f>
        <v>0  mWh / requête</v>
      </c>
      <c r="Q8" t="str">
        <f ca="1">IF($N$34&gt;=1,
   ROUND(Calcul!Q34,0),
   IF(Calcul!$N$34&gt;=0.001,
      ROUND(Calcul!Q34*1000,1),
      ROUND(Calcul!Q34*1000000,0)
   )
)&amp;" "&amp;$L$8</f>
        <v>0  mWh / requête</v>
      </c>
      <c r="R8" t="str">
        <f ca="1">IF($N$34&gt;=1,
   ROUND(Calcul!R34,0),
   IF(Calcul!$N$34&gt;=0.001,
      ROUND(Calcul!R34*1000,1),
      ROUND(Calcul!R34*1000000,0)
   )
)&amp;" "&amp;$L$8</f>
        <v>0  mWh / requête</v>
      </c>
    </row>
    <row r="9" spans="11:18">
      <c r="K9" t="str">
        <f>📓Notice!$B$18&amp;" par token de sortie"</f>
        <v>Consommation d'électricité par token de sortie</v>
      </c>
      <c r="L9" t="str">
        <f ca="1">IF(Calcul!$N$35&gt;=1000,
   " kWh / token",
   IF(N35&gt;=0.001,
     " Wh / token",
      " mWh / token"
   )
)</f>
        <v xml:space="preserve"> mWh / token</v>
      </c>
      <c r="N9" t="str">
        <f ca="1">IF(Calcul!$N$35&gt;=1000,
ROUND(Calcul!N35/1000,2),
IF(Calcul!$N$35&gt;=1,
ROUND(Calcul!N35,2),
ROUND(Calcul!N35*1000,2)
)
)&amp;" "&amp;$L$9</f>
        <v>0  mWh / token</v>
      </c>
      <c r="O9" t="str">
        <f ca="1">IF(Calcul!$N$35&gt;=1000,
ROUND(Calcul!O35/1000,2),
IF(Calcul!$N$35&gt;=1,
ROUND(Calcul!O35,2),
ROUND(Calcul!O35*1000,2)
)
)&amp;" "&amp;$L$9</f>
        <v>0  mWh / token</v>
      </c>
      <c r="P9" t="str">
        <f ca="1">IF(Calcul!$N$35&gt;=1000,
ROUND(Calcul!P35/1000,2),
IF(Calcul!$N$35&gt;=1,
ROUND(Calcul!P35,2),
ROUND(Calcul!P35*1000,2)
)
)&amp;" "&amp;$L$9</f>
        <v>0  mWh / token</v>
      </c>
      <c r="Q9" t="str">
        <f ca="1">IF(Calcul!$N$35&gt;=1000,
ROUND(Calcul!Q35/1000,2),
IF(Calcul!$N$35&gt;=1,
ROUND(Calcul!Q35,2),
ROUND(Calcul!Q35*1000,2)
)
)&amp;" "&amp;$L$9</f>
        <v>0  mWh / token</v>
      </c>
      <c r="R9" t="str">
        <f ca="1">IF(Calcul!$N$35&gt;=1000,
ROUND(Calcul!R35/1000,2),
IF(Calcul!$N$35&gt;=1,
ROUND(Calcul!R35,2),
ROUND(Calcul!R35*1000,2)
)
)&amp;" "&amp;$L$9</f>
        <v>0  mWh / token</v>
      </c>
    </row>
    <row r="11" spans="11:18" ht="18.75">
      <c r="K11" s="191" t="e">
        <f ca="1">📓Notice!$F$18&amp;" ("&amp;L11&amp;")"</f>
        <v>#DIV/0!</v>
      </c>
      <c r="L11" s="179" t="e">
        <f ca="1">IF(N37&gt;=1,
   " kg CO₂e / an",
   IF(N37&gt;=0.001,
      " g CO₂e / an",
      " mg CO₂e / an"
   )
)</f>
        <v>#DIV/0!</v>
      </c>
      <c r="M11" s="179"/>
      <c r="N11" s="188" t="e">
        <f ca="1">IF($N$37&gt;=1,
   TEXT(ROUND(N37,0),"# ##0"),
   IF($N$37&gt;=0.001,
      TEXT(ROUND(N37*1000,2),"# ##0"),
      TEXT(ROUND(N37*1000000,0),"# ##0")
   )
)&amp;" "&amp;$L$11</f>
        <v>#DIV/0!</v>
      </c>
      <c r="O11" s="179" t="e">
        <f ca="1">IF($N$37&gt;=1,
   TEXT(ROUND(O37,0),"# ##0"),
   IF($N$37&gt;=0.001,
      TEXT(ROUND(O37*1000,2),"# ##0"),
      TEXT(ROUND(O37*1000000,0),"# ##0")
   )
)&amp;" "&amp;$L$11</f>
        <v>#DIV/0!</v>
      </c>
      <c r="P11" s="179" t="e">
        <f t="shared" ref="P11:R11" ca="1" si="3">IF($N$37&gt;=1,
   TEXT(ROUND(P37,0),"# ##0"),
   IF($N$37&gt;=0.001,
      TEXT(ROUND(P37*1000,2),"# ##0"),
      TEXT(ROUND(P37*1000000,0),"# ##0")
   )
)&amp;" "&amp;$L$11</f>
        <v>#DIV/0!</v>
      </c>
      <c r="Q11" s="179" t="e">
        <f t="shared" ca="1" si="3"/>
        <v>#DIV/0!</v>
      </c>
      <c r="R11" s="179" t="e">
        <f t="shared" ca="1" si="3"/>
        <v>#DIV/0!</v>
      </c>
    </row>
    <row r="12" spans="11:18">
      <c r="K12" t="s">
        <v>310</v>
      </c>
      <c r="N12" s="5" t="e">
        <f ca="1">IF(
   N37/$N$37&lt;1,
   "👍 x "&amp;TEXT(N37/$N$37,"0,0"),
   "x "&amp;TEXT(ROUNDUP(N37/$N$37,1),"0,0")
)</f>
        <v>#DIV/0!</v>
      </c>
      <c r="O12" s="5" t="e">
        <f t="shared" ref="O12:R12" ca="1" si="4">IF(
   O37/$N$37&lt;1,
   "👍 x "&amp;TEXT(O37/$N$37,"0,0"),
   "x "&amp;TEXT(ROUNDUP(O37/$N$37,1),"0,0")
)</f>
        <v>#DIV/0!</v>
      </c>
      <c r="P12" s="5" t="e">
        <f t="shared" ca="1" si="4"/>
        <v>#DIV/0!</v>
      </c>
      <c r="Q12" s="5" t="e">
        <f t="shared" ca="1" si="4"/>
        <v>#DIV/0!</v>
      </c>
      <c r="R12" s="5" t="e">
        <f t="shared" ca="1" si="4"/>
        <v>#DIV/0!</v>
      </c>
    </row>
    <row r="13" spans="11:18">
      <c r="K13" t="str">
        <f>📓Notice!$F$18&amp;" par requête"</f>
        <v>Potentiel de Réchauffement Climatique par requête</v>
      </c>
      <c r="L13" t="str">
        <f ca="1">IF(N38&gt;=1,
   " kg CO₂e / requête",
   IF(N38&gt;=0.001,
     " g CO₂e / requête",
      " mg CO₂e / requête"
   )
)</f>
        <v xml:space="preserve"> mg CO₂e / requête</v>
      </c>
      <c r="N13" t="str">
        <f ca="1">IF($N$38&gt;=1,
   ROUND(N38,0),
   IF($N$38&gt;=0.001,
      ROUND(N38*1000,1),
      ROUND(N38*1000000,0)
   )
)&amp;" "&amp;$L$13</f>
        <v>0  mg CO₂e / requête</v>
      </c>
      <c r="O13" t="str">
        <f t="shared" ref="O13:Q13" ca="1" si="5">IF($N$38&gt;=1,
   ROUND(O38,0),
   IF($N$38&gt;=0.001,
      ROUND(O38*1000,1),
      ROUND(O38*1000000,0)
   )
)&amp;" "&amp;$L$13</f>
        <v>0  mg CO₂e / requête</v>
      </c>
      <c r="P13" t="str">
        <f t="shared" ca="1" si="5"/>
        <v>0  mg CO₂e / requête</v>
      </c>
      <c r="Q13" t="str">
        <f t="shared" ca="1" si="5"/>
        <v>0  mg CO₂e / requête</v>
      </c>
      <c r="R13" t="str">
        <f ca="1">IF($N$38&gt;=1,
   ROUND(R38,0),
   IF($N$38&gt;=0.001,
      ROUND(R38*1000,1),
      ROUND(R38*1000000,0)
   )
)&amp;" "&amp;$L$13</f>
        <v>0  mg CO₂e / requête</v>
      </c>
    </row>
    <row r="14" spans="11:18">
      <c r="K14" t="str">
        <f>📓Notice!$F$18&amp;" par token de sortie"</f>
        <v>Potentiel de Réchauffement Climatique par token de sortie</v>
      </c>
      <c r="L14" t="str">
        <f ca="1">IF($N$39&gt;=1000,
   " kg CO₂e / token",
   IF($N$39&gt;=0.001,
     " g CO₂e / token",
      " mg CO₂e / token"
   )
)</f>
        <v xml:space="preserve"> mg CO₂e / token</v>
      </c>
      <c r="N14" t="str">
        <f ca="1">IF($N$39&gt;=1000,
ROUND(N39/1000,2),
IF($N$39&gt;=1,
ROUND(N39,2),
ROUND(N39*1000,2)
)
)&amp;" "&amp;$L$14</f>
        <v>0  mg CO₂e / token</v>
      </c>
      <c r="O14" t="str">
        <f t="shared" ref="O14:Q14" ca="1" si="6">IF($N$39&gt;=1000,
ROUND(O39/1000,2),
IF($N$39&gt;=1,
ROUND(O39,2),
ROUND(O39*1000,2)
)
)&amp;" "&amp;$L$14</f>
        <v>0  mg CO₂e / token</v>
      </c>
      <c r="P14" t="str">
        <f t="shared" ca="1" si="6"/>
        <v>0  mg CO₂e / token</v>
      </c>
      <c r="Q14" t="str">
        <f t="shared" ca="1" si="6"/>
        <v>0  mg CO₂e / token</v>
      </c>
      <c r="R14" t="str">
        <f ca="1">IF($N$39&gt;=1000,
ROUND(R39/1000,2),
IF($N$39&gt;=1,
ROUND(R39,2),
ROUND(R39*1000,2)
)
)&amp;" "&amp;$L$14</f>
        <v>0  mg CO₂e / token</v>
      </c>
    </row>
    <row r="15" spans="11:18">
      <c r="N15" s="73"/>
      <c r="O15" s="5"/>
      <c r="P15" s="5"/>
      <c r="Q15" s="5"/>
      <c r="R15" s="5"/>
    </row>
    <row r="16" spans="11:18" ht="18.75">
      <c r="K16" s="192" t="e">
        <f ca="1">📓Notice!$J$18&amp;" ("&amp;L16&amp;")"</f>
        <v>#DIV/0!</v>
      </c>
      <c r="L16" s="180" t="e">
        <f ca="1">IF(N41&gt;=1000,
  " m³ eq / an",
   IF(N41&gt;=1,
      " L eq / an",
     " mL eq / an"
   )
)</f>
        <v>#DIV/0!</v>
      </c>
      <c r="M16" s="180"/>
      <c r="N16" s="189" t="e">
        <f ca="1">ROUND(N$41/1000,0)&amp;" "&amp;$L$16</f>
        <v>#DIV/0!</v>
      </c>
      <c r="O16" s="189" t="e">
        <f ca="1">ROUND(O$41/1000,0)&amp;" "&amp;$L$16</f>
        <v>#DIV/0!</v>
      </c>
      <c r="P16" s="189" t="e">
        <f t="shared" ref="P16:R16" ca="1" si="7">ROUND(P$41/1000,0)&amp;" "&amp;$L$16</f>
        <v>#DIV/0!</v>
      </c>
      <c r="Q16" s="189" t="e">
        <f t="shared" ca="1" si="7"/>
        <v>#DIV/0!</v>
      </c>
      <c r="R16" s="189" t="e">
        <f t="shared" ca="1" si="7"/>
        <v>#DIV/0!</v>
      </c>
    </row>
    <row r="17" spans="1:18">
      <c r="K17" t="s">
        <v>310</v>
      </c>
      <c r="N17" s="5" t="e">
        <f ca="1">IF(
   N41/$N$41&lt;1,
   "👍 x "&amp;TEXT(N41/$N$41,"0,0"),
   "x "&amp;TEXT(ROUNDUP(N41/$N$41,1),"0,0")
)</f>
        <v>#DIV/0!</v>
      </c>
      <c r="O17" s="5" t="e">
        <f t="shared" ref="O17:R17" ca="1" si="8">IF(
   O41/$N$41&lt;1,
   "👍 x "&amp;TEXT(O41/$N$41,"0,0"),
   "x "&amp;TEXT(ROUNDUP(O41/$N$41,1),"0,0")
)</f>
        <v>#DIV/0!</v>
      </c>
      <c r="P17" s="5" t="e">
        <f t="shared" ca="1" si="8"/>
        <v>#DIV/0!</v>
      </c>
      <c r="Q17" s="5" t="e">
        <f t="shared" ca="1" si="8"/>
        <v>#DIV/0!</v>
      </c>
      <c r="R17" s="5" t="e">
        <f t="shared" ca="1" si="8"/>
        <v>#DIV/0!</v>
      </c>
    </row>
    <row r="18" spans="1:18">
      <c r="K18" t="str">
        <f>📓Notice!$J$18&amp;" par requête"</f>
        <v>Utilisation d'eau par requête</v>
      </c>
      <c r="L18" t="s">
        <v>311</v>
      </c>
      <c r="N18" t="str">
        <f ca="1">ROUND(N$42*1000,0)&amp;" "&amp;$L$18</f>
        <v>0 mL eq / requête</v>
      </c>
      <c r="O18" t="str">
        <f t="shared" ref="O18:R18" ca="1" si="9">ROUND(O$42*1000,0)&amp;" "&amp;$L$18</f>
        <v>0 mL eq / requête</v>
      </c>
      <c r="P18" t="str">
        <f t="shared" ca="1" si="9"/>
        <v>0 mL eq / requête</v>
      </c>
      <c r="Q18" t="str">
        <f t="shared" ca="1" si="9"/>
        <v>0 mL eq / requête</v>
      </c>
      <c r="R18" t="str">
        <f t="shared" ca="1" si="9"/>
        <v>0 mL eq / requête</v>
      </c>
    </row>
    <row r="19" spans="1:18">
      <c r="K19" t="str">
        <f>📓Notice!$J$18&amp;" par token de sortie"</f>
        <v>Utilisation d'eau par token de sortie</v>
      </c>
      <c r="L19" t="s">
        <v>312</v>
      </c>
      <c r="N19" t="str">
        <f ca="1">ROUND(N$43*1000,2)&amp;" "&amp;$L$19</f>
        <v>0 mL eq / token</v>
      </c>
      <c r="O19" t="str">
        <f t="shared" ref="O19:R19" ca="1" si="10">ROUND(O$43*1000,2)&amp;" "&amp;$L$19</f>
        <v>0 mL eq / token</v>
      </c>
      <c r="P19" t="str">
        <f t="shared" ca="1" si="10"/>
        <v>0 mL eq / token</v>
      </c>
      <c r="Q19" t="str">
        <f t="shared" ca="1" si="10"/>
        <v>0 mL eq / token</v>
      </c>
      <c r="R19" t="str">
        <f t="shared" ca="1" si="10"/>
        <v>0 mL eq / token</v>
      </c>
    </row>
    <row r="21" spans="1:18">
      <c r="J21" t="s">
        <v>49</v>
      </c>
      <c r="K21" t="s">
        <v>50</v>
      </c>
      <c r="L21" t="s">
        <v>51</v>
      </c>
      <c r="M21" t="s">
        <v>52</v>
      </c>
    </row>
    <row r="22" spans="1:18" ht="4.5" customHeight="1"/>
    <row r="23" spans="1:18">
      <c r="K23" s="69" t="s">
        <v>53</v>
      </c>
      <c r="L23" s="70"/>
      <c r="M23" s="70"/>
      <c r="N23" s="70"/>
      <c r="O23" s="70"/>
      <c r="P23" s="70"/>
      <c r="Q23" s="70"/>
      <c r="R23" s="70"/>
    </row>
    <row r="24" spans="1:18">
      <c r="C24" s="348" t="s">
        <v>313</v>
      </c>
      <c r="D24" s="349"/>
      <c r="E24" s="349"/>
      <c r="F24" s="349"/>
      <c r="G24" s="349"/>
      <c r="H24" s="349"/>
      <c r="J24" t="s">
        <v>54</v>
      </c>
      <c r="K24" t="s">
        <v>55</v>
      </c>
      <c r="L24" t="s">
        <v>56</v>
      </c>
      <c r="M24" s="10"/>
      <c r="N24" s="10">
        <f>'⚙️Données'!$J$26</f>
        <v>0</v>
      </c>
      <c r="O24" t="str">
        <f>📊Résultats!$F$157</f>
        <v>GPT-4.1-mini</v>
      </c>
      <c r="P24" t="str">
        <f>📊Résultats!$J$157</f>
        <v>Mistral Large</v>
      </c>
      <c r="Q24" t="str">
        <f>📊Résultats!$M$157</f>
        <v>Claude Sonnet 4</v>
      </c>
      <c r="R24" t="str">
        <f>📊Résultats!$Q$157</f>
        <v>Gemini 2.5 flash lite</v>
      </c>
    </row>
    <row r="25" spans="1:18">
      <c r="A25" s="140"/>
      <c r="B25" s="153"/>
      <c r="C25" s="154" t="s">
        <v>314</v>
      </c>
      <c r="D25" s="29" t="s">
        <v>315</v>
      </c>
      <c r="E25" s="155" t="s">
        <v>316</v>
      </c>
      <c r="F25" s="29" t="s">
        <v>317</v>
      </c>
      <c r="G25" s="156" t="s">
        <v>318</v>
      </c>
      <c r="H25" s="29" t="s">
        <v>319</v>
      </c>
      <c r="J25" t="s">
        <v>57</v>
      </c>
      <c r="K25" t="s">
        <v>58</v>
      </c>
      <c r="L25" t="s">
        <v>59</v>
      </c>
      <c r="M25" s="82"/>
      <c r="N25" s="82">
        <f>IFERROR(INDEX(Tableau1[], MATCH(N$24, Tableau1[Nom du modèle], 0), MATCH($K$25, Tableau1[#Headers], 0)),0)</f>
        <v>0</v>
      </c>
      <c r="O25" s="82">
        <f>IFERROR(INDEX(Tableau1[], MATCH(O$24, Tableau1[Nom du modèle], 0), MATCH($K$25, Tableau1[#Headers], 0)),0)</f>
        <v>76</v>
      </c>
      <c r="P25" s="82">
        <f>IFERROR(INDEX(Tableau1[], MATCH(P$24, Tableau1[Nom du modèle], 0), MATCH($K$25, Tableau1[#Headers], 0)),0)</f>
        <v>122</v>
      </c>
      <c r="Q25" s="82">
        <f>IFERROR(INDEX(Tableau1[], MATCH(Q$24, Tableau1[Nom du modèle], 0), MATCH($K$25, Tableau1[#Headers], 0)),0)</f>
        <v>440</v>
      </c>
      <c r="R25" s="82">
        <f>IFERROR(INDEX(Tableau1[], MATCH(R$24, Tableau1[Nom du modèle], 0), MATCH($K$25, Tableau1[#Headers], 0)),0)</f>
        <v>18</v>
      </c>
    </row>
    <row r="26" spans="1:18">
      <c r="A26" s="150" t="s">
        <v>320</v>
      </c>
      <c r="B26" s="150" t="s">
        <v>320</v>
      </c>
      <c r="C26" s="152" t="e">
        <f ca="1">N33</f>
        <v>#DIV/0!</v>
      </c>
      <c r="D26" s="157" t="e">
        <f t="shared" ref="D26:D32" ca="1" si="11">C26/$C$26</f>
        <v>#DIV/0!</v>
      </c>
      <c r="E26" s="163" t="e">
        <f ca="1">N37</f>
        <v>#DIV/0!</v>
      </c>
      <c r="F26" s="157" t="e">
        <f ca="1">E26/$E$26</f>
        <v>#DIV/0!</v>
      </c>
      <c r="G26" s="164" t="e">
        <f ca="1">N41</f>
        <v>#DIV/0!</v>
      </c>
      <c r="H26" s="157" t="e">
        <f ca="1">G26/$G$26</f>
        <v>#DIV/0!</v>
      </c>
      <c r="J26" t="s">
        <v>57</v>
      </c>
      <c r="K26" t="s">
        <v>60</v>
      </c>
      <c r="L26" t="s">
        <v>59</v>
      </c>
      <c r="M26" s="82"/>
      <c r="N26" s="82">
        <f>IFERROR(INDEX(Tableau1[], MATCH(N$24, Tableau1[Nom du modèle], 0), MATCH($K$26, Tableau1[#Headers], 0)),0)</f>
        <v>0</v>
      </c>
      <c r="O26" s="82">
        <f>IFERROR(INDEX(Tableau1[], MATCH(O$24, Tableau1[Nom du modèle], 0), MATCH($K$26, Tableau1[#Headers], 0)),0)</f>
        <v>76</v>
      </c>
      <c r="P26" s="82">
        <f>IFERROR(INDEX(Tableau1[], MATCH(P$24, Tableau1[Nom du modèle], 0), MATCH($K$26, Tableau1[#Headers], 0)),0)</f>
        <v>122</v>
      </c>
      <c r="Q26" s="82">
        <f>IFERROR(INDEX(Tableau1[], MATCH(Q$24, Tableau1[Nom du modèle], 0), MATCH($K$26, Tableau1[#Headers], 0)),0)</f>
        <v>88</v>
      </c>
      <c r="R26" s="82">
        <f>IFERROR(INDEX(Tableau1[], MATCH(R$24, Tableau1[Nom du modèle], 0), MATCH($K$26, Tableau1[#Headers], 0)),0)</f>
        <v>18</v>
      </c>
    </row>
    <row r="27" spans="1:18">
      <c r="A27" s="150" t="s">
        <v>32</v>
      </c>
      <c r="B27" s="29" t="str">
        <f>J62</f>
        <v>Stockage de la donnée d'entrainement</v>
      </c>
      <c r="C27" s="152" t="e">
        <f ca="1">N64</f>
        <v>#DIV/0!</v>
      </c>
      <c r="D27" s="157" t="e">
        <f t="shared" ca="1" si="11"/>
        <v>#DIV/0!</v>
      </c>
      <c r="E27" s="163" t="e">
        <f ca="1">N72</f>
        <v>#DIV/0!</v>
      </c>
      <c r="F27" s="157" t="e">
        <f t="shared" ref="F27:F32" ca="1" si="12">E27/$E$26</f>
        <v>#DIV/0!</v>
      </c>
      <c r="G27" s="164" t="e">
        <f ca="1">N76</f>
        <v>#DIV/0!</v>
      </c>
      <c r="H27" s="157" t="e">
        <f t="shared" ref="H27:H32" ca="1" si="13">G27/$G$26</f>
        <v>#DIV/0!</v>
      </c>
      <c r="J27" t="s">
        <v>54</v>
      </c>
      <c r="K27" t="s">
        <v>61</v>
      </c>
      <c r="L27" t="s">
        <v>62</v>
      </c>
      <c r="M27" s="45">
        <f>IF('⚙️Données'!$H$19="production",'⚙️Données'!$H$36*12,'⚙️Données'!$H$33*'⚙️Données'!$L$33*$M$30*365)</f>
        <v>1200000000</v>
      </c>
      <c r="N27" s="45"/>
      <c r="O27" s="45"/>
      <c r="P27" s="45"/>
      <c r="Q27" s="45"/>
      <c r="R27" s="45"/>
    </row>
    <row r="28" spans="1:18">
      <c r="A28" s="150"/>
      <c r="B28" s="29" t="str">
        <f>J79</f>
        <v>Expérimentations tests (R&amp;D)</v>
      </c>
      <c r="C28" s="152" t="e">
        <f ca="1">N81</f>
        <v>#DIV/0!</v>
      </c>
      <c r="D28" s="157" t="e">
        <f t="shared" ca="1" si="11"/>
        <v>#DIV/0!</v>
      </c>
      <c r="E28" s="163" t="e">
        <f ca="1">N83</f>
        <v>#DIV/0!</v>
      </c>
      <c r="F28" s="157" t="e">
        <f t="shared" ca="1" si="12"/>
        <v>#DIV/0!</v>
      </c>
      <c r="G28" s="164" t="e">
        <f ca="1">N86</f>
        <v>#DIV/0!</v>
      </c>
      <c r="H28" s="157" t="e">
        <f t="shared" ca="1" si="13"/>
        <v>#DIV/0!</v>
      </c>
      <c r="J28" t="s">
        <v>54</v>
      </c>
      <c r="K28" t="s">
        <v>63</v>
      </c>
      <c r="L28" t="s">
        <v>62</v>
      </c>
      <c r="M28" s="45">
        <f>IF('⚙️Données'!$H$19="production",'⚙️Données'!$K$36*12, '⚙️Données'!$H$33*'⚙️Données'!$L$33*IF('⚙️Données'!$D$33="",$M$31,_xlfn.XLOOKUP('⚙️Données'!$D$33,Paramètres!$B$2:$B$4,Paramètres!$C$2:$C$4)*365))</f>
        <v>1200000000</v>
      </c>
      <c r="N28" s="45"/>
      <c r="O28" s="45"/>
      <c r="P28" s="45"/>
      <c r="Q28" s="45"/>
      <c r="R28" s="45"/>
    </row>
    <row r="29" spans="1:18">
      <c r="A29" s="150"/>
      <c r="B29" s="29" t="str">
        <f>J88</f>
        <v>Entrainement final du modèle</v>
      </c>
      <c r="C29" s="152" t="e">
        <f ca="1">N90</f>
        <v>#DIV/0!</v>
      </c>
      <c r="D29" s="157" t="e">
        <f t="shared" ca="1" si="11"/>
        <v>#DIV/0!</v>
      </c>
      <c r="E29" s="163" t="e">
        <f ca="1">N96</f>
        <v>#DIV/0!</v>
      </c>
      <c r="F29" s="157" t="e">
        <f t="shared" ca="1" si="12"/>
        <v>#DIV/0!</v>
      </c>
      <c r="G29" s="164" t="e">
        <f ca="1">N99</f>
        <v>#DIV/0!</v>
      </c>
      <c r="H29" s="157" t="e">
        <f t="shared" ca="1" si="13"/>
        <v>#DIV/0!</v>
      </c>
      <c r="J29" t="s">
        <v>57</v>
      </c>
      <c r="K29" t="s">
        <v>64</v>
      </c>
      <c r="M29" s="82">
        <f>IFERROR(INDEX(Tableau1[], MATCH(M$24, Tableau1[Nom du modèle], 0), MATCH($K$29, Tableau1[#Headers], 0)),0)</f>
        <v>0</v>
      </c>
      <c r="N29" s="82">
        <f>IFERROR(INDEX(Tableau1[], MATCH(N$24, Tableau1[Nom du modèle], 0), MATCH($K$29, Tableau1[#Headers], 0)),0)</f>
        <v>0</v>
      </c>
      <c r="O29" s="82">
        <f>IFERROR(INDEX(Tableau1[], MATCH(O$24, Tableau1[Nom du modèle], 0), MATCH($K$29, Tableau1[#Headers], 0)),0)</f>
        <v>40.200000000000003</v>
      </c>
      <c r="P29" s="82">
        <f>IFERROR(INDEX(Tableau1[], MATCH(P$24, Tableau1[Nom du modèle], 0), MATCH($K$29, Tableau1[#Headers], 0)),0)</f>
        <v>35.6</v>
      </c>
      <c r="Q29" s="82">
        <f>IFERROR(INDEX(Tableau1[], MATCH(Q$24, Tableau1[Nom du modèle], 0), MATCH($K$29, Tableau1[#Headers], 0)),0)</f>
        <v>50</v>
      </c>
      <c r="R29" s="82">
        <f>IFERROR(INDEX(Tableau1[], MATCH(R$24, Tableau1[Nom du modèle], 0), MATCH($K$29, Tableau1[#Headers], 0)),0)</f>
        <v>71.5</v>
      </c>
    </row>
    <row r="30" spans="1:18">
      <c r="A30" s="150" t="s">
        <v>33</v>
      </c>
      <c r="B30" s="29" t="str">
        <f>J122</f>
        <v>RAG / Embedding (hors Conception)</v>
      </c>
      <c r="C30" s="152">
        <f>N129</f>
        <v>0</v>
      </c>
      <c r="D30" s="157" t="e">
        <f t="shared" ca="1" si="11"/>
        <v>#DIV/0!</v>
      </c>
      <c r="E30" s="163">
        <f>N136</f>
        <v>2.5395556800370933</v>
      </c>
      <c r="F30" s="157" t="e">
        <f t="shared" ca="1" si="12"/>
        <v>#DIV/0!</v>
      </c>
      <c r="G30" s="164">
        <f>N140</f>
        <v>859.96863870903928</v>
      </c>
      <c r="H30" s="157" t="e">
        <f t="shared" ca="1" si="13"/>
        <v>#DIV/0!</v>
      </c>
      <c r="J30" t="s">
        <v>65</v>
      </c>
      <c r="K30" t="s">
        <v>66</v>
      </c>
      <c r="L30" t="s">
        <v>67</v>
      </c>
      <c r="M30" s="45">
        <f>IF('⚙️Données'!$H$19="Production",_xlfn.XLOOKUP($K$30,Tableau2[Variable],Tableau2[Valeur]),_xlfn.XLOOKUP('⚙️Données'!$D$33,Paramètres!$B$2:$B$4,Paramètres!$C$2:$C$4)*5)</f>
        <v>5000</v>
      </c>
      <c r="N30" s="45"/>
      <c r="O30" s="45"/>
      <c r="P30" s="45"/>
      <c r="Q30" s="45"/>
      <c r="R30" s="45"/>
    </row>
    <row r="31" spans="1:18">
      <c r="A31" s="150"/>
      <c r="B31" s="29" t="str">
        <f>J144</f>
        <v>Front applicatif - pré &amp; post traitements</v>
      </c>
      <c r="C31" s="152">
        <f>N146</f>
        <v>192.6042599586599</v>
      </c>
      <c r="D31" s="157" t="e">
        <f t="shared" ca="1" si="11"/>
        <v>#DIV/0!</v>
      </c>
      <c r="E31" s="163">
        <f>N151</f>
        <v>20.730336858680822</v>
      </c>
      <c r="F31" s="157" t="e">
        <f t="shared" ca="1" si="12"/>
        <v>#DIV/0!</v>
      </c>
      <c r="G31" s="164">
        <f>N155</f>
        <v>3179.8962865384224</v>
      </c>
      <c r="H31" s="157" t="e">
        <f t="shared" ca="1" si="13"/>
        <v>#DIV/0!</v>
      </c>
      <c r="J31" t="s">
        <v>65</v>
      </c>
      <c r="K31" t="s">
        <v>68</v>
      </c>
      <c r="L31" t="s">
        <v>69</v>
      </c>
      <c r="M31" s="45">
        <f>IF('⚙️Données'!$H$19="Production",_xlfn.XLOOKUP($K$31,Tableau2[Variable],Tableau2[Valeur]),_xlfn.XLOOKUP('⚙️Données'!$D$33,Paramètres!$B$2:$B$4,Paramètres!$C$2:$C$4))</f>
        <v>1000</v>
      </c>
      <c r="N31" s="45"/>
      <c r="O31" s="45"/>
      <c r="P31" s="45"/>
      <c r="Q31" s="45"/>
      <c r="R31" s="45"/>
    </row>
    <row r="32" spans="1:18">
      <c r="A32" s="150"/>
      <c r="B32" s="29" t="str">
        <f>J161</f>
        <v>Traitement des requêtes par le modèle</v>
      </c>
      <c r="C32" s="152" t="e">
        <f>N163</f>
        <v>#DIV/0!</v>
      </c>
      <c r="D32" s="157" t="e">
        <f t="shared" ca="1" si="11"/>
        <v>#DIV/0!</v>
      </c>
      <c r="E32" s="163" t="e">
        <f>N205</f>
        <v>#DIV/0!</v>
      </c>
      <c r="F32" s="157" t="e">
        <f t="shared" ca="1" si="12"/>
        <v>#DIV/0!</v>
      </c>
      <c r="G32" s="164" t="e">
        <f>N235</f>
        <v>#DIV/0!</v>
      </c>
      <c r="H32" s="157" t="e">
        <f t="shared" ca="1" si="13"/>
        <v>#DIV/0!</v>
      </c>
      <c r="M32" s="82"/>
      <c r="N32" s="82"/>
      <c r="O32" s="82"/>
      <c r="P32" s="82"/>
      <c r="Q32" s="82"/>
      <c r="R32" s="82"/>
    </row>
    <row r="33" spans="2:18">
      <c r="K33" s="74" t="s">
        <v>70</v>
      </c>
      <c r="L33" s="74" t="s">
        <v>71</v>
      </c>
      <c r="M33" s="83"/>
      <c r="N33" s="208" t="e">
        <f ca="1">N$53+N$104</f>
        <v>#DIV/0!</v>
      </c>
      <c r="O33" s="83" t="e">
        <f ca="1">O$53+O$104</f>
        <v>#DIV/0!</v>
      </c>
      <c r="P33" s="83" t="e">
        <f ca="1">P$53+P$104</f>
        <v>#DIV/0!</v>
      </c>
      <c r="Q33" s="83" t="e">
        <f ca="1">Q$53+Q$104</f>
        <v>#DIV/0!</v>
      </c>
      <c r="R33" s="83" t="e">
        <f ca="1">R$53+R$104</f>
        <v>#DIV/0!</v>
      </c>
    </row>
    <row r="34" spans="2:18">
      <c r="K34" t="s">
        <v>72</v>
      </c>
      <c r="L34" t="s">
        <v>71</v>
      </c>
      <c r="M34" s="82"/>
      <c r="N34" s="82">
        <f ca="1">IFERROR(IF('⚙️Données'!$H$19="production",(N$33/('⚙️Données'!$D$36*12)),N$33/('⚙️Données'!$H$33*'⚙️Données'!$L$33*365)),0)</f>
        <v>0</v>
      </c>
      <c r="O34" s="82">
        <f ca="1">IFERROR(IF('⚙️Données'!$H$19="production",(O$33/('⚙️Données'!$D$36*12)),O$33/('⚙️Données'!$H$33*'⚙️Données'!$L$33*365)),0)</f>
        <v>0</v>
      </c>
      <c r="P34" s="82">
        <f ca="1">IFERROR(IF('⚙️Données'!$H$19="production",(P$33/('⚙️Données'!$D$36*12)),P$33/('⚙️Données'!$H$33*'⚙️Données'!$L$33*365)),0)</f>
        <v>0</v>
      </c>
      <c r="Q34" s="82">
        <f ca="1">IFERROR(IF('⚙️Données'!$H$19="production",(Q$33/('⚙️Données'!$D$36*12)),Q$33/('⚙️Données'!$H$33*'⚙️Données'!$L$33*365)),0)</f>
        <v>0</v>
      </c>
      <c r="R34" s="82">
        <f ca="1">IFERROR(IF('⚙️Données'!$H$19="production",(R$33/('⚙️Données'!$D$36*12)),R$33/('⚙️Données'!$H$33*'⚙️Données'!$L$33*365)),0)</f>
        <v>0</v>
      </c>
    </row>
    <row r="35" spans="2:18">
      <c r="B35" s="72" t="s">
        <v>321</v>
      </c>
      <c r="C35" s="76"/>
      <c r="E35" s="172" t="s">
        <v>322</v>
      </c>
      <c r="F35" s="172" t="s">
        <v>240</v>
      </c>
      <c r="G35" s="172" t="s">
        <v>323</v>
      </c>
      <c r="H35" s="173" t="s">
        <v>324</v>
      </c>
      <c r="K35" t="s">
        <v>73</v>
      </c>
      <c r="L35" t="s">
        <v>71</v>
      </c>
      <c r="M35" s="82"/>
      <c r="N35" s="82">
        <f ca="1">IFERROR(N$33/$M$28,0)</f>
        <v>0</v>
      </c>
      <c r="O35" s="82">
        <f t="shared" ref="O35:R35" ca="1" si="14">IFERROR(O$33/$M$28,0)</f>
        <v>0</v>
      </c>
      <c r="P35" s="82">
        <f t="shared" ca="1" si="14"/>
        <v>0</v>
      </c>
      <c r="Q35" s="82">
        <f t="shared" ca="1" si="14"/>
        <v>0</v>
      </c>
      <c r="R35" s="82">
        <f t="shared" ca="1" si="14"/>
        <v>0</v>
      </c>
    </row>
    <row r="36" spans="2:18">
      <c r="B36" s="29" t="s">
        <v>265</v>
      </c>
      <c r="C36" s="30">
        <f>ROUND(N173,2)</f>
        <v>48.64</v>
      </c>
      <c r="E36" s="151" t="e">
        <f ca="1">ROUNDUP(N33*1000,0)</f>
        <v>#DIV/0!</v>
      </c>
      <c r="F36" s="11" t="s">
        <v>285</v>
      </c>
      <c r="G36" s="11">
        <v>1</v>
      </c>
      <c r="H36" s="146"/>
      <c r="M36" s="82"/>
      <c r="N36" s="82"/>
      <c r="O36" s="82"/>
      <c r="P36" s="82"/>
      <c r="Q36" s="82"/>
      <c r="R36" s="82"/>
    </row>
    <row r="37" spans="2:18">
      <c r="B37" s="29" t="s">
        <v>325</v>
      </c>
      <c r="C37" s="30" t="e">
        <f>ROUND(N193,2)</f>
        <v>#DIV/0!</v>
      </c>
      <c r="E37" s="151" t="e">
        <f ca="1">ROUNDUP($E$36*$G$37,0)</f>
        <v>#DIV/0!</v>
      </c>
      <c r="F37" s="11" t="s">
        <v>326</v>
      </c>
      <c r="G37" s="11">
        <v>0.1</v>
      </c>
      <c r="H37" s="146" t="e">
        <f ca="1">TEXT(E37,"# ##0")&amp;" "&amp;Calcul!F37</f>
        <v>#DIV/0!</v>
      </c>
      <c r="K37" s="75" t="s">
        <v>74</v>
      </c>
      <c r="L37" s="75" t="s">
        <v>75</v>
      </c>
      <c r="M37" s="85"/>
      <c r="N37" s="209" t="e">
        <f ca="1">N$56+N$107</f>
        <v>#DIV/0!</v>
      </c>
      <c r="O37" s="85" t="e">
        <f ca="1">O$56+O$107</f>
        <v>#DIV/0!</v>
      </c>
      <c r="P37" s="85" t="e">
        <f ca="1">P$56+P$107</f>
        <v>#DIV/0!</v>
      </c>
      <c r="Q37" s="85" t="e">
        <f ca="1">Q$56+Q$107</f>
        <v>#DIV/0!</v>
      </c>
      <c r="R37" s="85" t="e">
        <f ca="1">R$56+R$107</f>
        <v>#DIV/0!</v>
      </c>
    </row>
    <row r="38" spans="2:18">
      <c r="B38" s="29" t="s">
        <v>327</v>
      </c>
      <c r="C38" s="164" t="e">
        <f>ROUND(N197,2)</f>
        <v>#DIV/0!</v>
      </c>
      <c r="E38" s="151" t="e">
        <f ca="1">ROUNDUP($E$36*$G$38,0)</f>
        <v>#DIV/0!</v>
      </c>
      <c r="F38" s="11" t="s">
        <v>328</v>
      </c>
      <c r="G38" s="11">
        <v>0.6</v>
      </c>
      <c r="H38" s="146" t="e">
        <f ca="1">TEXT(E38,"# ##0")&amp;" "&amp;Calcul!F38</f>
        <v>#DIV/0!</v>
      </c>
      <c r="K38" t="s">
        <v>76</v>
      </c>
      <c r="L38" t="s">
        <v>75</v>
      </c>
      <c r="M38" s="181"/>
      <c r="N38" s="181">
        <f ca="1">IFERROR(IF('⚙️Données'!$H$19="production",(N$37/('⚙️Données'!$D$36*12)),N$37/('⚙️Données'!$H$33*'⚙️Données'!$L$33*365)),0)</f>
        <v>0</v>
      </c>
      <c r="O38" s="181">
        <f ca="1">IFERROR(IF('⚙️Données'!$H$19="production",(O$37/('⚙️Données'!$D$36*12)),O$37/('⚙️Données'!$H$33*'⚙️Données'!$L$33*365)),0)</f>
        <v>0</v>
      </c>
      <c r="P38" s="181">
        <f ca="1">IFERROR(IF('⚙️Données'!$H$19="production",(P$37/('⚙️Données'!$D$36*12)),P$37/('⚙️Données'!$H$33*'⚙️Données'!$L$33*365)),0)</f>
        <v>0</v>
      </c>
      <c r="Q38" s="181">
        <f ca="1">IFERROR(IF('⚙️Données'!$H$19="production",(Q$37/('⚙️Données'!$D$36*12)),Q$37/('⚙️Données'!$H$33*'⚙️Données'!$L$33*365)),0)</f>
        <v>0</v>
      </c>
      <c r="R38" s="181">
        <f ca="1">IFERROR(IF('⚙️Données'!$H$19="production",(R$37/('⚙️Données'!$D$36*12)),R$37/('⚙️Données'!$H$33*'⚙️Données'!$L$33*365)),0)</f>
        <v>0</v>
      </c>
    </row>
    <row r="39" spans="2:18">
      <c r="B39" s="29" t="s">
        <v>329</v>
      </c>
      <c r="C39" s="30" t="e">
        <f>N163-SUM(C36:C38)</f>
        <v>#DIV/0!</v>
      </c>
      <c r="K39" t="s">
        <v>77</v>
      </c>
      <c r="L39" t="s">
        <v>75</v>
      </c>
      <c r="M39" s="182"/>
      <c r="N39" s="5">
        <f ca="1">IFERROR(N$37/$M$28,0)</f>
        <v>0</v>
      </c>
      <c r="O39" s="5">
        <f t="shared" ref="O39:R39" ca="1" si="15">IFERROR(O$37/$M$28,0)</f>
        <v>0</v>
      </c>
      <c r="P39" s="5">
        <f t="shared" ca="1" si="15"/>
        <v>0</v>
      </c>
      <c r="Q39" s="5">
        <f t="shared" ca="1" si="15"/>
        <v>0</v>
      </c>
      <c r="R39" s="5">
        <f t="shared" ca="1" si="15"/>
        <v>0</v>
      </c>
    </row>
    <row r="40" spans="2:18">
      <c r="B40" s="29" t="s">
        <v>330</v>
      </c>
      <c r="C40" s="30" t="e">
        <f>SUM(C36:C39)</f>
        <v>#DIV/0!</v>
      </c>
      <c r="E40" s="174" t="s">
        <v>331</v>
      </c>
      <c r="F40" s="174" t="s">
        <v>240</v>
      </c>
      <c r="G40" s="174" t="s">
        <v>323</v>
      </c>
      <c r="H40" s="175" t="s">
        <v>324</v>
      </c>
      <c r="M40" s="82"/>
      <c r="N40" s="82"/>
      <c r="O40" s="82"/>
      <c r="P40" s="82"/>
      <c r="Q40" s="82"/>
      <c r="R40" s="82"/>
    </row>
    <row r="41" spans="2:18">
      <c r="E41" s="151" t="e">
        <f ca="1">N37*1000</f>
        <v>#DIV/0!</v>
      </c>
      <c r="F41" s="11" t="s">
        <v>332</v>
      </c>
      <c r="G41" s="12">
        <v>1</v>
      </c>
      <c r="K41" s="183" t="s">
        <v>78</v>
      </c>
      <c r="L41" s="183" t="s">
        <v>79</v>
      </c>
      <c r="M41" s="184"/>
      <c r="N41" s="210" t="e">
        <f ca="1">N$59+N$110</f>
        <v>#DIV/0!</v>
      </c>
      <c r="O41" s="184" t="e">
        <f ca="1">O$59+O$110</f>
        <v>#DIV/0!</v>
      </c>
      <c r="P41" s="184" t="e">
        <f ca="1">P$59+P$110</f>
        <v>#DIV/0!</v>
      </c>
      <c r="Q41" s="184" t="e">
        <f ca="1">Q$59+Q$110</f>
        <v>#DIV/0!</v>
      </c>
      <c r="R41" s="184" t="e">
        <f ca="1">R$59+R$110</f>
        <v>#DIV/0!</v>
      </c>
    </row>
    <row r="42" spans="2:18">
      <c r="E42" s="151" t="e">
        <f ca="1">$E$41*G42</f>
        <v>#DIV/0!</v>
      </c>
      <c r="F42" s="11" t="s">
        <v>333</v>
      </c>
      <c r="G42" s="12">
        <v>4.5999999999999999E-3</v>
      </c>
      <c r="H42" t="e">
        <f ca="1">TEXT(E42,"# ##0")&amp;"  "&amp;F42</f>
        <v>#DIV/0!</v>
      </c>
      <c r="K42" t="s">
        <v>80</v>
      </c>
      <c r="L42" t="s">
        <v>79</v>
      </c>
      <c r="M42" s="82"/>
      <c r="N42" s="233">
        <f ca="1">IFERROR(IF('⚙️Données'!$H$19="production",(N$41/('⚙️Données'!$D$36*12)),N$41/('⚙️Données'!$H$33*'⚙️Données'!$L$33*365)),0)</f>
        <v>0</v>
      </c>
      <c r="O42" s="82">
        <f ca="1">IFERROR(IF('⚙️Données'!$H$19="production",(O$41/('⚙️Données'!$D$36*12)),O$41/('⚙️Données'!$H$33*'⚙️Données'!$L$33*365)),0)</f>
        <v>0</v>
      </c>
      <c r="P42" s="82">
        <f ca="1">IFERROR(IF('⚙️Données'!$H$19="production",(P$41/('⚙️Données'!$D$36*12)),P$41/('⚙️Données'!$H$33*'⚙️Données'!$L$33*365)),0)</f>
        <v>0</v>
      </c>
      <c r="Q42" s="82">
        <f ca="1">IFERROR(IF('⚙️Données'!$H$19="production",(Q$41/('⚙️Données'!$D$36*12)),Q$41/('⚙️Données'!$H$33*'⚙️Données'!$L$33*365)),0)</f>
        <v>0</v>
      </c>
      <c r="R42" s="82">
        <f ca="1">IFERROR(IF('⚙️Données'!$H$19="production",(R$41/('⚙️Données'!$D$36*12)),R$41/('⚙️Données'!$H$33*'⚙️Données'!$L$33*365)),0)</f>
        <v>0</v>
      </c>
    </row>
    <row r="43" spans="2:18">
      <c r="E43" s="151" t="e">
        <f ca="1">$E$41*G43</f>
        <v>#DIV/0!</v>
      </c>
      <c r="F43" s="11" t="s">
        <v>334</v>
      </c>
      <c r="G43" s="12">
        <f>17.5/1000</f>
        <v>1.7500000000000002E-2</v>
      </c>
      <c r="H43" t="e">
        <f ca="1">TEXT(E43,"# ##0")&amp;"  "&amp;F43</f>
        <v>#DIV/0!</v>
      </c>
      <c r="K43" t="s">
        <v>81</v>
      </c>
      <c r="L43" t="s">
        <v>79</v>
      </c>
      <c r="M43" s="82"/>
      <c r="N43" s="82">
        <f ca="1">IFERROR(N$41/$M$28,0)</f>
        <v>0</v>
      </c>
      <c r="O43" s="82">
        <f t="shared" ref="O43:R43" ca="1" si="16">IFERROR(O$41/$M$28,0)</f>
        <v>0</v>
      </c>
      <c r="P43" s="82">
        <f t="shared" ca="1" si="16"/>
        <v>0</v>
      </c>
      <c r="Q43" s="82">
        <f t="shared" ca="1" si="16"/>
        <v>0</v>
      </c>
      <c r="R43" s="82">
        <f t="shared" ca="1" si="16"/>
        <v>0</v>
      </c>
    </row>
    <row r="45" spans="2:18">
      <c r="E45" s="176" t="s">
        <v>331</v>
      </c>
      <c r="F45" s="176" t="s">
        <v>240</v>
      </c>
      <c r="G45" s="176" t="s">
        <v>323</v>
      </c>
      <c r="H45" s="177" t="s">
        <v>324</v>
      </c>
    </row>
    <row r="46" spans="2:18">
      <c r="E46" s="151" t="e">
        <f ca="1">N41</f>
        <v>#DIV/0!</v>
      </c>
      <c r="F46" s="11" t="s">
        <v>228</v>
      </c>
      <c r="G46" s="12">
        <v>1</v>
      </c>
      <c r="M46" s="82"/>
      <c r="N46" s="82"/>
      <c r="O46" s="82"/>
      <c r="P46" s="82"/>
      <c r="Q46" s="82"/>
      <c r="R46" s="82"/>
    </row>
    <row r="47" spans="2:18">
      <c r="E47" s="151" t="e">
        <f ca="1">$E$46*G47</f>
        <v>#DIV/0!</v>
      </c>
      <c r="F47" s="11" t="s">
        <v>335</v>
      </c>
      <c r="G47" s="12">
        <v>1</v>
      </c>
      <c r="H47" t="e">
        <f ca="1">TEXT(E47,"# ##0")&amp;"  "&amp;F47</f>
        <v>#DIV/0!</v>
      </c>
    </row>
    <row r="48" spans="2:18">
      <c r="E48" s="151" t="e">
        <f ca="1">$E$46*G48</f>
        <v>#DIV/0!</v>
      </c>
      <c r="F48" s="11" t="s">
        <v>336</v>
      </c>
      <c r="G48" s="12">
        <v>4</v>
      </c>
      <c r="H48" t="e">
        <f ca="1">TEXT(E48,"# ##0")&amp;"  "&amp;F48</f>
        <v>#DIV/0!</v>
      </c>
    </row>
    <row r="50" spans="10:18">
      <c r="M50" s="82"/>
      <c r="N50" s="82"/>
      <c r="O50" s="82"/>
      <c r="P50" s="82"/>
      <c r="Q50" s="82"/>
      <c r="R50" s="82"/>
    </row>
    <row r="51" spans="10:18">
      <c r="J51" s="69" t="s">
        <v>32</v>
      </c>
      <c r="K51" s="69"/>
      <c r="L51" s="69"/>
      <c r="M51" s="88"/>
      <c r="N51" s="88"/>
      <c r="O51" s="88"/>
      <c r="P51" s="88"/>
      <c r="Q51" s="88"/>
      <c r="R51" s="88"/>
    </row>
    <row r="52" spans="10:18">
      <c r="M52" s="82"/>
      <c r="N52" s="82"/>
      <c r="O52" s="82"/>
      <c r="P52" s="82"/>
      <c r="Q52" s="82"/>
      <c r="R52" s="82"/>
    </row>
    <row r="53" spans="10:18">
      <c r="K53" s="8" t="s">
        <v>449</v>
      </c>
      <c r="L53" s="8" t="s">
        <v>71</v>
      </c>
      <c r="M53" s="89"/>
      <c r="N53" s="89" t="e">
        <f ca="1">N$64+N$81+N$90</f>
        <v>#DIV/0!</v>
      </c>
      <c r="O53" s="89" t="e">
        <f ca="1">O$64+O$81+O$90</f>
        <v>#DIV/0!</v>
      </c>
      <c r="P53" s="89" t="e">
        <f ca="1">P$64+P$81+P$90</f>
        <v>#DIV/0!</v>
      </c>
      <c r="Q53" s="89" t="e">
        <f ca="1">Q$64+Q$81+Q$90</f>
        <v>#DIV/0!</v>
      </c>
      <c r="R53" s="89" t="e">
        <f ca="1">R$64+R$81+R$90</f>
        <v>#DIV/0!</v>
      </c>
    </row>
    <row r="54" spans="10:18">
      <c r="K54" s="65" t="s">
        <v>82</v>
      </c>
      <c r="L54" s="65" t="s">
        <v>71</v>
      </c>
      <c r="M54" s="84"/>
      <c r="N54" s="84">
        <f ca="1">IFERROR(N$53/$M$28,0)</f>
        <v>0</v>
      </c>
      <c r="O54" s="84">
        <f t="shared" ref="O54:R54" ca="1" si="17">IFERROR(O$53/$M$28,0)</f>
        <v>0</v>
      </c>
      <c r="P54" s="84">
        <f t="shared" ca="1" si="17"/>
        <v>0</v>
      </c>
      <c r="Q54" s="84">
        <f t="shared" ca="1" si="17"/>
        <v>0</v>
      </c>
      <c r="R54" s="84">
        <f t="shared" ca="1" si="17"/>
        <v>0</v>
      </c>
    </row>
    <row r="56" spans="10:18">
      <c r="K56" s="71" t="s">
        <v>83</v>
      </c>
      <c r="L56" s="71" t="s">
        <v>75</v>
      </c>
      <c r="M56" s="90"/>
      <c r="N56" s="90" t="e">
        <f ca="1">N$72+N$83+N$96</f>
        <v>#DIV/0!</v>
      </c>
      <c r="O56" s="90" t="e">
        <f ca="1">O$72+O$83+O$96</f>
        <v>#DIV/0!</v>
      </c>
      <c r="P56" s="90" t="e">
        <f ca="1">P$72+P$83+P$96</f>
        <v>#DIV/0!</v>
      </c>
      <c r="Q56" s="90" t="e">
        <f ca="1">Q$72+Q$83+Q$96</f>
        <v>#DIV/0!</v>
      </c>
      <c r="R56" s="90" t="e">
        <f ca="1">R$72+R$83+R$96</f>
        <v>#DIV/0!</v>
      </c>
    </row>
    <row r="57" spans="10:18">
      <c r="K57" s="68" t="s">
        <v>84</v>
      </c>
      <c r="L57" s="68" t="s">
        <v>75</v>
      </c>
      <c r="M57" s="121"/>
      <c r="N57" s="121">
        <f ca="1">IFERROR(N$56/$M$28,0)</f>
        <v>0</v>
      </c>
      <c r="O57" s="121">
        <f t="shared" ref="O57:R57" ca="1" si="18">IFERROR(O$56/$M$28,0)</f>
        <v>0</v>
      </c>
      <c r="P57" s="121">
        <f t="shared" ca="1" si="18"/>
        <v>0</v>
      </c>
      <c r="Q57" s="121">
        <f t="shared" ca="1" si="18"/>
        <v>0</v>
      </c>
      <c r="R57" s="121">
        <f t="shared" ca="1" si="18"/>
        <v>0</v>
      </c>
    </row>
    <row r="58" spans="10:18">
      <c r="M58" s="82"/>
      <c r="N58" s="82"/>
      <c r="O58" s="82"/>
      <c r="P58" s="82"/>
      <c r="Q58" s="82"/>
      <c r="R58" s="82"/>
    </row>
    <row r="59" spans="10:18">
      <c r="K59" s="7" t="s">
        <v>85</v>
      </c>
      <c r="L59" s="7" t="s">
        <v>79</v>
      </c>
      <c r="M59" s="91"/>
      <c r="N59" s="91" t="e">
        <f ca="1">N$76+N$86+N$99</f>
        <v>#DIV/0!</v>
      </c>
      <c r="O59" s="91" t="e">
        <f ca="1">O$76+O$86+O$99</f>
        <v>#DIV/0!</v>
      </c>
      <c r="P59" s="91" t="e">
        <f ca="1">P$76+P$86+P$99</f>
        <v>#DIV/0!</v>
      </c>
      <c r="Q59" s="91" t="e">
        <f ca="1">Q$76+Q$86+Q$99</f>
        <v>#DIV/0!</v>
      </c>
      <c r="R59" s="91" t="e">
        <f ca="1">R$76+R$86+R$99</f>
        <v>#DIV/0!</v>
      </c>
    </row>
    <row r="60" spans="10:18">
      <c r="K60" s="6" t="s">
        <v>86</v>
      </c>
      <c r="L60" s="6" t="s">
        <v>79</v>
      </c>
      <c r="M60" s="87"/>
      <c r="N60" s="87">
        <f ca="1">IFERROR(N$59/$M$28,0)</f>
        <v>0</v>
      </c>
      <c r="O60" s="87">
        <f t="shared" ref="O60:R60" ca="1" si="19">IFERROR(O$59/$M$28,0)</f>
        <v>0</v>
      </c>
      <c r="P60" s="87">
        <f t="shared" ca="1" si="19"/>
        <v>0</v>
      </c>
      <c r="Q60" s="87">
        <f t="shared" ca="1" si="19"/>
        <v>0</v>
      </c>
      <c r="R60" s="87">
        <f t="shared" ca="1" si="19"/>
        <v>0</v>
      </c>
    </row>
    <row r="62" spans="10:18">
      <c r="J62" s="78" t="s">
        <v>87</v>
      </c>
      <c r="K62" s="78"/>
      <c r="L62" s="78"/>
      <c r="M62" s="93"/>
      <c r="N62" s="93"/>
      <c r="O62" s="93"/>
      <c r="P62" s="93"/>
      <c r="Q62" s="93"/>
      <c r="R62" s="93"/>
    </row>
    <row r="63" spans="10:18">
      <c r="M63" s="82"/>
      <c r="N63" s="82"/>
      <c r="O63" s="82"/>
      <c r="P63" s="82"/>
      <c r="Q63" s="82"/>
      <c r="R63" s="82"/>
    </row>
    <row r="64" spans="10:18">
      <c r="J64" t="s">
        <v>88</v>
      </c>
      <c r="K64" s="65" t="s">
        <v>89</v>
      </c>
      <c r="L64" s="65" t="s">
        <v>71</v>
      </c>
      <c r="M64" s="114"/>
      <c r="N64" s="114" t="e">
        <f ca="1">N$68*($M$28/N$114)</f>
        <v>#DIV/0!</v>
      </c>
      <c r="O64" s="114" t="e">
        <f ca="1">O$68*($M$28/O$114)</f>
        <v>#DIV/0!</v>
      </c>
      <c r="P64" s="114" t="e">
        <f ca="1">P$68*($M$28/P$114)</f>
        <v>#DIV/0!</v>
      </c>
      <c r="Q64" s="114" t="e">
        <f ca="1">Q$68*($M$28/Q$114)</f>
        <v>#DIV/0!</v>
      </c>
      <c r="R64" s="114" t="e">
        <f ca="1">R$68*($M$28/R$114)</f>
        <v>#DIV/0!</v>
      </c>
    </row>
    <row r="65" spans="10:18">
      <c r="J65" t="s">
        <v>88</v>
      </c>
      <c r="K65" t="s">
        <v>90</v>
      </c>
      <c r="L65" t="s">
        <v>91</v>
      </c>
      <c r="M65" s="82"/>
      <c r="N65" s="82" t="e">
        <f>N$92/(6*(N$25*10^(9)))</f>
        <v>#DIV/0!</v>
      </c>
      <c r="O65" s="82">
        <f>O$92/(6*(O$25*10^(9)))</f>
        <v>3444730979126.4067</v>
      </c>
      <c r="P65" s="82">
        <f t="shared" ref="P65:R65" si="20">P$92/(6*(P$25*10^(9)))</f>
        <v>1564622557732.499</v>
      </c>
      <c r="Q65" s="82">
        <f t="shared" si="20"/>
        <v>1619212959593.5</v>
      </c>
      <c r="R65" s="82">
        <f t="shared" si="20"/>
        <v>7639741602640.0566</v>
      </c>
    </row>
    <row r="66" spans="10:18">
      <c r="J66" t="s">
        <v>88</v>
      </c>
      <c r="K66" t="s">
        <v>92</v>
      </c>
      <c r="L66" t="s">
        <v>93</v>
      </c>
      <c r="M66" s="45"/>
      <c r="N66" s="45" t="e">
        <f>ROUNDUP((N$65*(4*32)/8)/(1024^4),0)</f>
        <v>#DIV/0!</v>
      </c>
      <c r="O66" s="45">
        <f>ROUNDUP((O$65*(4*32)/8)/(1024^4),0)</f>
        <v>51</v>
      </c>
      <c r="P66" s="45">
        <f>ROUNDUP((P$65*(4*32)/8)/(1024^4),0)</f>
        <v>23</v>
      </c>
      <c r="Q66" s="45">
        <f>ROUNDUP((Q$65*(4*32)/8)/(1024^4),0)</f>
        <v>24</v>
      </c>
      <c r="R66" s="45">
        <f>ROUNDUP((R$65*(4*32)/8)/(1024^4),0)</f>
        <v>112</v>
      </c>
    </row>
    <row r="67" spans="10:18">
      <c r="J67" t="s">
        <v>88</v>
      </c>
      <c r="K67" t="s">
        <v>94</v>
      </c>
      <c r="L67" t="s">
        <v>95</v>
      </c>
      <c r="M67" s="45"/>
      <c r="N67" s="45" t="e">
        <f>ROUNDUP(N$66/30,0)</f>
        <v>#DIV/0!</v>
      </c>
      <c r="O67" s="45">
        <f>ROUNDUP(O$66/30,0)</f>
        <v>2</v>
      </c>
      <c r="P67" s="45">
        <f>ROUNDUP(P$66/30,0)</f>
        <v>1</v>
      </c>
      <c r="Q67" s="45">
        <f>ROUNDUP(Q$66/30,0)</f>
        <v>1</v>
      </c>
      <c r="R67" s="45">
        <f>ROUNDUP(R$66/30,0)</f>
        <v>4</v>
      </c>
    </row>
    <row r="68" spans="10:18">
      <c r="J68" t="s">
        <v>88</v>
      </c>
      <c r="K68" t="s">
        <v>442</v>
      </c>
      <c r="L68" t="s">
        <v>71</v>
      </c>
      <c r="M68" s="82"/>
      <c r="N68" s="82" t="e">
        <f>Bibliothèque_FE!$D$10*N$67*N$165*$M$69*$M$70</f>
        <v>#DIV/0!</v>
      </c>
      <c r="O68" s="82">
        <f>Bibliothèque_FE!$D$10*O$67*O$165*$M$69*$M$70</f>
        <v>10.943999999999999</v>
      </c>
      <c r="P68" s="82">
        <f>Bibliothèque_FE!$D$10*P$67*P$165*$M$69*$M$70</f>
        <v>5.2895999999999992</v>
      </c>
      <c r="Q68" s="82">
        <f>Bibliothèque_FE!$D$10*Q$67*Q$165*$M$69*$M$70</f>
        <v>5.0844000000000005</v>
      </c>
      <c r="R68" s="82">
        <f>Bibliothèque_FE!$D$10*R$67*R$165*$M$69*$M$70</f>
        <v>19.881600000000002</v>
      </c>
    </row>
    <row r="69" spans="10:18">
      <c r="J69" t="s">
        <v>65</v>
      </c>
      <c r="K69" t="s">
        <v>97</v>
      </c>
      <c r="L69" t="s">
        <v>98</v>
      </c>
      <c r="M69" s="82">
        <f>IFERROR(VLOOKUP($K$69,Tableau2[[Variable]:[Valeur]],2,FALSE()),0)</f>
        <v>0.2</v>
      </c>
      <c r="N69" s="82"/>
      <c r="O69" s="82"/>
      <c r="P69" s="82"/>
      <c r="Q69" s="82"/>
      <c r="R69" s="82"/>
    </row>
    <row r="70" spans="10:18">
      <c r="J70" t="s">
        <v>65</v>
      </c>
      <c r="K70" t="s">
        <v>99</v>
      </c>
      <c r="L70" t="s">
        <v>100</v>
      </c>
      <c r="M70" s="45">
        <f>IFERROR(_xlfn.XLOOKUP($K$70,Tableau2[Variable],Tableau2[Valeur]),0)*24</f>
        <v>2400</v>
      </c>
      <c r="N70" s="45"/>
      <c r="O70" s="45"/>
      <c r="P70" s="45"/>
      <c r="Q70" s="45"/>
      <c r="R70" s="45"/>
    </row>
    <row r="71" spans="10:18">
      <c r="M71" s="82"/>
      <c r="N71" s="82"/>
      <c r="O71" s="82"/>
      <c r="P71" s="82"/>
      <c r="Q71" s="82"/>
      <c r="R71" s="82"/>
    </row>
    <row r="72" spans="10:18">
      <c r="J72" t="s">
        <v>88</v>
      </c>
      <c r="K72" s="68" t="s">
        <v>101</v>
      </c>
      <c r="L72" s="68" t="s">
        <v>75</v>
      </c>
      <c r="M72" s="170"/>
      <c r="N72" s="170" t="e">
        <f ca="1">(((($M$74/($M$73))*N$67*$M$70)/N$114)*$M$28)+(N$64*$M$84)</f>
        <v>#DIV/0!</v>
      </c>
      <c r="O72" s="170" t="e">
        <f ca="1">(((($M$74/($M$73))*O$67*$M$70)/O$114)*$M$28)+(O$64*$M$84)</f>
        <v>#DIV/0!</v>
      </c>
      <c r="P72" s="170" t="e">
        <f ca="1">(((($M$74/($M$73))*P$67*$M$70)/P$114)*$M$28)+(P$64*$M$84)</f>
        <v>#DIV/0!</v>
      </c>
      <c r="Q72" s="170" t="e">
        <f ca="1">(((($M$74/($M$73))*Q$67*$M$70)/Q$114)*$M$28)+(Q$64*$M$84)</f>
        <v>#DIV/0!</v>
      </c>
      <c r="R72" s="170" t="e">
        <f ca="1">(((($M$74/($M$73))*R$67*$M$70)/R$114)*$M$28)+(R$64*$M$84)</f>
        <v>#DIV/0!</v>
      </c>
    </row>
    <row r="73" spans="10:18">
      <c r="J73" t="s">
        <v>65</v>
      </c>
      <c r="K73" t="s">
        <v>102</v>
      </c>
      <c r="L73" t="s">
        <v>100</v>
      </c>
      <c r="M73" s="82">
        <f>(IFERROR(VLOOKUP($K$73,Tableau2[[Variable]:[Valeur]],2,FALSE()),0))*365*24</f>
        <v>43800</v>
      </c>
      <c r="N73" s="82"/>
      <c r="O73" s="82"/>
      <c r="P73" s="82"/>
      <c r="Q73" s="82"/>
      <c r="R73" s="82"/>
    </row>
    <row r="74" spans="10:18">
      <c r="J74" t="s">
        <v>65</v>
      </c>
      <c r="K74" t="s">
        <v>103</v>
      </c>
      <c r="L74" t="s">
        <v>75</v>
      </c>
      <c r="M74" s="82">
        <f>(IFERROR(VLOOKUP($K$74,Tableau2[[Variable]:[Valeur]],2,FALSE()),0))</f>
        <v>640.5</v>
      </c>
      <c r="N74" s="82"/>
      <c r="O74" s="82"/>
      <c r="P74" s="82"/>
      <c r="Q74" s="82"/>
      <c r="R74" s="82"/>
    </row>
    <row r="76" spans="10:18">
      <c r="J76" t="s">
        <v>88</v>
      </c>
      <c r="K76" s="6" t="s">
        <v>104</v>
      </c>
      <c r="L76" s="6" t="s">
        <v>79</v>
      </c>
      <c r="M76" s="87"/>
      <c r="N76" s="87" t="e">
        <f ca="1">(N$64*N$237*$M$238)+(((($M$77/($M$73))*N$67*$M$70)/N$114)*$M$28)</f>
        <v>#DIV/0!</v>
      </c>
      <c r="O76" s="87" t="e">
        <f ca="1">(O$64*O$237*$M$238)+(((($M$77/($M$73))*O$67*$M$70)/O$114)*$M$28)</f>
        <v>#DIV/0!</v>
      </c>
      <c r="P76" s="87" t="e">
        <f ca="1">(P$64*P$237*$M$238)+(((($M$77/($M$73))*P$67*$M$70)/P$114)*$M$28)</f>
        <v>#DIV/0!</v>
      </c>
      <c r="Q76" s="87" t="e">
        <f ca="1">(Q$64*Q$237*$M$238)+(((($M$77/($M$73))*Q$67*$M$70)/Q$114)*$M$28)</f>
        <v>#DIV/0!</v>
      </c>
      <c r="R76" s="87" t="e">
        <f ca="1">(R$64*R$237*$M$238)+(((($M$77/($M$73))*R$67*$M$70)/R$114)*$M$28)</f>
        <v>#DIV/0!</v>
      </c>
    </row>
    <row r="77" spans="10:18">
      <c r="J77" t="s">
        <v>65</v>
      </c>
      <c r="K77" t="s">
        <v>105</v>
      </c>
      <c r="L77" t="s">
        <v>79</v>
      </c>
      <c r="M77" s="82">
        <f>IFERROR(VLOOKUP($K77,Tableau2[[Variable]:[Valeur]],2,FALSE()),0)</f>
        <v>163480.00000000003</v>
      </c>
      <c r="N77" s="82"/>
      <c r="O77" s="82"/>
      <c r="P77" s="82"/>
      <c r="Q77" s="82"/>
      <c r="R77" s="82"/>
    </row>
    <row r="78" spans="10:18">
      <c r="M78" s="82"/>
      <c r="N78" s="82"/>
      <c r="O78" s="82"/>
      <c r="P78" s="82"/>
      <c r="Q78" s="82"/>
      <c r="R78" s="82"/>
    </row>
    <row r="79" spans="10:18">
      <c r="J79" s="78" t="s">
        <v>106</v>
      </c>
      <c r="K79" s="78"/>
      <c r="L79" s="78"/>
      <c r="M79" s="93"/>
      <c r="N79" s="93"/>
      <c r="O79" s="93"/>
      <c r="P79" s="93"/>
      <c r="Q79" s="93"/>
      <c r="R79" s="93"/>
    </row>
    <row r="80" spans="10:18">
      <c r="M80" s="82"/>
      <c r="N80" s="82"/>
      <c r="O80" s="82"/>
      <c r="P80" s="82"/>
      <c r="Q80" s="82"/>
      <c r="R80" s="82"/>
    </row>
    <row r="81" spans="10:18">
      <c r="J81" t="s">
        <v>88</v>
      </c>
      <c r="K81" s="65" t="s">
        <v>107</v>
      </c>
      <c r="L81" s="65" t="s">
        <v>71</v>
      </c>
      <c r="M81" s="84"/>
      <c r="N81" s="84" t="e">
        <f ca="1">N$90*4</f>
        <v>#DIV/0!</v>
      </c>
      <c r="O81" s="84" t="e">
        <f ca="1">O$90*4</f>
        <v>#DIV/0!</v>
      </c>
      <c r="P81" s="84" t="e">
        <f ca="1">P$90*4</f>
        <v>#DIV/0!</v>
      </c>
      <c r="Q81" s="84" t="e">
        <f ca="1">Q$90*4</f>
        <v>#DIV/0!</v>
      </c>
      <c r="R81" s="84" t="e">
        <f ca="1">R$90*4</f>
        <v>#DIV/0!</v>
      </c>
    </row>
    <row r="83" spans="10:18">
      <c r="J83" t="s">
        <v>88</v>
      </c>
      <c r="K83" s="68" t="s">
        <v>108</v>
      </c>
      <c r="L83" s="68" t="s">
        <v>75</v>
      </c>
      <c r="M83" s="81"/>
      <c r="N83" s="81" t="e">
        <f ca="1">4*N$96</f>
        <v>#DIV/0!</v>
      </c>
      <c r="O83" s="81" t="e">
        <f ca="1">4*O$96</f>
        <v>#DIV/0!</v>
      </c>
      <c r="P83" s="81" t="e">
        <f ca="1">4*P$96</f>
        <v>#DIV/0!</v>
      </c>
      <c r="Q83" s="81" t="e">
        <f ca="1">4*Q$96</f>
        <v>#DIV/0!</v>
      </c>
      <c r="R83" s="81" t="e">
        <f ca="1">4*R$96</f>
        <v>#DIV/0!</v>
      </c>
    </row>
    <row r="84" spans="10:18">
      <c r="J84" t="s">
        <v>65</v>
      </c>
      <c r="K84" t="s">
        <v>109</v>
      </c>
      <c r="L84" t="s">
        <v>110</v>
      </c>
      <c r="M84" s="122">
        <f>IFERROR(VLOOKUP($K$84,Tableau2[[Variable]:[Valeur]],2,FALSE()),0)</f>
        <v>0.45800000000000002</v>
      </c>
      <c r="N84" s="82"/>
      <c r="O84" s="82"/>
      <c r="P84" s="82"/>
      <c r="Q84" s="82"/>
      <c r="R84" s="82"/>
    </row>
    <row r="86" spans="10:18">
      <c r="J86" t="s">
        <v>88</v>
      </c>
      <c r="K86" s="6" t="s">
        <v>111</v>
      </c>
      <c r="L86" s="6" t="s">
        <v>79</v>
      </c>
      <c r="M86" s="87"/>
      <c r="N86" s="87" t="e">
        <f ca="1">4*N$99</f>
        <v>#DIV/0!</v>
      </c>
      <c r="O86" s="87" t="e">
        <f t="shared" ref="O86:Q86" ca="1" si="21">4*O$99</f>
        <v>#DIV/0!</v>
      </c>
      <c r="P86" s="87" t="e">
        <f t="shared" ca="1" si="21"/>
        <v>#DIV/0!</v>
      </c>
      <c r="Q86" s="87" t="e">
        <f t="shared" ca="1" si="21"/>
        <v>#DIV/0!</v>
      </c>
      <c r="R86" s="87" t="e">
        <f ca="1">4*R$99</f>
        <v>#DIV/0!</v>
      </c>
    </row>
    <row r="87" spans="10:18">
      <c r="M87" s="82"/>
      <c r="N87" s="82"/>
      <c r="O87" s="82"/>
      <c r="P87" s="82"/>
      <c r="Q87" s="82"/>
      <c r="R87" s="82"/>
    </row>
    <row r="88" spans="10:18">
      <c r="J88" s="78" t="s">
        <v>112</v>
      </c>
      <c r="K88" s="78"/>
      <c r="L88" s="78"/>
      <c r="M88" s="93"/>
      <c r="N88" s="93"/>
      <c r="O88" s="93"/>
      <c r="P88" s="93"/>
      <c r="Q88" s="93"/>
      <c r="R88" s="93"/>
    </row>
    <row r="89" spans="10:18">
      <c r="M89" s="82"/>
      <c r="N89" s="82"/>
      <c r="O89" s="82"/>
      <c r="P89" s="82"/>
      <c r="Q89" s="82"/>
      <c r="R89" s="82"/>
    </row>
    <row r="90" spans="10:18">
      <c r="J90" t="s">
        <v>88</v>
      </c>
      <c r="K90" s="65" t="s">
        <v>450</v>
      </c>
      <c r="L90" s="65" t="s">
        <v>71</v>
      </c>
      <c r="M90" s="84"/>
      <c r="N90" s="84" t="e">
        <f ca="1">(((N$91)/N$114)*$M$28)</f>
        <v>#DIV/0!</v>
      </c>
      <c r="O90" s="84" t="e">
        <f ca="1">((O$91)/O$114)*$M$28</f>
        <v>#DIV/0!</v>
      </c>
      <c r="P90" s="84" t="e">
        <f ca="1">((P$91)/P$114)*$M$28</f>
        <v>#DIV/0!</v>
      </c>
      <c r="Q90" s="84" t="e">
        <f ca="1">((Q$91)/Q$114)*$M$28</f>
        <v>#DIV/0!</v>
      </c>
      <c r="R90" s="84" t="e">
        <f ca="1">((R$91)/R$114)*$M$28</f>
        <v>#DIV/0!</v>
      </c>
    </row>
    <row r="91" spans="10:18">
      <c r="J91" t="s">
        <v>88</v>
      </c>
      <c r="K91" t="s">
        <v>113</v>
      </c>
      <c r="L91" t="s">
        <v>71</v>
      </c>
      <c r="M91" s="82"/>
      <c r="N91" s="82" t="e">
        <f>((N$173+N$193+N$197)/N$173)*(((N$92*N$93)/3600)/1000)*N$165</f>
        <v>#DIV/0!</v>
      </c>
      <c r="O91" s="82">
        <f t="shared" ref="O91:R91" si="22">((O$173+O$193+O$197)/O$173)*(((O$92*O$93)/3600)/1000)*O$165</f>
        <v>283900.35665039939</v>
      </c>
      <c r="P91" s="82">
        <f t="shared" si="22"/>
        <v>195019.66784197799</v>
      </c>
      <c r="Q91" s="82">
        <f t="shared" si="22"/>
        <v>685206.64655938605</v>
      </c>
      <c r="R91" s="82">
        <f t="shared" si="22"/>
        <v>133743.00926611788</v>
      </c>
    </row>
    <row r="92" spans="10:18">
      <c r="J92" t="s">
        <v>88</v>
      </c>
      <c r="K92" t="s">
        <v>337</v>
      </c>
      <c r="L92" t="s">
        <v>114</v>
      </c>
      <c r="M92" s="94"/>
      <c r="N92" s="94">
        <f>10^(0.0006*N$94+17.151)*(N$25*10^9)^(0.541)</f>
        <v>0</v>
      </c>
      <c r="O92" s="94">
        <f>10^(0.0006*O$94+17.151)*(O$25*10^9)^(0.541)</f>
        <v>1.5707973264816415E+24</v>
      </c>
      <c r="P92" s="94">
        <f>10^(0.0006*P$94+17.151)*(P$25*10^9)^(0.541)</f>
        <v>1.1453037122601892E+24</v>
      </c>
      <c r="Q92" s="94">
        <f>10^(0.0006*Q$94+17.151)*(Q$25*10^9)^(0.541)</f>
        <v>4.2747222133268401E+24</v>
      </c>
      <c r="R92" s="94">
        <f>10^(0.0006*R$94+17.151)*(R$25*10^9)^(0.541)</f>
        <v>8.2509209308512616E+23</v>
      </c>
    </row>
    <row r="93" spans="10:18">
      <c r="J93" t="s">
        <v>88</v>
      </c>
      <c r="K93" t="s">
        <v>115</v>
      </c>
      <c r="L93" t="s">
        <v>338</v>
      </c>
      <c r="M93" s="94"/>
      <c r="N93" s="94" t="e">
        <f>1/IFERROR(INDEX(Tableau1[], MATCH(N$24, Tableau1[Nom du modèle], 0), MATCH($K$93, Tableau1[#Headers], 0)),0)</f>
        <v>#DIV/0!</v>
      </c>
      <c r="O93" s="94">
        <f>1/IFERROR(INDEX(Tableau1[], MATCH(O$24, Tableau1[Nom du modèle], 0), MATCH($K$93, Tableau1[#Headers], 0)),0)</f>
        <v>4.4444444444444444E-13</v>
      </c>
      <c r="P93" s="94">
        <f>1/IFERROR(INDEX(Tableau1[], MATCH(P$24, Tableau1[Nom du modèle], 0), MATCH($K$93, Tableau1[#Headers], 0)),0)</f>
        <v>4.4444444444444444E-13</v>
      </c>
      <c r="Q93" s="94">
        <f>1/IFERROR(INDEX(Tableau1[], MATCH(Q$24, Tableau1[Nom du modèle], 0), MATCH($K$93, Tableau1[#Headers], 0)),0)</f>
        <v>4.4444444444444444E-13</v>
      </c>
      <c r="R93" s="94">
        <f>1/IFERROR(INDEX(Tableau1[], MATCH(R$24, Tableau1[Nom du modèle], 0), MATCH($K$93, Tableau1[#Headers], 0)),0)</f>
        <v>4.4444444444444444E-13</v>
      </c>
    </row>
    <row r="94" spans="10:18">
      <c r="J94" t="s">
        <v>88</v>
      </c>
      <c r="K94" t="s">
        <v>451</v>
      </c>
      <c r="L94" t="s">
        <v>116</v>
      </c>
      <c r="M94" s="45"/>
      <c r="N94" s="45">
        <f>IFERROR(INDEX(Tableau1[], MATCH(N$24, Tableau1[Nom du modèle], 0), MATCH("Date de publication", Tableau1[#Headers], 0)),0)-DATE(2020,1,1)</f>
        <v>-43831</v>
      </c>
      <c r="O94" s="45">
        <f>IFERROR(INDEX(Tableau1[], MATCH(O$24, Tableau1[Nom du modèle], 0), MATCH("Date de publication", Tableau1[#Headers], 0)),0)-DATE(2020,1,1)</f>
        <v>1931</v>
      </c>
      <c r="P94" s="45">
        <f>IFERROR(INDEX(Tableau1[], MATCH(P$24, Tableau1[Nom du modèle], 0), MATCH("Date de publication", Tableau1[#Headers], 0)),0)-DATE(2020,1,1)</f>
        <v>1517</v>
      </c>
      <c r="Q94" s="45">
        <f>IFERROR(INDEX(Tableau1[], MATCH(Q$24, Tableau1[Nom du modèle], 0), MATCH("Date de publication", Tableau1[#Headers], 0)),0)-DATE(2020,1,1)</f>
        <v>1968</v>
      </c>
      <c r="R94" s="45">
        <f>IFERROR(INDEX(Tableau1[], MATCH(R$24, Tableau1[Nom du modèle], 0), MATCH("Date de publication", Tableau1[#Headers], 0)),0)-DATE(2020,1,1)</f>
        <v>2029</v>
      </c>
    </row>
    <row r="95" spans="10:18">
      <c r="M95" s="82"/>
      <c r="N95" s="82"/>
      <c r="O95" s="82"/>
      <c r="P95" s="82"/>
      <c r="Q95" s="82"/>
      <c r="R95" s="82"/>
    </row>
    <row r="96" spans="10:18">
      <c r="J96" t="s">
        <v>88</v>
      </c>
      <c r="K96" s="68" t="s">
        <v>117</v>
      </c>
      <c r="L96" s="68" t="s">
        <v>75</v>
      </c>
      <c r="M96" s="115"/>
      <c r="N96" s="115" t="e">
        <f ca="1">(N$90*$M$84)+N$97</f>
        <v>#DIV/0!</v>
      </c>
      <c r="O96" s="115" t="e">
        <f t="shared" ref="O96:R96" ca="1" si="23">(O$90*$M$84)+O$97</f>
        <v>#DIV/0!</v>
      </c>
      <c r="P96" s="115" t="e">
        <f t="shared" ca="1" si="23"/>
        <v>#DIV/0!</v>
      </c>
      <c r="Q96" s="115" t="e">
        <f t="shared" ca="1" si="23"/>
        <v>#DIV/0!</v>
      </c>
      <c r="R96" s="115" t="e">
        <f t="shared" ca="1" si="23"/>
        <v>#DIV/0!</v>
      </c>
    </row>
    <row r="97" spans="10:18">
      <c r="J97" t="s">
        <v>88</v>
      </c>
      <c r="K97" t="s">
        <v>118</v>
      </c>
      <c r="L97" t="s">
        <v>75</v>
      </c>
      <c r="M97" s="82"/>
      <c r="N97" s="82" t="e">
        <f ca="1">(N$213/N$163)*N$90</f>
        <v>#DIV/0!</v>
      </c>
      <c r="O97" s="82" t="e">
        <f ca="1">(O$213/O$163)*O$90</f>
        <v>#DIV/0!</v>
      </c>
      <c r="P97" s="82" t="e">
        <f ca="1">(P$213/P$163)*P$90</f>
        <v>#DIV/0!</v>
      </c>
      <c r="Q97" s="82" t="e">
        <f ca="1">(Q$213/Q$163)*Q$90</f>
        <v>#DIV/0!</v>
      </c>
      <c r="R97" s="82" t="e">
        <f ca="1">(R$213/R$163)*R$90</f>
        <v>#DIV/0!</v>
      </c>
    </row>
    <row r="98" spans="10:18">
      <c r="M98" s="92"/>
      <c r="N98" s="92"/>
      <c r="O98" s="92"/>
      <c r="P98" s="92"/>
      <c r="Q98" s="92"/>
      <c r="R98" s="92"/>
    </row>
    <row r="99" spans="10:18">
      <c r="J99" t="s">
        <v>88</v>
      </c>
      <c r="K99" s="6" t="s">
        <v>119</v>
      </c>
      <c r="L99" s="6" t="s">
        <v>79</v>
      </c>
      <c r="M99" s="87"/>
      <c r="N99" s="87" t="e">
        <f ca="1">(N$90*N$237*$M$238)+N$100</f>
        <v>#DIV/0!</v>
      </c>
      <c r="O99" s="87" t="e">
        <f ca="1">(O$90*O$237*$M$238)+O$100</f>
        <v>#DIV/0!</v>
      </c>
      <c r="P99" s="87" t="e">
        <f ca="1">(P$90*P$237*$M$238)+P$100</f>
        <v>#DIV/0!</v>
      </c>
      <c r="Q99" s="87" t="e">
        <f ca="1">(Q$90*Q$237*$M$238)+Q$100</f>
        <v>#DIV/0!</v>
      </c>
      <c r="R99" s="87" t="e">
        <f ca="1">(R$90*R$237*$M$238)+R$100</f>
        <v>#DIV/0!</v>
      </c>
    </row>
    <row r="100" spans="10:18">
      <c r="J100" t="s">
        <v>88</v>
      </c>
      <c r="K100" t="s">
        <v>339</v>
      </c>
      <c r="L100" t="s">
        <v>79</v>
      </c>
      <c r="M100" s="82"/>
      <c r="N100" s="82">
        <f ca="1">IFERROR((N235/N$163)*N$90,0)</f>
        <v>0</v>
      </c>
      <c r="O100" s="82">
        <f ca="1">IFERROR((O235/O$163)*O$90,0)</f>
        <v>0</v>
      </c>
      <c r="P100" s="82">
        <f ca="1">IFERROR((P235/P$163)*P$90,0)</f>
        <v>0</v>
      </c>
      <c r="Q100" s="82">
        <f ca="1">IFERROR((Q235/Q$163)*Q$90,0)</f>
        <v>0</v>
      </c>
      <c r="R100" s="82">
        <f ca="1">IFERROR((R235/R$163)*R$90,0)</f>
        <v>0</v>
      </c>
    </row>
    <row r="102" spans="10:18">
      <c r="J102" s="79" t="s">
        <v>33</v>
      </c>
      <c r="K102" s="69"/>
      <c r="L102" s="69"/>
      <c r="M102" s="88"/>
      <c r="N102" s="88"/>
      <c r="O102" s="88"/>
      <c r="P102" s="88"/>
      <c r="Q102" s="88"/>
      <c r="R102" s="88"/>
    </row>
    <row r="103" spans="10:18">
      <c r="M103" s="82"/>
      <c r="N103" s="82"/>
      <c r="O103" s="82"/>
      <c r="P103" s="82"/>
      <c r="Q103" s="82"/>
      <c r="R103" s="82"/>
    </row>
    <row r="104" spans="10:18">
      <c r="K104" s="8" t="s">
        <v>120</v>
      </c>
      <c r="L104" s="8" t="s">
        <v>71</v>
      </c>
      <c r="M104" s="89"/>
      <c r="N104" s="89" t="e">
        <f>N$129+N$146+N$163</f>
        <v>#DIV/0!</v>
      </c>
      <c r="O104" s="89">
        <f>O$129+O$146+O$163</f>
        <v>269.17616240004503</v>
      </c>
      <c r="P104" s="89">
        <f>P$129+P$146+P$163</f>
        <v>266.62376565199884</v>
      </c>
      <c r="Q104" s="89">
        <f>Q$129+Q$146+Q$163</f>
        <v>263.75231931044692</v>
      </c>
      <c r="R104" s="89">
        <f>R$129+R$146+R$163</f>
        <v>262.15707134291807</v>
      </c>
    </row>
    <row r="105" spans="10:18">
      <c r="K105" s="65" t="s">
        <v>121</v>
      </c>
      <c r="L105" s="65" t="s">
        <v>71</v>
      </c>
      <c r="M105" s="84"/>
      <c r="N105" s="198">
        <f>IFERROR(N$104/$M$28,0)</f>
        <v>0</v>
      </c>
      <c r="O105" s="84">
        <f>IFERROR(O$104/$M$28,0)</f>
        <v>2.2431346866670419E-7</v>
      </c>
      <c r="P105" s="84">
        <f>IFERROR(P$104/$M$28,0)</f>
        <v>2.2218647137666569E-7</v>
      </c>
      <c r="Q105" s="84">
        <f>IFERROR(Q$104/$M$28,0)</f>
        <v>2.1979359942537245E-7</v>
      </c>
      <c r="R105" s="84">
        <f>IFERROR(R$104/$M$28,0)</f>
        <v>2.1846422611909841E-7</v>
      </c>
    </row>
    <row r="106" spans="10:18">
      <c r="M106" s="82"/>
      <c r="N106" s="82"/>
      <c r="O106" s="82"/>
      <c r="P106" s="82"/>
      <c r="Q106" s="82"/>
      <c r="R106" s="82"/>
    </row>
    <row r="107" spans="10:18">
      <c r="K107" s="71" t="s">
        <v>122</v>
      </c>
      <c r="L107" s="71" t="s">
        <v>75</v>
      </c>
      <c r="M107" s="90"/>
      <c r="N107" s="90" t="e">
        <f>N$136+N$151+N$205</f>
        <v>#DIV/0!</v>
      </c>
      <c r="O107" s="90">
        <f>O$136+O$151+O$205</f>
        <v>50.698098127202428</v>
      </c>
      <c r="P107" s="90">
        <f>P$136+P$151+P$205</f>
        <v>54.377683464622592</v>
      </c>
      <c r="Q107" s="90">
        <f>Q$136+Q$151+Q$205</f>
        <v>103.48394492843215</v>
      </c>
      <c r="R107" s="90">
        <f>R$136+R$151+R$205</f>
        <v>30.713469068601832</v>
      </c>
    </row>
    <row r="108" spans="10:18">
      <c r="K108" s="68" t="s">
        <v>123</v>
      </c>
      <c r="L108" s="68" t="s">
        <v>75</v>
      </c>
      <c r="M108" s="121"/>
      <c r="N108" s="121">
        <f>IFERROR(N$107/$M$28,0)</f>
        <v>0</v>
      </c>
      <c r="O108" s="121">
        <f>IFERROR(O$107/$M$28,0)</f>
        <v>4.2248415106002023E-8</v>
      </c>
      <c r="P108" s="121">
        <f>IFERROR(P$107/$M$28,0)</f>
        <v>4.5314736220518828E-8</v>
      </c>
      <c r="Q108" s="121">
        <f>IFERROR(Q$107/$M$28,0)</f>
        <v>8.6236620773693464E-8</v>
      </c>
      <c r="R108" s="121">
        <f>IFERROR(R$107/$M$28,0)</f>
        <v>2.5594557557168194E-8</v>
      </c>
    </row>
    <row r="109" spans="10:18">
      <c r="M109" s="95"/>
      <c r="N109" s="95"/>
      <c r="O109" s="95"/>
      <c r="P109" s="95"/>
      <c r="Q109" s="95"/>
      <c r="R109" s="95"/>
    </row>
    <row r="110" spans="10:18">
      <c r="K110" s="7" t="s">
        <v>124</v>
      </c>
      <c r="L110" s="7" t="s">
        <v>79</v>
      </c>
      <c r="M110" s="161"/>
      <c r="N110" s="193" t="e">
        <f>N$140+N$155+N$235</f>
        <v>#DIV/0!</v>
      </c>
      <c r="O110" s="193">
        <f>O$140+O$155+O$235</f>
        <v>10590.845516439647</v>
      </c>
      <c r="P110" s="193">
        <f>P$140+P$155+P$235</f>
        <v>11006.767527264454</v>
      </c>
      <c r="Q110" s="193">
        <f>Q$140+Q$155+Q$235</f>
        <v>25410.961511508016</v>
      </c>
      <c r="R110" s="193">
        <f>R$140+R$155+R$235</f>
        <v>5097.134948724658</v>
      </c>
    </row>
    <row r="111" spans="10:18">
      <c r="K111" s="6" t="s">
        <v>125</v>
      </c>
      <c r="L111" s="6" t="s">
        <v>79</v>
      </c>
      <c r="M111" s="87"/>
      <c r="N111" s="87">
        <f>IFERROR(N$110/$M$28,0)</f>
        <v>0</v>
      </c>
      <c r="O111" s="87">
        <f>IFERROR(O$110/$M$28,0)</f>
        <v>8.8257045970330399E-6</v>
      </c>
      <c r="P111" s="87">
        <f>IFERROR(P$110/$M$28,0)</f>
        <v>9.1723062727203788E-6</v>
      </c>
      <c r="Q111" s="87">
        <f>IFERROR(Q$110/$M$28,0)</f>
        <v>2.1175801259590012E-5</v>
      </c>
      <c r="R111" s="87">
        <f>IFERROR(R$110/$M$28,0)</f>
        <v>4.2476124572705487E-6</v>
      </c>
    </row>
    <row r="112" spans="10:18">
      <c r="M112" s="82"/>
      <c r="N112" s="82"/>
      <c r="O112" s="82"/>
      <c r="P112" s="82"/>
      <c r="Q112" s="82"/>
      <c r="R112" s="82"/>
    </row>
    <row r="113" spans="10:18">
      <c r="M113" s="45"/>
      <c r="N113" s="45"/>
      <c r="O113" s="45"/>
      <c r="P113" s="45"/>
      <c r="Q113" s="45"/>
      <c r="R113" s="45"/>
    </row>
    <row r="114" spans="10:18">
      <c r="J114" t="s">
        <v>88</v>
      </c>
      <c r="K114" t="s">
        <v>126</v>
      </c>
      <c r="L114" t="s">
        <v>127</v>
      </c>
      <c r="M114" s="94"/>
      <c r="N114" s="94" t="e">
        <f ca="1">N$115*((365*24*3600)/(2*N$26*10^9))*N$120</f>
        <v>#DIV/0!</v>
      </c>
      <c r="O114" s="94">
        <f ca="1">O$115*((365*24*3600)/(2*O$26*10^9))*O$120</f>
        <v>0</v>
      </c>
      <c r="P114" s="94">
        <f ca="1">P$115*((365*24*3600)/(2*P$26*10^9))*P$120</f>
        <v>0</v>
      </c>
      <c r="Q114" s="94">
        <f ca="1">Q$115*((365*24*3600)/(2*Q$26*10^9))*Q$120</f>
        <v>0</v>
      </c>
      <c r="R114" s="94">
        <f ca="1">R$115*((365*24*3600)/(2*R$26*10^9))*R$120</f>
        <v>0</v>
      </c>
    </row>
    <row r="115" spans="10:18">
      <c r="J115" t="s">
        <v>88</v>
      </c>
      <c r="K115" t="s">
        <v>128</v>
      </c>
      <c r="L115" t="s">
        <v>114</v>
      </c>
      <c r="M115" s="82"/>
      <c r="N115" s="82">
        <f ca="1">IFERROR(N$116*IFERROR(INDEX(Tableau1[], MATCH(N$24, Tableau1[Nom du modèle], 0), MATCH($K$93, Tableau1[#Headers], 0)),0)*(0.85*0.85),0)</f>
        <v>0</v>
      </c>
      <c r="O115" s="82">
        <f ca="1">IFERROR(O$116*IFERROR(INDEX(Tableau1[], MATCH(O$24, Tableau1[Nom du modèle], 0), MATCH($K$93, Tableau1[#Headers], 0)),0)*(0.5*0.5*(1/O$165)*0.7),0)</f>
        <v>0</v>
      </c>
      <c r="P115" s="82">
        <f ca="1">IFERROR(P$116*IFERROR(INDEX(Tableau1[], MATCH(P$24, Tableau1[Nom du modèle], 0), MATCH($K$93, Tableau1[#Headers], 0)),0)*(0.5*0.5*(1/P$165)*0.7),0)</f>
        <v>0</v>
      </c>
      <c r="Q115" s="82">
        <f ca="1">IFERROR(Q$116*IFERROR(INDEX(Tableau1[], MATCH(Q$24, Tableau1[Nom du modèle], 0), MATCH($K$93, Tableau1[#Headers], 0)),0)*(0.5*0.5*(1/Q$165)*0.7),0)</f>
        <v>0</v>
      </c>
      <c r="R115" s="82">
        <f ca="1">IFERROR(R$116*IFERROR(INDEX(Tableau1[], MATCH(R$24, Tableau1[Nom du modèle], 0), MATCH($K$93, Tableau1[#Headers], 0)),0)*(0.5*0.5*(1/R$165)*0.7),0)</f>
        <v>0</v>
      </c>
    </row>
    <row r="116" spans="10:18">
      <c r="J116" t="s">
        <v>88</v>
      </c>
      <c r="K116" t="s">
        <v>129</v>
      </c>
      <c r="L116" t="s">
        <v>130</v>
      </c>
      <c r="N116" t="e">
        <f ca="1">(N$117*$M$118)/N$119</f>
        <v>#DIV/0!</v>
      </c>
      <c r="O116" t="e">
        <f ca="1">(O$117*$M$118)/O$119</f>
        <v>#DIV/0!</v>
      </c>
      <c r="P116" t="e">
        <f ca="1">(P$117*$M$118)/P$119</f>
        <v>#DIV/0!</v>
      </c>
      <c r="Q116" t="e">
        <f ca="1">(Q$117*$M$118)/Q$119</f>
        <v>#DIV/0!</v>
      </c>
      <c r="R116" s="196" t="e">
        <f ca="1">(R$117*$M$118)/R$119</f>
        <v>#DIV/0!</v>
      </c>
    </row>
    <row r="117" spans="10:18">
      <c r="J117" t="s">
        <v>57</v>
      </c>
      <c r="K117" t="s">
        <v>131</v>
      </c>
      <c r="L117" t="s">
        <v>130</v>
      </c>
      <c r="M117" s="82"/>
      <c r="N117" s="82">
        <f>IFERROR(INDEX(Tableau1[], MATCH(N$24, Tableau1[Nom du modèle], 0), MATCH($K$117, Tableau1[#Headers], 0)),0)</f>
        <v>0</v>
      </c>
      <c r="O117" s="82">
        <f>IFERROR(INDEX(Tableau1[], MATCH(O$24, Tableau1[Nom du modèle], 0), MATCH($K$117, Tableau1[#Headers], 0)),0)</f>
        <v>2000000</v>
      </c>
      <c r="P117" s="82">
        <f>IFERROR(INDEX(Tableau1[], MATCH(P$24, Tableau1[Nom du modèle], 0), MATCH($K$117, Tableau1[#Headers], 0)),0)</f>
        <v>200000</v>
      </c>
      <c r="Q117" s="82">
        <f>IFERROR(INDEX(Tableau1[], MATCH(Q$24, Tableau1[Nom du modèle], 0), MATCH($K$117, Tableau1[#Headers], 0)),0)</f>
        <v>1400000</v>
      </c>
      <c r="R117" s="82">
        <f>IFERROR(INDEX(Tableau1[], MATCH(R$24, Tableau1[Nom du modèle], 0), MATCH($K$117, Tableau1[#Headers], 0)),0)</f>
        <v>9000000</v>
      </c>
    </row>
    <row r="118" spans="10:18">
      <c r="J118" t="s">
        <v>65</v>
      </c>
      <c r="K118" t="s">
        <v>132</v>
      </c>
      <c r="L118" t="s">
        <v>98</v>
      </c>
      <c r="M118" s="122">
        <f>IFERROR(_xlfn.XLOOKUP($K$118,Tableau2[Variable],Tableau2[Valeur]),0)</f>
        <v>0.8</v>
      </c>
      <c r="N118" s="82"/>
      <c r="O118" s="82"/>
      <c r="P118" s="82"/>
      <c r="Q118" s="82"/>
      <c r="R118" s="82"/>
    </row>
    <row r="119" spans="10:18">
      <c r="J119" t="s">
        <v>88</v>
      </c>
      <c r="K119" t="s">
        <v>133</v>
      </c>
      <c r="L119" t="s">
        <v>134</v>
      </c>
      <c r="M119" s="168"/>
      <c r="N119" s="168">
        <f ca="1">COUNTIFS(Tableau1[Date de publication],"&gt;="&amp;EDATE(TODAY(),-24),Tableau1[Fournisseurs],'⚙️Données'!$F$26)</f>
        <v>0</v>
      </c>
      <c r="O119" s="168">
        <f ca="1">COUNTIFS(Tableau1[Date de publication],"&gt;="&amp;EDATE(TODAY(),-24),Tableau1[Fournisseurs],'⚙️Données'!$F$26)</f>
        <v>0</v>
      </c>
      <c r="P119" s="168">
        <f ca="1">COUNTIFS(Tableau1[Date de publication],"&gt;="&amp;EDATE(TODAY(),-24),Tableau1[Fournisseurs],'⚙️Données'!$F$26)</f>
        <v>0</v>
      </c>
      <c r="Q119" s="168">
        <f ca="1">COUNTIFS(Tableau1[Date de publication],"&gt;="&amp;EDATE(TODAY(),-24),Tableau1[Fournisseurs],'⚙️Données'!$F$26)</f>
        <v>0</v>
      </c>
      <c r="R119" s="168">
        <f ca="1">COUNTIFS(Tableau1[Date de publication],"&gt;="&amp;EDATE(TODAY(),-24),Tableau1[Fournisseurs],'⚙️Données'!$F$26)</f>
        <v>0</v>
      </c>
    </row>
    <row r="120" spans="10:18">
      <c r="J120" t="s">
        <v>88</v>
      </c>
      <c r="K120" t="s">
        <v>135</v>
      </c>
      <c r="L120" t="s">
        <v>136</v>
      </c>
      <c r="M120" s="169"/>
      <c r="N120" s="169">
        <v>1.5</v>
      </c>
      <c r="O120" s="169">
        <f ca="1">IF(
(TODAY()
-_xlfn.XLOOKUP(O$24,Tableau1[Nom du modèle],Tableau1[Date de publication]))/365.25&lt;=2,
(TODAY()-_xlfn.XLOOKUP(O$24,Tableau1[Nom du modèle],Tableau1[Date de publication]))/365.25,
2)</f>
        <v>1.4209445585215605</v>
      </c>
      <c r="P120" s="169">
        <f ca="1">IF(
(TODAY()
-_xlfn.XLOOKUP(P$24,Tableau1[Nom du modèle],Tableau1[Date de publication]))/365.25&lt;=2,
(TODAY()-_xlfn.XLOOKUP(P$24,Tableau1[Nom du modèle],Tableau1[Date de publication]))/365.25,
2)</f>
        <v>2</v>
      </c>
      <c r="Q120" s="169">
        <f ca="1">IF(
(TODAY()
-_xlfn.XLOOKUP(Q$24,Tableau1[Nom du modèle],Tableau1[Date de publication]))/365.25&lt;=2,
(TODAY()-_xlfn.XLOOKUP(Q$24,Tableau1[Nom du modèle],Tableau1[Date de publication]))/365.25,
2)</f>
        <v>1.3196440793976729</v>
      </c>
      <c r="R120" s="169">
        <f ca="1">IF(
(TODAY()
-_xlfn.XLOOKUP(R$24,Tableau1[Nom du modèle],Tableau1[Date de publication]))/365.25&lt;=2,
(TODAY()-_xlfn.XLOOKUP(R$24,Tableau1[Nom du modèle],Tableau1[Date de publication]))/365.25,
2)</f>
        <v>1.1526351813826146</v>
      </c>
    </row>
    <row r="121" spans="10:18">
      <c r="M121" s="92"/>
      <c r="N121" s="92"/>
      <c r="O121" s="92"/>
      <c r="P121" s="92"/>
      <c r="Q121" s="92"/>
      <c r="R121" s="92"/>
    </row>
    <row r="122" spans="10:18">
      <c r="J122" s="78" t="s">
        <v>137</v>
      </c>
      <c r="K122" s="78"/>
      <c r="L122" s="78"/>
      <c r="M122" s="93"/>
      <c r="N122" s="93"/>
      <c r="O122" s="93"/>
      <c r="P122" s="93"/>
      <c r="Q122" s="93"/>
      <c r="R122" s="93"/>
    </row>
    <row r="123" spans="10:18">
      <c r="M123" s="82"/>
      <c r="N123" s="82"/>
      <c r="O123" s="82"/>
      <c r="P123" s="82"/>
      <c r="Q123" s="82"/>
      <c r="R123" s="82"/>
    </row>
    <row r="124" spans="10:18">
      <c r="J124" t="s">
        <v>57</v>
      </c>
      <c r="K124" t="s">
        <v>55</v>
      </c>
      <c r="M124" s="82" t="s">
        <v>138</v>
      </c>
      <c r="N124" s="82"/>
      <c r="O124" s="82"/>
      <c r="P124" s="82"/>
      <c r="Q124" s="82"/>
      <c r="R124" s="82"/>
    </row>
    <row r="125" spans="10:18">
      <c r="J125" t="s">
        <v>57</v>
      </c>
      <c r="K125" t="s">
        <v>58</v>
      </c>
      <c r="L125" t="s">
        <v>59</v>
      </c>
      <c r="M125" s="82">
        <f>IFERROR(INDEX(Tableau1[], MATCH($M$124, Tableau1[Nom du modèle], 0), MATCH($K$125, Tableau1[#Headers], 0)),0)</f>
        <v>8</v>
      </c>
      <c r="N125" s="82"/>
      <c r="O125" s="82"/>
      <c r="P125" s="82"/>
      <c r="Q125" s="82"/>
      <c r="R125" s="82"/>
    </row>
    <row r="126" spans="10:18">
      <c r="J126" t="s">
        <v>88</v>
      </c>
      <c r="K126" t="s">
        <v>139</v>
      </c>
      <c r="L126" t="s">
        <v>140</v>
      </c>
      <c r="M126" s="92">
        <f>IF($M$127&gt;0,((0.022*(($M$125*10^(9))/(8*10^(9)))*($M$127*$M$179)+97.394)/1000),0)</f>
        <v>16896000.097393997</v>
      </c>
      <c r="N126" s="92"/>
      <c r="O126" s="92"/>
      <c r="P126" s="92"/>
      <c r="Q126" s="92"/>
      <c r="R126" s="92"/>
    </row>
    <row r="127" spans="10:18">
      <c r="J127" t="s">
        <v>54</v>
      </c>
      <c r="K127" t="s">
        <v>141</v>
      </c>
      <c r="L127" t="s">
        <v>142</v>
      </c>
      <c r="M127">
        <f>IF('⚙️Données'!$H$19="production",'⚙️Données'!$H$38*12, 0)</f>
        <v>12000000000</v>
      </c>
    </row>
    <row r="128" spans="10:18">
      <c r="M128" s="92"/>
      <c r="N128" s="92"/>
      <c r="O128" s="92"/>
      <c r="P128" s="92"/>
      <c r="Q128" s="92"/>
      <c r="R128" s="92"/>
    </row>
    <row r="129" spans="10:18">
      <c r="J129" t="s">
        <v>88</v>
      </c>
      <c r="K129" s="109" t="s">
        <v>143</v>
      </c>
      <c r="L129" s="109" t="s">
        <v>71</v>
      </c>
      <c r="M129" s="110"/>
      <c r="N129" s="110">
        <f>($M$132+$M$134)*N$165*1/$M$179</f>
        <v>0</v>
      </c>
      <c r="O129" s="110">
        <f t="shared" ref="O129:R129" si="24">$M$130*($M$132+$M$134)*O$165*1/$M$179</f>
        <v>76.571902441385149</v>
      </c>
      <c r="P129" s="110">
        <f t="shared" si="24"/>
        <v>74.019505693338971</v>
      </c>
      <c r="Q129" s="110">
        <f t="shared" si="24"/>
        <v>71.14805935178704</v>
      </c>
      <c r="R129" s="110">
        <f t="shared" si="24"/>
        <v>69.552811384258192</v>
      </c>
    </row>
    <row r="130" spans="10:18">
      <c r="J130" t="s">
        <v>65</v>
      </c>
      <c r="K130" t="s">
        <v>144</v>
      </c>
      <c r="L130" t="s">
        <v>145</v>
      </c>
      <c r="M130" s="45">
        <f>(IFERROR(VLOOKUP($K$130,Tableau2[[Variable]:[Valeur]],2,FALSE()),0))</f>
        <v>1</v>
      </c>
      <c r="N130" s="45"/>
      <c r="O130" s="45"/>
      <c r="P130" s="45"/>
      <c r="Q130" s="45"/>
      <c r="R130" s="45"/>
    </row>
    <row r="131" spans="10:18">
      <c r="J131" t="s">
        <v>65</v>
      </c>
      <c r="K131" t="s">
        <v>146</v>
      </c>
      <c r="L131" t="s">
        <v>130</v>
      </c>
      <c r="M131" s="82">
        <f>(IFERROR(VLOOKUP($K$131,Tableau2[[Variable]:[Valeur]],2,FALSE()),0))</f>
        <v>0.7</v>
      </c>
      <c r="N131" s="82"/>
      <c r="O131" s="82"/>
      <c r="P131" s="82"/>
      <c r="Q131" s="82"/>
      <c r="R131" s="82"/>
    </row>
    <row r="132" spans="10:18">
      <c r="J132" t="s">
        <v>88</v>
      </c>
      <c r="K132" t="s">
        <v>147</v>
      </c>
      <c r="L132" t="s">
        <v>71</v>
      </c>
      <c r="M132" s="5">
        <f>IF($M$127&gt;0,(M$126/3600)*(($M$131+($M$195/$M$133))*$M$130),0)</f>
        <v>3989.333356329138</v>
      </c>
      <c r="N132" s="92"/>
      <c r="O132" s="5"/>
      <c r="P132" s="5"/>
      <c r="Q132" s="5"/>
      <c r="R132" s="5"/>
    </row>
    <row r="133" spans="10:18">
      <c r="J133" t="s">
        <v>65</v>
      </c>
      <c r="K133" t="s">
        <v>148</v>
      </c>
      <c r="L133" t="s">
        <v>145</v>
      </c>
      <c r="M133" s="45">
        <f>IFERROR(_xlfn.XLOOKUP($K$133,Tableau2[Variable],Tableau2[Valeur]),0)</f>
        <v>8</v>
      </c>
      <c r="N133" s="45"/>
      <c r="O133" s="45"/>
      <c r="P133" s="45"/>
      <c r="Q133" s="45"/>
      <c r="R133" s="45"/>
    </row>
    <row r="134" spans="10:18">
      <c r="J134" t="s">
        <v>88</v>
      </c>
      <c r="K134" t="s">
        <v>149</v>
      </c>
      <c r="L134" t="s">
        <v>71</v>
      </c>
      <c r="M134" s="73">
        <f>($M$198*$M$199+$M$200*$M$201+$M$202*$M$203)*((M$126/3600)/$M$133)*$M$130</f>
        <v>94.501440544736795</v>
      </c>
      <c r="N134" s="73"/>
      <c r="O134" s="73"/>
      <c r="P134" s="73"/>
      <c r="Q134" s="73"/>
      <c r="R134" s="73"/>
    </row>
    <row r="135" spans="10:18">
      <c r="M135" s="92"/>
      <c r="O135" s="92"/>
      <c r="P135" s="92"/>
      <c r="Q135" s="92"/>
      <c r="R135" s="92"/>
    </row>
    <row r="136" spans="10:18">
      <c r="J136" t="s">
        <v>88</v>
      </c>
      <c r="K136" s="103" t="s">
        <v>150</v>
      </c>
      <c r="L136" s="108" t="s">
        <v>75</v>
      </c>
      <c r="M136" s="104"/>
      <c r="N136" s="104">
        <f>N$137+$M$138</f>
        <v>2.5395556800370933</v>
      </c>
      <c r="O136" s="104">
        <f>O$137+$M$138</f>
        <v>6.0695203825849493</v>
      </c>
      <c r="P136" s="104">
        <f t="shared" ref="P136:R136" si="25">P$137+$M$138</f>
        <v>5.9518548925000196</v>
      </c>
      <c r="Q136" s="104">
        <f t="shared" si="25"/>
        <v>5.8194812161544762</v>
      </c>
      <c r="R136" s="104">
        <f t="shared" si="25"/>
        <v>5.7459402848513967</v>
      </c>
    </row>
    <row r="137" spans="10:18">
      <c r="J137" t="s">
        <v>88</v>
      </c>
      <c r="K137" t="s">
        <v>151</v>
      </c>
      <c r="L137" s="10" t="s">
        <v>75</v>
      </c>
      <c r="N137" s="92">
        <f>N$129*$M$210</f>
        <v>0</v>
      </c>
      <c r="O137" s="92">
        <f>O$129*$M$210</f>
        <v>3.5299647025478555</v>
      </c>
      <c r="P137" s="92">
        <f t="shared" ref="P137:R137" si="26">P$129*$M$210</f>
        <v>3.4122992124629268</v>
      </c>
      <c r="Q137" s="92">
        <f t="shared" si="26"/>
        <v>3.2799255361173829</v>
      </c>
      <c r="R137" s="92">
        <f t="shared" si="26"/>
        <v>3.206384604814303</v>
      </c>
    </row>
    <row r="138" spans="10:18">
      <c r="J138" t="s">
        <v>88</v>
      </c>
      <c r="K138" t="s">
        <v>152</v>
      </c>
      <c r="L138" s="10" t="s">
        <v>75</v>
      </c>
      <c r="M138" s="206">
        <f>(($M$130/$M$133)*$M$225)*($M$126/($M$179*$M$223))
+(($M$130*$M$226))*($M$126/($M$179*$M$224))
+(($M$130/$M$133)*($M$230*$M$199+$M$231*$M$201+$M$232*$M$203)*($M$126/($M$179*$M$229)))+($N$129*($M$217))</f>
        <v>2.5395556800370933</v>
      </c>
      <c r="N138" s="92"/>
      <c r="O138" s="92"/>
      <c r="P138" s="92"/>
      <c r="Q138" s="92"/>
      <c r="R138" s="92"/>
    </row>
    <row r="139" spans="10:18">
      <c r="L139" s="10"/>
      <c r="M139" s="92"/>
      <c r="N139" s="92"/>
      <c r="O139" s="92"/>
      <c r="P139" s="92"/>
      <c r="Q139" s="92"/>
      <c r="R139" s="92"/>
    </row>
    <row r="140" spans="10:18">
      <c r="J140" t="s">
        <v>88</v>
      </c>
      <c r="K140" s="105" t="s">
        <v>153</v>
      </c>
      <c r="L140" s="105" t="s">
        <v>79</v>
      </c>
      <c r="M140" s="107"/>
      <c r="N140" s="107">
        <f>N$141+$M$142</f>
        <v>859.96863870903928</v>
      </c>
      <c r="O140" s="107">
        <f t="shared" ref="O140:R140" si="27">O$141+$M$142</f>
        <v>920.96581619384665</v>
      </c>
      <c r="P140" s="107">
        <f t="shared" si="27"/>
        <v>869.29509642639994</v>
      </c>
      <c r="Q140" s="107">
        <f t="shared" si="27"/>
        <v>915.74871724084028</v>
      </c>
      <c r="R140" s="107">
        <f t="shared" si="27"/>
        <v>956.3688352876211</v>
      </c>
    </row>
    <row r="141" spans="10:18">
      <c r="J141" t="s">
        <v>88</v>
      </c>
      <c r="K141" t="s">
        <v>154</v>
      </c>
      <c r="L141" s="10" t="s">
        <v>79</v>
      </c>
      <c r="N141">
        <f>N$129*N$237*$M$238</f>
        <v>0</v>
      </c>
      <c r="O141">
        <f>O$129*O$237*$M$238</f>
        <v>60.997177484807395</v>
      </c>
      <c r="P141">
        <f>P$129*P$237*$M$238</f>
        <v>9.3264577173607091</v>
      </c>
      <c r="Q141">
        <f>Q$129*Q$237*$M$238</f>
        <v>55.780078531801038</v>
      </c>
      <c r="R141">
        <f>R$129*R$237*$M$238</f>
        <v>96.400196578581841</v>
      </c>
    </row>
    <row r="142" spans="10:18">
      <c r="J142" t="s">
        <v>88</v>
      </c>
      <c r="K142" t="s">
        <v>155</v>
      </c>
      <c r="L142" s="10" t="s">
        <v>79</v>
      </c>
      <c r="M142" s="207">
        <f>IF($M$127&gt;0,(($M$130/$M$133)*$M$241)*(M$126/($M$179*$M$223))
+(($M$130/$M$133)*($M$244*$M$199+$M$245*$M$201+$M$246*$M$203)*(M$126/($M$179*$M$229))),0)</f>
        <v>859.96863870903928</v>
      </c>
      <c r="N142" s="167"/>
      <c r="O142" s="167"/>
      <c r="P142" s="167"/>
      <c r="Q142" s="167"/>
      <c r="R142" s="167"/>
    </row>
    <row r="143" spans="10:18">
      <c r="M143" s="82"/>
      <c r="N143" s="82"/>
      <c r="O143" s="82"/>
      <c r="P143" s="82"/>
      <c r="Q143" s="82"/>
      <c r="R143" s="82"/>
    </row>
    <row r="144" spans="10:18">
      <c r="J144" s="78" t="s">
        <v>453</v>
      </c>
      <c r="K144" s="78"/>
      <c r="L144" s="78"/>
      <c r="M144" s="93"/>
      <c r="N144" s="93"/>
      <c r="O144" s="93"/>
      <c r="P144" s="93"/>
      <c r="Q144" s="93"/>
      <c r="R144" s="93"/>
    </row>
    <row r="145" spans="10:18">
      <c r="M145" s="82"/>
      <c r="N145" s="82"/>
      <c r="O145" s="82"/>
      <c r="P145" s="82"/>
      <c r="Q145" s="82"/>
      <c r="R145" s="82"/>
    </row>
    <row r="146" spans="10:18">
      <c r="J146" t="s">
        <v>88</v>
      </c>
      <c r="K146" s="65" t="s">
        <v>454</v>
      </c>
      <c r="L146" s="65" t="s">
        <v>71</v>
      </c>
      <c r="M146" s="145"/>
      <c r="N146" s="199">
        <f>((($M$148*$M$147+$M$148/16*($M$198*$M$199+$M$200*$M$201+$M$202*$M$203))*1.2*24*365)*($M$28/$M$149))</f>
        <v>192.6042599586599</v>
      </c>
      <c r="O146" s="199">
        <f t="shared" ref="O146:R146" si="28">((($M$148*$M$147+$M$148/16*($M$198*$M$199+$M$200*$M$201+$M$202*$M$203))*1.2*24*365)*($M$28/$M$149))</f>
        <v>192.6042599586599</v>
      </c>
      <c r="P146" s="199">
        <f t="shared" si="28"/>
        <v>192.6042599586599</v>
      </c>
      <c r="Q146" s="199">
        <f t="shared" si="28"/>
        <v>192.6042599586599</v>
      </c>
      <c r="R146" s="199">
        <f t="shared" si="28"/>
        <v>192.6042599586599</v>
      </c>
    </row>
    <row r="147" spans="10:18">
      <c r="J147" t="s">
        <v>65</v>
      </c>
      <c r="K147" t="s">
        <v>156</v>
      </c>
      <c r="L147" t="s">
        <v>130</v>
      </c>
      <c r="M147" s="96">
        <f>(IFERROR(VLOOKUP($K$147,Tableau2[[Variable]:[Valeur]],2,FALSE()),0))</f>
        <v>1.4362139073904099E-2</v>
      </c>
      <c r="N147" s="96"/>
      <c r="O147" s="96"/>
      <c r="P147" s="96"/>
      <c r="Q147" s="96"/>
      <c r="R147" s="96"/>
    </row>
    <row r="148" spans="10:18">
      <c r="J148" t="s">
        <v>65</v>
      </c>
      <c r="K148" t="s">
        <v>452</v>
      </c>
      <c r="L148" t="s">
        <v>157</v>
      </c>
      <c r="M148" s="45">
        <f>(IFERROR(VLOOKUP($K$148,Tableau2[[Variable]:[Valeur]],2,FALSE()),0))</f>
        <v>1</v>
      </c>
      <c r="N148" s="45"/>
      <c r="O148" s="45"/>
      <c r="P148" s="45"/>
      <c r="Q148" s="45"/>
      <c r="R148" s="45"/>
    </row>
    <row r="149" spans="10:18">
      <c r="J149" t="s">
        <v>65</v>
      </c>
      <c r="K149" s="112" t="s">
        <v>455</v>
      </c>
      <c r="L149" t="s">
        <v>62</v>
      </c>
      <c r="M149" s="45">
        <f>(IFERROR(VLOOKUP($K$149,Tableau2[[Variable]:[Valeur]],2,FALSE()),0))</f>
        <v>1600000000</v>
      </c>
      <c r="N149" s="82"/>
      <c r="O149" s="82"/>
      <c r="P149" s="82"/>
      <c r="Q149" s="82"/>
      <c r="R149" s="82"/>
    </row>
    <row r="150" spans="10:18">
      <c r="K150" s="112"/>
    </row>
    <row r="151" spans="10:18">
      <c r="J151" t="s">
        <v>88</v>
      </c>
      <c r="K151" s="68" t="s">
        <v>456</v>
      </c>
      <c r="L151" s="68" t="s">
        <v>75</v>
      </c>
      <c r="M151" s="81"/>
      <c r="N151" s="200">
        <f>($M$28/$M$149)*(($M$148*$M$152*(60*60*24*365)/$M$153)+($M$230*$M$199+$M$231*$M$201+$M$232*$M$203)*$M$148/16*(60*60*24*365/$M$229))+(N$146*($M$210+$M$217))</f>
        <v>20.730336858680822</v>
      </c>
      <c r="O151" s="200">
        <f t="shared" ref="O151:R151" si="29">($M$28/$M$149)*(($M$148*$M$152*(60*60*24*365)/$M$153)+($M$230*$M$199+$M$231*$M$201+$M$232*$M$203)*$M$148/16*(60*60*24*365/$M$229))+(O$146*($M$210+$M$217))</f>
        <v>20.730336858680822</v>
      </c>
      <c r="P151" s="200">
        <f t="shared" si="29"/>
        <v>20.730336858680822</v>
      </c>
      <c r="Q151" s="200">
        <f t="shared" si="29"/>
        <v>20.730336858680822</v>
      </c>
      <c r="R151" s="200">
        <f t="shared" si="29"/>
        <v>20.730336858680822</v>
      </c>
    </row>
    <row r="152" spans="10:18">
      <c r="J152" t="s">
        <v>65</v>
      </c>
      <c r="K152" t="s">
        <v>158</v>
      </c>
      <c r="L152" t="s">
        <v>75</v>
      </c>
      <c r="M152" s="82">
        <f>(IFERROR(VLOOKUP($K$152,Tableau2[[Variable]:[Valeur]],2,FALSE()),0))</f>
        <v>19.93</v>
      </c>
      <c r="N152" s="82"/>
      <c r="O152" s="82"/>
      <c r="P152" s="82"/>
      <c r="Q152" s="82"/>
      <c r="R152" s="82"/>
    </row>
    <row r="153" spans="10:18">
      <c r="J153" t="s">
        <v>65</v>
      </c>
      <c r="K153" t="s">
        <v>159</v>
      </c>
      <c r="L153" t="s">
        <v>140</v>
      </c>
      <c r="M153" s="82">
        <f>(IFERROR(VLOOKUP($K$153,Tableau2[[Variable]:[Valeur]],2,FALSE()),0))*(365*24*3600)</f>
        <v>126144000</v>
      </c>
      <c r="N153" s="82"/>
      <c r="O153" s="82"/>
      <c r="P153" s="82"/>
      <c r="Q153" s="82"/>
      <c r="R153" s="82"/>
    </row>
    <row r="154" spans="10:18">
      <c r="M154" s="92"/>
      <c r="N154" s="92"/>
      <c r="O154" s="92"/>
      <c r="P154" s="92"/>
      <c r="Q154" s="92"/>
      <c r="R154" s="92"/>
    </row>
    <row r="155" spans="10:18">
      <c r="J155" t="s">
        <v>88</v>
      </c>
      <c r="K155" s="125" t="s">
        <v>457</v>
      </c>
      <c r="L155" s="125" t="s">
        <v>79</v>
      </c>
      <c r="M155" s="166"/>
      <c r="N155" s="166">
        <f>N156+N158</f>
        <v>3179.8962865384224</v>
      </c>
      <c r="O155" s="166">
        <f>O156+O158</f>
        <v>3179.8962865384224</v>
      </c>
      <c r="P155" s="166">
        <f t="shared" ref="P155:R155" si="30">P156+P158</f>
        <v>3179.8962865384224</v>
      </c>
      <c r="Q155" s="166">
        <f t="shared" si="30"/>
        <v>3179.8962865384224</v>
      </c>
      <c r="R155" s="166">
        <f t="shared" si="30"/>
        <v>3179.8962865384224</v>
      </c>
    </row>
    <row r="156" spans="10:18">
      <c r="J156" t="s">
        <v>88</v>
      </c>
      <c r="K156" s="6" t="s">
        <v>340</v>
      </c>
      <c r="L156" s="6" t="s">
        <v>79</v>
      </c>
      <c r="M156" s="6"/>
      <c r="N156" s="6">
        <f>N146*(0.2*$M$238)</f>
        <v>53.929192788424764</v>
      </c>
      <c r="O156" s="6">
        <f>O146*(0.2*$M$238)</f>
        <v>53.929192788424764</v>
      </c>
      <c r="P156" s="6">
        <f>P146*(0.2*$M$238)</f>
        <v>53.929192788424764</v>
      </c>
      <c r="Q156" s="6">
        <f>Q146*(0.2*$M$238)</f>
        <v>53.929192788424764</v>
      </c>
      <c r="R156" s="6">
        <f>R146*(0.2*$M$238)</f>
        <v>53.929192788424764</v>
      </c>
    </row>
    <row r="158" spans="10:18">
      <c r="J158" t="s">
        <v>88</v>
      </c>
      <c r="K158" s="6" t="s">
        <v>341</v>
      </c>
      <c r="L158" s="6" t="s">
        <v>79</v>
      </c>
      <c r="M158" s="6"/>
      <c r="N158" s="6">
        <f>($M$28/$M$149)*(((60*60*24*365/$M$153)*$M$148*$M$159)+(($M$148/16)*($M$244*$M$199+$M$245*$M$201+$M$246*$M$203)*60*60*24*365/$M$229))</f>
        <v>3125.9670937499977</v>
      </c>
      <c r="O158" s="6">
        <f>($M$28/$M$149)*(((60*60*24*365/$M$153)*$M$148*$M$159)+(($M$148/16)*($M$244*$M$199+$M$245*$M$201+$M$246*$M$203)*60*60*24*365/$M$229))</f>
        <v>3125.9670937499977</v>
      </c>
      <c r="P158" s="6">
        <f>($M$28/$M$149)*(((60*60*24*365/$M$153)*$M$148*$M$159)+(($M$148/16)*($M$244*$M$199+$M$245*$M$201+$M$246*$M$203)*60*60*24*365/$M$229))</f>
        <v>3125.9670937499977</v>
      </c>
      <c r="Q158" s="6">
        <f>($M$28/$M$149)*(((60*60*24*365/$M$153)*$M$148*$M$159)+(($M$148/16)*($M$244*$M$199+$M$245*$M$201+$M$246*$M$203)*60*60*24*365/$M$229))</f>
        <v>3125.9670937499977</v>
      </c>
      <c r="R158" s="6">
        <f>($M$28/$M$149)*(((60*60*24*365/$M$153)*$M$148*$M$159)+(($M$148/16)*($M$244*$M$199+$M$245*$M$201+$M$246*$M$203)*60*60*24*365/$M$229))</f>
        <v>3125.9670937499977</v>
      </c>
    </row>
    <row r="159" spans="10:18">
      <c r="J159" t="s">
        <v>65</v>
      </c>
      <c r="K159" t="s">
        <v>160</v>
      </c>
      <c r="L159" t="s">
        <v>79</v>
      </c>
      <c r="M159" s="82">
        <f>(IFERROR(VLOOKUP($K$159,Tableau2[[Variable]:[Valeur]],2,FALSE()),0))</f>
        <v>7270.0000000000027</v>
      </c>
      <c r="N159" s="82"/>
      <c r="O159" s="82"/>
      <c r="P159" s="82"/>
      <c r="Q159" s="82"/>
      <c r="R159" s="82"/>
    </row>
    <row r="160" spans="10:18">
      <c r="M160" s="82"/>
      <c r="N160" s="82"/>
      <c r="O160" s="82"/>
      <c r="P160" s="82"/>
      <c r="Q160" s="82"/>
      <c r="R160" s="82"/>
    </row>
    <row r="161" spans="10:18">
      <c r="J161" s="78" t="s">
        <v>161</v>
      </c>
      <c r="K161" s="78"/>
      <c r="L161" s="78"/>
      <c r="M161" s="93"/>
      <c r="N161" s="93"/>
      <c r="O161" s="93"/>
      <c r="P161" s="93"/>
      <c r="Q161" s="93"/>
      <c r="R161" s="93"/>
    </row>
    <row r="162" spans="10:18">
      <c r="M162" s="92"/>
      <c r="N162" s="92"/>
      <c r="O162" s="92"/>
      <c r="P162" s="92"/>
      <c r="Q162" s="92"/>
      <c r="R162" s="92"/>
    </row>
    <row r="163" spans="10:18">
      <c r="J163" t="s">
        <v>88</v>
      </c>
      <c r="K163" s="111" t="s">
        <v>162</v>
      </c>
      <c r="L163" s="111" t="s">
        <v>71</v>
      </c>
      <c r="M163" s="144"/>
      <c r="N163" s="144" t="e">
        <f>(N$193+N$173+N$197)*$N165</f>
        <v>#DIV/0!</v>
      </c>
      <c r="O163" s="144">
        <f t="shared" ref="O163:R163" si="31">(O$193+O$173+O$197)*$N165</f>
        <v>0</v>
      </c>
      <c r="P163" s="144">
        <f t="shared" si="31"/>
        <v>0</v>
      </c>
      <c r="Q163" s="144">
        <f t="shared" si="31"/>
        <v>0</v>
      </c>
      <c r="R163" s="144">
        <f t="shared" si="31"/>
        <v>0</v>
      </c>
    </row>
    <row r="164" spans="10:18">
      <c r="J164" t="s">
        <v>163</v>
      </c>
      <c r="K164" s="128" t="s">
        <v>164</v>
      </c>
      <c r="L164" s="128" t="s">
        <v>71</v>
      </c>
      <c r="M164" s="132"/>
      <c r="N164" s="132" t="e">
        <f>$N165*(N$194+(N$174*N$167))</f>
        <v>#DIV/0!</v>
      </c>
      <c r="O164" s="132">
        <f t="shared" ref="O164:R164" si="32">$N165*(O$194+(O$174*O$167))</f>
        <v>0</v>
      </c>
      <c r="P164" s="132">
        <f t="shared" si="32"/>
        <v>0</v>
      </c>
      <c r="Q164" s="132">
        <f t="shared" si="32"/>
        <v>0</v>
      </c>
      <c r="R164" s="132">
        <f t="shared" si="32"/>
        <v>0</v>
      </c>
    </row>
    <row r="165" spans="10:18">
      <c r="J165" t="s">
        <v>65</v>
      </c>
      <c r="K165" t="s">
        <v>165</v>
      </c>
      <c r="M165" s="82"/>
      <c r="N165" s="82">
        <f>IFERROR(INDEX(Tableau1[], MATCH(N$24, Tableau1[Nom du modèle], 0), MATCH($K$165, Tableau1[#Headers], 0)),0)</f>
        <v>0</v>
      </c>
      <c r="O165" s="82">
        <f>IFERROR(INDEX(Tableau1[], MATCH(O$24, Tableau1[Nom du modèle], 0), MATCH($K$165, Tableau1[#Headers], 0)),0)</f>
        <v>1.2</v>
      </c>
      <c r="P165" s="82">
        <f>IFERROR(INDEX(Tableau1[], MATCH(P$24, Tableau1[Nom du modèle], 0), MATCH($K$165, Tableau1[#Headers], 0)),0)</f>
        <v>1.1599999999999999</v>
      </c>
      <c r="Q165" s="82">
        <f>IFERROR(INDEX(Tableau1[], MATCH(Q$24, Tableau1[Nom du modèle], 0), MATCH($K$165, Tableau1[#Headers], 0)),0)</f>
        <v>1.115</v>
      </c>
      <c r="R165" s="122">
        <f>IFERROR(INDEX(Tableau1[], MATCH(R$24, Tableau1[Nom du modèle], 0), MATCH($K$165, Tableau1[#Headers], 0)),0)</f>
        <v>1.0900000000000001</v>
      </c>
    </row>
    <row r="166" spans="10:18">
      <c r="M166" s="92"/>
      <c r="N166" s="92"/>
      <c r="O166" s="92"/>
      <c r="P166" s="92"/>
      <c r="Q166" s="92"/>
      <c r="R166" s="92"/>
    </row>
    <row r="167" spans="10:18">
      <c r="J167" t="s">
        <v>163</v>
      </c>
      <c r="K167" s="80" t="s">
        <v>166</v>
      </c>
      <c r="L167" s="80"/>
      <c r="M167" s="135"/>
      <c r="N167" s="135">
        <f>IF(N$169&lt;=1,1,
IF(N$169&lt;=2,2,
IF(N$169&lt;=4,4,
IF(N$169&lt;=8,8,
IF(N$169&lt;=16,16,
IF(N$169&lt;=32,32,
IF(N$169&lt;=64,64,
IF(N$169&lt;=128,128,
IF(N$169&lt;=256,256,
"ERREUR")))))))))</f>
        <v>1</v>
      </c>
      <c r="O167" s="135">
        <f t="shared" ref="O167:R167" si="33">IF(O$169&lt;=1,1,
IF(O$169&lt;=2,2,
IF(O$169&lt;=4,4,
IF(O$169&lt;=8,8,
IF(O$169&lt;=16,16,
IF(O$169&lt;=32,32,
IF(O$169&lt;=64,64,
IF(O$169&lt;=128,128,
IF(O$169&lt;=256,256,
"ERREUR")))))))))</f>
        <v>4</v>
      </c>
      <c r="P167" s="135">
        <f t="shared" si="33"/>
        <v>4</v>
      </c>
      <c r="Q167" s="135">
        <f t="shared" si="33"/>
        <v>16</v>
      </c>
      <c r="R167" s="135">
        <f t="shared" si="33"/>
        <v>1</v>
      </c>
    </row>
    <row r="168" spans="10:18">
      <c r="J168" t="s">
        <v>163</v>
      </c>
      <c r="K168" t="s">
        <v>167</v>
      </c>
      <c r="L168" t="s">
        <v>168</v>
      </c>
      <c r="M168" s="45"/>
      <c r="N168" s="45">
        <f>1.2*N$25*($M$170/8)</f>
        <v>0</v>
      </c>
      <c r="O168" s="45">
        <f>1.2*O$25*($M$170/8)</f>
        <v>182.4</v>
      </c>
      <c r="P168" s="45">
        <f>1.2*P$25*($M$170/8)</f>
        <v>292.8</v>
      </c>
      <c r="Q168" s="45">
        <f>1.2*Q$25*($M$170/8)</f>
        <v>1056</v>
      </c>
      <c r="R168" s="45">
        <f>1.2*R$25*($M$170/8)</f>
        <v>43.199999999999996</v>
      </c>
    </row>
    <row r="169" spans="10:18">
      <c r="J169" t="s">
        <v>163</v>
      </c>
      <c r="K169" t="s">
        <v>169</v>
      </c>
      <c r="L169" t="s">
        <v>170</v>
      </c>
      <c r="M169" s="82"/>
      <c r="N169" s="82">
        <f>ROUNDUP(N$168/$M$171,1)</f>
        <v>0</v>
      </c>
      <c r="O169" s="82">
        <f>ROUNDUP(O$168/$M$171,1)</f>
        <v>2.3000000000000003</v>
      </c>
      <c r="P169" s="82">
        <f>ROUNDUP(P$168/$M$171,1)</f>
        <v>3.7</v>
      </c>
      <c r="Q169" s="82">
        <f>ROUNDUP(Q$168/$M$171,1)</f>
        <v>13.2</v>
      </c>
      <c r="R169" s="82">
        <f>ROUNDUP(R$168/$M$171,1)</f>
        <v>0.6</v>
      </c>
    </row>
    <row r="170" spans="10:18">
      <c r="J170" t="s">
        <v>65</v>
      </c>
      <c r="K170" t="s">
        <v>171</v>
      </c>
      <c r="L170" t="s">
        <v>172</v>
      </c>
      <c r="M170" s="45">
        <f>(IFERROR(VLOOKUP($K$170,Tableau2[[Variable]:[Valeur]],2,FALSE()),0))</f>
        <v>16</v>
      </c>
      <c r="N170" s="45"/>
      <c r="O170" s="45"/>
      <c r="P170" s="45"/>
      <c r="Q170" s="45"/>
      <c r="R170" s="45"/>
    </row>
    <row r="171" spans="10:18">
      <c r="J171" t="s">
        <v>65</v>
      </c>
      <c r="K171" t="s">
        <v>173</v>
      </c>
      <c r="L171" t="s">
        <v>168</v>
      </c>
      <c r="M171" s="45">
        <f>(IFERROR(VLOOKUP($K$171,Tableau2[[Variable]:[Valeur]],2,FALSE()),0))</f>
        <v>80</v>
      </c>
      <c r="N171" s="45"/>
      <c r="O171" s="45"/>
      <c r="P171" s="45"/>
      <c r="Q171" s="45"/>
      <c r="R171" s="45"/>
    </row>
    <row r="172" spans="10:18">
      <c r="M172" s="45"/>
      <c r="N172" s="45"/>
      <c r="O172" s="45"/>
      <c r="P172" s="45"/>
      <c r="Q172" s="45"/>
      <c r="R172" s="45"/>
    </row>
    <row r="173" spans="10:18">
      <c r="J173" t="s">
        <v>163</v>
      </c>
      <c r="K173" s="65" t="s">
        <v>174</v>
      </c>
      <c r="L173" s="65" t="s">
        <v>71</v>
      </c>
      <c r="M173" s="123"/>
      <c r="N173" s="123">
        <f>N$174*N$167</f>
        <v>48.635137760808</v>
      </c>
      <c r="O173" s="123">
        <f>O$174*O$167</f>
        <v>402.26273704761337</v>
      </c>
      <c r="P173" s="123">
        <f>P$174*P$167</f>
        <v>527.98932331342326</v>
      </c>
      <c r="Q173" s="123">
        <f>Q$174*Q$167</f>
        <v>1740.2439077721681</v>
      </c>
      <c r="R173" s="123">
        <f>R$174*R$167</f>
        <v>60.934477721593737</v>
      </c>
    </row>
    <row r="174" spans="10:18">
      <c r="J174" t="s">
        <v>163</v>
      </c>
      <c r="K174" t="s">
        <v>175</v>
      </c>
      <c r="L174" t="s">
        <v>71</v>
      </c>
      <c r="M174" s="112"/>
      <c r="N174" s="112">
        <f>($M$28*N$175)/1000</f>
        <v>48.635137760808</v>
      </c>
      <c r="O174" s="112">
        <f>($M$28*O$175)/1000</f>
        <v>100.56568426190334</v>
      </c>
      <c r="P174" s="112">
        <f>($M$28*P$175)/1000</f>
        <v>131.99733082835581</v>
      </c>
      <c r="Q174" s="112">
        <f>($M$28*Q$175)/1000</f>
        <v>108.76524423576051</v>
      </c>
      <c r="R174" s="112">
        <f>($M$28*R$175)/1000</f>
        <v>60.934477721593737</v>
      </c>
    </row>
    <row r="175" spans="10:18">
      <c r="J175" t="s">
        <v>163</v>
      </c>
      <c r="K175" t="s">
        <v>176</v>
      </c>
      <c r="L175" t="s">
        <v>177</v>
      </c>
      <c r="M175" s="94"/>
      <c r="N175" s="94">
        <f>IF($M$28&gt;0,(($M$176*EXP($M$177*$M$179)*N$26+$M$178)),0)</f>
        <v>4.052928146734E-5</v>
      </c>
      <c r="O175" s="94">
        <f>IF($M$28&gt;0,(($M$176*EXP($M$177*$M$179)*O$26+$M$178)),0)</f>
        <v>8.3804736884919456E-5</v>
      </c>
      <c r="P175" s="94">
        <f>IF($M$28&gt;0,(($M$176*EXP($M$177*$M$179)*P$26+$M$178)),0)</f>
        <v>1.099977756902965E-4</v>
      </c>
      <c r="Q175" s="94">
        <f>IF($M$28&gt;0,(($M$176*EXP($M$177*$M$179)*Q$26+$M$178)),0)</f>
        <v>9.0637703529800422E-5</v>
      </c>
      <c r="R175" s="94">
        <f>IF($M$28&gt;0,(($M$176*EXP($M$177*$M$179)*R$26+$M$178)),0)</f>
        <v>5.0778731434661449E-5</v>
      </c>
    </row>
    <row r="176" spans="10:18">
      <c r="J176" t="s">
        <v>65</v>
      </c>
      <c r="K176" t="s">
        <v>178</v>
      </c>
      <c r="L176" t="s">
        <v>56</v>
      </c>
      <c r="M176" s="94">
        <f>(IFERROR(VLOOKUP($K$176,Tableau2[[Variable]:[Valeur]],2,FALSE()),0))</f>
        <v>1.1665273170451899E-6</v>
      </c>
      <c r="N176" s="94"/>
      <c r="O176" s="94"/>
      <c r="P176" s="94"/>
      <c r="Q176" s="94"/>
      <c r="R176" s="94"/>
    </row>
    <row r="177" spans="10:18">
      <c r="J177" t="s">
        <v>65</v>
      </c>
      <c r="K177" t="s">
        <v>179</v>
      </c>
      <c r="L177" t="s">
        <v>56</v>
      </c>
      <c r="M177" s="94">
        <f>(IFERROR(VLOOKUP($K$177,Tableau2[[Variable]:[Valeur]],2,FALSE()),0))</f>
        <v>-1.12059210255791E-2</v>
      </c>
      <c r="N177" s="94"/>
      <c r="O177" s="94"/>
      <c r="P177" s="94"/>
      <c r="Q177" s="94"/>
      <c r="R177" s="94"/>
    </row>
    <row r="178" spans="10:18">
      <c r="J178" t="s">
        <v>65</v>
      </c>
      <c r="K178" t="s">
        <v>180</v>
      </c>
      <c r="L178" t="s">
        <v>56</v>
      </c>
      <c r="M178" s="94">
        <f>(IFERROR(VLOOKUP($K$178,Tableau2[[Variable]:[Valeur]],2,FALSE()),0))</f>
        <v>4.052928146734E-5</v>
      </c>
      <c r="N178" s="94"/>
      <c r="O178" s="94"/>
      <c r="P178" s="94"/>
      <c r="Q178" s="94"/>
      <c r="R178" s="94"/>
    </row>
    <row r="179" spans="10:18">
      <c r="J179" t="s">
        <v>65</v>
      </c>
      <c r="K179" t="s">
        <v>181</v>
      </c>
      <c r="L179" t="s">
        <v>182</v>
      </c>
      <c r="M179" s="82">
        <f>(IFERROR(VLOOKUP($K$179,Tableau2[[Variable]:[Valeur]],2,FALSE()),0))</f>
        <v>64</v>
      </c>
      <c r="N179" s="82"/>
      <c r="O179" s="82"/>
      <c r="P179" s="82"/>
      <c r="Q179" s="82"/>
      <c r="R179" s="82"/>
    </row>
    <row r="180" spans="10:18">
      <c r="M180" s="92"/>
      <c r="N180" s="92"/>
      <c r="O180" s="92"/>
      <c r="P180" s="92"/>
      <c r="Q180" s="92"/>
      <c r="R180" s="92"/>
    </row>
    <row r="181" spans="10:18">
      <c r="J181" t="s">
        <v>183</v>
      </c>
      <c r="K181" s="80" t="s">
        <v>184</v>
      </c>
      <c r="L181" s="80" t="s">
        <v>140</v>
      </c>
      <c r="M181" s="134"/>
      <c r="N181" s="134" t="e">
        <f>MAX(N$187,N$188)</f>
        <v>#DIV/0!</v>
      </c>
      <c r="O181" s="134">
        <f>MAX(O$187,O$188)</f>
        <v>29957370.632293075</v>
      </c>
      <c r="P181" s="134">
        <f>MAX(P$187,P$188)</f>
        <v>33785744.077630229</v>
      </c>
      <c r="Q181" s="134">
        <f>MAX(Q$187,Q$188)</f>
        <v>24223297.09090909</v>
      </c>
      <c r="R181" s="134">
        <f>MAX(R$187,R$188)</f>
        <v>16879695.692307692</v>
      </c>
    </row>
    <row r="182" spans="10:18">
      <c r="J182" s="139" t="s">
        <v>185</v>
      </c>
      <c r="K182" s="128" t="s">
        <v>186</v>
      </c>
      <c r="L182" s="128" t="s">
        <v>140</v>
      </c>
      <c r="M182" s="129"/>
      <c r="N182" s="129" t="e">
        <f>MIN(N$189)</f>
        <v>#DIV/0!</v>
      </c>
      <c r="O182" s="129">
        <f>MIN(O$189)</f>
        <v>29912746.268656712</v>
      </c>
      <c r="P182" s="129">
        <f>MIN(P$189)</f>
        <v>33752865.168539323</v>
      </c>
      <c r="Q182" s="129">
        <f>MIN(Q$189)</f>
        <v>24131000</v>
      </c>
      <c r="R182" s="129">
        <f>MIN(R$189)</f>
        <v>16839216.783216782</v>
      </c>
    </row>
    <row r="183" spans="10:18">
      <c r="J183" t="s">
        <v>163</v>
      </c>
      <c r="K183" t="s">
        <v>187</v>
      </c>
      <c r="L183" t="s">
        <v>188</v>
      </c>
      <c r="M183" s="96"/>
      <c r="N183" s="96" t="e">
        <f>IF(ISBLANK(N$29),($M$184*N$26)+($M$185*$M$179)+$M$186,1/N$29)</f>
        <v>#DIV/0!</v>
      </c>
      <c r="O183" s="96">
        <f>IF(ISBLANK(O$29),($M$184*O$26)+($M$185*$M$179)+$M$186,1/O$29)</f>
        <v>2.4875621890547261E-2</v>
      </c>
      <c r="P183" s="96">
        <f>IF(ISBLANK(P$29),($M$184*P$26)+($M$185*$M$179)+$M$186,1/P$29)</f>
        <v>2.8089887640449437E-2</v>
      </c>
      <c r="Q183" s="96">
        <f>IF(ISBLANK(Q$29),($M$184*Q$26)+($M$185*$M$179)+$M$186,1/Q$29)</f>
        <v>0.02</v>
      </c>
      <c r="R183" s="96">
        <f>IF(ISBLANK(R$29),($M$184*R$26)+($M$185*$M$179)+$M$186,1/R$29)</f>
        <v>1.3986013986013986E-2</v>
      </c>
    </row>
    <row r="184" spans="10:18">
      <c r="J184" t="s">
        <v>65</v>
      </c>
      <c r="K184" t="s">
        <v>189</v>
      </c>
      <c r="L184" t="s">
        <v>56</v>
      </c>
      <c r="M184" s="94">
        <f>(IFERROR(VLOOKUP($K$184,Tableau2[[Variable]:[Valeur]],2,FALSE()),0))</f>
        <v>6.7850880943536604E-4</v>
      </c>
      <c r="N184" s="94"/>
      <c r="O184" s="94"/>
      <c r="P184" s="94"/>
      <c r="Q184" s="94"/>
      <c r="R184" s="94"/>
    </row>
    <row r="185" spans="10:18">
      <c r="J185" t="s">
        <v>65</v>
      </c>
      <c r="K185" t="s">
        <v>190</v>
      </c>
      <c r="L185" t="s">
        <v>56</v>
      </c>
      <c r="M185" s="94">
        <f>(IFERROR(VLOOKUP($K$185,Tableau2[[Variable]:[Valeur]],2,FALSE()),0))</f>
        <v>3.11931031168825E-4</v>
      </c>
      <c r="N185" s="94"/>
      <c r="O185" s="94"/>
      <c r="P185" s="94"/>
      <c r="Q185" s="94"/>
      <c r="R185" s="94"/>
    </row>
    <row r="186" spans="10:18">
      <c r="J186" t="s">
        <v>65</v>
      </c>
      <c r="K186" t="s">
        <v>191</v>
      </c>
      <c r="L186" t="s">
        <v>56</v>
      </c>
      <c r="M186" s="94">
        <f>(IFERROR(VLOOKUP($K$186,Tableau2[[Variable]:[Valeur]],2,FALSE()),0))</f>
        <v>1.9473717579473301E-2</v>
      </c>
      <c r="N186" s="94"/>
      <c r="O186" s="94"/>
      <c r="P186" s="94"/>
      <c r="Q186" s="94"/>
      <c r="R186" s="94"/>
    </row>
    <row r="187" spans="10:18">
      <c r="J187" t="s">
        <v>163</v>
      </c>
      <c r="K187" t="s">
        <v>192</v>
      </c>
      <c r="L187" t="s">
        <v>140</v>
      </c>
      <c r="M187" s="95"/>
      <c r="N187" s="95" t="e">
        <f>$M$28*N$183</f>
        <v>#DIV/0!</v>
      </c>
      <c r="O187" s="95">
        <f>$M$28*O$183</f>
        <v>29850746.268656712</v>
      </c>
      <c r="P187" s="95">
        <f>$M$28*P$183</f>
        <v>33707865.168539323</v>
      </c>
      <c r="Q187" s="95">
        <f>$M$28*Q$183</f>
        <v>24000000</v>
      </c>
      <c r="R187" s="95">
        <f>$M$28*R$183</f>
        <v>16783216.783216782</v>
      </c>
    </row>
    <row r="188" spans="10:18">
      <c r="J188" t="s">
        <v>88</v>
      </c>
      <c r="K188" t="s">
        <v>193</v>
      </c>
      <c r="L188" t="s">
        <v>140</v>
      </c>
      <c r="M188" s="95"/>
      <c r="N188" s="95" t="e">
        <f>$M$28*N$183+N$191</f>
        <v>#DIV/0!</v>
      </c>
      <c r="O188" s="95">
        <f>$M$28*O$183+O$191</f>
        <v>29957370.632293075</v>
      </c>
      <c r="P188" s="95">
        <f>$M$28*P$183+P$191</f>
        <v>33785744.077630229</v>
      </c>
      <c r="Q188" s="95">
        <f>$M$28*Q$183+Q$191</f>
        <v>24223297.09090909</v>
      </c>
      <c r="R188" s="95">
        <f>$M$28*R$183+R$191</f>
        <v>16879695.692307692</v>
      </c>
    </row>
    <row r="189" spans="10:18">
      <c r="J189" s="139" t="s">
        <v>185</v>
      </c>
      <c r="K189" s="128" t="s">
        <v>194</v>
      </c>
      <c r="L189" s="128" t="s">
        <v>140</v>
      </c>
      <c r="M189" s="129"/>
      <c r="N189" s="129" t="e">
        <f>$M$28*N$183+N$190*'⚙️Données'!D36</f>
        <v>#DIV/0!</v>
      </c>
      <c r="O189" s="129">
        <f>$M$28*O$183+O$190*'⚙️Données'!D36</f>
        <v>29912746.268656712</v>
      </c>
      <c r="P189" s="129">
        <f>$M$28*P$183+P$190*'⚙️Données'!D36</f>
        <v>33752865.168539323</v>
      </c>
      <c r="Q189" s="129">
        <f>$M$28*Q$183+Q$190*'⚙️Données'!D36</f>
        <v>24131000</v>
      </c>
      <c r="R189" s="129">
        <f>$M$28*R$183+R$190*'⚙️Données'!D36</f>
        <v>16839216.783216782</v>
      </c>
    </row>
    <row r="190" spans="10:18">
      <c r="J190" t="s">
        <v>183</v>
      </c>
      <c r="K190" t="s">
        <v>195</v>
      </c>
      <c r="L190" t="s">
        <v>140</v>
      </c>
      <c r="M190" s="122"/>
      <c r="N190" s="122">
        <f>IFERROR(VLOOKUP(N$24,Tableau1[[Nom du modèle]:[Average TTFT]],18,FALSE()),0)</f>
        <v>0</v>
      </c>
      <c r="O190" s="122">
        <f>IFERROR(VLOOKUP(O$24,Tableau1[[Nom du modèle]:[Average TTFT]],18,FALSE()),0)</f>
        <v>0.62</v>
      </c>
      <c r="P190" s="122">
        <f>IFERROR(VLOOKUP(P$24,Tableau1[[Nom du modèle]:[Average TTFT]],18,FALSE()),0)</f>
        <v>0.45</v>
      </c>
      <c r="Q190" s="122">
        <f>IFERROR(VLOOKUP(Q$24,Tableau1[[Nom du modèle]:[Average TTFT]],18,FALSE()),0)</f>
        <v>1.31</v>
      </c>
      <c r="R190" s="122">
        <f>IFERROR(VLOOKUP(R$24,Tableau1[[Nom du modèle]:[Average TTFT]],18,FALSE()),0)</f>
        <v>0.56000000000000005</v>
      </c>
    </row>
    <row r="191" spans="10:18">
      <c r="J191" t="s">
        <v>88</v>
      </c>
      <c r="K191" t="s">
        <v>196</v>
      </c>
      <c r="L191" t="s">
        <v>140</v>
      </c>
      <c r="M191" s="82"/>
      <c r="N191" s="82">
        <f>(IFERROR(_xlfn.XLOOKUP(N$24,Tableau1[Nom du modèle],Tableau1[Coefficient]),0)*$M$27+17.88*'⚙️Données'!D36)/1000</f>
        <v>1788</v>
      </c>
      <c r="O191" s="82">
        <f>(IFERROR(_xlfn.XLOOKUP(O$24,Tableau1[Nom du modèle],Tableau1[Coefficient]),0)*$M$27+17.88*'⚙️Données'!D36)/1000</f>
        <v>106624.36363636365</v>
      </c>
      <c r="P191" s="82">
        <f>(IFERROR(_xlfn.XLOOKUP(P$24,Tableau1[Nom du modèle],Tableau1[Coefficient]),0)*$M$27+17.88*'⚙️Données'!D36)/1000</f>
        <v>77878.909090909074</v>
      </c>
      <c r="Q191" s="82">
        <f>(IFERROR(_xlfn.XLOOKUP(Q$24,Tableau1[Nom du modèle],Tableau1[Coefficient]),0)*$M$27+17.88*'⚙️Données'!D36)/1000</f>
        <v>223297.09090909094</v>
      </c>
      <c r="R191" s="82">
        <f>(IFERROR(_xlfn.XLOOKUP(R$24,Tableau1[Nom du modèle],Tableau1[Coefficient]),0)*$M$27+17.88*'⚙️Données'!D36)/1000</f>
        <v>96478.909090909088</v>
      </c>
    </row>
    <row r="192" spans="10:18">
      <c r="M192" s="92"/>
      <c r="N192" s="92"/>
      <c r="O192" s="92"/>
      <c r="P192" s="92"/>
      <c r="Q192" s="92"/>
      <c r="R192" s="92"/>
    </row>
    <row r="193" spans="10:18">
      <c r="J193" t="s">
        <v>163</v>
      </c>
      <c r="K193" s="65" t="s">
        <v>197</v>
      </c>
      <c r="L193" s="65" t="s">
        <v>71</v>
      </c>
      <c r="M193" s="142"/>
      <c r="N193" s="142" t="e">
        <f>IF($M$28&gt;0,(N$181 / 3600)
* $M$195
* (N$167/ $M$133)
* (1 / $M$179),0)</f>
        <v>#DIV/0!</v>
      </c>
      <c r="O193" s="142">
        <f>IF($M$28&gt;0,(O$181 / 3600)
* $M$195
* (O$167/ $M$133)
* (1 / $M$179),0)</f>
        <v>78.013986021596551</v>
      </c>
      <c r="P193" s="142">
        <f>IF($M$28&gt;0,(P$181 / 3600)
* $M$195
* (P$167/ $M$133)
* (1 / $M$179),0)</f>
        <v>87.983708535495381</v>
      </c>
      <c r="Q193" s="142">
        <f>IF($M$28&gt;0,(Q$181 / 3600)
* $M$195
* (Q$167/ $M$133)
* (1 / $M$179),0)</f>
        <v>252.32601136363633</v>
      </c>
      <c r="R193" s="142">
        <f>IF($M$28&gt;0,(R$181 / 3600)
* $M$195
* (R$167/ $M$133)
* (1 / $M$179),0)</f>
        <v>10.989385216346154</v>
      </c>
    </row>
    <row r="194" spans="10:18">
      <c r="J194" t="s">
        <v>183</v>
      </c>
      <c r="K194" s="128" t="s">
        <v>198</v>
      </c>
      <c r="L194" s="128" t="s">
        <v>71</v>
      </c>
      <c r="M194" s="132"/>
      <c r="N194" s="132" t="e">
        <f>(N$182/3600)
*$M$195
*(N$167/$M$133)
*(1/$M$179)</f>
        <v>#DIV/0!</v>
      </c>
      <c r="O194" s="132">
        <f>(O$182/3600)
*$M$195
*(O$167/$M$133)
*(1/$M$179)</f>
        <v>77.897776741293512</v>
      </c>
      <c r="P194" s="132">
        <f>(P$182/3600)
*$M$195
*(P$167/$M$133)
*(1/$M$179)</f>
        <v>87.898086376404478</v>
      </c>
      <c r="Q194" s="132">
        <f>(Q$182/3600)
*$M$195
*(Q$167/$M$133)
*(1/$M$179)</f>
        <v>251.36458333333331</v>
      </c>
      <c r="R194" s="132">
        <f>(R$182/3600)
*$M$195
*(R$167/$M$133)
*(1/$M$179)</f>
        <v>10.963031759906759</v>
      </c>
    </row>
    <row r="195" spans="10:18">
      <c r="J195" t="s">
        <v>65</v>
      </c>
      <c r="K195" t="s">
        <v>302</v>
      </c>
      <c r="L195" t="s">
        <v>130</v>
      </c>
      <c r="M195" s="82">
        <f>(IFERROR(VLOOKUP($K$195,Tableau2[[Variable]:[Valeur]],2,FALSE()),0))</f>
        <v>1.2</v>
      </c>
      <c r="N195" s="82"/>
      <c r="O195" s="82"/>
      <c r="P195" s="82"/>
      <c r="Q195" s="82"/>
      <c r="R195" s="82"/>
    </row>
    <row r="196" spans="10:18">
      <c r="M196" s="92"/>
      <c r="N196" s="92"/>
      <c r="O196" s="92"/>
      <c r="P196" s="92"/>
      <c r="Q196" s="92"/>
      <c r="R196" s="92"/>
    </row>
    <row r="197" spans="10:18">
      <c r="J197" t="s">
        <v>88</v>
      </c>
      <c r="K197" s="65" t="s">
        <v>199</v>
      </c>
      <c r="L197" s="65" t="s">
        <v>71</v>
      </c>
      <c r="M197" s="143"/>
      <c r="N197" s="143" t="e">
        <f>N$167*($M$198*$M$199+$M$200*$M$201+$M$202*$M$203)*((N$181/3600)/$M$133)*1/$M$179</f>
        <v>#DIV/0!</v>
      </c>
      <c r="O197" s="143">
        <f t="shared" ref="O197:R197" si="34">O$167*($M$198*$M$199+$M$200*$M$201+$M$202*$M$203)*((O$181/3600)/$M$133)*1/$M$179</f>
        <v>10.472207413609011</v>
      </c>
      <c r="P197" s="143">
        <f t="shared" si="34"/>
        <v>11.810493115262222</v>
      </c>
      <c r="Q197" s="143">
        <f t="shared" si="34"/>
        <v>33.870982135397718</v>
      </c>
      <c r="R197" s="143">
        <f t="shared" si="34"/>
        <v>1.4751601245162258</v>
      </c>
    </row>
    <row r="198" spans="10:18">
      <c r="J198" t="s">
        <v>65</v>
      </c>
      <c r="K198" t="s">
        <v>200</v>
      </c>
      <c r="L198" t="s">
        <v>130</v>
      </c>
      <c r="M198" s="82">
        <f>(IFERROR(VLOOKUP($K$198,Tableau2[[Variable]:[Valeur]],2,FALSE()),0))</f>
        <v>0.09</v>
      </c>
      <c r="N198" s="82"/>
      <c r="O198" s="82"/>
      <c r="P198" s="82"/>
      <c r="Q198" s="82"/>
      <c r="R198" s="82"/>
    </row>
    <row r="199" spans="10:18">
      <c r="J199" t="s">
        <v>65</v>
      </c>
      <c r="K199" t="s">
        <v>201</v>
      </c>
      <c r="L199" t="s">
        <v>98</v>
      </c>
      <c r="M199" s="95">
        <f>(IFERROR(VLOOKUP($K$199,Tableau2[[Variable]:[Valeur]],2,FALSE()),0))</f>
        <v>3.5799999999999998E-2</v>
      </c>
      <c r="N199" s="95"/>
      <c r="O199" s="95"/>
      <c r="P199" s="95"/>
      <c r="Q199" s="95"/>
      <c r="R199" s="95"/>
    </row>
    <row r="200" spans="10:18">
      <c r="J200" t="s">
        <v>65</v>
      </c>
      <c r="K200" t="s">
        <v>202</v>
      </c>
      <c r="L200" t="s">
        <v>130</v>
      </c>
      <c r="M200" s="95">
        <f>(IFERROR(VLOOKUP($K$200,Tableau2[[Variable]:[Valeur]],2,FALSE()),0))</f>
        <v>0.09</v>
      </c>
      <c r="N200" s="95">
        <f>M198*M199+M200*M201+M202*M203</f>
        <v>0.16108199999999998</v>
      </c>
      <c r="O200" s="95"/>
      <c r="P200" s="95"/>
      <c r="Q200" s="95"/>
      <c r="R200" s="95"/>
    </row>
    <row r="201" spans="10:18">
      <c r="J201" t="s">
        <v>65</v>
      </c>
      <c r="K201" t="s">
        <v>203</v>
      </c>
      <c r="L201" t="s">
        <v>98</v>
      </c>
      <c r="M201" s="122">
        <f>(IFERROR(VLOOKUP($K$201,Tableau2[[Variable]:[Valeur]],2,FALSE()),0))</f>
        <v>0.28599999999999998</v>
      </c>
      <c r="N201" s="122"/>
      <c r="O201" s="122"/>
      <c r="P201" s="122"/>
      <c r="Q201" s="122"/>
      <c r="R201" s="122"/>
    </row>
    <row r="202" spans="10:18">
      <c r="J202" t="s">
        <v>65</v>
      </c>
      <c r="K202" t="s">
        <v>204</v>
      </c>
      <c r="L202" t="s">
        <v>130</v>
      </c>
      <c r="M202" s="95">
        <f>(IFERROR(VLOOKUP($K$202,Tableau2[[Variable]:[Valeur]],2,FALSE()),0))</f>
        <v>0.09</v>
      </c>
      <c r="N202" s="95"/>
      <c r="O202" s="95"/>
      <c r="P202" s="95"/>
      <c r="Q202" s="95"/>
      <c r="R202" s="95"/>
    </row>
    <row r="203" spans="10:18">
      <c r="J203" t="s">
        <v>65</v>
      </c>
      <c r="K203" t="s">
        <v>205</v>
      </c>
      <c r="L203" t="s">
        <v>98</v>
      </c>
      <c r="M203" s="122">
        <f>(IFERROR(VLOOKUP($K$203,Tableau2[[Variable]:[Valeur]],2,FALSE()),0))</f>
        <v>1.468</v>
      </c>
      <c r="N203" s="122"/>
      <c r="O203" s="122"/>
      <c r="P203" s="122"/>
      <c r="Q203" s="122"/>
      <c r="R203" s="122"/>
    </row>
    <row r="204" spans="10:18">
      <c r="M204" s="82"/>
      <c r="N204" s="82"/>
      <c r="O204" s="82"/>
      <c r="P204" s="82"/>
      <c r="Q204" s="82"/>
      <c r="R204" s="82"/>
    </row>
    <row r="205" spans="10:18">
      <c r="J205" t="s">
        <v>88</v>
      </c>
      <c r="K205" s="103" t="s">
        <v>206</v>
      </c>
      <c r="L205" s="103" t="s">
        <v>75</v>
      </c>
      <c r="M205" s="104"/>
      <c r="N205" s="104" t="e">
        <f>N$208+N$213</f>
        <v>#DIV/0!</v>
      </c>
      <c r="O205" s="104">
        <f>O$208+O$213</f>
        <v>23.898240885936659</v>
      </c>
      <c r="P205" s="104">
        <f>P$208+P$213</f>
        <v>27.695491713441754</v>
      </c>
      <c r="Q205" s="104">
        <f>Q$208+Q$213</f>
        <v>76.934126853596851</v>
      </c>
      <c r="R205" s="104">
        <f>R$208+R$213</f>
        <v>4.2371919250696131</v>
      </c>
    </row>
    <row r="206" spans="10:18">
      <c r="J206" t="s">
        <v>163</v>
      </c>
      <c r="K206" s="97" t="s">
        <v>207</v>
      </c>
      <c r="L206" s="97" t="s">
        <v>75</v>
      </c>
      <c r="M206" s="99"/>
      <c r="N206" s="99" t="e">
        <f>N$209+N$214</f>
        <v>#DIV/0!</v>
      </c>
      <c r="O206" s="99">
        <f>O$209+O$214</f>
        <v>9.6352043153994205E-2</v>
      </c>
      <c r="P206" s="99">
        <f>P$209+P$214</f>
        <v>0.12261541750014857</v>
      </c>
      <c r="Q206" s="99">
        <f>Q$209+Q$214</f>
        <v>0.2514024555689624</v>
      </c>
      <c r="R206" s="99">
        <f>R$209+R$214</f>
        <v>7.6405998952722405E-3</v>
      </c>
    </row>
    <row r="207" spans="10:18">
      <c r="M207" s="92"/>
      <c r="N207" s="92"/>
      <c r="O207" s="92"/>
      <c r="P207" s="92"/>
      <c r="Q207" s="92"/>
      <c r="R207" s="92"/>
    </row>
    <row r="208" spans="10:18">
      <c r="J208" t="s">
        <v>88</v>
      </c>
      <c r="K208" s="101" t="s">
        <v>342</v>
      </c>
      <c r="L208" s="101" t="s">
        <v>75</v>
      </c>
      <c r="M208" s="102"/>
      <c r="N208" s="102" t="e">
        <f>(N$163*$M$210)</f>
        <v>#DIV/0!</v>
      </c>
      <c r="O208" s="102">
        <f>(O$163*$M$210)</f>
        <v>0</v>
      </c>
      <c r="P208" s="102">
        <f>(P$163*$M$210)</f>
        <v>0</v>
      </c>
      <c r="Q208" s="102">
        <f>(Q$163*$M$210)</f>
        <v>0</v>
      </c>
      <c r="R208" s="102">
        <f>(R$163*$M$210)</f>
        <v>0</v>
      </c>
    </row>
    <row r="209" spans="10:18">
      <c r="J209" t="s">
        <v>163</v>
      </c>
      <c r="K209" s="97" t="s">
        <v>208</v>
      </c>
      <c r="L209" s="97" t="s">
        <v>75</v>
      </c>
      <c r="M209" s="99"/>
      <c r="N209" s="99" t="e">
        <f>N$164*$M$211</f>
        <v>#DIV/0!</v>
      </c>
      <c r="O209" s="99">
        <f>O$164*$M$211</f>
        <v>0</v>
      </c>
      <c r="P209" s="99">
        <f>P$164*$M$211</f>
        <v>0</v>
      </c>
      <c r="Q209" s="99">
        <f>Q$164*$M$211</f>
        <v>0</v>
      </c>
      <c r="R209" s="99">
        <f>R$164*$M$211</f>
        <v>0</v>
      </c>
    </row>
    <row r="210" spans="10:18">
      <c r="J210" t="s">
        <v>65</v>
      </c>
      <c r="K210" t="s">
        <v>495</v>
      </c>
      <c r="L210" t="s">
        <v>110</v>
      </c>
      <c r="M210" s="148" cm="1">
        <f t="array" ref="M210">_xlfn.IFS('⚙️Données'!B43=2,AVERAGE($M$211),'⚙️Données'!B43=1,_xlfn.XLOOKUP('⚙️Données'!H44,Tableau2[Sous-catégorie],Tableau2[Valeur],"null"),'⚙️Données'!B43=3,'⚙️Données'!K44)</f>
        <v>4.6100000000000002E-2</v>
      </c>
      <c r="N210" s="148"/>
      <c r="O210" s="148"/>
      <c r="P210" s="148"/>
      <c r="Q210" s="148"/>
      <c r="R210" s="148"/>
    </row>
    <row r="211" spans="10:18">
      <c r="J211" t="s">
        <v>65</v>
      </c>
      <c r="K211" t="s">
        <v>209</v>
      </c>
      <c r="L211" t="s">
        <v>110</v>
      </c>
      <c r="M211" s="96">
        <f>(IFERROR(VLOOKUP($K$211,Tableau2[[Variable]:[Valeur]],2,FALSE()),0))</f>
        <v>4.6100000000000002E-2</v>
      </c>
      <c r="N211" s="96"/>
      <c r="O211" s="96"/>
      <c r="P211" s="96"/>
      <c r="Q211" s="96"/>
      <c r="R211" s="96"/>
    </row>
    <row r="212" spans="10:18">
      <c r="M212" s="82"/>
      <c r="N212" s="82"/>
      <c r="O212" s="82"/>
      <c r="P212" s="82"/>
      <c r="Q212" s="82"/>
      <c r="R212" s="82"/>
    </row>
    <row r="213" spans="10:18">
      <c r="J213" t="s">
        <v>88</v>
      </c>
      <c r="K213" s="124" t="s">
        <v>210</v>
      </c>
      <c r="L213" s="124" t="s">
        <v>75</v>
      </c>
      <c r="M213" s="141"/>
      <c r="N213" s="141" t="e">
        <f>N$219+N$228+N$216</f>
        <v>#DIV/0!</v>
      </c>
      <c r="O213" s="141">
        <f>O$219+O$228+O$216</f>
        <v>23.898240885936659</v>
      </c>
      <c r="P213" s="141">
        <f>P$219+P$228+P$216</f>
        <v>27.695491713441754</v>
      </c>
      <c r="Q213" s="141">
        <f>Q$219+Q$228+Q$216</f>
        <v>76.934126853596851</v>
      </c>
      <c r="R213" s="141">
        <f>R$219+R$228+R$216</f>
        <v>4.2371919250696131</v>
      </c>
    </row>
    <row r="214" spans="10:18">
      <c r="J214" t="s">
        <v>163</v>
      </c>
      <c r="K214" s="97" t="s">
        <v>211</v>
      </c>
      <c r="L214" s="97" t="s">
        <v>75</v>
      </c>
      <c r="M214" s="98"/>
      <c r="N214" s="98" t="e">
        <f>(N$182*N$220)/($M$224*$M$179)</f>
        <v>#DIV/0!</v>
      </c>
      <c r="O214" s="98">
        <f>(O$182*O$220)/($M$224*$M$179)</f>
        <v>9.6352043153994205E-2</v>
      </c>
      <c r="P214" s="98">
        <f>(P$182*P$220)/($M$224*$M$179)</f>
        <v>0.12261541750014857</v>
      </c>
      <c r="Q214" s="98">
        <f>(Q$182*Q$220)/($M$224*$M$179)</f>
        <v>0.2514024555689624</v>
      </c>
      <c r="R214" s="98">
        <f>(R$182*R$220)/($M$224*$M$179)</f>
        <v>7.6405998952722405E-3</v>
      </c>
    </row>
    <row r="215" spans="10:18">
      <c r="M215" s="96"/>
      <c r="N215" s="96"/>
      <c r="O215" s="96"/>
      <c r="P215" s="96"/>
      <c r="Q215" s="96"/>
      <c r="R215" s="96"/>
    </row>
    <row r="216" spans="10:18">
      <c r="J216" t="s">
        <v>88</v>
      </c>
      <c r="K216" s="162" t="s">
        <v>212</v>
      </c>
      <c r="L216" s="162" t="s">
        <v>75</v>
      </c>
      <c r="M216" s="81"/>
      <c r="N216" s="81" t="e">
        <f>(N$173+N$193+N$197)*$M$217</f>
        <v>#DIV/0!</v>
      </c>
      <c r="O216" s="81">
        <f>(O$173+O$193+O$197)*$M$217</f>
        <v>4.9074893048281893</v>
      </c>
      <c r="P216" s="81">
        <f>(P$173+P$193+P$197)*$M$217</f>
        <v>6.2778352496418091</v>
      </c>
      <c r="Q216" s="81">
        <f>(Q$173+Q$193+Q$197)*$M$217</f>
        <v>20.264409012712022</v>
      </c>
      <c r="R216" s="81">
        <f>(R$173+R$193+R$197)*$M$217</f>
        <v>0.73399023062456115</v>
      </c>
    </row>
    <row r="217" spans="10:18">
      <c r="J217" t="s">
        <v>65</v>
      </c>
      <c r="K217" t="s">
        <v>213</v>
      </c>
      <c r="L217" t="s">
        <v>110</v>
      </c>
      <c r="M217" s="95">
        <f>(IFERROR(VLOOKUP($K$217,Tableau2[[Variable]:[Valeur]],2,FALSE()),0))</f>
        <v>0.01</v>
      </c>
      <c r="N217" s="95"/>
      <c r="O217" s="95"/>
      <c r="P217" s="95"/>
      <c r="Q217" s="95"/>
      <c r="R217" s="95"/>
    </row>
    <row r="218" spans="10:18">
      <c r="M218" s="92"/>
      <c r="N218" s="92"/>
      <c r="O218" s="92"/>
      <c r="P218" s="92"/>
      <c r="Q218" s="92"/>
      <c r="R218" s="92"/>
    </row>
    <row r="219" spans="10:18">
      <c r="J219" t="s">
        <v>163</v>
      </c>
      <c r="K219" s="100" t="s">
        <v>214</v>
      </c>
      <c r="L219" s="100" t="s">
        <v>75</v>
      </c>
      <c r="M219" s="165"/>
      <c r="N219" s="165" t="e">
        <f>N$221+N$222</f>
        <v>#DIV/0!</v>
      </c>
      <c r="O219" s="165">
        <f>O$221+O$222</f>
        <v>17.031222997336506</v>
      </c>
      <c r="P219" s="165">
        <f>P$221+P$222</f>
        <v>19.207711804212401</v>
      </c>
      <c r="Q219" s="165">
        <f>Q$221+Q$222</f>
        <v>55.08525825578127</v>
      </c>
      <c r="R219" s="165">
        <f>R$221+R$222</f>
        <v>2.3990912369406727</v>
      </c>
    </row>
    <row r="220" spans="10:18">
      <c r="J220" t="s">
        <v>163</v>
      </c>
      <c r="K220" s="97" t="s">
        <v>215</v>
      </c>
      <c r="L220" s="97" t="s">
        <v>75</v>
      </c>
      <c r="M220" s="98"/>
      <c r="N220" s="98" t="e">
        <f>((N$167/$M$133)*5700
+(N$167*273))*(N$181/($M$179*$M$223))</f>
        <v>#DIV/0!</v>
      </c>
      <c r="O220" s="98">
        <f>((O$167/$M$133)*5700
+(O$167*273))*(O$181/($M$179*$M$223))</f>
        <v>19.503496505399138</v>
      </c>
      <c r="P220" s="98">
        <f>((P$167/$M$133)*5700
+(P$167*273))*(P$181/($M$179*$M$223))</f>
        <v>21.995927133873849</v>
      </c>
      <c r="Q220" s="98">
        <f>((Q$167/$M$133)*5700
+(Q$167*273))*(Q$181/($M$179*$M$223))</f>
        <v>63.081502840909089</v>
      </c>
      <c r="R220" s="98">
        <f>((R$167/$M$133)*5700
+(R$167*273))*(R$181/($M$179*$M$223))</f>
        <v>2.7473463040865385</v>
      </c>
    </row>
    <row r="221" spans="10:18">
      <c r="J221" t="s">
        <v>163</v>
      </c>
      <c r="K221" s="68" t="s">
        <v>216</v>
      </c>
      <c r="L221" s="68" t="s">
        <v>75</v>
      </c>
      <c r="M221" s="68"/>
      <c r="N221" s="68" t="e">
        <f>((N$167/$M$133)*$M$225)*(N$181/($M$179*$M$223))</f>
        <v>#DIV/0!</v>
      </c>
      <c r="O221" s="68">
        <f>((O$167/$M$133)*$M$225)*(O$181/($M$179*$M$223))</f>
        <v>9.7772284675658323</v>
      </c>
      <c r="P221" s="68">
        <f>((P$167/$M$133)*$M$225)*(P$181/($M$179*$M$223))</f>
        <v>11.026700001421819</v>
      </c>
      <c r="Q221" s="68">
        <f>((Q$167/$M$133)*$M$225)*(Q$181/($M$179*$M$223))</f>
        <v>31.623163835378616</v>
      </c>
      <c r="R221" s="68">
        <f>((R$167/$M$133)*$M$225)*(R$181/($M$179*$M$223))</f>
        <v>1.377262404571439</v>
      </c>
    </row>
    <row r="222" spans="10:18">
      <c r="J222" t="s">
        <v>163</v>
      </c>
      <c r="K222" s="68" t="s">
        <v>217</v>
      </c>
      <c r="L222" s="68" t="s">
        <v>75</v>
      </c>
      <c r="M222" s="68"/>
      <c r="N222" s="68" t="e">
        <f>((N$167*$M$226))*(N$181/($M$179*$M$224))</f>
        <v>#DIV/0!</v>
      </c>
      <c r="O222" s="68">
        <f>((O$167*$M$226))*(O$181/($M$179*$M$224))</f>
        <v>7.2539945297706758</v>
      </c>
      <c r="P222" s="68">
        <f>((P$167*$M$226))*(P$181/($M$179*$M$224))</f>
        <v>8.181011802790584</v>
      </c>
      <c r="Q222" s="68">
        <f>((Q$167*$M$226))*(Q$181/($M$179*$M$224))</f>
        <v>23.462094420402657</v>
      </c>
      <c r="R222" s="68">
        <f>((R$167*$M$226))*(R$181/($M$179*$M$224))</f>
        <v>1.0218288323692337</v>
      </c>
    </row>
    <row r="223" spans="10:18">
      <c r="J223" t="s">
        <v>65</v>
      </c>
      <c r="K223" t="s">
        <v>218</v>
      </c>
      <c r="L223" t="s">
        <v>140</v>
      </c>
      <c r="M223" s="82">
        <f>(IFERROR(VLOOKUP($K$223,Tableau2[[Variable]:[Valeur]],2,FALSE()),0))*365*24*60*60</f>
        <v>94608000</v>
      </c>
      <c r="N223" s="82"/>
      <c r="O223" s="82"/>
      <c r="P223" s="82"/>
      <c r="Q223" s="82"/>
      <c r="R223" s="82"/>
    </row>
    <row r="224" spans="10:18">
      <c r="J224" t="s">
        <v>65</v>
      </c>
      <c r="K224" t="s">
        <v>219</v>
      </c>
      <c r="L224" s="10" t="s">
        <v>140</v>
      </c>
      <c r="M224" s="82">
        <f>(IFERROR(VLOOKUP($K$224,Tableau2[[Variable]:[Valeur]],2,FALSE()),0))*(365*24*3600)</f>
        <v>94608000</v>
      </c>
      <c r="N224" s="82"/>
      <c r="O224" s="82"/>
      <c r="P224" s="82"/>
      <c r="Q224" s="82"/>
      <c r="R224" s="82"/>
    </row>
    <row r="225" spans="10:18">
      <c r="J225" t="s">
        <v>65</v>
      </c>
      <c r="K225" t="s">
        <v>220</v>
      </c>
      <c r="L225" t="s">
        <v>75</v>
      </c>
      <c r="M225" s="82">
        <f>(IFERROR(VLOOKUP($K$225,Tableau2[[Variable]:[Valeur]],2,FALSE()),0))</f>
        <v>3952.3</v>
      </c>
      <c r="N225" s="82"/>
      <c r="O225" s="82"/>
      <c r="P225" s="82"/>
      <c r="Q225" s="82"/>
      <c r="R225" s="82"/>
    </row>
    <row r="226" spans="10:18">
      <c r="J226" t="s">
        <v>65</v>
      </c>
      <c r="K226" t="s">
        <v>221</v>
      </c>
      <c r="L226" t="s">
        <v>75</v>
      </c>
      <c r="M226" s="82">
        <f>(IFERROR(VLOOKUP($K$226,Tableau2[[Variable]:[Valeur]],2,FALSE()),0))</f>
        <v>366.54</v>
      </c>
      <c r="N226" s="82"/>
      <c r="O226" s="82"/>
      <c r="P226" s="82"/>
      <c r="Q226" s="82"/>
      <c r="R226" s="82"/>
    </row>
    <row r="228" spans="10:18">
      <c r="J228" t="s">
        <v>88</v>
      </c>
      <c r="K228" s="68" t="s">
        <v>222</v>
      </c>
      <c r="L228" s="68" t="s">
        <v>75</v>
      </c>
      <c r="M228" s="86"/>
      <c r="N228" s="86" t="e">
        <f>($M$230*$M$199+$M$231*$M$201+$M$232*$M$203)*(N$181/($M$179*$M$229))</f>
        <v>#DIV/0!</v>
      </c>
      <c r="O228" s="86">
        <f>($M$230*$M$199+$M$231*$M$201+$M$232*$M$203)*(O$181/($M$179*$M$229))</f>
        <v>1.9595285837719616</v>
      </c>
      <c r="P228" s="86">
        <f>($M$230*$M$199+$M$231*$M$201+$M$232*$M$203)*(P$181/($M$179*$M$229))</f>
        <v>2.2099446595875407</v>
      </c>
      <c r="Q228" s="86">
        <f>($M$230*$M$199+$M$231*$M$201+$M$232*$M$203)*(Q$181/($M$179*$M$229))</f>
        <v>1.584459585103557</v>
      </c>
      <c r="R228" s="86">
        <f>($M$230*$M$199+$M$231*$M$201+$M$232*$M$203)*(R$181/($M$179*$M$229))</f>
        <v>1.1041104575043794</v>
      </c>
    </row>
    <row r="229" spans="10:18">
      <c r="J229" t="s">
        <v>65</v>
      </c>
      <c r="K229" t="s">
        <v>223</v>
      </c>
      <c r="L229" t="s">
        <v>140</v>
      </c>
      <c r="M229" s="82">
        <f>(IFERROR(VLOOKUP($K$229,Tableau2[[Variable]:[Valeur]],2,FALSE()),0))*365*24*60*60</f>
        <v>157680000</v>
      </c>
      <c r="N229" s="82"/>
      <c r="O229" s="82"/>
      <c r="P229" s="82"/>
      <c r="Q229" s="82"/>
      <c r="R229" s="82"/>
    </row>
    <row r="230" spans="10:18">
      <c r="J230" t="s">
        <v>65</v>
      </c>
      <c r="K230" t="s">
        <v>224</v>
      </c>
      <c r="L230" t="s">
        <v>75</v>
      </c>
      <c r="M230" s="82">
        <f>(IFERROR(VLOOKUP($K$230,Tableau2[[Variable]:[Valeur]],2,FALSE()),0))</f>
        <v>333.79999999999995</v>
      </c>
      <c r="N230" s="82"/>
      <c r="O230" s="82"/>
      <c r="P230" s="82"/>
      <c r="Q230" s="82"/>
      <c r="R230" s="82"/>
    </row>
    <row r="231" spans="10:18">
      <c r="J231" t="s">
        <v>65</v>
      </c>
      <c r="K231" t="s">
        <v>225</v>
      </c>
      <c r="L231" t="s">
        <v>75</v>
      </c>
      <c r="M231" s="82">
        <f>(IFERROR(VLOOKUP($K$231,Tableau2[[Variable]:[Valeur]],2,FALSE()),0))</f>
        <v>403</v>
      </c>
      <c r="N231" s="82"/>
      <c r="O231" s="82"/>
      <c r="P231" s="82"/>
      <c r="Q231" s="82"/>
      <c r="R231" s="82"/>
    </row>
    <row r="232" spans="10:18">
      <c r="J232" t="s">
        <v>65</v>
      </c>
      <c r="K232" t="s">
        <v>226</v>
      </c>
      <c r="L232" t="s">
        <v>75</v>
      </c>
      <c r="M232" s="82">
        <f>(IFERROR(VLOOKUP($K$232,Tableau2[[Variable]:[Valeur]],2,FALSE()),0))</f>
        <v>363</v>
      </c>
      <c r="N232" s="82"/>
      <c r="O232" s="82"/>
      <c r="P232" s="82"/>
      <c r="Q232" s="82"/>
      <c r="R232" s="82"/>
    </row>
    <row r="234" spans="10:18">
      <c r="J234" t="s">
        <v>163</v>
      </c>
      <c r="K234" s="128" t="s">
        <v>227</v>
      </c>
      <c r="L234" s="128" t="s">
        <v>228</v>
      </c>
      <c r="M234" s="132"/>
      <c r="N234" s="132" t="e">
        <f>(N$164*(0.6
+N$165*3.67)
)</f>
        <v>#DIV/0!</v>
      </c>
      <c r="O234" s="132">
        <f t="shared" ref="O234:Q234" si="35">(O$164*(0.6
+O$165*3.67)
)</f>
        <v>0</v>
      </c>
      <c r="P234" s="132">
        <f t="shared" si="35"/>
        <v>0</v>
      </c>
      <c r="Q234" s="132">
        <f t="shared" si="35"/>
        <v>0</v>
      </c>
      <c r="R234" s="132">
        <f>(R$164*(0.6
+R$165*3.67)
)</f>
        <v>0</v>
      </c>
    </row>
    <row r="235" spans="10:18">
      <c r="J235" t="s">
        <v>88</v>
      </c>
      <c r="K235" s="105" t="s">
        <v>229</v>
      </c>
      <c r="L235" s="105" t="s">
        <v>79</v>
      </c>
      <c r="M235" s="106"/>
      <c r="N235" s="106" t="e">
        <f>N$240+N$243+N$236</f>
        <v>#DIV/0!</v>
      </c>
      <c r="O235" s="106">
        <f>O$240+O$243+O$236</f>
        <v>6489.9834137073785</v>
      </c>
      <c r="P235" s="106">
        <f>P$240+P$243+P$236</f>
        <v>6957.5761442996309</v>
      </c>
      <c r="Q235" s="106">
        <f>Q$240+Q$243+Q$236</f>
        <v>21315.316507728752</v>
      </c>
      <c r="R235" s="106">
        <f>R$240+R$243+R$236</f>
        <v>960.86982689861475</v>
      </c>
    </row>
    <row r="236" spans="10:18">
      <c r="J236" t="s">
        <v>88</v>
      </c>
      <c r="K236" s="6" t="s">
        <v>230</v>
      </c>
      <c r="L236" s="6" t="s">
        <v>79</v>
      </c>
      <c r="M236" s="171"/>
      <c r="N236" s="194" t="e">
        <f>N$237*(N$193+N$173+N197)*$M$238</f>
        <v>#DIV/0!</v>
      </c>
      <c r="O236" s="194">
        <f>O$237*(O$193+O$173+O197)*$M$238</f>
        <v>390.93059802261354</v>
      </c>
      <c r="P236" s="194">
        <f>P$237*(P$193+P$173+P197)*$M$238</f>
        <v>79.10072414548678</v>
      </c>
      <c r="Q236" s="194">
        <f>Q$237*(Q$193+Q$173+Q197)*$M$238</f>
        <v>1588.7296665966226</v>
      </c>
      <c r="R236" s="194">
        <f>R$237*(R$193+R$173+R197)*$M$238</f>
        <v>101.73104596456417</v>
      </c>
    </row>
    <row r="237" spans="10:18">
      <c r="J237" t="s">
        <v>57</v>
      </c>
      <c r="K237" t="s">
        <v>231</v>
      </c>
      <c r="L237" t="s">
        <v>232</v>
      </c>
      <c r="N237" s="96">
        <f>IFERROR(INDEX(Tableau1[], MATCH(N$24, Tableau1[Nom du modèle], 0), MATCH($K$237, Tableau1[#Headers], 0)),0)</f>
        <v>0</v>
      </c>
      <c r="O237" s="82">
        <f>IFERROR(INDEX(Tableau1[], MATCH(O$24, Tableau1[Nom du modèle], 0), MATCH($K$237, Tableau1[#Headers], 0)),0)</f>
        <v>0.56899999999999995</v>
      </c>
      <c r="P237" s="82">
        <f>IFERROR(INDEX(Tableau1[], MATCH(P$24, Tableau1[Nom du modèle], 0), MATCH($K$237, Tableau1[#Headers], 0)),0)</f>
        <v>0.09</v>
      </c>
      <c r="Q237" s="82">
        <f>IFERROR(INDEX(Tableau1[], MATCH(Q$24, Tableau1[Nom du modèle], 0), MATCH($K$237, Tableau1[#Headers], 0)),0)</f>
        <v>0.56000000000000005</v>
      </c>
      <c r="R237" s="82">
        <f>IFERROR(INDEX(Tableau1[], MATCH(R$24, Tableau1[Nom du modèle], 0), MATCH($K$237, Tableau1[#Headers], 0)),0)</f>
        <v>0.99</v>
      </c>
    </row>
    <row r="238" spans="10:18">
      <c r="J238" t="s">
        <v>65</v>
      </c>
      <c r="K238" t="s">
        <v>233</v>
      </c>
      <c r="M238" s="122">
        <f>(IFERROR(VLOOKUP($K$238,Tableau2[[Variable]:[Valeur]],2,FALSE()),0))</f>
        <v>1.4</v>
      </c>
      <c r="N238" s="122"/>
      <c r="O238" s="122"/>
      <c r="P238" s="122"/>
      <c r="Q238" s="122"/>
      <c r="R238" s="122"/>
    </row>
    <row r="240" spans="10:18">
      <c r="J240" t="s">
        <v>88</v>
      </c>
      <c r="K240" s="6" t="s">
        <v>234</v>
      </c>
      <c r="L240" s="6" t="s">
        <v>79</v>
      </c>
      <c r="M240" s="118"/>
      <c r="N240" s="118" t="e">
        <f>(((N$167/$M$133)*$M$241)*(N$181/($M$179*$M$223)))</f>
        <v>#DIV/0!</v>
      </c>
      <c r="O240" s="118">
        <f>(((O$167/$M$133)*$M$241)*(O$181/($M$179*$M$223)))</f>
        <v>5819.9531942538279</v>
      </c>
      <c r="P240" s="118">
        <f>(((P$167/$M$133)*$M$241)*(P$181/($M$179*$M$223)))</f>
        <v>6563.7085303102021</v>
      </c>
      <c r="Q240" s="118">
        <f>(((Q$167/$M$133)*$M$241)*(Q$181/($M$179*$M$223)))</f>
        <v>18823.875701244033</v>
      </c>
      <c r="R240" s="118">
        <f>(((R$167/$M$133)*$M$241)*(R$181/($M$179*$M$223)))</f>
        <v>819.82360925711725</v>
      </c>
    </row>
    <row r="241" spans="10:18">
      <c r="J241" t="s">
        <v>65</v>
      </c>
      <c r="K241" t="s">
        <v>441</v>
      </c>
      <c r="L241" t="s">
        <v>79</v>
      </c>
      <c r="M241" s="122">
        <f>Bibliothèque_FE!$D$45+8*Bibliothèque_FE!$D$27</f>
        <v>2352630</v>
      </c>
      <c r="N241" s="122"/>
      <c r="O241" s="122"/>
      <c r="P241" s="122"/>
      <c r="Q241" s="122"/>
      <c r="R241" s="122"/>
    </row>
    <row r="243" spans="10:18">
      <c r="J243" t="s">
        <v>88</v>
      </c>
      <c r="K243" s="6" t="s">
        <v>343</v>
      </c>
      <c r="L243" s="6" t="s">
        <v>79</v>
      </c>
      <c r="M243" s="118"/>
      <c r="N243" s="118" t="e">
        <f>($M$244*$M$199+$M$245*$M$201+$M$246*$M$203)*(N$181/($M$179*$M$229))*(N$167/$M$133)</f>
        <v>#DIV/0!</v>
      </c>
      <c r="O243" s="118">
        <f>($M$244*$M$199+$M$245*$M$201+$M$246*$M$203)*(O$181/($M$179*$M$229))*(O$167/$M$133)</f>
        <v>279.09962143093713</v>
      </c>
      <c r="P243" s="118">
        <f>($M$244*$M$199+$M$245*$M$201+$M$246*$M$203)*(P$181/($M$179*$M$229))*(P$167/$M$133)</f>
        <v>314.76688984394156</v>
      </c>
      <c r="Q243" s="118">
        <f>($M$244*$M$199+$M$245*$M$201+$M$246*$M$203)*(Q$181/($M$179*$M$229))*(Q$167/$M$133)</f>
        <v>902.71113988809395</v>
      </c>
      <c r="R243" s="118">
        <f>($M$244*$M$199+$M$245*$M$201+$M$246*$M$203)*(R$181/($M$179*$M$229))*(R$167/$M$133)</f>
        <v>39.315171676933367</v>
      </c>
    </row>
    <row r="244" spans="10:18">
      <c r="J244" t="s">
        <v>65</v>
      </c>
      <c r="K244" t="s">
        <v>458</v>
      </c>
      <c r="L244" t="s">
        <v>79</v>
      </c>
      <c r="M244" s="82">
        <f>(IFERROR(VLOOKUP($K$244,Tableau2[[Variable]:[Valeur]],2,FALSE()),0))</f>
        <v>95549.999999999956</v>
      </c>
      <c r="N244" s="82"/>
    </row>
    <row r="245" spans="10:18">
      <c r="J245" t="s">
        <v>65</v>
      </c>
      <c r="K245" t="s">
        <v>459</v>
      </c>
      <c r="L245" t="s">
        <v>79</v>
      </c>
      <c r="M245" s="82">
        <f>(IFERROR(VLOOKUP($K$245,Tableau2[[Variable]:[Valeur]],2,FALSE()),0))</f>
        <v>114719.9999999998</v>
      </c>
      <c r="N245" s="82"/>
    </row>
    <row r="246" spans="10:18">
      <c r="J246" t="s">
        <v>65</v>
      </c>
      <c r="K246" t="s">
        <v>460</v>
      </c>
      <c r="L246" t="s">
        <v>79</v>
      </c>
      <c r="M246" s="82">
        <f>(IFERROR(VLOOKUP($K$246,Tableau2[[Variable]:[Valeur]],2,FALSE()),0))</f>
        <v>103409.99999999985</v>
      </c>
      <c r="N246" s="82"/>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sheetData>
  <sheetProtection selectLockedCells="1" selectUnlockedCells="1"/>
  <mergeCells count="1">
    <mergeCell ref="C24:H24"/>
  </mergeCells>
  <pageMargins left="0.7" right="0.7" top="0.75" bottom="0.75" header="0.3" footer="0.3"/>
  <pageSetup paperSize="9" orientation="portrait" r:id="rId1"/>
  <headerFooter>
    <oddFooter>&amp;L_x000D_&amp;1#&amp;"Aptos"&amp;10&amp;K008000 Interne</oddFooter>
  </headerFooter>
  <extLst>
    <ext xmlns:x14="http://schemas.microsoft.com/office/spreadsheetml/2009/9/main" uri="{05C60535-1F16-4fd2-B633-F4F36F0B64E0}">
      <x14:sparklineGroups xmlns:xm="http://schemas.microsoft.com/office/excel/2006/main">
        <x14:sparklineGroup displayEmptyCellsAs="gap" xr2:uid="{8DAB1DBB-5E5E-4F3A-BA99-C9357A3C34DF}">
          <x14:colorSeries rgb="FF376092"/>
          <x14:colorNegative rgb="FFD00000"/>
          <x14:colorAxis rgb="FF000000"/>
          <x14:colorMarkers rgb="FFD00000"/>
          <x14:colorFirst rgb="FFD00000"/>
          <x14:colorLast rgb="FFD00000"/>
          <x14:colorHigh rgb="FFD00000"/>
          <x14:colorLow rgb="FFD00000"/>
          <x14:sparklines>
            <x14:sparkline>
              <xm:f>Calcul!D27:D27</xm:f>
              <xm:sqref>C27</xm:sqref>
            </x14:sparkline>
            <x14:sparkline>
              <xm:f>Calcul!D28:D28</xm:f>
              <xm:sqref>C28</xm:sqref>
            </x14:sparkline>
            <x14:sparkline>
              <xm:f>Calcul!D29:D29</xm:f>
              <xm:sqref>C29</xm:sqref>
            </x14:sparkline>
            <x14:sparkline>
              <xm:f>Calcul!D30:D30</xm:f>
              <xm:sqref>C30</xm:sqref>
            </x14:sparkline>
            <x14:sparkline>
              <xm:f>Calcul!D31:D31</xm:f>
              <xm:sqref>C31</xm:sqref>
            </x14:sparkline>
            <x14:sparkline>
              <xm:f>Calcul!D32:D32</xm:f>
              <xm:sqref>C32</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3F25-FFC9-4DF5-B63E-6EE062DFD198}">
  <sheetPr codeName="Sheet5">
    <tabColor theme="2" tint="-9.9978637043366805E-2"/>
  </sheetPr>
  <dimension ref="A1:L195"/>
  <sheetViews>
    <sheetView topLeftCell="C1" zoomScale="91" zoomScaleNormal="115" workbookViewId="0">
      <selection activeCell="F6" sqref="F6"/>
    </sheetView>
  </sheetViews>
  <sheetFormatPr baseColWidth="10" defaultColWidth="10.77734375" defaultRowHeight="15"/>
  <cols>
    <col min="1" max="1" width="18.77734375" bestFit="1" customWidth="1"/>
    <col min="2" max="2" width="16.109375" customWidth="1"/>
    <col min="3" max="3" width="51.109375" customWidth="1"/>
    <col min="4" max="4" width="22.77734375" customWidth="1"/>
    <col min="5" max="5" width="35.6640625" style="1" bestFit="1" customWidth="1"/>
    <col min="6" max="6" width="18.109375" bestFit="1" customWidth="1"/>
    <col min="7" max="7" width="11" bestFit="1" customWidth="1"/>
    <col min="8" max="8" width="42.33203125" bestFit="1" customWidth="1"/>
    <col min="9" max="10" width="25.109375" customWidth="1"/>
    <col min="11" max="11" width="11.6640625" bestFit="1" customWidth="1"/>
    <col min="12" max="12" width="22" bestFit="1" customWidth="1"/>
  </cols>
  <sheetData>
    <row r="1" spans="1:12">
      <c r="A1" t="s">
        <v>236</v>
      </c>
      <c r="B1" t="s">
        <v>237</v>
      </c>
      <c r="C1" t="s">
        <v>238</v>
      </c>
      <c r="D1" t="s">
        <v>239</v>
      </c>
      <c r="E1" s="1" t="s">
        <v>240</v>
      </c>
      <c r="F1" t="s">
        <v>241</v>
      </c>
      <c r="G1" t="s">
        <v>242</v>
      </c>
      <c r="H1" t="s">
        <v>243</v>
      </c>
      <c r="I1" t="s">
        <v>244</v>
      </c>
      <c r="J1" t="s">
        <v>245</v>
      </c>
      <c r="K1" t="s">
        <v>246</v>
      </c>
      <c r="L1" t="s">
        <v>247</v>
      </c>
    </row>
    <row r="2" spans="1:12">
      <c r="A2" t="s">
        <v>248</v>
      </c>
      <c r="B2" t="s">
        <v>249</v>
      </c>
      <c r="C2" t="s">
        <v>213</v>
      </c>
      <c r="D2">
        <v>0.01</v>
      </c>
      <c r="E2" s="1" t="s">
        <v>250</v>
      </c>
      <c r="F2" t="s">
        <v>251</v>
      </c>
      <c r="G2" s="61">
        <v>46111</v>
      </c>
    </row>
    <row r="3" spans="1:12" s="2" customFormat="1">
      <c r="A3" t="s">
        <v>252</v>
      </c>
      <c r="B3" t="s">
        <v>253</v>
      </c>
      <c r="C3" t="s">
        <v>254</v>
      </c>
      <c r="D3">
        <v>3.6737000000000002</v>
      </c>
      <c r="E3" s="1" t="s">
        <v>79</v>
      </c>
      <c r="F3" t="s">
        <v>255</v>
      </c>
      <c r="G3" s="61">
        <v>46111</v>
      </c>
      <c r="H3" t="s">
        <v>256</v>
      </c>
      <c r="I3"/>
      <c r="J3"/>
      <c r="K3"/>
      <c r="L3"/>
    </row>
    <row r="4" spans="1:12">
      <c r="A4" t="s">
        <v>252</v>
      </c>
      <c r="B4" t="s">
        <v>233</v>
      </c>
      <c r="C4" t="s">
        <v>233</v>
      </c>
      <c r="D4">
        <v>1.4</v>
      </c>
      <c r="E4" s="1" t="s">
        <v>56</v>
      </c>
      <c r="F4" t="s">
        <v>257</v>
      </c>
      <c r="G4" s="61">
        <v>46111</v>
      </c>
    </row>
    <row r="5" spans="1:12">
      <c r="A5" t="s">
        <v>258</v>
      </c>
      <c r="B5" t="s">
        <v>259</v>
      </c>
      <c r="C5" t="s">
        <v>209</v>
      </c>
      <c r="D5">
        <f>4.61*10^(-2)</f>
        <v>4.6100000000000002E-2</v>
      </c>
      <c r="E5" s="1" t="s">
        <v>250</v>
      </c>
      <c r="F5" s="147" t="s">
        <v>260</v>
      </c>
      <c r="G5" s="61">
        <v>46125</v>
      </c>
      <c r="H5" t="s">
        <v>499</v>
      </c>
      <c r="K5">
        <v>4.4179999999999997E-2</v>
      </c>
      <c r="L5" t="s">
        <v>261</v>
      </c>
    </row>
    <row r="6" spans="1:12">
      <c r="A6" t="s">
        <v>258</v>
      </c>
      <c r="B6" t="s">
        <v>476</v>
      </c>
      <c r="C6" t="s">
        <v>109</v>
      </c>
      <c r="D6" s="2">
        <v>0.45800000000000002</v>
      </c>
      <c r="E6" s="1" t="s">
        <v>250</v>
      </c>
      <c r="F6" s="66" t="s">
        <v>483</v>
      </c>
      <c r="G6" s="61">
        <v>46113</v>
      </c>
    </row>
    <row r="7" spans="1:12">
      <c r="A7" t="s">
        <v>262</v>
      </c>
      <c r="B7" t="s">
        <v>258</v>
      </c>
      <c r="C7" t="s">
        <v>146</v>
      </c>
      <c r="D7" s="2">
        <v>0.7</v>
      </c>
      <c r="E7" s="1" t="s">
        <v>130</v>
      </c>
      <c r="F7" t="s">
        <v>163</v>
      </c>
      <c r="G7" s="61">
        <v>46113</v>
      </c>
      <c r="H7" t="s">
        <v>263</v>
      </c>
    </row>
    <row r="8" spans="1:12">
      <c r="A8" t="s">
        <v>262</v>
      </c>
      <c r="B8" t="s">
        <v>264</v>
      </c>
      <c r="C8" t="s">
        <v>144</v>
      </c>
      <c r="D8" s="9">
        <v>1</v>
      </c>
      <c r="E8" s="1" t="s">
        <v>265</v>
      </c>
      <c r="F8" t="s">
        <v>266</v>
      </c>
      <c r="G8" s="61">
        <v>46113</v>
      </c>
    </row>
    <row r="9" spans="1:12">
      <c r="A9" t="s">
        <v>32</v>
      </c>
      <c r="B9" t="s">
        <v>249</v>
      </c>
      <c r="C9" t="s">
        <v>103</v>
      </c>
      <c r="D9" s="2">
        <f>1043-402.5</f>
        <v>640.5</v>
      </c>
      <c r="E9" s="1" t="s">
        <v>267</v>
      </c>
      <c r="F9" t="s">
        <v>268</v>
      </c>
      <c r="G9" s="61">
        <v>46112</v>
      </c>
      <c r="H9" t="s">
        <v>269</v>
      </c>
    </row>
    <row r="10" spans="1:12">
      <c r="A10" t="s">
        <v>32</v>
      </c>
      <c r="B10" t="s">
        <v>258</v>
      </c>
      <c r="C10" t="s">
        <v>96</v>
      </c>
      <c r="D10" s="2">
        <f>9.5/1000</f>
        <v>9.4999999999999998E-3</v>
      </c>
      <c r="E10" s="1" t="s">
        <v>130</v>
      </c>
      <c r="F10" s="66" t="s">
        <v>270</v>
      </c>
      <c r="G10" s="61">
        <v>46113</v>
      </c>
      <c r="H10" t="s">
        <v>271</v>
      </c>
    </row>
    <row r="11" spans="1:12">
      <c r="A11" t="s">
        <v>32</v>
      </c>
      <c r="B11" t="s">
        <v>272</v>
      </c>
      <c r="C11" t="s">
        <v>99</v>
      </c>
      <c r="D11" s="2">
        <v>100</v>
      </c>
      <c r="E11" s="1" t="s">
        <v>116</v>
      </c>
      <c r="F11" t="s">
        <v>273</v>
      </c>
      <c r="G11" s="61">
        <v>46113</v>
      </c>
      <c r="H11" s="66" t="s">
        <v>274</v>
      </c>
    </row>
    <row r="12" spans="1:12">
      <c r="A12" t="s">
        <v>32</v>
      </c>
      <c r="B12" t="s">
        <v>275</v>
      </c>
      <c r="C12" t="s">
        <v>97</v>
      </c>
      <c r="D12" s="2">
        <v>0.2</v>
      </c>
      <c r="E12" s="1" t="s">
        <v>56</v>
      </c>
      <c r="F12" t="s">
        <v>273</v>
      </c>
      <c r="G12" s="61">
        <v>46113</v>
      </c>
      <c r="H12" s="66" t="s">
        <v>276</v>
      </c>
    </row>
    <row r="13" spans="1:12">
      <c r="A13" t="s">
        <v>32</v>
      </c>
      <c r="B13" t="s">
        <v>272</v>
      </c>
      <c r="C13" t="s">
        <v>102</v>
      </c>
      <c r="D13" s="2">
        <v>5</v>
      </c>
      <c r="E13" s="1" t="s">
        <v>277</v>
      </c>
      <c r="F13" t="s">
        <v>266</v>
      </c>
      <c r="G13" s="61">
        <v>46113</v>
      </c>
    </row>
    <row r="14" spans="1:12">
      <c r="A14" t="s">
        <v>32</v>
      </c>
      <c r="B14" t="s">
        <v>252</v>
      </c>
      <c r="C14" t="s">
        <v>105</v>
      </c>
      <c r="D14">
        <f>AVERAGE(270.48-1.07*10^2)*1000</f>
        <v>163480.00000000003</v>
      </c>
      <c r="E14" s="1" t="s">
        <v>79</v>
      </c>
      <c r="F14" t="s">
        <v>278</v>
      </c>
      <c r="G14" s="61">
        <v>46136</v>
      </c>
      <c r="H14" t="s">
        <v>269</v>
      </c>
    </row>
    <row r="15" spans="1:12">
      <c r="A15" t="s">
        <v>265</v>
      </c>
      <c r="B15" t="s">
        <v>264</v>
      </c>
      <c r="C15" t="s">
        <v>148</v>
      </c>
      <c r="D15">
        <v>8</v>
      </c>
      <c r="E15" s="1" t="s">
        <v>265</v>
      </c>
      <c r="F15" t="s">
        <v>163</v>
      </c>
      <c r="G15" s="61">
        <v>46111</v>
      </c>
    </row>
    <row r="16" spans="1:12">
      <c r="A16" t="s">
        <v>265</v>
      </c>
      <c r="B16" t="s">
        <v>272</v>
      </c>
      <c r="C16" t="s">
        <v>219</v>
      </c>
      <c r="D16">
        <v>3</v>
      </c>
      <c r="E16" s="1" t="s">
        <v>277</v>
      </c>
      <c r="F16" t="s">
        <v>163</v>
      </c>
      <c r="G16" s="61">
        <v>46111</v>
      </c>
      <c r="J16" t="s">
        <v>279</v>
      </c>
    </row>
    <row r="17" spans="1:12">
      <c r="A17" t="s">
        <v>265</v>
      </c>
      <c r="B17" t="s">
        <v>264</v>
      </c>
      <c r="C17" t="s">
        <v>171</v>
      </c>
      <c r="D17">
        <v>16</v>
      </c>
      <c r="E17" s="1" t="s">
        <v>172</v>
      </c>
      <c r="F17" t="s">
        <v>163</v>
      </c>
      <c r="G17" s="61">
        <v>46111</v>
      </c>
    </row>
    <row r="18" spans="1:12">
      <c r="A18" t="s">
        <v>265</v>
      </c>
      <c r="B18" t="s">
        <v>264</v>
      </c>
      <c r="C18" t="s">
        <v>173</v>
      </c>
      <c r="D18">
        <v>80</v>
      </c>
      <c r="E18" s="1" t="s">
        <v>168</v>
      </c>
      <c r="F18" t="s">
        <v>163</v>
      </c>
      <c r="G18" s="61">
        <v>46111</v>
      </c>
      <c r="H18" t="s">
        <v>280</v>
      </c>
      <c r="J18" t="s">
        <v>281</v>
      </c>
    </row>
    <row r="19" spans="1:12">
      <c r="A19" t="s">
        <v>265</v>
      </c>
      <c r="B19" t="s">
        <v>282</v>
      </c>
      <c r="C19" t="s">
        <v>178</v>
      </c>
      <c r="D19" s="112">
        <f>1.16652731704519*10^(-6)</f>
        <v>1.1665273170451899E-6</v>
      </c>
      <c r="E19" s="1" t="s">
        <v>283</v>
      </c>
      <c r="F19" t="s">
        <v>163</v>
      </c>
      <c r="G19" s="61">
        <v>46111</v>
      </c>
    </row>
    <row r="20" spans="1:12">
      <c r="A20" t="s">
        <v>265</v>
      </c>
      <c r="B20" t="s">
        <v>282</v>
      </c>
      <c r="C20" t="s">
        <v>179</v>
      </c>
      <c r="D20" s="113">
        <f>-0.0112059210255791</f>
        <v>-1.12059210255791E-2</v>
      </c>
      <c r="E20" s="1" t="s">
        <v>284</v>
      </c>
      <c r="F20" t="s">
        <v>163</v>
      </c>
      <c r="G20" s="61">
        <v>46111</v>
      </c>
    </row>
    <row r="21" spans="1:12">
      <c r="A21" t="s">
        <v>265</v>
      </c>
      <c r="B21" t="s">
        <v>282</v>
      </c>
      <c r="C21" t="s">
        <v>180</v>
      </c>
      <c r="D21" s="112">
        <f>4.052928146734*10^(-5)</f>
        <v>4.052928146734E-5</v>
      </c>
      <c r="E21" s="1" t="s">
        <v>285</v>
      </c>
      <c r="F21" t="s">
        <v>163</v>
      </c>
      <c r="G21" s="61">
        <v>46111</v>
      </c>
    </row>
    <row r="22" spans="1:12">
      <c r="A22" t="s">
        <v>265</v>
      </c>
      <c r="B22" t="s">
        <v>264</v>
      </c>
      <c r="C22" s="33" t="s">
        <v>181</v>
      </c>
      <c r="D22">
        <v>64</v>
      </c>
      <c r="E22" s="34" t="s">
        <v>286</v>
      </c>
      <c r="F22" t="s">
        <v>163</v>
      </c>
      <c r="G22" s="61">
        <v>46111</v>
      </c>
    </row>
    <row r="23" spans="1:12">
      <c r="A23" t="s">
        <v>265</v>
      </c>
      <c r="B23" t="s">
        <v>287</v>
      </c>
      <c r="C23" t="s">
        <v>189</v>
      </c>
      <c r="D23">
        <v>6.7850880943536604E-4</v>
      </c>
      <c r="E23" s="1" t="s">
        <v>288</v>
      </c>
      <c r="F23" t="s">
        <v>163</v>
      </c>
      <c r="G23" s="61">
        <v>46111</v>
      </c>
    </row>
    <row r="24" spans="1:12">
      <c r="A24" t="s">
        <v>265</v>
      </c>
      <c r="B24" t="s">
        <v>287</v>
      </c>
      <c r="C24" t="s">
        <v>190</v>
      </c>
      <c r="D24">
        <v>3.11931031168825E-4</v>
      </c>
      <c r="E24" s="1" t="s">
        <v>289</v>
      </c>
      <c r="F24" t="s">
        <v>163</v>
      </c>
      <c r="G24" s="61">
        <v>46111</v>
      </c>
    </row>
    <row r="25" spans="1:12">
      <c r="A25" t="s">
        <v>265</v>
      </c>
      <c r="B25" t="s">
        <v>287</v>
      </c>
      <c r="C25" t="s">
        <v>191</v>
      </c>
      <c r="D25">
        <v>1.9473717579473301E-2</v>
      </c>
      <c r="E25" s="1" t="s">
        <v>290</v>
      </c>
      <c r="F25" t="s">
        <v>163</v>
      </c>
      <c r="G25" s="61">
        <v>46111</v>
      </c>
    </row>
    <row r="26" spans="1:12">
      <c r="A26" t="s">
        <v>265</v>
      </c>
      <c r="B26" t="s">
        <v>249</v>
      </c>
      <c r="C26" t="s">
        <v>221</v>
      </c>
      <c r="D26" s="2">
        <v>366.54</v>
      </c>
      <c r="E26" s="1" t="s">
        <v>267</v>
      </c>
      <c r="F26" t="s">
        <v>268</v>
      </c>
      <c r="G26" s="61">
        <v>46111</v>
      </c>
      <c r="H26" t="s">
        <v>291</v>
      </c>
      <c r="I26">
        <v>273</v>
      </c>
      <c r="J26" t="s">
        <v>292</v>
      </c>
      <c r="K26">
        <v>164</v>
      </c>
      <c r="L26" t="s">
        <v>293</v>
      </c>
    </row>
    <row r="27" spans="1:12">
      <c r="A27" t="s">
        <v>265</v>
      </c>
      <c r="B27" t="s">
        <v>252</v>
      </c>
      <c r="C27" t="s">
        <v>294</v>
      </c>
      <c r="D27">
        <f>101.5*1000</f>
        <v>101500</v>
      </c>
      <c r="E27" s="1" t="s">
        <v>79</v>
      </c>
      <c r="F27" t="s">
        <v>278</v>
      </c>
      <c r="G27" s="61">
        <v>46136</v>
      </c>
      <c r="H27" t="s">
        <v>291</v>
      </c>
    </row>
    <row r="28" spans="1:12">
      <c r="A28" t="s">
        <v>33</v>
      </c>
      <c r="B28" t="s">
        <v>275</v>
      </c>
      <c r="C28" t="s">
        <v>132</v>
      </c>
      <c r="D28" s="2">
        <v>0.8</v>
      </c>
      <c r="F28" t="s">
        <v>266</v>
      </c>
      <c r="G28" s="61">
        <v>46136</v>
      </c>
      <c r="H28" s="66"/>
    </row>
    <row r="29" spans="1:12">
      <c r="A29" t="s">
        <v>295</v>
      </c>
      <c r="B29" t="s">
        <v>258</v>
      </c>
      <c r="C29" t="s">
        <v>200</v>
      </c>
      <c r="D29">
        <v>0.09</v>
      </c>
      <c r="E29" s="1" t="s">
        <v>130</v>
      </c>
      <c r="F29" t="s">
        <v>260</v>
      </c>
      <c r="G29" s="61">
        <v>46111</v>
      </c>
    </row>
    <row r="30" spans="1:12">
      <c r="A30" t="s">
        <v>295</v>
      </c>
      <c r="B30" t="s">
        <v>275</v>
      </c>
      <c r="C30" t="s">
        <v>201</v>
      </c>
      <c r="D30">
        <v>3.5799999999999998E-2</v>
      </c>
      <c r="E30" s="1" t="s">
        <v>56</v>
      </c>
      <c r="F30" t="s">
        <v>296</v>
      </c>
      <c r="G30" s="61">
        <v>46111</v>
      </c>
    </row>
    <row r="31" spans="1:12">
      <c r="A31" t="s">
        <v>295</v>
      </c>
      <c r="B31" t="s">
        <v>258</v>
      </c>
      <c r="C31" t="s">
        <v>202</v>
      </c>
      <c r="D31">
        <v>0.09</v>
      </c>
      <c r="E31" s="1" t="s">
        <v>130</v>
      </c>
      <c r="F31" t="s">
        <v>260</v>
      </c>
      <c r="G31" s="61">
        <v>46111</v>
      </c>
    </row>
    <row r="32" spans="1:12">
      <c r="A32" t="s">
        <v>295</v>
      </c>
      <c r="B32" t="s">
        <v>275</v>
      </c>
      <c r="C32" t="s">
        <v>203</v>
      </c>
      <c r="D32">
        <v>0.28599999999999998</v>
      </c>
      <c r="E32" s="1" t="s">
        <v>56</v>
      </c>
      <c r="F32" t="s">
        <v>296</v>
      </c>
      <c r="G32" s="61">
        <v>46111</v>
      </c>
    </row>
    <row r="33" spans="1:12">
      <c r="A33" t="s">
        <v>295</v>
      </c>
      <c r="B33" t="s">
        <v>258</v>
      </c>
      <c r="C33" t="s">
        <v>204</v>
      </c>
      <c r="D33">
        <v>0.09</v>
      </c>
      <c r="E33" s="1" t="s">
        <v>130</v>
      </c>
      <c r="F33" t="s">
        <v>260</v>
      </c>
      <c r="G33" s="61">
        <v>46111</v>
      </c>
    </row>
    <row r="34" spans="1:12">
      <c r="A34" t="s">
        <v>295</v>
      </c>
      <c r="B34" t="s">
        <v>275</v>
      </c>
      <c r="C34" t="s">
        <v>205</v>
      </c>
      <c r="D34">
        <v>1.468</v>
      </c>
      <c r="F34" t="s">
        <v>296</v>
      </c>
      <c r="G34" s="61">
        <v>46111</v>
      </c>
    </row>
    <row r="35" spans="1:12">
      <c r="A35" t="s">
        <v>295</v>
      </c>
      <c r="B35" t="s">
        <v>272</v>
      </c>
      <c r="C35" t="s">
        <v>223</v>
      </c>
      <c r="D35">
        <v>5</v>
      </c>
      <c r="E35" s="1" t="s">
        <v>277</v>
      </c>
      <c r="F35" t="s">
        <v>260</v>
      </c>
      <c r="G35" s="61">
        <v>46111</v>
      </c>
    </row>
    <row r="36" spans="1:12">
      <c r="A36" t="s">
        <v>295</v>
      </c>
      <c r="B36" t="s">
        <v>249</v>
      </c>
      <c r="C36" t="s">
        <v>224</v>
      </c>
      <c r="D36" s="2">
        <f>1073-739.2</f>
        <v>333.79999999999995</v>
      </c>
      <c r="E36" s="1" t="s">
        <v>267</v>
      </c>
      <c r="F36" t="s">
        <v>268</v>
      </c>
      <c r="G36" s="61">
        <v>46111</v>
      </c>
      <c r="H36" t="s">
        <v>297</v>
      </c>
      <c r="K36">
        <v>391</v>
      </c>
      <c r="L36" t="s">
        <v>298</v>
      </c>
    </row>
    <row r="37" spans="1:12">
      <c r="A37" t="s">
        <v>295</v>
      </c>
      <c r="B37" t="s">
        <v>252</v>
      </c>
      <c r="C37" t="s">
        <v>458</v>
      </c>
      <c r="D37">
        <f>(1315.55-1.22*10^3)*1000</f>
        <v>95549.999999999956</v>
      </c>
      <c r="E37" s="1" t="s">
        <v>79</v>
      </c>
      <c r="F37" t="s">
        <v>268</v>
      </c>
      <c r="G37" s="61">
        <v>46111</v>
      </c>
      <c r="H37" t="s">
        <v>297</v>
      </c>
    </row>
    <row r="38" spans="1:12">
      <c r="A38" t="s">
        <v>295</v>
      </c>
      <c r="B38" t="s">
        <v>249</v>
      </c>
      <c r="C38" t="s">
        <v>225</v>
      </c>
      <c r="D38" s="2">
        <f>2439-2036</f>
        <v>403</v>
      </c>
      <c r="E38" s="1" t="s">
        <v>267</v>
      </c>
      <c r="F38" t="s">
        <v>268</v>
      </c>
      <c r="G38" s="61">
        <v>46111</v>
      </c>
      <c r="H38" t="s">
        <v>299</v>
      </c>
      <c r="K38">
        <v>391</v>
      </c>
      <c r="L38" t="s">
        <v>298</v>
      </c>
    </row>
    <row r="39" spans="1:12">
      <c r="A39" t="s">
        <v>295</v>
      </c>
      <c r="B39" t="s">
        <v>252</v>
      </c>
      <c r="C39" t="s">
        <v>459</v>
      </c>
      <c r="D39">
        <f>(3484.72-3.37*10^3)*1000</f>
        <v>114719.9999999998</v>
      </c>
      <c r="E39" s="1" t="s">
        <v>79</v>
      </c>
      <c r="F39" t="s">
        <v>268</v>
      </c>
      <c r="G39" s="61">
        <v>46111</v>
      </c>
      <c r="H39" t="s">
        <v>299</v>
      </c>
    </row>
    <row r="40" spans="1:12">
      <c r="A40" t="s">
        <v>295</v>
      </c>
      <c r="B40" t="s">
        <v>249</v>
      </c>
      <c r="C40" t="s">
        <v>226</v>
      </c>
      <c r="D40" s="2">
        <f>1633-1270</f>
        <v>363</v>
      </c>
      <c r="E40" s="1" t="s">
        <v>267</v>
      </c>
      <c r="F40" t="s">
        <v>268</v>
      </c>
      <c r="G40" s="61">
        <v>46111</v>
      </c>
      <c r="H40" t="s">
        <v>300</v>
      </c>
      <c r="K40">
        <v>391</v>
      </c>
      <c r="L40" t="s">
        <v>298</v>
      </c>
    </row>
    <row r="41" spans="1:12">
      <c r="A41" t="s">
        <v>295</v>
      </c>
      <c r="B41" t="s">
        <v>252</v>
      </c>
      <c r="C41" t="s">
        <v>460</v>
      </c>
      <c r="D41">
        <f>(2203.41-2.1*10^3)*1000</f>
        <v>103409.99999999985</v>
      </c>
      <c r="E41" s="1" t="s">
        <v>79</v>
      </c>
      <c r="F41" t="s">
        <v>268</v>
      </c>
      <c r="G41" s="61">
        <v>46111</v>
      </c>
      <c r="H41" t="s">
        <v>300</v>
      </c>
    </row>
    <row r="42" spans="1:12">
      <c r="A42" t="s">
        <v>301</v>
      </c>
      <c r="B42" t="s">
        <v>258</v>
      </c>
      <c r="C42" t="s">
        <v>302</v>
      </c>
      <c r="D42">
        <v>1.2</v>
      </c>
      <c r="E42" s="1" t="s">
        <v>130</v>
      </c>
      <c r="F42" t="s">
        <v>163</v>
      </c>
      <c r="G42" s="61">
        <v>46111</v>
      </c>
    </row>
    <row r="43" spans="1:12">
      <c r="A43" t="s">
        <v>301</v>
      </c>
      <c r="B43" t="s">
        <v>249</v>
      </c>
      <c r="C43" t="s">
        <v>220</v>
      </c>
      <c r="D43" s="2">
        <f>7670.3-3718</f>
        <v>3952.3</v>
      </c>
      <c r="E43" s="1" t="s">
        <v>267</v>
      </c>
      <c r="F43" t="s">
        <v>268</v>
      </c>
      <c r="G43" s="61">
        <v>46111</v>
      </c>
      <c r="H43" t="s">
        <v>303</v>
      </c>
      <c r="K43">
        <v>5700</v>
      </c>
      <c r="L43" s="1" t="s">
        <v>304</v>
      </c>
    </row>
    <row r="44" spans="1:12">
      <c r="A44" t="s">
        <v>301</v>
      </c>
      <c r="B44" t="s">
        <v>272</v>
      </c>
      <c r="C44" t="s">
        <v>218</v>
      </c>
      <c r="D44">
        <v>3</v>
      </c>
      <c r="E44" s="1" t="s">
        <v>277</v>
      </c>
      <c r="F44" t="s">
        <v>163</v>
      </c>
      <c r="G44" s="61">
        <v>46111</v>
      </c>
      <c r="J44" t="s">
        <v>279</v>
      </c>
    </row>
    <row r="45" spans="1:12">
      <c r="A45" t="s">
        <v>301</v>
      </c>
      <c r="B45" t="s">
        <v>252</v>
      </c>
      <c r="C45" t="s">
        <v>235</v>
      </c>
      <c r="D45" s="196">
        <f>(7570.63-6.03*10^3)*1000</f>
        <v>1540630</v>
      </c>
      <c r="E45" s="1" t="s">
        <v>79</v>
      </c>
      <c r="F45" t="s">
        <v>278</v>
      </c>
      <c r="G45" s="61">
        <v>46136</v>
      </c>
      <c r="H45" t="s">
        <v>303</v>
      </c>
    </row>
    <row r="46" spans="1:12">
      <c r="A46" t="s">
        <v>453</v>
      </c>
      <c r="B46" t="s">
        <v>305</v>
      </c>
      <c r="C46" t="s">
        <v>455</v>
      </c>
      <c r="D46" s="196">
        <f>1600000000</f>
        <v>1600000000</v>
      </c>
      <c r="E46" s="1" t="s">
        <v>497</v>
      </c>
      <c r="F46" t="s">
        <v>266</v>
      </c>
      <c r="G46" s="61">
        <v>46136</v>
      </c>
      <c r="H46" t="s">
        <v>307</v>
      </c>
      <c r="K46" s="2"/>
    </row>
    <row r="47" spans="1:12">
      <c r="A47" t="s">
        <v>453</v>
      </c>
      <c r="B47" t="s">
        <v>249</v>
      </c>
      <c r="C47" t="s">
        <v>158</v>
      </c>
      <c r="D47" s="196">
        <f>(42.13-2.22*10^1)</f>
        <v>19.93</v>
      </c>
      <c r="E47" s="1" t="s">
        <v>267</v>
      </c>
      <c r="F47" t="s">
        <v>278</v>
      </c>
      <c r="G47" s="61">
        <v>46113</v>
      </c>
      <c r="H47" t="s">
        <v>306</v>
      </c>
    </row>
    <row r="48" spans="1:12">
      <c r="A48" t="s">
        <v>453</v>
      </c>
      <c r="B48" t="s">
        <v>252</v>
      </c>
      <c r="C48" t="s">
        <v>160</v>
      </c>
      <c r="D48" s="10">
        <f>(4.357*10^1-3.63*10^1)*1000</f>
        <v>7270.0000000000027</v>
      </c>
      <c r="E48" s="1" t="s">
        <v>79</v>
      </c>
      <c r="F48" t="s">
        <v>278</v>
      </c>
      <c r="G48" s="61">
        <v>46136</v>
      </c>
      <c r="H48" t="s">
        <v>306</v>
      </c>
    </row>
    <row r="49" spans="1:11">
      <c r="A49" t="s">
        <v>453</v>
      </c>
      <c r="B49" t="s">
        <v>264</v>
      </c>
      <c r="C49" t="s">
        <v>452</v>
      </c>
      <c r="D49" s="2">
        <v>1</v>
      </c>
      <c r="E49" s="1" t="s">
        <v>157</v>
      </c>
      <c r="F49" t="s">
        <v>266</v>
      </c>
      <c r="G49" s="61">
        <v>46113</v>
      </c>
      <c r="H49" t="s">
        <v>307</v>
      </c>
    </row>
    <row r="50" spans="1:11">
      <c r="A50" t="s">
        <v>453</v>
      </c>
      <c r="B50" t="s">
        <v>258</v>
      </c>
      <c r="C50" t="s">
        <v>156</v>
      </c>
      <c r="D50" s="2">
        <f>14.3621390739041/1000</f>
        <v>1.4362139073904099E-2</v>
      </c>
      <c r="E50" s="1" t="s">
        <v>130</v>
      </c>
      <c r="F50" t="s">
        <v>278</v>
      </c>
      <c r="G50" s="61">
        <v>46113</v>
      </c>
      <c r="H50" t="s">
        <v>306</v>
      </c>
    </row>
    <row r="51" spans="1:11">
      <c r="A51" t="s">
        <v>453</v>
      </c>
      <c r="B51" t="s">
        <v>272</v>
      </c>
      <c r="C51" t="s">
        <v>159</v>
      </c>
      <c r="D51">
        <v>4</v>
      </c>
      <c r="E51" s="1" t="s">
        <v>277</v>
      </c>
      <c r="F51" t="s">
        <v>266</v>
      </c>
      <c r="G51" s="61">
        <v>46108</v>
      </c>
      <c r="H51" t="s">
        <v>307</v>
      </c>
    </row>
    <row r="52" spans="1:11">
      <c r="A52" t="s">
        <v>308</v>
      </c>
      <c r="B52" t="s">
        <v>305</v>
      </c>
      <c r="C52" t="s">
        <v>68</v>
      </c>
      <c r="D52" s="2">
        <v>1000</v>
      </c>
      <c r="E52" s="1" t="s">
        <v>69</v>
      </c>
      <c r="F52" t="s">
        <v>266</v>
      </c>
      <c r="G52" s="61">
        <v>46111</v>
      </c>
      <c r="H52" t="s">
        <v>307</v>
      </c>
      <c r="K52">
        <v>200</v>
      </c>
    </row>
    <row r="53" spans="1:11">
      <c r="A53" t="s">
        <v>308</v>
      </c>
      <c r="B53" t="s">
        <v>305</v>
      </c>
      <c r="C53" t="s">
        <v>66</v>
      </c>
      <c r="D53" s="2">
        <v>5000</v>
      </c>
      <c r="E53" s="1" t="s">
        <v>67</v>
      </c>
      <c r="F53" t="s">
        <v>266</v>
      </c>
      <c r="G53" s="61">
        <v>46112</v>
      </c>
      <c r="H53" t="s">
        <v>307</v>
      </c>
    </row>
    <row r="54" spans="1:11">
      <c r="A54" t="s">
        <v>258</v>
      </c>
      <c r="B54" t="s">
        <v>481</v>
      </c>
      <c r="C54" t="s">
        <v>482</v>
      </c>
      <c r="D54">
        <f>0.2099</f>
        <v>0.2099</v>
      </c>
      <c r="E54" s="1" t="s">
        <v>250</v>
      </c>
      <c r="F54" s="66" t="s">
        <v>483</v>
      </c>
      <c r="G54" s="61">
        <v>46266</v>
      </c>
    </row>
    <row r="55" spans="1:11">
      <c r="A55" t="s">
        <v>258</v>
      </c>
      <c r="B55" t="s">
        <v>367</v>
      </c>
      <c r="C55" t="s">
        <v>484</v>
      </c>
      <c r="D55">
        <v>0.38440000000000002</v>
      </c>
      <c r="E55" s="1" t="s">
        <v>250</v>
      </c>
      <c r="F55" s="66" t="s">
        <v>485</v>
      </c>
      <c r="G55" s="61">
        <v>46266</v>
      </c>
    </row>
    <row r="56" spans="1:11">
      <c r="A56" t="s">
        <v>258</v>
      </c>
      <c r="B56" t="s">
        <v>486</v>
      </c>
      <c r="C56" t="s">
        <v>487</v>
      </c>
      <c r="D56">
        <v>0.21740999999999999</v>
      </c>
      <c r="E56" s="1" t="s">
        <v>250</v>
      </c>
      <c r="F56" s="66" t="s">
        <v>485</v>
      </c>
      <c r="G56" s="61">
        <v>46266</v>
      </c>
    </row>
    <row r="57" spans="1:11">
      <c r="A57" t="s">
        <v>258</v>
      </c>
      <c r="B57" t="s">
        <v>488</v>
      </c>
      <c r="C57" t="s">
        <v>489</v>
      </c>
      <c r="D57">
        <v>0.32965</v>
      </c>
      <c r="E57" s="1" t="s">
        <v>250</v>
      </c>
      <c r="F57" s="66" t="s">
        <v>485</v>
      </c>
      <c r="G57" s="61">
        <v>46266</v>
      </c>
    </row>
    <row r="58" spans="1:11">
      <c r="A58" t="s">
        <v>258</v>
      </c>
      <c r="B58" t="s">
        <v>490</v>
      </c>
      <c r="C58" t="s">
        <v>491</v>
      </c>
      <c r="D58">
        <v>0.25653999999999999</v>
      </c>
      <c r="E58" s="1" t="s">
        <v>250</v>
      </c>
      <c r="F58" s="66" t="s">
        <v>485</v>
      </c>
      <c r="G58" s="61">
        <v>46266</v>
      </c>
    </row>
    <row r="59" spans="1:11">
      <c r="A59" t="s">
        <v>258</v>
      </c>
      <c r="B59" t="s">
        <v>492</v>
      </c>
      <c r="C59" t="s">
        <v>493</v>
      </c>
      <c r="D59">
        <v>0.25356000000000001</v>
      </c>
      <c r="E59" s="1" t="s">
        <v>250</v>
      </c>
      <c r="F59" s="66" t="s">
        <v>485</v>
      </c>
      <c r="G59" s="61">
        <v>46266</v>
      </c>
    </row>
    <row r="60" spans="1:11">
      <c r="A60" t="s">
        <v>258</v>
      </c>
      <c r="B60" t="s">
        <v>500</v>
      </c>
      <c r="C60" t="s">
        <v>501</v>
      </c>
      <c r="D60">
        <f>3.329*10^(-2)</f>
        <v>3.329E-2</v>
      </c>
      <c r="E60" s="1" t="s">
        <v>250</v>
      </c>
      <c r="F60" s="66" t="s">
        <v>483</v>
      </c>
      <c r="G60" s="61">
        <v>46266</v>
      </c>
    </row>
    <row r="117" spans="5:5">
      <c r="E117" s="137"/>
    </row>
    <row r="119" spans="5:5">
      <c r="E119" s="126"/>
    </row>
    <row r="126" spans="5:5">
      <c r="E126" s="131"/>
    </row>
    <row r="127" spans="5:5">
      <c r="E127" s="131"/>
    </row>
    <row r="128" spans="5:5">
      <c r="E128" s="131"/>
    </row>
    <row r="132" spans="4:6">
      <c r="D132" s="128"/>
      <c r="E132" s="130"/>
      <c r="F132" s="128"/>
    </row>
    <row r="138" spans="4:6">
      <c r="E138" s="127"/>
    </row>
    <row r="139" spans="4:6">
      <c r="D139" s="128"/>
      <c r="E139" s="130"/>
      <c r="F139" s="128"/>
    </row>
    <row r="144" spans="4:6">
      <c r="D144" s="128"/>
      <c r="E144" s="133"/>
      <c r="F144" s="128"/>
    </row>
    <row r="156" spans="4:8">
      <c r="D156" s="128"/>
      <c r="E156" s="138"/>
      <c r="F156" s="128"/>
      <c r="H156" s="128"/>
    </row>
    <row r="160" spans="4:8">
      <c r="E160"/>
    </row>
    <row r="162" spans="5:5">
      <c r="E162" s="127"/>
    </row>
    <row r="163" spans="5:5">
      <c r="E163" s="127"/>
    </row>
    <row r="179" spans="8:8">
      <c r="H179" s="128"/>
    </row>
    <row r="190" spans="8:8">
      <c r="H190" s="128"/>
    </row>
    <row r="195" spans="8:8">
      <c r="H195" s="128"/>
    </row>
  </sheetData>
  <sheetProtection selectLockedCells="1" selectUnlockedCells="1"/>
  <hyperlinks>
    <hyperlink ref="F10" r:id="rId1" xr:uid="{CE23CF89-E99B-4F90-A0E1-064A154B72A2}"/>
    <hyperlink ref="H11" r:id="rId2" location=":~:text=4%2C%202025-,Today's%20largest%20data%20center%20can%20do%20more%20than%2020%20GPT,scale%20training%20runs%20each%20month&amp;text=Microsoft's%20Fairwater%20Atlanta%20data%20center,train%20the%20original%20GPT%2D4." xr:uid="{DEAB46B5-2647-4DF9-BF18-0F49720C55C4}"/>
    <hyperlink ref="H12" r:id="rId3" xr:uid="{6D5B1D4E-9F99-4312-B8F1-A88EC1307482}"/>
    <hyperlink ref="F54" r:id="rId4" xr:uid="{EC180CBD-976D-40AD-9C75-119A5036E9CE}"/>
    <hyperlink ref="F55" r:id="rId5" display="ADEME" xr:uid="{26B2262C-8317-495C-AF72-CB335ED07000}"/>
    <hyperlink ref="F56" r:id="rId6" xr:uid="{07271632-DAFD-4AB0-8B4E-3D3B0364D257}"/>
    <hyperlink ref="F57" r:id="rId7" xr:uid="{031B9BF9-ADF9-4B25-BA44-5E7BA16918FA}"/>
    <hyperlink ref="F58" r:id="rId8" xr:uid="{68CBEEAB-4E6C-4A21-AFF7-1F6327239279}"/>
    <hyperlink ref="F59" r:id="rId9" xr:uid="{4122B640-E94C-401D-9982-7717923FBE24}"/>
    <hyperlink ref="F6" r:id="rId10" xr:uid="{A1D35F64-136C-46C7-AAD5-8087CC2D98EA}"/>
    <hyperlink ref="F5" r:id="rId11" xr:uid="{93F3EB99-9FF9-402C-9F90-835FB071166B}"/>
    <hyperlink ref="F60" r:id="rId12" display="ADEME" xr:uid="{D40C154B-F024-4B84-AD20-7098532FD374}"/>
  </hyperlinks>
  <pageMargins left="0.7" right="0.7" top="0.75" bottom="0.75" header="0.3" footer="0.3"/>
  <pageSetup paperSize="9" orientation="portrait" r:id="rId13"/>
  <headerFooter>
    <oddFooter>&amp;L_x000D_&amp;1#&amp;"Aptos"&amp;10&amp;K008000 Interne</oddFooter>
  </headerFooter>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AC0E-1F75-468B-A021-13E3629B03D9}">
  <sheetPr codeName="Sheet6">
    <tabColor theme="3"/>
    <pageSetUpPr fitToPage="1"/>
  </sheetPr>
  <dimension ref="A1:AF198"/>
  <sheetViews>
    <sheetView topLeftCell="A31" zoomScale="111" zoomScaleNormal="70" workbookViewId="0">
      <pane xSplit="3" topLeftCell="D1" activePane="topRight" state="frozen"/>
      <selection activeCell="D47" sqref="D47"/>
      <selection pane="topRight" activeCell="N15" sqref="N15"/>
    </sheetView>
  </sheetViews>
  <sheetFormatPr baseColWidth="10" defaultColWidth="10.77734375" defaultRowHeight="15" customHeight="1"/>
  <cols>
    <col min="2" max="2" width="15.77734375" bestFit="1" customWidth="1"/>
    <col min="3" max="3" width="19.77734375" bestFit="1" customWidth="1"/>
    <col min="4" max="4" width="12.77734375" bestFit="1" customWidth="1"/>
    <col min="5" max="6" width="16.109375" customWidth="1"/>
    <col min="7" max="7" width="15.109375" customWidth="1"/>
    <col min="8" max="8" width="15.44140625" bestFit="1" customWidth="1"/>
    <col min="9" max="9" width="22.109375" bestFit="1" customWidth="1"/>
    <col min="10" max="10" width="22.6640625" bestFit="1" customWidth="1"/>
    <col min="11" max="11" width="11.77734375" customWidth="1"/>
    <col min="12" max="12" width="15.44140625" bestFit="1" customWidth="1"/>
    <col min="13" max="13" width="8.109375" bestFit="1" customWidth="1"/>
    <col min="14" max="14" width="16.44140625" customWidth="1"/>
    <col min="15" max="15" width="12.33203125" customWidth="1"/>
    <col min="16" max="16" width="13.33203125" customWidth="1"/>
    <col min="17" max="17" width="10.77734375" bestFit="1" customWidth="1"/>
    <col min="18" max="18" width="10.109375" customWidth="1"/>
    <col min="19" max="19" width="13.44140625" customWidth="1"/>
    <col min="22" max="22" width="15.109375" customWidth="1"/>
    <col min="25" max="25" width="36.109375" bestFit="1" customWidth="1"/>
    <col min="26" max="26" width="20.44140625" bestFit="1" customWidth="1"/>
    <col min="29" max="29" width="12.44140625" bestFit="1" customWidth="1"/>
    <col min="32" max="32" width="12.44140625" bestFit="1" customWidth="1"/>
    <col min="35" max="36" width="23.77734375" bestFit="1" customWidth="1"/>
    <col min="37" max="37" width="32.33203125" bestFit="1" customWidth="1"/>
    <col min="38" max="38" width="18.109375" bestFit="1" customWidth="1"/>
  </cols>
  <sheetData>
    <row r="1" spans="1:32">
      <c r="A1" t="s">
        <v>266</v>
      </c>
      <c r="B1" t="s">
        <v>344</v>
      </c>
      <c r="C1" t="s">
        <v>345</v>
      </c>
      <c r="D1" t="s">
        <v>236</v>
      </c>
      <c r="E1" t="s">
        <v>346</v>
      </c>
      <c r="F1" t="s">
        <v>347</v>
      </c>
      <c r="G1" t="s">
        <v>348</v>
      </c>
      <c r="H1" t="s">
        <v>349</v>
      </c>
      <c r="I1" t="s">
        <v>350</v>
      </c>
      <c r="J1" t="s">
        <v>351</v>
      </c>
      <c r="K1" t="s">
        <v>352</v>
      </c>
      <c r="L1" t="s">
        <v>353</v>
      </c>
      <c r="M1" t="s">
        <v>165</v>
      </c>
      <c r="N1" t="s">
        <v>354</v>
      </c>
      <c r="O1" t="s">
        <v>231</v>
      </c>
      <c r="P1" t="s">
        <v>355</v>
      </c>
      <c r="Q1" t="s">
        <v>58</v>
      </c>
      <c r="R1" t="s">
        <v>60</v>
      </c>
      <c r="S1" t="s">
        <v>64</v>
      </c>
      <c r="T1" t="s">
        <v>356</v>
      </c>
      <c r="U1" t="s">
        <v>357</v>
      </c>
      <c r="V1" t="s">
        <v>358</v>
      </c>
      <c r="W1" t="s">
        <v>241</v>
      </c>
      <c r="X1" t="s">
        <v>115</v>
      </c>
      <c r="Y1" t="s">
        <v>90</v>
      </c>
      <c r="Z1" t="s">
        <v>359</v>
      </c>
      <c r="AA1" t="s">
        <v>360</v>
      </c>
      <c r="AB1" t="s">
        <v>361</v>
      </c>
      <c r="AC1" t="s">
        <v>131</v>
      </c>
      <c r="AD1" t="s">
        <v>362</v>
      </c>
    </row>
    <row r="2" spans="1:32" ht="75.75">
      <c r="A2" t="s">
        <v>363</v>
      </c>
      <c r="B2" t="s">
        <v>21</v>
      </c>
      <c r="C2" s="1" t="s">
        <v>23</v>
      </c>
      <c r="D2" s="1" t="s">
        <v>364</v>
      </c>
      <c r="E2" t="s">
        <v>365</v>
      </c>
      <c r="F2">
        <v>300</v>
      </c>
      <c r="I2">
        <v>30</v>
      </c>
      <c r="J2">
        <v>90</v>
      </c>
      <c r="K2" s="4" t="s">
        <v>366</v>
      </c>
      <c r="L2" t="s">
        <v>367</v>
      </c>
      <c r="M2">
        <f t="shared" ref="M2:M8" si="0">AVERAGE(1.09,1.14)</f>
        <v>1.115</v>
      </c>
      <c r="N2" s="4" t="s">
        <v>368</v>
      </c>
      <c r="O2">
        <f t="shared" ref="O2:O8" si="1">AVERAGE(0.13,0.99)</f>
        <v>0.56000000000000005</v>
      </c>
      <c r="P2" s="4" t="s">
        <v>369</v>
      </c>
      <c r="Q2">
        <f t="shared" ref="Q2:Q34" si="2">IF(
  NOT(ISBLANK(F2)),
 F2,
  IF(
    AND(NOT(ISBLANK(G2)), NOT(ISBLANK(H2))),
    INT(AVERAGE(G2, H2)),
    ""
  )
)</f>
        <v>300</v>
      </c>
      <c r="R2">
        <f t="shared" ref="R2:R34" si="3">IF(
  NOT(ISBLANK(I2)),
INT(AVERAGE(I2,J2)),
  IF(
    AND(NOT(ISBLANK(G2)), NOT(ISBLANK(H2))),
   INT(AVERAGE(G2, H2)),
    ""
  )
)</f>
        <v>60</v>
      </c>
      <c r="S2" s="2">
        <v>74.2</v>
      </c>
      <c r="T2">
        <v>0.53</v>
      </c>
      <c r="U2">
        <f>0.062*(Tableau1[[#This Row],[Average TTFT]]/0.44)</f>
        <v>7.4681818181818183E-2</v>
      </c>
      <c r="V2">
        <f>1000000000</f>
        <v>1000000000</v>
      </c>
      <c r="W2" s="67" t="s">
        <v>370</v>
      </c>
      <c r="X2">
        <f t="shared" ref="X2:X41" si="4">2.25*(10^12)</f>
        <v>2250000000000</v>
      </c>
      <c r="Y2" s="116">
        <f>1500*(1-EXP(-(Tableau1[[#This Row],[P_total]]^2)/1000))*Tableau1[[#This Row],[P_total]]*10^9</f>
        <v>450000000000000</v>
      </c>
      <c r="Z2" s="61">
        <v>45358</v>
      </c>
      <c r="AA2" s="147" t="s">
        <v>371</v>
      </c>
      <c r="AB2" t="str">
        <f ca="1">IF(Tableau1[[#This Row],[Date de publication]]&gt;=EDATE(TODAY(),-24),"Oui","Non")</f>
        <v>Non</v>
      </c>
      <c r="AC2" s="195">
        <v>1400000</v>
      </c>
      <c r="AD2" s="160" t="s">
        <v>372</v>
      </c>
      <c r="AF2" s="195"/>
    </row>
    <row r="3" spans="1:32" ht="75.75">
      <c r="A3" t="s">
        <v>363</v>
      </c>
      <c r="B3" t="s">
        <v>21</v>
      </c>
      <c r="C3" s="1" t="s">
        <v>373</v>
      </c>
      <c r="D3" s="1" t="s">
        <v>364</v>
      </c>
      <c r="E3" t="s">
        <v>374</v>
      </c>
      <c r="G3">
        <v>10</v>
      </c>
      <c r="H3">
        <v>35</v>
      </c>
      <c r="K3" s="4" t="s">
        <v>366</v>
      </c>
      <c r="L3" t="s">
        <v>367</v>
      </c>
      <c r="M3">
        <f t="shared" si="0"/>
        <v>1.115</v>
      </c>
      <c r="N3" s="4" t="s">
        <v>368</v>
      </c>
      <c r="O3">
        <f t="shared" si="1"/>
        <v>0.56000000000000005</v>
      </c>
      <c r="P3" s="4" t="s">
        <v>369</v>
      </c>
      <c r="Q3">
        <f t="shared" si="2"/>
        <v>22</v>
      </c>
      <c r="R3">
        <f t="shared" si="3"/>
        <v>22</v>
      </c>
      <c r="S3" s="2">
        <v>70</v>
      </c>
      <c r="T3">
        <v>0.67</v>
      </c>
      <c r="U3">
        <f>0.062*(Tableau1[[#This Row],[Average TTFT]]/0.44)</f>
        <v>9.4409090909090901E-2</v>
      </c>
      <c r="V3">
        <v>1000000000</v>
      </c>
      <c r="W3" s="67" t="s">
        <v>370</v>
      </c>
      <c r="X3">
        <f t="shared" si="4"/>
        <v>2250000000000</v>
      </c>
      <c r="Y3" s="116">
        <f>1500*(1-EXP(-(Tableau1[[#This Row],[P_total]]^2)/1000))*Tableau1[[#This Row],[P_total]]*10^9</f>
        <v>12661664336894.441</v>
      </c>
      <c r="Z3" s="61">
        <v>45945</v>
      </c>
      <c r="AA3" t="s">
        <v>375</v>
      </c>
      <c r="AB3" t="str">
        <f ca="1">IF(Tableau1[[#This Row],[Date de publication]]&gt;=EDATE(TODAY(),-24),"Oui","Non")</f>
        <v>Oui</v>
      </c>
      <c r="AC3">
        <v>1400000</v>
      </c>
      <c r="AD3" s="160" t="s">
        <v>372</v>
      </c>
    </row>
    <row r="4" spans="1:32" ht="75.75">
      <c r="A4" t="s">
        <v>363</v>
      </c>
      <c r="B4" t="s">
        <v>21</v>
      </c>
      <c r="C4" s="1" t="s">
        <v>376</v>
      </c>
      <c r="D4" s="1" t="s">
        <v>364</v>
      </c>
      <c r="E4" t="s">
        <v>365</v>
      </c>
      <c r="F4">
        <v>440</v>
      </c>
      <c r="I4">
        <v>44</v>
      </c>
      <c r="J4">
        <v>132</v>
      </c>
      <c r="K4" s="4" t="s">
        <v>366</v>
      </c>
      <c r="L4" t="s">
        <v>367</v>
      </c>
      <c r="M4">
        <f t="shared" si="0"/>
        <v>1.115</v>
      </c>
      <c r="N4" s="4" t="s">
        <v>368</v>
      </c>
      <c r="O4">
        <f t="shared" si="1"/>
        <v>0.56000000000000005</v>
      </c>
      <c r="P4" s="4" t="s">
        <v>369</v>
      </c>
      <c r="Q4">
        <f t="shared" si="2"/>
        <v>440</v>
      </c>
      <c r="R4">
        <f t="shared" si="3"/>
        <v>88</v>
      </c>
      <c r="S4">
        <v>46</v>
      </c>
      <c r="T4">
        <v>1.31</v>
      </c>
      <c r="U4">
        <f>0.062*(Tableau1[[#This Row],[Average TTFT]]/0.44)</f>
        <v>0.18459090909090911</v>
      </c>
      <c r="V4">
        <v>1000000000</v>
      </c>
      <c r="W4" s="67" t="s">
        <v>370</v>
      </c>
      <c r="X4">
        <f t="shared" si="4"/>
        <v>2250000000000</v>
      </c>
      <c r="Y4" s="116">
        <f>1500*(1-EXP(-(Tableau1[[#This Row],[P_total]]^2)/1000))*Tableau1[[#This Row],[P_total]]*10^9</f>
        <v>660000000000000</v>
      </c>
      <c r="Z4" s="61">
        <v>45712</v>
      </c>
      <c r="AA4" t="s">
        <v>375</v>
      </c>
      <c r="AB4" t="str">
        <f ca="1">IF(Tableau1[[#This Row],[Date de publication]]&gt;=EDATE(TODAY(),-24),"Oui","Non")</f>
        <v>Oui</v>
      </c>
      <c r="AC4">
        <v>1400000</v>
      </c>
      <c r="AD4" s="160" t="s">
        <v>372</v>
      </c>
    </row>
    <row r="5" spans="1:32" ht="75.75">
      <c r="A5" t="s">
        <v>363</v>
      </c>
      <c r="B5" t="s">
        <v>21</v>
      </c>
      <c r="C5" s="1" t="s">
        <v>37</v>
      </c>
      <c r="D5" s="1" t="s">
        <v>377</v>
      </c>
      <c r="E5" t="s">
        <v>365</v>
      </c>
      <c r="F5">
        <v>440</v>
      </c>
      <c r="I5">
        <v>44</v>
      </c>
      <c r="J5">
        <v>132</v>
      </c>
      <c r="K5" s="4" t="s">
        <v>366</v>
      </c>
      <c r="L5" t="s">
        <v>367</v>
      </c>
      <c r="M5">
        <f t="shared" si="0"/>
        <v>1.115</v>
      </c>
      <c r="N5" s="4" t="s">
        <v>368</v>
      </c>
      <c r="O5">
        <f t="shared" si="1"/>
        <v>0.56000000000000005</v>
      </c>
      <c r="P5" s="4" t="s">
        <v>369</v>
      </c>
      <c r="Q5">
        <f t="shared" si="2"/>
        <v>440</v>
      </c>
      <c r="R5">
        <f t="shared" si="3"/>
        <v>88</v>
      </c>
      <c r="S5" s="2">
        <v>50</v>
      </c>
      <c r="T5">
        <v>1.31</v>
      </c>
      <c r="U5">
        <f>0.062*(Tableau1[[#This Row],[Average TTFT]]/0.44)</f>
        <v>0.18459090909090911</v>
      </c>
      <c r="V5">
        <v>1000000000</v>
      </c>
      <c r="W5" s="67" t="s">
        <v>370</v>
      </c>
      <c r="X5">
        <f t="shared" si="4"/>
        <v>2250000000000</v>
      </c>
      <c r="Y5" s="116">
        <f>1500*(1-EXP(-(Tableau1[[#This Row],[P_total]]^2)/1000))*Tableau1[[#This Row],[P_total]]*10^9</f>
        <v>660000000000000</v>
      </c>
      <c r="Z5" s="61">
        <v>45799</v>
      </c>
      <c r="AA5" t="s">
        <v>375</v>
      </c>
      <c r="AB5" t="str">
        <f ca="1">IF(Tableau1[[#This Row],[Date de publication]]&gt;=EDATE(TODAY(),-24),"Oui","Non")</f>
        <v>Oui</v>
      </c>
      <c r="AC5">
        <v>1400000</v>
      </c>
      <c r="AD5" s="160" t="s">
        <v>372</v>
      </c>
    </row>
    <row r="6" spans="1:32" ht="75.75">
      <c r="A6" t="s">
        <v>363</v>
      </c>
      <c r="B6" t="s">
        <v>21</v>
      </c>
      <c r="C6" s="1" t="s">
        <v>378</v>
      </c>
      <c r="D6" s="1" t="s">
        <v>377</v>
      </c>
      <c r="E6" t="s">
        <v>365</v>
      </c>
      <c r="F6">
        <v>440</v>
      </c>
      <c r="I6">
        <v>44</v>
      </c>
      <c r="J6">
        <v>132</v>
      </c>
      <c r="K6" s="4" t="s">
        <v>366</v>
      </c>
      <c r="L6" t="s">
        <v>367</v>
      </c>
      <c r="M6">
        <f t="shared" si="0"/>
        <v>1.115</v>
      </c>
      <c r="N6" s="4" t="s">
        <v>368</v>
      </c>
      <c r="O6">
        <f t="shared" si="1"/>
        <v>0.56000000000000005</v>
      </c>
      <c r="P6" s="4" t="s">
        <v>369</v>
      </c>
      <c r="Q6">
        <f t="shared" si="2"/>
        <v>440</v>
      </c>
      <c r="R6">
        <f t="shared" si="3"/>
        <v>88</v>
      </c>
      <c r="S6" s="2">
        <v>36</v>
      </c>
      <c r="T6">
        <v>1.63</v>
      </c>
      <c r="U6">
        <f>0.062*(Tableau1[[#This Row],[Average TTFT]]/0.44)</f>
        <v>0.22968181818181815</v>
      </c>
      <c r="V6">
        <v>1000000000</v>
      </c>
      <c r="W6" s="67" t="s">
        <v>370</v>
      </c>
      <c r="X6">
        <f t="shared" si="4"/>
        <v>2250000000000</v>
      </c>
      <c r="Y6" s="116">
        <f>1500*(1-EXP(-(Tableau1[[#This Row],[P_total]]^2)/1000))*Tableau1[[#This Row],[P_total]]*10^9</f>
        <v>660000000000000</v>
      </c>
      <c r="Z6" s="61">
        <v>45929</v>
      </c>
      <c r="AA6" t="s">
        <v>375</v>
      </c>
      <c r="AB6" t="str">
        <f ca="1">IF(Tableau1[[#This Row],[Date de publication]]&gt;=EDATE(TODAY(),-24),"Oui","Non")</f>
        <v>Oui</v>
      </c>
      <c r="AC6">
        <v>1400000</v>
      </c>
      <c r="AD6" s="160" t="s">
        <v>372</v>
      </c>
    </row>
    <row r="7" spans="1:32" ht="75.75">
      <c r="A7" t="s">
        <v>379</v>
      </c>
      <c r="B7" t="s">
        <v>21</v>
      </c>
      <c r="C7" s="1" t="s">
        <v>380</v>
      </c>
      <c r="D7" s="1" t="s">
        <v>377</v>
      </c>
      <c r="E7" t="s">
        <v>365</v>
      </c>
      <c r="F7">
        <v>440</v>
      </c>
      <c r="I7">
        <v>44</v>
      </c>
      <c r="J7">
        <v>132</v>
      </c>
      <c r="K7" s="4" t="s">
        <v>366</v>
      </c>
      <c r="L7" t="s">
        <v>367</v>
      </c>
      <c r="M7">
        <f t="shared" si="0"/>
        <v>1.115</v>
      </c>
      <c r="N7" s="4" t="s">
        <v>368</v>
      </c>
      <c r="O7">
        <f t="shared" si="1"/>
        <v>0.56000000000000005</v>
      </c>
      <c r="P7" s="4" t="s">
        <v>369</v>
      </c>
      <c r="Q7">
        <f t="shared" si="2"/>
        <v>440</v>
      </c>
      <c r="R7">
        <f t="shared" si="3"/>
        <v>88</v>
      </c>
      <c r="S7" s="2">
        <v>41</v>
      </c>
      <c r="T7">
        <v>1.68</v>
      </c>
      <c r="U7">
        <f>0.062*(Tableau1[[#This Row],[Average TTFT]]/0.44)</f>
        <v>0.2367272727272727</v>
      </c>
      <c r="V7">
        <v>1000000000</v>
      </c>
      <c r="W7" s="67" t="s">
        <v>370</v>
      </c>
      <c r="X7">
        <f t="shared" si="4"/>
        <v>2250000000000</v>
      </c>
      <c r="Y7" s="116">
        <f>1500*(1-EXP(-(Tableau1[[#This Row],[P_total]]^2)/1000))*Tableau1[[#This Row],[P_total]]*10^9</f>
        <v>660000000000000</v>
      </c>
      <c r="Z7" s="61">
        <v>46070</v>
      </c>
      <c r="AA7" s="147" t="s">
        <v>371</v>
      </c>
      <c r="AB7" t="str">
        <f ca="1">IF(Tableau1[[#This Row],[Date de publication]]&gt;=EDATE(TODAY(),-24),"Oui","Non")</f>
        <v>Oui</v>
      </c>
      <c r="AC7">
        <v>1400000</v>
      </c>
      <c r="AD7" s="160" t="s">
        <v>372</v>
      </c>
    </row>
    <row r="8" spans="1:32" ht="75.75">
      <c r="A8" t="s">
        <v>379</v>
      </c>
      <c r="B8" t="s">
        <v>21</v>
      </c>
      <c r="C8" s="1" t="s">
        <v>381</v>
      </c>
      <c r="D8" s="1" t="s">
        <v>377</v>
      </c>
      <c r="E8" t="s">
        <v>365</v>
      </c>
      <c r="F8">
        <v>670</v>
      </c>
      <c r="I8">
        <v>67</v>
      </c>
      <c r="J8">
        <v>200</v>
      </c>
      <c r="K8" s="4" t="s">
        <v>366</v>
      </c>
      <c r="L8" t="s">
        <v>367</v>
      </c>
      <c r="M8">
        <f t="shared" si="0"/>
        <v>1.115</v>
      </c>
      <c r="N8" s="4" t="s">
        <v>368</v>
      </c>
      <c r="O8">
        <f t="shared" si="1"/>
        <v>0.56000000000000005</v>
      </c>
      <c r="P8" s="4" t="s">
        <v>369</v>
      </c>
      <c r="Q8">
        <f t="shared" si="2"/>
        <v>670</v>
      </c>
      <c r="R8">
        <f t="shared" si="3"/>
        <v>133</v>
      </c>
      <c r="S8" s="2">
        <v>33.200000000000003</v>
      </c>
      <c r="T8">
        <v>2.4500000000000002</v>
      </c>
      <c r="U8">
        <f>0.062*(Tableau1[[#This Row],[Average TTFT]]/0.44)</f>
        <v>0.34522727272727272</v>
      </c>
      <c r="V8">
        <v>1000000000</v>
      </c>
      <c r="W8" s="67" t="s">
        <v>370</v>
      </c>
      <c r="X8">
        <f t="shared" si="4"/>
        <v>2250000000000</v>
      </c>
      <c r="Y8" s="116">
        <f>1500*(1-EXP(-(Tableau1[[#This Row],[P_total]]^2)/1000))*Tableau1[[#This Row],[P_total]]*10^9</f>
        <v>1005000000000000</v>
      </c>
      <c r="Z8" s="61">
        <v>46058</v>
      </c>
      <c r="AA8" s="147" t="s">
        <v>382</v>
      </c>
      <c r="AB8" t="str">
        <f ca="1">IF(Tableau1[[#This Row],[Date de publication]]&gt;=EDATE(TODAY(),-24),"Oui","Non")</f>
        <v>Oui</v>
      </c>
      <c r="AC8">
        <v>1400000</v>
      </c>
      <c r="AD8" s="160" t="s">
        <v>372</v>
      </c>
    </row>
    <row r="9" spans="1:32" ht="75.75">
      <c r="A9" t="s">
        <v>363</v>
      </c>
      <c r="B9" t="s">
        <v>42</v>
      </c>
      <c r="C9" s="1" t="s">
        <v>383</v>
      </c>
      <c r="D9" s="1" t="s">
        <v>364</v>
      </c>
      <c r="E9" t="s">
        <v>365</v>
      </c>
      <c r="F9">
        <v>440</v>
      </c>
      <c r="I9">
        <v>44</v>
      </c>
      <c r="J9">
        <v>132</v>
      </c>
      <c r="K9" s="4" t="s">
        <v>384</v>
      </c>
      <c r="L9" t="s">
        <v>367</v>
      </c>
      <c r="M9">
        <v>1.0900000000000001</v>
      </c>
      <c r="N9" s="4" t="s">
        <v>385</v>
      </c>
      <c r="O9">
        <v>0.99</v>
      </c>
      <c r="P9" s="4" t="s">
        <v>386</v>
      </c>
      <c r="Q9">
        <f t="shared" si="2"/>
        <v>440</v>
      </c>
      <c r="R9">
        <f t="shared" si="3"/>
        <v>88</v>
      </c>
      <c r="S9" s="2">
        <v>66.900000000000006</v>
      </c>
      <c r="T9">
        <v>0.74</v>
      </c>
      <c r="U9">
        <f>0.062*(Tableau1[[#This Row],[Average TTFT]]/0.44)</f>
        <v>0.10427272727272728</v>
      </c>
      <c r="V9">
        <v>3000000000</v>
      </c>
      <c r="W9" s="67" t="s">
        <v>387</v>
      </c>
      <c r="X9">
        <f t="shared" si="4"/>
        <v>2250000000000</v>
      </c>
      <c r="Y9" s="116">
        <f>1500*(1-EXP(-(Tableau1[[#This Row],[P_total]]^2)/1000))*Tableau1[[#This Row],[P_total]]*10^9</f>
        <v>660000000000000</v>
      </c>
      <c r="Z9" s="61">
        <v>45825</v>
      </c>
      <c r="AA9" s="147" t="s">
        <v>42</v>
      </c>
      <c r="AB9" t="str">
        <f ca="1">IF(Tableau1[[#This Row],[Date de publication]]&gt;=EDATE(TODAY(),-24),"Oui","Non")</f>
        <v>Oui</v>
      </c>
      <c r="AC9">
        <v>9000000</v>
      </c>
      <c r="AD9" s="160" t="s">
        <v>388</v>
      </c>
    </row>
    <row r="10" spans="1:32" ht="75.75">
      <c r="A10" t="s">
        <v>363</v>
      </c>
      <c r="B10" t="s">
        <v>42</v>
      </c>
      <c r="C10" s="1" t="s">
        <v>389</v>
      </c>
      <c r="D10" s="1" t="s">
        <v>390</v>
      </c>
      <c r="E10" t="s">
        <v>365</v>
      </c>
      <c r="F10">
        <v>440</v>
      </c>
      <c r="I10">
        <v>44</v>
      </c>
      <c r="J10">
        <v>132</v>
      </c>
      <c r="K10" s="4" t="s">
        <v>384</v>
      </c>
      <c r="L10" t="s">
        <v>367</v>
      </c>
      <c r="M10">
        <v>1.0900000000000001</v>
      </c>
      <c r="N10" s="4" t="s">
        <v>385</v>
      </c>
      <c r="O10">
        <v>0.99</v>
      </c>
      <c r="P10" s="4" t="s">
        <v>386</v>
      </c>
      <c r="Q10">
        <f t="shared" si="2"/>
        <v>440</v>
      </c>
      <c r="R10">
        <f t="shared" si="3"/>
        <v>88</v>
      </c>
      <c r="S10" s="2">
        <v>110.8</v>
      </c>
      <c r="T10">
        <v>5.87</v>
      </c>
      <c r="U10">
        <f>0.062*(Tableau1[[#This Row],[Average TTFT]]/0.44)</f>
        <v>0.82713636363636367</v>
      </c>
      <c r="V10">
        <v>3000000000</v>
      </c>
      <c r="W10" s="67" t="s">
        <v>387</v>
      </c>
      <c r="X10">
        <f t="shared" si="4"/>
        <v>2250000000000</v>
      </c>
      <c r="Y10" s="116">
        <f>1500*(1-EXP(-(Tableau1[[#This Row],[P_total]]^2)/1000))*Tableau1[[#This Row],[P_total]]*10^9</f>
        <v>660000000000000</v>
      </c>
      <c r="Z10" s="61">
        <v>45932</v>
      </c>
      <c r="AA10" s="147" t="s">
        <v>42</v>
      </c>
      <c r="AB10" t="str">
        <f ca="1">IF(Tableau1[[#This Row],[Date de publication]]&gt;=EDATE(TODAY(),-24),"Oui","Non")</f>
        <v>Oui</v>
      </c>
      <c r="AC10" s="195">
        <v>9000000</v>
      </c>
      <c r="AD10" s="160" t="s">
        <v>388</v>
      </c>
    </row>
    <row r="11" spans="1:32" ht="75.75">
      <c r="A11" t="s">
        <v>379</v>
      </c>
      <c r="B11" t="s">
        <v>42</v>
      </c>
      <c r="C11" s="1" t="s">
        <v>391</v>
      </c>
      <c r="D11" s="1" t="s">
        <v>392</v>
      </c>
      <c r="E11" t="s">
        <v>374</v>
      </c>
      <c r="G11">
        <v>8</v>
      </c>
      <c r="H11">
        <v>28</v>
      </c>
      <c r="K11" s="4" t="s">
        <v>384</v>
      </c>
      <c r="L11" t="s">
        <v>367</v>
      </c>
      <c r="M11">
        <v>1.0900000000000001</v>
      </c>
      <c r="N11" s="4" t="s">
        <v>385</v>
      </c>
      <c r="O11">
        <v>0.99</v>
      </c>
      <c r="P11" s="4" t="s">
        <v>386</v>
      </c>
      <c r="Q11">
        <f t="shared" si="2"/>
        <v>18</v>
      </c>
      <c r="R11">
        <f t="shared" si="3"/>
        <v>18</v>
      </c>
      <c r="S11" s="2">
        <v>71.5</v>
      </c>
      <c r="T11">
        <v>0.56000000000000005</v>
      </c>
      <c r="U11">
        <f>0.062*(Tableau1[[#This Row],[Average TTFT]]/0.44)</f>
        <v>7.8909090909090915E-2</v>
      </c>
      <c r="V11">
        <v>3000000000</v>
      </c>
      <c r="W11" s="67" t="s">
        <v>387</v>
      </c>
      <c r="X11">
        <f t="shared" si="4"/>
        <v>2250000000000</v>
      </c>
      <c r="Y11" s="116">
        <f>1500*(1-EXP(-(Tableau1[[#This Row],[P_total]]^2)/1000))*Tableau1[[#This Row],[P_total]]*10^9</f>
        <v>7472243455744.2559</v>
      </c>
      <c r="Z11" s="61">
        <v>45860</v>
      </c>
      <c r="AA11" s="147" t="s">
        <v>42</v>
      </c>
      <c r="AB11" t="str">
        <f ca="1">IF(Tableau1[[#This Row],[Date de publication]]&gt;=EDATE(TODAY(),-24),"Oui","Non")</f>
        <v>Oui</v>
      </c>
      <c r="AC11">
        <v>9000000</v>
      </c>
      <c r="AD11" s="160" t="s">
        <v>388</v>
      </c>
    </row>
    <row r="12" spans="1:32" ht="75.75">
      <c r="A12" t="s">
        <v>363</v>
      </c>
      <c r="B12" t="s">
        <v>42</v>
      </c>
      <c r="C12" s="1" t="s">
        <v>38</v>
      </c>
      <c r="D12" s="1" t="s">
        <v>377</v>
      </c>
      <c r="E12" t="s">
        <v>365</v>
      </c>
      <c r="F12">
        <v>2000</v>
      </c>
      <c r="I12">
        <v>200</v>
      </c>
      <c r="J12">
        <v>600</v>
      </c>
      <c r="K12" s="4" t="s">
        <v>384</v>
      </c>
      <c r="L12" t="s">
        <v>367</v>
      </c>
      <c r="M12">
        <v>1.0900000000000001</v>
      </c>
      <c r="N12" s="4" t="s">
        <v>385</v>
      </c>
      <c r="O12">
        <v>0.99</v>
      </c>
      <c r="P12" s="4" t="s">
        <v>386</v>
      </c>
      <c r="Q12">
        <f t="shared" si="2"/>
        <v>2000</v>
      </c>
      <c r="R12">
        <f t="shared" si="3"/>
        <v>400</v>
      </c>
      <c r="S12" s="2">
        <v>91.1</v>
      </c>
      <c r="T12">
        <v>2.83</v>
      </c>
      <c r="U12">
        <f>0.062*(Tableau1[[#This Row],[Average TTFT]]/0.44)</f>
        <v>0.39877272727272728</v>
      </c>
      <c r="V12">
        <v>3000000000</v>
      </c>
      <c r="W12" s="67" t="s">
        <v>387</v>
      </c>
      <c r="X12">
        <f t="shared" si="4"/>
        <v>2250000000000</v>
      </c>
      <c r="Y12" s="116">
        <f>1500*(1-EXP(-(Tableau1[[#This Row],[P_total]]^2)/1000))*Tableau1[[#This Row],[P_total]]*10^9</f>
        <v>3000000000000000</v>
      </c>
      <c r="Z12" s="61">
        <v>45637</v>
      </c>
      <c r="AA12" t="s">
        <v>375</v>
      </c>
      <c r="AB12" t="str">
        <f ca="1">IF(Tableau1[[#This Row],[Date de publication]]&gt;=EDATE(TODAY(),-24),"Oui","Non")</f>
        <v>Oui</v>
      </c>
      <c r="AC12">
        <v>9000000</v>
      </c>
      <c r="AD12" s="160" t="s">
        <v>388</v>
      </c>
    </row>
    <row r="13" spans="1:32" ht="34.5">
      <c r="A13" t="s">
        <v>363</v>
      </c>
      <c r="B13" t="s">
        <v>40</v>
      </c>
      <c r="C13" s="1" t="s">
        <v>393</v>
      </c>
      <c r="D13" s="1" t="s">
        <v>364</v>
      </c>
      <c r="E13" t="s">
        <v>374</v>
      </c>
      <c r="G13">
        <v>22.25</v>
      </c>
      <c r="H13">
        <v>22.25</v>
      </c>
      <c r="K13" s="4" t="s">
        <v>394</v>
      </c>
      <c r="L13" t="s">
        <v>498</v>
      </c>
      <c r="M13">
        <v>1.1599999999999999</v>
      </c>
      <c r="N13" s="4" t="s">
        <v>395</v>
      </c>
      <c r="O13">
        <v>0.09</v>
      </c>
      <c r="P13" s="4" t="s">
        <v>395</v>
      </c>
      <c r="Q13">
        <f t="shared" si="2"/>
        <v>22</v>
      </c>
      <c r="R13">
        <f t="shared" si="3"/>
        <v>22</v>
      </c>
      <c r="S13" s="2">
        <v>54.4</v>
      </c>
      <c r="T13">
        <v>0.23</v>
      </c>
      <c r="U13">
        <f>0.062*(Tableau1[[#This Row],[Average TTFT]]/0.44)</f>
        <v>3.2409090909090908E-2</v>
      </c>
      <c r="V13">
        <v>40000000</v>
      </c>
      <c r="W13" s="67" t="s">
        <v>396</v>
      </c>
      <c r="X13">
        <f t="shared" si="4"/>
        <v>2250000000000</v>
      </c>
      <c r="Y13" s="116">
        <f>1500*(1-EXP(-(Tableau1[[#This Row],[P_total]]^2)/1000))*Tableau1[[#This Row],[P_total]]*10^9</f>
        <v>12661664336894.441</v>
      </c>
      <c r="Z13" s="61">
        <v>45670</v>
      </c>
      <c r="AA13" s="147" t="s">
        <v>40</v>
      </c>
      <c r="AB13" t="str">
        <f ca="1">IF(Tableau1[[#This Row],[Date de publication]]&gt;=EDATE(TODAY(),-24),"Oui","Non")</f>
        <v>Oui</v>
      </c>
      <c r="AC13">
        <v>200000</v>
      </c>
      <c r="AD13" s="4" t="s">
        <v>397</v>
      </c>
    </row>
    <row r="14" spans="1:32" ht="34.5">
      <c r="A14" t="s">
        <v>363</v>
      </c>
      <c r="B14" t="s">
        <v>40</v>
      </c>
      <c r="C14" s="1" t="s">
        <v>398</v>
      </c>
      <c r="D14" s="1" t="s">
        <v>364</v>
      </c>
      <c r="E14" t="s">
        <v>374</v>
      </c>
      <c r="G14">
        <v>70</v>
      </c>
      <c r="H14">
        <v>120</v>
      </c>
      <c r="K14" s="4" t="s">
        <v>399</v>
      </c>
      <c r="L14" t="s">
        <v>498</v>
      </c>
      <c r="M14">
        <v>1.1599999999999999</v>
      </c>
      <c r="N14" s="4" t="s">
        <v>395</v>
      </c>
      <c r="O14">
        <v>0.09</v>
      </c>
      <c r="P14" s="4" t="s">
        <v>395</v>
      </c>
      <c r="Q14">
        <f t="shared" si="2"/>
        <v>95</v>
      </c>
      <c r="R14">
        <f t="shared" si="3"/>
        <v>95</v>
      </c>
      <c r="S14" s="2">
        <v>48.6</v>
      </c>
      <c r="T14">
        <v>0.41</v>
      </c>
      <c r="U14">
        <f>0.062*(Tableau1[[#This Row],[Average TTFT]]/0.44)</f>
        <v>5.7772727272727267E-2</v>
      </c>
      <c r="V14">
        <v>40000000</v>
      </c>
      <c r="W14" s="67" t="s">
        <v>396</v>
      </c>
      <c r="X14">
        <f t="shared" si="4"/>
        <v>2250000000000</v>
      </c>
      <c r="Y14" s="116">
        <f>1500*(1-EXP(-(Tableau1[[#This Row],[P_total]]^2)/1000))*Tableau1[[#This Row],[P_total]]*10^9</f>
        <v>142482848300263.66</v>
      </c>
      <c r="Z14" s="61">
        <v>45818</v>
      </c>
      <c r="AA14" s="147" t="s">
        <v>40</v>
      </c>
      <c r="AB14" t="str">
        <f ca="1">IF(Tableau1[[#This Row],[Date de publication]]&gt;=EDATE(TODAY(),-24),"Oui","Non")</f>
        <v>Oui</v>
      </c>
      <c r="AC14">
        <v>200000</v>
      </c>
      <c r="AD14" s="4" t="s">
        <v>397</v>
      </c>
    </row>
    <row r="15" spans="1:32" ht="135">
      <c r="A15" t="s">
        <v>363</v>
      </c>
      <c r="B15" t="s">
        <v>40</v>
      </c>
      <c r="C15" s="1" t="s">
        <v>400</v>
      </c>
      <c r="D15" s="1" t="s">
        <v>392</v>
      </c>
      <c r="E15" t="s">
        <v>374</v>
      </c>
      <c r="G15">
        <v>3.32</v>
      </c>
      <c r="H15">
        <v>3.32</v>
      </c>
      <c r="K15" s="4" t="s">
        <v>401</v>
      </c>
      <c r="L15" t="s">
        <v>498</v>
      </c>
      <c r="M15">
        <v>1.1599999999999999</v>
      </c>
      <c r="N15" s="4" t="s">
        <v>395</v>
      </c>
      <c r="O15">
        <v>0.09</v>
      </c>
      <c r="P15" s="4" t="s">
        <v>395</v>
      </c>
      <c r="Q15">
        <f t="shared" si="2"/>
        <v>3</v>
      </c>
      <c r="R15">
        <f t="shared" si="3"/>
        <v>3</v>
      </c>
      <c r="S15" s="2">
        <v>65.2</v>
      </c>
      <c r="T15">
        <v>0.23</v>
      </c>
      <c r="U15">
        <f>0.062*(Tableau1[[#This Row],[Average TTFT]]/0.44)</f>
        <v>3.2409090909090908E-2</v>
      </c>
      <c r="V15">
        <v>40000000</v>
      </c>
      <c r="W15" s="67" t="s">
        <v>396</v>
      </c>
      <c r="X15">
        <f t="shared" si="4"/>
        <v>2250000000000</v>
      </c>
      <c r="Y15" s="116">
        <f>1500*(1-EXP(-(Tableau1[[#This Row],[P_total]]^2)/1000))*Tableau1[[#This Row],[P_total]]*10^9</f>
        <v>40318295522.023598</v>
      </c>
      <c r="Z15" s="61">
        <v>45574</v>
      </c>
      <c r="AA15" s="147" t="s">
        <v>40</v>
      </c>
      <c r="AB15" t="str">
        <f ca="1">IF(Tableau1[[#This Row],[Date de publication]]&gt;=EDATE(TODAY(),-24),"Oui","Non")</f>
        <v>Oui</v>
      </c>
      <c r="AC15">
        <v>200000</v>
      </c>
      <c r="AD15" s="197" t="s">
        <v>397</v>
      </c>
    </row>
    <row r="16" spans="1:32" ht="34.5">
      <c r="A16" t="s">
        <v>363</v>
      </c>
      <c r="B16" t="s">
        <v>40</v>
      </c>
      <c r="C16" s="1" t="s">
        <v>402</v>
      </c>
      <c r="D16" s="1" t="s">
        <v>392</v>
      </c>
      <c r="E16" t="s">
        <v>374</v>
      </c>
      <c r="G16">
        <v>8.02</v>
      </c>
      <c r="H16">
        <v>8.02</v>
      </c>
      <c r="K16" s="4" t="s">
        <v>401</v>
      </c>
      <c r="L16" t="s">
        <v>498</v>
      </c>
      <c r="M16">
        <v>1.1599999999999999</v>
      </c>
      <c r="N16" s="4" t="s">
        <v>395</v>
      </c>
      <c r="O16">
        <v>0.09</v>
      </c>
      <c r="P16" s="4" t="s">
        <v>395</v>
      </c>
      <c r="Q16">
        <f t="shared" si="2"/>
        <v>8</v>
      </c>
      <c r="R16">
        <f t="shared" si="3"/>
        <v>8</v>
      </c>
      <c r="S16" s="2">
        <v>87.8</v>
      </c>
      <c r="T16">
        <v>0.27</v>
      </c>
      <c r="U16">
        <f>0.062*(Tableau1[[#This Row],[Average TTFT]]/0.44)</f>
        <v>3.8045454545454549E-2</v>
      </c>
      <c r="V16">
        <v>40000000</v>
      </c>
      <c r="W16" s="67" t="s">
        <v>396</v>
      </c>
      <c r="X16">
        <f t="shared" si="4"/>
        <v>2250000000000</v>
      </c>
      <c r="Y16" s="116">
        <f>1500*(1-EXP(-(Tableau1[[#This Row],[P_total]]^2)/1000))*Tableau1[[#This Row],[P_total]]*10^9</f>
        <v>743940005631.24646</v>
      </c>
      <c r="Z16" s="61">
        <v>45574</v>
      </c>
      <c r="AA16" s="147" t="s">
        <v>40</v>
      </c>
      <c r="AB16" t="str">
        <f ca="1">IF(Tableau1[[#This Row],[Date de publication]]&gt;=EDATE(TODAY(),-24),"Oui","Non")</f>
        <v>Oui</v>
      </c>
      <c r="AC16">
        <v>200000</v>
      </c>
      <c r="AD16" s="4" t="s">
        <v>397</v>
      </c>
    </row>
    <row r="17" spans="1:30" ht="34.5">
      <c r="A17" t="s">
        <v>363</v>
      </c>
      <c r="B17" t="s">
        <v>40</v>
      </c>
      <c r="C17" s="1" t="s">
        <v>36</v>
      </c>
      <c r="D17" s="1" t="s">
        <v>377</v>
      </c>
      <c r="E17" t="s">
        <v>374</v>
      </c>
      <c r="G17">
        <v>122.61</v>
      </c>
      <c r="H17">
        <v>122.61</v>
      </c>
      <c r="K17" s="4" t="s">
        <v>403</v>
      </c>
      <c r="L17" t="s">
        <v>498</v>
      </c>
      <c r="M17">
        <v>1.1599999999999999</v>
      </c>
      <c r="N17" s="4" t="s">
        <v>395</v>
      </c>
      <c r="O17">
        <v>0.09</v>
      </c>
      <c r="P17" s="4" t="s">
        <v>395</v>
      </c>
      <c r="Q17">
        <f t="shared" si="2"/>
        <v>122</v>
      </c>
      <c r="R17">
        <f t="shared" si="3"/>
        <v>122</v>
      </c>
      <c r="S17" s="2">
        <v>35.6</v>
      </c>
      <c r="T17">
        <v>0.45</v>
      </c>
      <c r="U17">
        <f>0.062*(Tableau1[[#This Row],[Average TTFT]]/0.44)</f>
        <v>6.3409090909090901E-2</v>
      </c>
      <c r="V17">
        <v>40000000</v>
      </c>
      <c r="W17" s="67" t="s">
        <v>396</v>
      </c>
      <c r="X17">
        <f t="shared" si="4"/>
        <v>2250000000000</v>
      </c>
      <c r="Y17" s="116">
        <f>1500*(1-EXP(-(Tableau1[[#This Row],[P_total]]^2)/1000))*Tableau1[[#This Row],[P_total]]*10^9</f>
        <v>182999937134551.13</v>
      </c>
      <c r="Z17" s="61">
        <v>45348</v>
      </c>
      <c r="AA17" t="s">
        <v>375</v>
      </c>
      <c r="AB17" t="str">
        <f ca="1">IF(Tableau1[[#This Row],[Date de publication]]&gt;=EDATE(TODAY(),-24),"Oui","Non")</f>
        <v>Non</v>
      </c>
      <c r="AC17">
        <v>200000</v>
      </c>
      <c r="AD17" s="4" t="s">
        <v>397</v>
      </c>
    </row>
    <row r="18" spans="1:30" ht="34.5">
      <c r="A18" t="s">
        <v>363</v>
      </c>
      <c r="B18" t="s">
        <v>40</v>
      </c>
      <c r="C18" s="1" t="s">
        <v>404</v>
      </c>
      <c r="D18" s="1" t="s">
        <v>364</v>
      </c>
      <c r="E18" t="s">
        <v>374</v>
      </c>
      <c r="G18">
        <v>70</v>
      </c>
      <c r="H18">
        <v>120</v>
      </c>
      <c r="K18" s="4" t="s">
        <v>399</v>
      </c>
      <c r="L18" t="s">
        <v>498</v>
      </c>
      <c r="M18">
        <v>1.1599999999999999</v>
      </c>
      <c r="N18" s="4" t="s">
        <v>395</v>
      </c>
      <c r="O18">
        <v>0.09</v>
      </c>
      <c r="P18" s="4" t="s">
        <v>395</v>
      </c>
      <c r="Q18">
        <f t="shared" si="2"/>
        <v>95</v>
      </c>
      <c r="R18">
        <f t="shared" si="3"/>
        <v>95</v>
      </c>
      <c r="S18" s="2">
        <v>45.1</v>
      </c>
      <c r="T18">
        <v>0.59</v>
      </c>
      <c r="U18">
        <f>0.062*(Tableau1[[#This Row],[Average TTFT]]/0.44)</f>
        <v>8.3136363636363633E-2</v>
      </c>
      <c r="V18">
        <v>40000000</v>
      </c>
      <c r="W18" s="67" t="s">
        <v>396</v>
      </c>
      <c r="X18">
        <f t="shared" si="4"/>
        <v>2250000000000</v>
      </c>
      <c r="Y18" s="116">
        <f>1500*(1-EXP(-(Tableau1[[#This Row],[P_total]]^2)/1000))*Tableau1[[#This Row],[P_total]]*10^9</f>
        <v>142482848300263.66</v>
      </c>
      <c r="Z18" s="61">
        <v>45881</v>
      </c>
      <c r="AA18" s="147" t="s">
        <v>40</v>
      </c>
      <c r="AB18" t="str">
        <f ca="1">IF(Tableau1[[#This Row],[Date de publication]]&gt;=EDATE(TODAY(),-24),"Oui","Non")</f>
        <v>Oui</v>
      </c>
      <c r="AC18">
        <v>200000</v>
      </c>
      <c r="AD18" s="4" t="s">
        <v>397</v>
      </c>
    </row>
    <row r="19" spans="1:30" ht="34.5">
      <c r="A19" t="s">
        <v>363</v>
      </c>
      <c r="B19" t="s">
        <v>40</v>
      </c>
      <c r="C19" s="1" t="s">
        <v>405</v>
      </c>
      <c r="D19" s="1" t="s">
        <v>377</v>
      </c>
      <c r="E19" t="s">
        <v>374</v>
      </c>
      <c r="G19">
        <v>123</v>
      </c>
      <c r="H19">
        <v>123</v>
      </c>
      <c r="K19" s="4" t="s">
        <v>406</v>
      </c>
      <c r="L19" t="s">
        <v>498</v>
      </c>
      <c r="M19">
        <v>1.1599999999999999</v>
      </c>
      <c r="N19" s="4" t="s">
        <v>395</v>
      </c>
      <c r="O19">
        <v>0.09</v>
      </c>
      <c r="P19" s="4" t="s">
        <v>395</v>
      </c>
      <c r="Q19">
        <f t="shared" si="2"/>
        <v>123</v>
      </c>
      <c r="R19">
        <f t="shared" si="3"/>
        <v>123</v>
      </c>
      <c r="S19" s="2">
        <v>35.6</v>
      </c>
      <c r="T19">
        <v>0.45</v>
      </c>
      <c r="U19">
        <f>0.062*(Tableau1[[#This Row],[Average TTFT]]/0.44)</f>
        <v>6.3409090909090901E-2</v>
      </c>
      <c r="V19">
        <v>40000000</v>
      </c>
      <c r="W19" s="67" t="s">
        <v>396</v>
      </c>
      <c r="X19">
        <f t="shared" si="4"/>
        <v>2250000000000</v>
      </c>
      <c r="Y19" s="116">
        <f>1500*(1-EXP(-(Tableau1[[#This Row],[P_total]]^2)/1000))*Tableau1[[#This Row],[P_total]]*10^9</f>
        <v>184499950391607.59</v>
      </c>
      <c r="Z19" s="61">
        <v>45614</v>
      </c>
      <c r="AA19" t="s">
        <v>375</v>
      </c>
      <c r="AB19" t="str">
        <f ca="1">IF(Tableau1[[#This Row],[Date de publication]]&gt;=EDATE(TODAY(),-24),"Oui","Non")</f>
        <v>Oui</v>
      </c>
      <c r="AC19">
        <v>200000</v>
      </c>
      <c r="AD19" s="4" t="s">
        <v>397</v>
      </c>
    </row>
    <row r="20" spans="1:30" ht="42.75">
      <c r="A20" t="s">
        <v>363</v>
      </c>
      <c r="B20" t="s">
        <v>41</v>
      </c>
      <c r="C20" s="1" t="s">
        <v>407</v>
      </c>
      <c r="D20" s="1" t="s">
        <v>377</v>
      </c>
      <c r="E20" t="s">
        <v>365</v>
      </c>
      <c r="F20">
        <v>1760</v>
      </c>
      <c r="I20">
        <v>176</v>
      </c>
      <c r="J20">
        <v>528</v>
      </c>
      <c r="K20" s="185" t="s">
        <v>408</v>
      </c>
      <c r="L20" t="s">
        <v>367</v>
      </c>
      <c r="M20">
        <v>1.2</v>
      </c>
      <c r="N20" s="4" t="s">
        <v>409</v>
      </c>
      <c r="O20">
        <v>0.56899999999999995</v>
      </c>
      <c r="P20" s="4" t="s">
        <v>410</v>
      </c>
      <c r="Q20">
        <f t="shared" si="2"/>
        <v>1760</v>
      </c>
      <c r="R20">
        <f t="shared" si="3"/>
        <v>352</v>
      </c>
      <c r="S20" s="2">
        <v>12.2</v>
      </c>
      <c r="T20">
        <v>0.74</v>
      </c>
      <c r="U20">
        <f>0.062*(Tableau1[[#This Row],[Average TTFT]]/0.44)</f>
        <v>0.10427272727272728</v>
      </c>
      <c r="V20">
        <v>2000000000</v>
      </c>
      <c r="W20" s="67" t="s">
        <v>411</v>
      </c>
      <c r="X20">
        <f t="shared" si="4"/>
        <v>2250000000000</v>
      </c>
      <c r="Y20" s="116">
        <f>1500*(1-EXP(-(Tableau1[[#This Row],[P_total]]^2)/1000))*Tableau1[[#This Row],[P_total]]*10^9</f>
        <v>2640000000000000</v>
      </c>
      <c r="Z20" s="61">
        <v>45000</v>
      </c>
      <c r="AA20" t="s">
        <v>375</v>
      </c>
      <c r="AB20" t="str">
        <f ca="1">IF(Tableau1[[#This Row],[Date de publication]]&gt;=EDATE(TODAY(),-24),"Oui","Non")</f>
        <v>Non</v>
      </c>
      <c r="AC20">
        <v>1900000</v>
      </c>
      <c r="AD20" s="4" t="s">
        <v>412</v>
      </c>
    </row>
    <row r="21" spans="1:30" ht="150">
      <c r="A21" t="s">
        <v>363</v>
      </c>
      <c r="B21" t="s">
        <v>41</v>
      </c>
      <c r="C21" s="1" t="s">
        <v>35</v>
      </c>
      <c r="D21" s="1" t="s">
        <v>377</v>
      </c>
      <c r="E21" t="s">
        <v>365</v>
      </c>
      <c r="F21">
        <v>880</v>
      </c>
      <c r="I21">
        <v>88</v>
      </c>
      <c r="J21">
        <v>264</v>
      </c>
      <c r="K21" s="185" t="s">
        <v>408</v>
      </c>
      <c r="L21" t="s">
        <v>367</v>
      </c>
      <c r="M21">
        <v>1.2</v>
      </c>
      <c r="N21" s="4" t="s">
        <v>409</v>
      </c>
      <c r="O21">
        <v>0.56899999999999995</v>
      </c>
      <c r="P21" s="4" t="s">
        <v>410</v>
      </c>
      <c r="Q21">
        <f t="shared" si="2"/>
        <v>880</v>
      </c>
      <c r="R21">
        <f t="shared" si="3"/>
        <v>176</v>
      </c>
      <c r="S21" s="2">
        <v>23.6</v>
      </c>
      <c r="T21">
        <v>1.02</v>
      </c>
      <c r="U21">
        <f>0.062*(Tableau1[[#This Row],[Average TTFT]]/0.44)</f>
        <v>0.14372727272727273</v>
      </c>
      <c r="V21" s="117">
        <v>2000000000</v>
      </c>
      <c r="W21" s="67" t="s">
        <v>411</v>
      </c>
      <c r="X21">
        <f t="shared" si="4"/>
        <v>2250000000000</v>
      </c>
      <c r="Y21" s="116">
        <f>1500*(1-EXP(-(Tableau1[[#This Row],[P_total]]^2)/1000))*Tableau1[[#This Row],[P_total]]*10^9</f>
        <v>1320000000000000</v>
      </c>
      <c r="Z21" s="61">
        <v>45602</v>
      </c>
      <c r="AA21" t="s">
        <v>375</v>
      </c>
      <c r="AB21" t="str">
        <f ca="1">IF(Tableau1[[#This Row],[Date de publication]]&gt;=EDATE(TODAY(),-24),"Oui","Non")</f>
        <v>Oui</v>
      </c>
      <c r="AC21">
        <v>2000000</v>
      </c>
      <c r="AD21" s="197" t="s">
        <v>412</v>
      </c>
    </row>
    <row r="22" spans="1:30" ht="42.75">
      <c r="A22" t="s">
        <v>363</v>
      </c>
      <c r="B22" t="s">
        <v>41</v>
      </c>
      <c r="C22" s="1" t="s">
        <v>413</v>
      </c>
      <c r="D22" s="1" t="s">
        <v>364</v>
      </c>
      <c r="E22" t="s">
        <v>365</v>
      </c>
      <c r="F22">
        <v>352</v>
      </c>
      <c r="I22">
        <v>35</v>
      </c>
      <c r="J22">
        <v>106</v>
      </c>
      <c r="K22" s="185" t="s">
        <v>414</v>
      </c>
      <c r="L22" t="s">
        <v>367</v>
      </c>
      <c r="M22">
        <v>1.2</v>
      </c>
      <c r="N22" s="4" t="s">
        <v>409</v>
      </c>
      <c r="O22">
        <v>0.56899999999999995</v>
      </c>
      <c r="P22" s="4" t="s">
        <v>410</v>
      </c>
      <c r="Q22">
        <f t="shared" si="2"/>
        <v>352</v>
      </c>
      <c r="R22">
        <f t="shared" si="3"/>
        <v>70</v>
      </c>
      <c r="S22" s="2">
        <v>44.2</v>
      </c>
      <c r="T22">
        <v>0.73</v>
      </c>
      <c r="U22">
        <f>0.062*(Tableau1[[#This Row],[Average TTFT]]/0.44)</f>
        <v>0.10286363636363635</v>
      </c>
      <c r="V22">
        <v>2000000000</v>
      </c>
      <c r="W22" s="67" t="s">
        <v>411</v>
      </c>
      <c r="X22">
        <f t="shared" si="4"/>
        <v>2250000000000</v>
      </c>
      <c r="Y22" s="116">
        <f>1500*(1-EXP(-(Tableau1[[#This Row],[P_total]]^2)/1000))*Tableau1[[#This Row],[P_total]]*10^9</f>
        <v>528000000000000</v>
      </c>
      <c r="Z22" s="61">
        <v>45791</v>
      </c>
      <c r="AA22" s="147" t="s">
        <v>415</v>
      </c>
      <c r="AB22" t="str">
        <f ca="1">IF(Tableau1[[#This Row],[Date de publication]]&gt;=EDATE(TODAY(),-24),"Oui","Non")</f>
        <v>Oui</v>
      </c>
      <c r="AC22">
        <v>2000000</v>
      </c>
      <c r="AD22" s="4" t="s">
        <v>412</v>
      </c>
    </row>
    <row r="23" spans="1:30" ht="42.75">
      <c r="A23" t="s">
        <v>363</v>
      </c>
      <c r="B23" t="s">
        <v>41</v>
      </c>
      <c r="C23" s="1" t="s">
        <v>416</v>
      </c>
      <c r="D23" s="1" t="s">
        <v>392</v>
      </c>
      <c r="E23" t="s">
        <v>374</v>
      </c>
      <c r="G23">
        <v>10</v>
      </c>
      <c r="H23">
        <v>37</v>
      </c>
      <c r="K23" s="185" t="s">
        <v>414</v>
      </c>
      <c r="L23" t="s">
        <v>367</v>
      </c>
      <c r="M23">
        <v>1.2</v>
      </c>
      <c r="N23" s="4" t="s">
        <v>409</v>
      </c>
      <c r="O23">
        <v>0.56899999999999995</v>
      </c>
      <c r="P23" s="4" t="s">
        <v>410</v>
      </c>
      <c r="Q23">
        <f t="shared" si="2"/>
        <v>23</v>
      </c>
      <c r="R23">
        <f t="shared" si="3"/>
        <v>23</v>
      </c>
      <c r="S23" s="2">
        <v>55.4</v>
      </c>
      <c r="T23">
        <v>0.55000000000000004</v>
      </c>
      <c r="U23">
        <f>0.062*(Tableau1[[#This Row],[Average TTFT]]/0.44)</f>
        <v>7.7499999999999999E-2</v>
      </c>
      <c r="V23">
        <v>2000000000</v>
      </c>
      <c r="W23" s="67" t="s">
        <v>411</v>
      </c>
      <c r="X23">
        <f t="shared" si="4"/>
        <v>2250000000000</v>
      </c>
      <c r="Y23" s="116">
        <f>1500*(1-EXP(-(Tableau1[[#This Row],[P_total]]^2)/1000))*Tableau1[[#This Row],[P_total]]*10^9</f>
        <v>14172811517821.795</v>
      </c>
      <c r="Z23" s="61">
        <v>45761</v>
      </c>
      <c r="AA23" s="147" t="s">
        <v>417</v>
      </c>
      <c r="AB23" t="str">
        <f ca="1">IF(Tableau1[[#This Row],[Date de publication]]&gt;=EDATE(TODAY(),-24),"Oui","Non")</f>
        <v>Oui</v>
      </c>
      <c r="AC23">
        <v>2000000</v>
      </c>
      <c r="AD23" s="4" t="s">
        <v>412</v>
      </c>
    </row>
    <row r="24" spans="1:30" ht="42.75">
      <c r="A24" t="s">
        <v>363</v>
      </c>
      <c r="B24" t="s">
        <v>41</v>
      </c>
      <c r="C24" s="1" t="s">
        <v>418</v>
      </c>
      <c r="D24" s="1" t="s">
        <v>392</v>
      </c>
      <c r="E24" t="s">
        <v>374</v>
      </c>
      <c r="G24">
        <v>40</v>
      </c>
      <c r="H24">
        <v>112</v>
      </c>
      <c r="K24" s="185" t="s">
        <v>414</v>
      </c>
      <c r="L24" t="s">
        <v>367</v>
      </c>
      <c r="M24">
        <v>1.2</v>
      </c>
      <c r="N24" s="4" t="s">
        <v>409</v>
      </c>
      <c r="O24">
        <v>0.56899999999999995</v>
      </c>
      <c r="P24" s="4" t="s">
        <v>410</v>
      </c>
      <c r="Q24">
        <f t="shared" si="2"/>
        <v>76</v>
      </c>
      <c r="R24">
        <f t="shared" si="3"/>
        <v>76</v>
      </c>
      <c r="S24" s="2">
        <v>40.200000000000003</v>
      </c>
      <c r="T24">
        <v>0.62</v>
      </c>
      <c r="U24">
        <f>0.062*(Tableau1[[#This Row],[Average TTFT]]/0.44)</f>
        <v>8.7363636363636366E-2</v>
      </c>
      <c r="V24">
        <v>2000000000</v>
      </c>
      <c r="W24" s="67" t="s">
        <v>411</v>
      </c>
      <c r="X24">
        <f t="shared" si="4"/>
        <v>2250000000000</v>
      </c>
      <c r="Y24" s="116">
        <f>1500*(1-EXP(-(Tableau1[[#This Row],[P_total]]^2)/1000))*Tableau1[[#This Row],[P_total]]*10^9</f>
        <v>113646475168566.77</v>
      </c>
      <c r="Z24" s="61">
        <v>45762</v>
      </c>
      <c r="AA24" s="147" t="s">
        <v>417</v>
      </c>
      <c r="AB24" t="str">
        <f ca="1">IF(Tableau1[[#This Row],[Date de publication]]&gt;=EDATE(TODAY(),-24),"Oui","Non")</f>
        <v>Oui</v>
      </c>
      <c r="AC24">
        <v>2000000</v>
      </c>
      <c r="AD24" s="4" t="s">
        <v>412</v>
      </c>
    </row>
    <row r="25" spans="1:30" ht="42.75">
      <c r="A25" t="s">
        <v>363</v>
      </c>
      <c r="B25" t="s">
        <v>41</v>
      </c>
      <c r="C25" s="1" t="s">
        <v>419</v>
      </c>
      <c r="D25" s="1" t="s">
        <v>364</v>
      </c>
      <c r="E25" t="s">
        <v>365</v>
      </c>
      <c r="F25">
        <v>440</v>
      </c>
      <c r="I25">
        <v>44</v>
      </c>
      <c r="J25">
        <v>132</v>
      </c>
      <c r="K25" s="185" t="s">
        <v>420</v>
      </c>
      <c r="L25" t="s">
        <v>367</v>
      </c>
      <c r="M25">
        <v>1.2</v>
      </c>
      <c r="N25" s="4" t="s">
        <v>409</v>
      </c>
      <c r="O25">
        <v>0.56899999999999995</v>
      </c>
      <c r="P25" s="4" t="s">
        <v>410</v>
      </c>
      <c r="Q25">
        <f t="shared" si="2"/>
        <v>440</v>
      </c>
      <c r="R25">
        <f t="shared" si="3"/>
        <v>88</v>
      </c>
      <c r="S25" s="2">
        <v>40.200000000000003</v>
      </c>
      <c r="T25">
        <v>0.54</v>
      </c>
      <c r="U25">
        <f>0.062*(Tableau1[[#This Row],[Average TTFT]]/0.44)</f>
        <v>7.6090909090909098E-2</v>
      </c>
      <c r="V25">
        <v>2000000000</v>
      </c>
      <c r="W25" s="67" t="s">
        <v>411</v>
      </c>
      <c r="X25">
        <f t="shared" si="4"/>
        <v>2250000000000</v>
      </c>
      <c r="Y25" s="116">
        <f>1500*(1-EXP(-(Tableau1[[#This Row],[P_total]]^2)/1000))*Tableau1[[#This Row],[P_total]]*10^9</f>
        <v>660000000000000</v>
      </c>
      <c r="Z25" s="61">
        <v>45616</v>
      </c>
      <c r="AA25" t="s">
        <v>375</v>
      </c>
      <c r="AB25" t="str">
        <f ca="1">IF(Tableau1[[#This Row],[Date de publication]]&gt;=EDATE(TODAY(),-24),"Oui","Non")</f>
        <v>Oui</v>
      </c>
      <c r="AC25">
        <v>2000000</v>
      </c>
      <c r="AD25" s="4" t="s">
        <v>412</v>
      </c>
    </row>
    <row r="26" spans="1:30" ht="42.75">
      <c r="A26" t="s">
        <v>363</v>
      </c>
      <c r="B26" t="s">
        <v>41</v>
      </c>
      <c r="C26" s="1" t="s">
        <v>421</v>
      </c>
      <c r="D26" s="1" t="s">
        <v>392</v>
      </c>
      <c r="E26" t="s">
        <v>374</v>
      </c>
      <c r="G26">
        <v>8</v>
      </c>
      <c r="H26">
        <v>28</v>
      </c>
      <c r="K26" s="4" t="s">
        <v>422</v>
      </c>
      <c r="L26" t="s">
        <v>367</v>
      </c>
      <c r="M26">
        <v>1.2</v>
      </c>
      <c r="N26" s="4" t="s">
        <v>409</v>
      </c>
      <c r="O26">
        <v>0.56899999999999995</v>
      </c>
      <c r="P26" s="4" t="s">
        <v>410</v>
      </c>
      <c r="Q26">
        <f t="shared" si="2"/>
        <v>18</v>
      </c>
      <c r="R26">
        <f t="shared" si="3"/>
        <v>18</v>
      </c>
      <c r="S26" s="2">
        <v>34.5</v>
      </c>
      <c r="T26">
        <v>0.51</v>
      </c>
      <c r="U26">
        <f>0.062*(Tableau1[[#This Row],[Average TTFT]]/0.44)</f>
        <v>7.1863636363636366E-2</v>
      </c>
      <c r="V26">
        <v>2000000000</v>
      </c>
      <c r="W26" s="67" t="s">
        <v>411</v>
      </c>
      <c r="X26">
        <f t="shared" si="4"/>
        <v>2250000000000</v>
      </c>
      <c r="Y26" s="116">
        <f>1500*(1-EXP(-(Tableau1[[#This Row],[P_total]]^2)/1000))*Tableau1[[#This Row],[P_total]]*10^9</f>
        <v>7472243455744.2559</v>
      </c>
      <c r="Z26" s="61">
        <v>45491</v>
      </c>
      <c r="AA26" t="s">
        <v>375</v>
      </c>
      <c r="AB26" t="str">
        <f ca="1">IF(Tableau1[[#This Row],[Date de publication]]&gt;=EDATE(TODAY(),-24),"Oui","Non")</f>
        <v>Non</v>
      </c>
      <c r="AC26">
        <v>2000000</v>
      </c>
      <c r="AD26" s="4" t="s">
        <v>412</v>
      </c>
    </row>
    <row r="27" spans="1:30" ht="42.75">
      <c r="A27" t="s">
        <v>363</v>
      </c>
      <c r="B27" t="s">
        <v>41</v>
      </c>
      <c r="C27" s="1" t="s">
        <v>423</v>
      </c>
      <c r="D27" s="1" t="s">
        <v>377</v>
      </c>
      <c r="E27" t="s">
        <v>365</v>
      </c>
      <c r="F27">
        <v>300</v>
      </c>
      <c r="I27">
        <v>30</v>
      </c>
      <c r="J27">
        <v>90</v>
      </c>
      <c r="K27" s="185" t="s">
        <v>414</v>
      </c>
      <c r="L27" t="s">
        <v>367</v>
      </c>
      <c r="M27">
        <v>1.2</v>
      </c>
      <c r="N27" s="4" t="s">
        <v>409</v>
      </c>
      <c r="O27">
        <v>0.56899999999999995</v>
      </c>
      <c r="P27" s="4" t="s">
        <v>410</v>
      </c>
      <c r="Q27">
        <f t="shared" si="2"/>
        <v>300</v>
      </c>
      <c r="R27">
        <f t="shared" si="3"/>
        <v>60</v>
      </c>
      <c r="S27" s="2">
        <v>46.2</v>
      </c>
      <c r="T27">
        <v>13.64</v>
      </c>
      <c r="U27">
        <f>0.062*(Tableau1[[#This Row],[Average TTFT]]/0.44)</f>
        <v>1.9219999999999999</v>
      </c>
      <c r="V27">
        <v>2000000000</v>
      </c>
      <c r="W27" s="67" t="s">
        <v>411</v>
      </c>
      <c r="X27">
        <f t="shared" si="4"/>
        <v>2250000000000</v>
      </c>
      <c r="Y27" s="116">
        <f>1500*(1-EXP(-(Tableau1[[#This Row],[P_total]]^2)/1000))*Tableau1[[#This Row],[P_total]]*10^9</f>
        <v>450000000000000</v>
      </c>
      <c r="Z27" s="61">
        <v>45876</v>
      </c>
      <c r="AA27" t="s">
        <v>375</v>
      </c>
      <c r="AB27" t="str">
        <f ca="1">IF(Tableau1[[#This Row],[Date de publication]]&gt;=EDATE(TODAY(),-24),"Oui","Non")</f>
        <v>Oui</v>
      </c>
      <c r="AC27">
        <v>2000000</v>
      </c>
      <c r="AD27" s="4" t="s">
        <v>412</v>
      </c>
    </row>
    <row r="28" spans="1:30" ht="42.75">
      <c r="A28" t="s">
        <v>363</v>
      </c>
      <c r="B28" t="s">
        <v>41</v>
      </c>
      <c r="C28" s="1" t="s">
        <v>424</v>
      </c>
      <c r="D28" s="1" t="s">
        <v>392</v>
      </c>
      <c r="E28" t="s">
        <v>374</v>
      </c>
      <c r="G28">
        <v>25</v>
      </c>
      <c r="H28">
        <v>70</v>
      </c>
      <c r="K28" s="185" t="s">
        <v>414</v>
      </c>
      <c r="L28" t="s">
        <v>367</v>
      </c>
      <c r="M28">
        <v>1.2</v>
      </c>
      <c r="N28" s="4" t="s">
        <v>409</v>
      </c>
      <c r="O28">
        <v>0.56899999999999995</v>
      </c>
      <c r="P28" s="4" t="s">
        <v>410</v>
      </c>
      <c r="Q28">
        <f t="shared" si="2"/>
        <v>47</v>
      </c>
      <c r="R28">
        <f t="shared" si="3"/>
        <v>47</v>
      </c>
      <c r="S28" s="2">
        <v>64.099999999999994</v>
      </c>
      <c r="T28">
        <v>8.3000000000000007</v>
      </c>
      <c r="U28">
        <f>0.062*(Tableau1[[#This Row],[Average TTFT]]/0.44)</f>
        <v>1.1695454545454547</v>
      </c>
      <c r="V28">
        <v>2000000000</v>
      </c>
      <c r="W28" s="67" t="s">
        <v>411</v>
      </c>
      <c r="X28">
        <f t="shared" si="4"/>
        <v>2250000000000</v>
      </c>
      <c r="Y28" s="116">
        <f>1500*(1-EXP(-(Tableau1[[#This Row],[P_total]]^2)/1000))*Tableau1[[#This Row],[P_total]]*10^9</f>
        <v>62758366515698.938</v>
      </c>
      <c r="Z28" s="61">
        <v>45876</v>
      </c>
      <c r="AA28" t="s">
        <v>375</v>
      </c>
      <c r="AB28" t="str">
        <f ca="1">IF(Tableau1[[#This Row],[Date de publication]]&gt;=EDATE(TODAY(),-24),"Oui","Non")</f>
        <v>Oui</v>
      </c>
      <c r="AC28">
        <v>2000000</v>
      </c>
      <c r="AD28" s="4" t="s">
        <v>412</v>
      </c>
    </row>
    <row r="29" spans="1:30" ht="42.75">
      <c r="A29" t="s">
        <v>363</v>
      </c>
      <c r="B29" t="s">
        <v>41</v>
      </c>
      <c r="C29" s="1" t="s">
        <v>425</v>
      </c>
      <c r="D29" s="1" t="s">
        <v>392</v>
      </c>
      <c r="E29" t="s">
        <v>374</v>
      </c>
      <c r="G29">
        <v>5</v>
      </c>
      <c r="H29">
        <v>18.5</v>
      </c>
      <c r="K29" s="185" t="s">
        <v>414</v>
      </c>
      <c r="L29" t="s">
        <v>367</v>
      </c>
      <c r="M29">
        <v>1.2</v>
      </c>
      <c r="N29" s="4" t="s">
        <v>409</v>
      </c>
      <c r="O29">
        <v>0.56899999999999995</v>
      </c>
      <c r="P29" s="4" t="s">
        <v>410</v>
      </c>
      <c r="Q29">
        <f t="shared" si="2"/>
        <v>11</v>
      </c>
      <c r="R29">
        <f t="shared" si="3"/>
        <v>11</v>
      </c>
      <c r="S29" s="2">
        <v>92.8</v>
      </c>
      <c r="T29">
        <v>6.94</v>
      </c>
      <c r="U29">
        <f>0.062*(Tableau1[[#This Row],[Average TTFT]]/0.44)</f>
        <v>0.97790909090909095</v>
      </c>
      <c r="V29">
        <v>2000000000</v>
      </c>
      <c r="W29" s="67" t="s">
        <v>411</v>
      </c>
      <c r="X29">
        <f t="shared" si="4"/>
        <v>2250000000000</v>
      </c>
      <c r="Y29" s="116">
        <f>1500*(1-EXP(-(Tableau1[[#This Row],[P_total]]^2)/1000))*Tableau1[[#This Row],[P_total]]*10^9</f>
        <v>1880439666717.5532</v>
      </c>
      <c r="Z29" s="61">
        <v>45876</v>
      </c>
      <c r="AA29" t="s">
        <v>375</v>
      </c>
      <c r="AB29" t="str">
        <f ca="1">IF(Tableau1[[#This Row],[Date de publication]]&gt;=EDATE(TODAY(),-24),"Oui","Non")</f>
        <v>Oui</v>
      </c>
      <c r="AC29">
        <v>2000000</v>
      </c>
      <c r="AD29" s="4" t="s">
        <v>412</v>
      </c>
    </row>
    <row r="30" spans="1:30" ht="42.75">
      <c r="A30" t="s">
        <v>363</v>
      </c>
      <c r="B30" t="s">
        <v>41</v>
      </c>
      <c r="C30" s="1" t="s">
        <v>426</v>
      </c>
      <c r="D30" s="1" t="s">
        <v>377</v>
      </c>
      <c r="E30" t="s">
        <v>365</v>
      </c>
      <c r="F30">
        <v>300</v>
      </c>
      <c r="I30">
        <v>30</v>
      </c>
      <c r="J30">
        <v>90</v>
      </c>
      <c r="K30" s="185" t="s">
        <v>414</v>
      </c>
      <c r="L30" t="s">
        <v>367</v>
      </c>
      <c r="M30">
        <v>1.2</v>
      </c>
      <c r="N30" s="4" t="s">
        <v>409</v>
      </c>
      <c r="O30">
        <v>0.56899999999999995</v>
      </c>
      <c r="P30" s="4" t="s">
        <v>410</v>
      </c>
      <c r="Q30">
        <f t="shared" si="2"/>
        <v>300</v>
      </c>
      <c r="R30">
        <f t="shared" si="3"/>
        <v>60</v>
      </c>
      <c r="S30" s="2">
        <v>42.6</v>
      </c>
      <c r="T30">
        <v>1.1100000000000001</v>
      </c>
      <c r="U30">
        <f>0.062*(Tableau1[[#This Row],[Average TTFT]]/0.44)</f>
        <v>0.15640909090909091</v>
      </c>
      <c r="V30">
        <v>2000000000</v>
      </c>
      <c r="W30" s="67" t="s">
        <v>411</v>
      </c>
      <c r="X30">
        <f t="shared" si="4"/>
        <v>2250000000000</v>
      </c>
      <c r="Y30" s="116">
        <f>1500*(1-EXP(-(Tableau1[[#This Row],[P_total]]^2)/1000))*Tableau1[[#This Row],[P_total]]*10^9</f>
        <v>450000000000000</v>
      </c>
      <c r="Z30" s="61">
        <v>45974</v>
      </c>
      <c r="AA30" t="s">
        <v>375</v>
      </c>
      <c r="AB30" t="str">
        <f ca="1">IF(Tableau1[[#This Row],[Date de publication]]&gt;=EDATE(TODAY(),-24),"Oui","Non")</f>
        <v>Oui</v>
      </c>
      <c r="AC30">
        <v>2000000</v>
      </c>
      <c r="AD30" s="4" t="s">
        <v>412</v>
      </c>
    </row>
    <row r="31" spans="1:30" ht="42.75">
      <c r="A31" t="s">
        <v>379</v>
      </c>
      <c r="B31" t="s">
        <v>41</v>
      </c>
      <c r="C31" s="1" t="s">
        <v>427</v>
      </c>
      <c r="D31" s="1" t="s">
        <v>377</v>
      </c>
      <c r="E31" t="s">
        <v>365</v>
      </c>
      <c r="F31">
        <v>420</v>
      </c>
      <c r="I31">
        <v>42</v>
      </c>
      <c r="J31">
        <v>126</v>
      </c>
      <c r="K31" s="185" t="s">
        <v>414</v>
      </c>
      <c r="L31" t="s">
        <v>367</v>
      </c>
      <c r="M31">
        <v>1.2</v>
      </c>
      <c r="N31" s="4" t="s">
        <v>409</v>
      </c>
      <c r="O31">
        <v>0.56899999999999995</v>
      </c>
      <c r="P31" s="4" t="s">
        <v>410</v>
      </c>
      <c r="Q31">
        <f t="shared" si="2"/>
        <v>420</v>
      </c>
      <c r="R31">
        <f t="shared" si="3"/>
        <v>84</v>
      </c>
      <c r="S31" s="2">
        <v>42.5</v>
      </c>
      <c r="T31">
        <v>3.47</v>
      </c>
      <c r="U31">
        <f>0.062*(Tableau1[[#This Row],[Average TTFT]]/0.44)</f>
        <v>0.48895454545454548</v>
      </c>
      <c r="V31">
        <v>2000000000</v>
      </c>
      <c r="W31" s="67" t="s">
        <v>411</v>
      </c>
      <c r="X31">
        <f t="shared" si="4"/>
        <v>2250000000000</v>
      </c>
      <c r="Y31" s="116">
        <f>1500*(1-EXP(-(Tableau1[[#This Row],[P_total]]^2)/1000))*Tableau1[[#This Row],[P_total]]*10^9</f>
        <v>630000000000000</v>
      </c>
      <c r="Z31" s="61">
        <v>46000</v>
      </c>
      <c r="AA31" t="s">
        <v>415</v>
      </c>
      <c r="AB31" t="str">
        <f ca="1">IF(Tableau1[[#This Row],[Date de publication]]&gt;=EDATE(TODAY(),-24),"Oui","Non")</f>
        <v>Oui</v>
      </c>
      <c r="AC31">
        <v>2000000</v>
      </c>
      <c r="AD31" s="4" t="s">
        <v>412</v>
      </c>
    </row>
    <row r="32" spans="1:30" ht="42.75">
      <c r="A32" t="s">
        <v>379</v>
      </c>
      <c r="B32" t="s">
        <v>41</v>
      </c>
      <c r="C32" s="1" t="s">
        <v>428</v>
      </c>
      <c r="D32" s="1" t="s">
        <v>377</v>
      </c>
      <c r="E32" t="s">
        <v>365</v>
      </c>
      <c r="F32">
        <v>5040</v>
      </c>
      <c r="I32">
        <v>504</v>
      </c>
      <c r="J32">
        <v>1512</v>
      </c>
      <c r="K32" s="185" t="s">
        <v>414</v>
      </c>
      <c r="L32" t="s">
        <v>367</v>
      </c>
      <c r="M32">
        <v>1.2</v>
      </c>
      <c r="N32" s="4" t="s">
        <v>409</v>
      </c>
      <c r="O32">
        <v>0.56899999999999995</v>
      </c>
      <c r="P32" s="4" t="s">
        <v>410</v>
      </c>
      <c r="Q32">
        <f t="shared" si="2"/>
        <v>5040</v>
      </c>
      <c r="R32">
        <f t="shared" si="3"/>
        <v>1008</v>
      </c>
      <c r="S32" s="2">
        <v>11.6</v>
      </c>
      <c r="T32">
        <v>32.5</v>
      </c>
      <c r="U32">
        <f>0.062*(Tableau1[[#This Row],[Average TTFT]]/0.44)</f>
        <v>4.5795454545454541</v>
      </c>
      <c r="V32">
        <v>2000000000</v>
      </c>
      <c r="W32" s="67" t="s">
        <v>411</v>
      </c>
      <c r="X32">
        <f t="shared" si="4"/>
        <v>2250000000000</v>
      </c>
      <c r="Y32" s="116">
        <f>1500*(1-EXP(-(Tableau1[[#This Row],[P_total]]^2)/1000))*Tableau1[[#This Row],[P_total]]*10^9</f>
        <v>7560000000000000</v>
      </c>
      <c r="Z32" s="61">
        <v>46000</v>
      </c>
      <c r="AA32" t="s">
        <v>415</v>
      </c>
      <c r="AB32" t="str">
        <f ca="1">IF(Tableau1[[#This Row],[Date de publication]]&gt;=EDATE(TODAY(),-24),"Oui","Non")</f>
        <v>Oui</v>
      </c>
      <c r="AC32">
        <v>2000000</v>
      </c>
      <c r="AD32" s="4" t="s">
        <v>412</v>
      </c>
    </row>
    <row r="33" spans="1:30" ht="42.75">
      <c r="A33" t="s">
        <v>379</v>
      </c>
      <c r="B33" t="s">
        <v>41</v>
      </c>
      <c r="C33" s="1" t="s">
        <v>429</v>
      </c>
      <c r="D33" s="1" t="s">
        <v>392</v>
      </c>
      <c r="E33" t="s">
        <v>374</v>
      </c>
      <c r="G33">
        <v>8</v>
      </c>
      <c r="H33">
        <v>28</v>
      </c>
      <c r="K33" s="4" t="s">
        <v>430</v>
      </c>
      <c r="L33" t="s">
        <v>367</v>
      </c>
      <c r="M33">
        <v>1.2</v>
      </c>
      <c r="N33" s="4" t="s">
        <v>409</v>
      </c>
      <c r="O33">
        <v>0.56899999999999995</v>
      </c>
      <c r="P33" s="4" t="s">
        <v>410</v>
      </c>
      <c r="Q33">
        <f t="shared" si="2"/>
        <v>18</v>
      </c>
      <c r="R33">
        <f t="shared" si="3"/>
        <v>18</v>
      </c>
      <c r="S33" s="2">
        <v>224.4</v>
      </c>
      <c r="T33">
        <v>6.7</v>
      </c>
      <c r="U33">
        <f>0.062*(Tableau1[[#This Row],[Average TTFT]]/0.44)</f>
        <v>0.9440909090909092</v>
      </c>
      <c r="V33">
        <v>2000000000</v>
      </c>
      <c r="W33" s="67" t="s">
        <v>411</v>
      </c>
      <c r="X33">
        <f t="shared" si="4"/>
        <v>2250000000000</v>
      </c>
      <c r="Y33" s="116">
        <f>1500*(1-EXP(-(Tableau1[[#This Row],[P_total]]^2)/1000))*Tableau1[[#This Row],[P_total]]*10^9</f>
        <v>7472243455744.2559</v>
      </c>
      <c r="Z33" s="61">
        <v>45688</v>
      </c>
      <c r="AA33" t="s">
        <v>375</v>
      </c>
      <c r="AB33" t="str">
        <f ca="1">IF(Tableau1[[#This Row],[Date de publication]]&gt;=EDATE(TODAY(),-24),"Oui","Non")</f>
        <v>Oui</v>
      </c>
      <c r="AC33">
        <v>2000000</v>
      </c>
      <c r="AD33" s="4" t="s">
        <v>412</v>
      </c>
    </row>
    <row r="34" spans="1:30" ht="42.75">
      <c r="A34" t="s">
        <v>363</v>
      </c>
      <c r="B34" t="s">
        <v>41</v>
      </c>
      <c r="C34" s="1" t="s">
        <v>431</v>
      </c>
      <c r="D34" s="1" t="s">
        <v>392</v>
      </c>
      <c r="E34" t="s">
        <v>374</v>
      </c>
      <c r="G34">
        <v>8</v>
      </c>
      <c r="H34">
        <v>28</v>
      </c>
      <c r="K34" s="4" t="s">
        <v>430</v>
      </c>
      <c r="L34" t="s">
        <v>367</v>
      </c>
      <c r="M34">
        <v>1.2</v>
      </c>
      <c r="N34" s="4" t="s">
        <v>409</v>
      </c>
      <c r="O34">
        <v>0.56899999999999995</v>
      </c>
      <c r="P34" s="4" t="s">
        <v>410</v>
      </c>
      <c r="Q34">
        <f t="shared" si="2"/>
        <v>18</v>
      </c>
      <c r="R34">
        <f t="shared" si="3"/>
        <v>18</v>
      </c>
      <c r="S34" s="2">
        <v>98.6</v>
      </c>
      <c r="T34">
        <v>6.38</v>
      </c>
      <c r="U34">
        <f>0.062*(Tableau1[[#This Row],[Average TTFT]]/0.44)</f>
        <v>0.89900000000000002</v>
      </c>
      <c r="V34">
        <v>2000000000</v>
      </c>
      <c r="W34" s="67" t="s">
        <v>411</v>
      </c>
      <c r="X34">
        <f t="shared" si="4"/>
        <v>2250000000000</v>
      </c>
      <c r="Y34" s="116">
        <f>1500*(1-EXP(-(Tableau1[[#This Row],[P_total]]^2)/1000))*Tableau1[[#This Row],[P_total]]*10^9</f>
        <v>7472243455744.2559</v>
      </c>
      <c r="Z34" s="61">
        <v>45763</v>
      </c>
      <c r="AA34" s="147" t="s">
        <v>415</v>
      </c>
      <c r="AB34" t="str">
        <f ca="1">IF(Tableau1[[#This Row],[Date de publication]]&gt;=EDATE(TODAY(),-24),"Oui","Non")</f>
        <v>Oui</v>
      </c>
      <c r="AC34">
        <v>2000000</v>
      </c>
      <c r="AD34" s="4" t="s">
        <v>412</v>
      </c>
    </row>
    <row r="35" spans="1:30" ht="15" customHeight="1">
      <c r="A35" t="s">
        <v>363</v>
      </c>
      <c r="B35" t="s">
        <v>41</v>
      </c>
      <c r="C35" s="1" t="s">
        <v>138</v>
      </c>
      <c r="D35" s="1" t="s">
        <v>262</v>
      </c>
      <c r="F35">
        <v>8</v>
      </c>
      <c r="N35" s="158"/>
      <c r="O35">
        <v>0.56899999999999995</v>
      </c>
      <c r="P35" s="158"/>
      <c r="Q35">
        <f>IF(
  NOT(ISBLANK(F35)),
 F35,
  IF(
    AND(NOT(ISBLANK(G35)), NOT(ISBLANK(H35))),
    INT(AVERAGE(G35, H35)),
    ""
  )
)</f>
        <v>8</v>
      </c>
      <c r="R35" t="str">
        <f>IF(
  NOT(ISBLANK(I35)),
INT(AVERAGE(I35,J35)),
  IF(
    AND(NOT(ISBLANK(G35)), NOT(ISBLANK(H35))),
   INT(AVERAGE(G35, H35)),
    ""
  )
)</f>
        <v/>
      </c>
      <c r="U35">
        <f>0.062*(Tableau1[[#This Row],[Average TTFT]]/0.44)</f>
        <v>0</v>
      </c>
      <c r="W35" s="4"/>
      <c r="X35">
        <f t="shared" si="4"/>
        <v>2250000000000</v>
      </c>
      <c r="Y35" s="116">
        <f>1500*(1-EXP(-(Tableau1[[#This Row],[P_total]]^2)/1000))*Tableau1[[#This Row],[P_total]]*10^9</f>
        <v>743940005631.24646</v>
      </c>
      <c r="Z35" s="61">
        <v>43831</v>
      </c>
      <c r="AB35" t="str">
        <f ca="1">IF(Tableau1[[#This Row],[Date de publication]]&gt;=EDATE(TODAY(),-24),"Oui","Non")</f>
        <v>Non</v>
      </c>
    </row>
    <row r="36" spans="1:30" ht="15" customHeight="1">
      <c r="A36" t="s">
        <v>363</v>
      </c>
      <c r="B36" t="s">
        <v>41</v>
      </c>
      <c r="C36" s="1" t="s">
        <v>464</v>
      </c>
      <c r="D36" s="1" t="s">
        <v>377</v>
      </c>
      <c r="E36" t="s">
        <v>365</v>
      </c>
      <c r="F36">
        <v>900</v>
      </c>
      <c r="I36">
        <v>195</v>
      </c>
      <c r="K36" s="185" t="s">
        <v>414</v>
      </c>
      <c r="L36" t="s">
        <v>367</v>
      </c>
      <c r="M36">
        <v>1.2</v>
      </c>
      <c r="N36" s="4" t="s">
        <v>409</v>
      </c>
      <c r="O36">
        <v>0.56899999999999995</v>
      </c>
      <c r="P36" s="4" t="s">
        <v>410</v>
      </c>
      <c r="Q36">
        <f t="shared" ref="Q36:Q41" si="5">IF(
  NOT(ISBLANK(F36)),
 F36,
  IF(
    AND(NOT(ISBLANK(G36)), NOT(ISBLANK(H36))),
    INT(AVERAGE(G36, H36)),
    ""
  )
)</f>
        <v>900</v>
      </c>
      <c r="R36">
        <f t="shared" ref="R36:R41" si="6">IF(
  NOT(ISBLANK(I36)),
INT(AVERAGE(I36,J36)),
  IF(
    AND(NOT(ISBLANK(G36)), NOT(ISBLANK(H36))),
   INT(AVERAGE(G36, H36)),
    ""
  )
)</f>
        <v>195</v>
      </c>
      <c r="S36" s="2">
        <f>(59+45+58)/3</f>
        <v>54</v>
      </c>
      <c r="T36" s="5">
        <f>(2.66+5.2+3.82)/3</f>
        <v>3.8933333333333331</v>
      </c>
      <c r="U36">
        <f>0.062*(Tableau1[[#This Row],[Average TTFT]]/0.44)</f>
        <v>0.54860606060606054</v>
      </c>
      <c r="V36">
        <v>2000000000</v>
      </c>
      <c r="W36" s="67" t="s">
        <v>411</v>
      </c>
      <c r="X36">
        <f t="shared" si="4"/>
        <v>2250000000000</v>
      </c>
      <c r="Y36" s="116">
        <f>1500*(1-EXP(-(Tableau1[[#This Row],[P_total]]^2)/1000))*Tableau1[[#This Row],[P_total]]*10^9</f>
        <v>1350000000000000</v>
      </c>
      <c r="Z36" s="61">
        <v>46212</v>
      </c>
      <c r="AA36" s="147" t="s">
        <v>465</v>
      </c>
      <c r="AB36" t="str">
        <f ca="1">IF(Tableau1[[#This Row],[Date de publication]]&gt;=EDATE(TODAY(),-24),"Oui","Non")</f>
        <v>Oui</v>
      </c>
      <c r="AC36">
        <v>2000000</v>
      </c>
      <c r="AD36" s="4" t="s">
        <v>412</v>
      </c>
    </row>
    <row r="37" spans="1:30" ht="15" customHeight="1">
      <c r="A37" t="s">
        <v>363</v>
      </c>
      <c r="B37" t="s">
        <v>41</v>
      </c>
      <c r="C37" s="1" t="s">
        <v>466</v>
      </c>
      <c r="D37" s="1" t="s">
        <v>364</v>
      </c>
      <c r="E37" t="s">
        <v>374</v>
      </c>
      <c r="G37">
        <v>25</v>
      </c>
      <c r="H37">
        <v>70</v>
      </c>
      <c r="K37" s="185" t="s">
        <v>414</v>
      </c>
      <c r="L37" t="s">
        <v>367</v>
      </c>
      <c r="M37">
        <v>1.2</v>
      </c>
      <c r="N37" s="4" t="s">
        <v>409</v>
      </c>
      <c r="O37">
        <v>0.56899999999999995</v>
      </c>
      <c r="P37" s="4" t="s">
        <v>410</v>
      </c>
      <c r="Q37">
        <f t="shared" si="5"/>
        <v>47</v>
      </c>
      <c r="R37">
        <f t="shared" si="6"/>
        <v>47</v>
      </c>
      <c r="S37" s="211">
        <f>(36+37+9)/3</f>
        <v>27.333333333333332</v>
      </c>
      <c r="T37" s="5">
        <f>(4.86+0.5+3.9)/3</f>
        <v>3.0866666666666664</v>
      </c>
      <c r="U37">
        <f>0.062*(Tableau1[[#This Row],[Average TTFT]]/0.44)</f>
        <v>0.4349393939393939</v>
      </c>
      <c r="V37">
        <v>2000000000</v>
      </c>
      <c r="W37" s="67" t="s">
        <v>411</v>
      </c>
      <c r="X37">
        <f t="shared" si="4"/>
        <v>2250000000000</v>
      </c>
      <c r="Y37" s="116">
        <f>1500*(1-EXP(-(Tableau1[[#This Row],[P_total]]^2)/1000))*Tableau1[[#This Row],[P_total]]*10^9</f>
        <v>62758366515698.938</v>
      </c>
      <c r="Z37" s="61">
        <v>46212</v>
      </c>
      <c r="AA37" s="147" t="s">
        <v>465</v>
      </c>
      <c r="AB37" t="str">
        <f ca="1">IF(Tableau1[[#This Row],[Date de publication]]&gt;=EDATE(TODAY(),-24),"Oui","Non")</f>
        <v>Oui</v>
      </c>
      <c r="AC37">
        <v>2000000</v>
      </c>
      <c r="AD37" s="4" t="s">
        <v>412</v>
      </c>
    </row>
    <row r="38" spans="1:30" ht="15" customHeight="1">
      <c r="A38" t="s">
        <v>363</v>
      </c>
      <c r="B38" t="s">
        <v>41</v>
      </c>
      <c r="C38" s="1" t="s">
        <v>467</v>
      </c>
      <c r="D38" s="1" t="s">
        <v>392</v>
      </c>
      <c r="E38" t="s">
        <v>374</v>
      </c>
      <c r="G38">
        <v>5</v>
      </c>
      <c r="H38">
        <v>18.5</v>
      </c>
      <c r="K38" s="185" t="s">
        <v>414</v>
      </c>
      <c r="L38" t="s">
        <v>367</v>
      </c>
      <c r="M38">
        <v>1.2</v>
      </c>
      <c r="N38" s="4" t="s">
        <v>409</v>
      </c>
      <c r="O38">
        <v>0.56899999999999995</v>
      </c>
      <c r="P38" s="4" t="s">
        <v>410</v>
      </c>
      <c r="Q38">
        <f t="shared" si="5"/>
        <v>11</v>
      </c>
      <c r="R38">
        <f t="shared" si="6"/>
        <v>11</v>
      </c>
      <c r="S38" s="212">
        <f>(58+58+3)/3</f>
        <v>39.666666666666664</v>
      </c>
      <c r="T38" s="213">
        <f>(4.39+2.83+8.78)/3</f>
        <v>5.333333333333333</v>
      </c>
      <c r="U38">
        <f>0.062*(Tableau1[[#This Row],[Average TTFT]]/0.44)</f>
        <v>0.75151515151515147</v>
      </c>
      <c r="V38">
        <v>2000000000</v>
      </c>
      <c r="W38" s="67" t="s">
        <v>411</v>
      </c>
      <c r="X38">
        <f t="shared" si="4"/>
        <v>2250000000000</v>
      </c>
      <c r="Y38" s="116">
        <f>1500*(1-EXP(-(Tableau1[[#This Row],[P_total]]^2)/1000))*Tableau1[[#This Row],[P_total]]*10^9</f>
        <v>1880439666717.5532</v>
      </c>
      <c r="Z38" s="61">
        <v>46212</v>
      </c>
      <c r="AA38" s="147" t="s">
        <v>465</v>
      </c>
      <c r="AB38" t="str">
        <f ca="1">IF(Tableau1[[#This Row],[Date de publication]]&gt;=EDATE(TODAY(),-24),"Oui","Non")</f>
        <v>Oui</v>
      </c>
      <c r="AC38">
        <v>2000000</v>
      </c>
      <c r="AD38" s="4" t="s">
        <v>412</v>
      </c>
    </row>
    <row r="39" spans="1:30" ht="15" customHeight="1">
      <c r="A39" t="s">
        <v>363</v>
      </c>
      <c r="B39" t="s">
        <v>21</v>
      </c>
      <c r="C39" s="1" t="s">
        <v>468</v>
      </c>
      <c r="D39" s="1" t="s">
        <v>377</v>
      </c>
      <c r="E39" t="s">
        <v>365</v>
      </c>
      <c r="F39">
        <v>440</v>
      </c>
      <c r="I39">
        <v>44</v>
      </c>
      <c r="J39">
        <v>132</v>
      </c>
      <c r="K39" s="4" t="s">
        <v>366</v>
      </c>
      <c r="L39" t="s">
        <v>367</v>
      </c>
      <c r="M39">
        <f t="shared" ref="M39:M40" si="7">AVERAGE(1.09,1.14)</f>
        <v>1.115</v>
      </c>
      <c r="N39" s="4" t="s">
        <v>368</v>
      </c>
      <c r="O39">
        <f t="shared" ref="O39:O40" si="8">AVERAGE(0.13,0.99)</f>
        <v>0.56000000000000005</v>
      </c>
      <c r="P39" s="4" t="s">
        <v>369</v>
      </c>
      <c r="Q39">
        <f t="shared" si="5"/>
        <v>440</v>
      </c>
      <c r="R39">
        <f t="shared" si="6"/>
        <v>88</v>
      </c>
      <c r="S39" s="2">
        <f>(49+45+59+75)/4</f>
        <v>57</v>
      </c>
      <c r="T39" s="213">
        <f>(2.57+2.61+3.57+2.8)/4</f>
        <v>2.8875000000000002</v>
      </c>
      <c r="U39">
        <f>0.062*(Tableau1[[#This Row],[Average TTFT]]/0.44)</f>
        <v>0.40687499999999999</v>
      </c>
      <c r="V39">
        <v>1000000000</v>
      </c>
      <c r="W39" s="67" t="s">
        <v>370</v>
      </c>
      <c r="X39">
        <f t="shared" si="4"/>
        <v>2250000000000</v>
      </c>
      <c r="Y39" s="116">
        <f>1500*(1-EXP(-(Tableau1[[#This Row],[P_total]]^2)/1000))*Tableau1[[#This Row],[P_total]]*10^9</f>
        <v>660000000000000</v>
      </c>
      <c r="Z39" s="61">
        <v>46203</v>
      </c>
      <c r="AA39" s="147" t="s">
        <v>469</v>
      </c>
      <c r="AB39" t="str">
        <f ca="1">IF(Tableau1[[#This Row],[Date de publication]]&gt;=EDATE(TODAY(),-24),"Oui","Non")</f>
        <v>Oui</v>
      </c>
      <c r="AC39">
        <v>1400000</v>
      </c>
      <c r="AD39" s="160" t="s">
        <v>372</v>
      </c>
    </row>
    <row r="40" spans="1:30" ht="15" customHeight="1">
      <c r="A40" t="s">
        <v>363</v>
      </c>
      <c r="B40" t="s">
        <v>21</v>
      </c>
      <c r="C40" s="1" t="s">
        <v>470</v>
      </c>
      <c r="D40" s="1" t="s">
        <v>377</v>
      </c>
      <c r="E40" t="s">
        <v>365</v>
      </c>
      <c r="F40">
        <v>670</v>
      </c>
      <c r="I40">
        <v>66.5</v>
      </c>
      <c r="J40">
        <v>199.5</v>
      </c>
      <c r="K40" s="4" t="s">
        <v>471</v>
      </c>
      <c r="L40" t="s">
        <v>367</v>
      </c>
      <c r="M40">
        <f t="shared" si="7"/>
        <v>1.115</v>
      </c>
      <c r="N40" s="4" t="s">
        <v>368</v>
      </c>
      <c r="O40">
        <f t="shared" si="8"/>
        <v>0.56000000000000005</v>
      </c>
      <c r="P40" s="4" t="s">
        <v>369</v>
      </c>
      <c r="Q40">
        <f t="shared" si="5"/>
        <v>670</v>
      </c>
      <c r="R40">
        <f t="shared" si="6"/>
        <v>133</v>
      </c>
      <c r="S40" s="2">
        <v>58</v>
      </c>
      <c r="T40">
        <v>1.63</v>
      </c>
      <c r="U40">
        <f>0.062*(Tableau1[[#This Row],[Average TTFT]]/0.44)</f>
        <v>0.22968181818181815</v>
      </c>
      <c r="V40">
        <v>1000000000</v>
      </c>
      <c r="W40" s="67" t="s">
        <v>370</v>
      </c>
      <c r="X40">
        <f t="shared" si="4"/>
        <v>2250000000000</v>
      </c>
      <c r="Y40" s="116">
        <f>1500*(1-EXP(-(Tableau1[[#This Row],[P_total]]^2)/1000))*Tableau1[[#This Row],[P_total]]*10^9</f>
        <v>1005000000000000</v>
      </c>
      <c r="Z40" s="61">
        <v>46170</v>
      </c>
      <c r="AA40" s="147" t="s">
        <v>469</v>
      </c>
      <c r="AB40" t="str">
        <f ca="1">IF(Tableau1[[#This Row],[Date de publication]]&gt;=EDATE(TODAY(),-24),"Oui","Non")</f>
        <v>Oui</v>
      </c>
      <c r="AC40">
        <v>1400000</v>
      </c>
      <c r="AD40" s="160" t="s">
        <v>372</v>
      </c>
    </row>
    <row r="41" spans="1:30" ht="15" customHeight="1">
      <c r="A41" t="s">
        <v>363</v>
      </c>
      <c r="B41" t="s">
        <v>42</v>
      </c>
      <c r="C41" s="1" t="s">
        <v>472</v>
      </c>
      <c r="D41" s="1" t="s">
        <v>377</v>
      </c>
      <c r="E41" t="s">
        <v>365</v>
      </c>
      <c r="F41">
        <v>900</v>
      </c>
      <c r="I41">
        <v>83</v>
      </c>
      <c r="J41">
        <v>248</v>
      </c>
      <c r="K41" s="4" t="s">
        <v>471</v>
      </c>
      <c r="L41" t="s">
        <v>367</v>
      </c>
      <c r="M41">
        <v>1.2</v>
      </c>
      <c r="N41" s="4" t="s">
        <v>473</v>
      </c>
      <c r="O41">
        <v>0.99</v>
      </c>
      <c r="P41" s="4" t="s">
        <v>386</v>
      </c>
      <c r="Q41">
        <f t="shared" si="5"/>
        <v>900</v>
      </c>
      <c r="R41">
        <f t="shared" si="6"/>
        <v>165</v>
      </c>
      <c r="S41" s="2">
        <v>130.6</v>
      </c>
      <c r="T41">
        <v>2.72</v>
      </c>
      <c r="U41">
        <f>0.062*(Tableau1[[#This Row],[Average TTFT]]/0.44)</f>
        <v>0.38327272727272732</v>
      </c>
      <c r="V41">
        <v>3000000000</v>
      </c>
      <c r="W41" s="67" t="s">
        <v>387</v>
      </c>
      <c r="X41">
        <f t="shared" si="4"/>
        <v>2250000000000</v>
      </c>
      <c r="Y41" s="116">
        <f>1500*(1-EXP(-(Tableau1[[#This Row],[P_total]]^2)/1000))*Tableau1[[#This Row],[P_total]]*10^9</f>
        <v>1350000000000000</v>
      </c>
      <c r="Z41" s="61">
        <v>46161</v>
      </c>
      <c r="AA41" s="147" t="s">
        <v>474</v>
      </c>
      <c r="AB41" t="str">
        <f ca="1">IF(Tableau1[[#This Row],[Date de publication]]&gt;=EDATE(TODAY(),-24),"Oui","Non")</f>
        <v>Oui</v>
      </c>
      <c r="AC41">
        <v>9000000</v>
      </c>
      <c r="AD41" s="160" t="s">
        <v>388</v>
      </c>
    </row>
    <row r="120" spans="6:7">
      <c r="F120" s="136" t="e">
        <f>IF(gpu_nb&lt;=1,1,
 IF(gpu_nb&lt;=2,2,
  IF(gpu_nb&lt;=4,4,
   IF(gpu_nb&lt;=8,8,
    IF(gpu_nb&lt;=16,16,
     IF(gpu_nb&lt;=32,32,
      IF(gpu_nb&lt;=64,64,"ERREUR")
     )
    )
   )
  )
 )
)</f>
        <v>#NAME?</v>
      </c>
    </row>
    <row r="121" spans="6:7" ht="15" customHeight="1">
      <c r="F121" t="e">
        <f>1.2*model_total_parameter_count*(MODEL_QUANTIZATION_BITS/8)</f>
        <v>#NAME?</v>
      </c>
    </row>
    <row r="122" spans="6:7" ht="15" customHeight="1">
      <c r="F122" s="92" t="e">
        <f>ROUNDUP(model_required_memory/GPU_MEMORY,1)</f>
        <v>#NAME?</v>
      </c>
    </row>
    <row r="126" spans="6:7" ht="15" customHeight="1">
      <c r="F126" t="e">
        <f>gpu_energy*gpu_required_count</f>
        <v>#NAME?</v>
      </c>
    </row>
    <row r="127" spans="6:7" ht="15" customHeight="1">
      <c r="F127" t="e">
        <f>(output_token_count*gpu_energy_per_token)/1000</f>
        <v>#NAME?</v>
      </c>
      <c r="G127" t="s">
        <v>71</v>
      </c>
    </row>
    <row r="128" spans="6:7" ht="15" customHeight="1">
      <c r="F128" t="e">
        <f>((GPU_ENERGY_ALPHA*EXP(GPU_ENERGY_BETA*BATCH_SIZE)*model_active_parameter_count+GPU_ENERGY_GAMMA))</f>
        <v>#NAME?</v>
      </c>
      <c r="G128" t="s">
        <v>432</v>
      </c>
    </row>
    <row r="129" spans="5:7" ht="15" customHeight="1">
      <c r="F129" s="112"/>
    </row>
    <row r="130" spans="5:7" ht="15" customHeight="1">
      <c r="F130" s="112"/>
    </row>
    <row r="131" spans="5:7" ht="15" customHeight="1">
      <c r="F131" s="112"/>
    </row>
    <row r="134" spans="5:7" ht="15" customHeight="1">
      <c r="F134" t="e">
        <f>MIN(request_latency,gpu_latency_t_prefill)</f>
        <v>#NAME?</v>
      </c>
    </row>
    <row r="135" spans="5:7" ht="15" customHeight="1">
      <c r="E135" s="128" t="s">
        <v>186</v>
      </c>
      <c r="F135" s="129" t="e">
        <f>MIN(F142)</f>
        <v>#NAME?</v>
      </c>
      <c r="G135" s="128" t="s">
        <v>433</v>
      </c>
    </row>
    <row r="141" spans="5:7" ht="15" customHeight="1">
      <c r="F141" s="73"/>
    </row>
    <row r="142" spans="5:7" ht="15" customHeight="1">
      <c r="E142" s="128" t="s">
        <v>434</v>
      </c>
      <c r="F142" s="129" t="e">
        <f>output_token_count*latency_per_token+latency_first_token</f>
        <v>#NAME?</v>
      </c>
      <c r="G142" s="128" t="s">
        <v>433</v>
      </c>
    </row>
    <row r="146" spans="5:9" ht="15" customHeight="1">
      <c r="F146" t="e">
        <f xml:space="preserve">
(generation_latency / 3600)
* SERVER_POWER
* (gpu_required_count / server_gpu_count)
* (1 / BATCH_SIZE)</f>
        <v>#NAME?</v>
      </c>
    </row>
    <row r="147" spans="5:9" ht="15" customHeight="1">
      <c r="E147" s="128" t="s">
        <v>198</v>
      </c>
      <c r="F147" s="132" t="e">
        <f>(F135/3600)
*SERVER_POWER
*(gpu_required_count/server_gpu_count)
*(1/BATCH_SIZE)</f>
        <v>#NAME?</v>
      </c>
      <c r="G147" s="128" t="s">
        <v>71</v>
      </c>
    </row>
    <row r="159" spans="5:9" ht="15" customHeight="1">
      <c r="E159" s="128"/>
      <c r="F159" s="128" t="e">
        <f>datacenter_pue*(F147+(gpu_energy*gpu_required_count))</f>
        <v>#NAME?</v>
      </c>
      <c r="G159" s="128"/>
      <c r="I159" s="128"/>
    </row>
    <row r="163" spans="6:7" ht="15" customHeight="1">
      <c r="F163" t="e">
        <f>(request_energy
*(datacenter_wue
+datacenter_pue*electricity_mix_wue)
)</f>
        <v>#NAME?</v>
      </c>
      <c r="G163" t="s">
        <v>228</v>
      </c>
    </row>
    <row r="164" spans="6:7" ht="15" customHeight="1">
      <c r="F164" t="e">
        <f>(request_global_energy
*(datacenter_wue
+datacenter_pue*electricity_mix_wue)
)+F168+F173</f>
        <v>#NAME?</v>
      </c>
    </row>
    <row r="165" spans="6:7" ht="15" customHeight="1">
      <c r="F165" s="73"/>
    </row>
    <row r="166" spans="6:7" ht="15" customHeight="1">
      <c r="F166" s="73"/>
    </row>
    <row r="182" spans="5:9" ht="15" customHeight="1">
      <c r="F182" t="e">
        <f>request_energy*electricity_mix_gwp_FR</f>
        <v>#NAME?</v>
      </c>
      <c r="I182" s="128"/>
    </row>
    <row r="192" spans="5:9" ht="15" customHeight="1">
      <c r="E192" t="s">
        <v>435</v>
      </c>
    </row>
    <row r="193" spans="5:9" ht="15" customHeight="1">
      <c r="F193" t="e">
        <f>(F135*F198)/(HARDWARE_LIFESPAN*BATCH_SIZE)</f>
        <v>#NAME?</v>
      </c>
      <c r="I193" s="128"/>
    </row>
    <row r="194" spans="5:9" ht="15" customHeight="1">
      <c r="F194" t="e">
        <f>(gpu_total_elec+server_energy+network_energy)*bati_electricity_mix_gwp</f>
        <v>#NAME?</v>
      </c>
    </row>
    <row r="197" spans="5:9" ht="15" customHeight="1">
      <c r="F197" t="e">
        <f>generation_latency
*(gpu_required_count/server_gpu_count)*server_embodied_gwp
+(gpu_required_count*gpu_embodied_gwp)
/(BATCH_SIZE*serveur_lifespan)</f>
        <v>#NAME?</v>
      </c>
    </row>
    <row r="198" spans="5:9" ht="15" customHeight="1">
      <c r="E198" t="s">
        <v>215</v>
      </c>
      <c r="F198" t="e">
        <f>generation_latency
*(gpu_required_count/server_gpu_count)*5700
+(gpu_required_count*gpu_embodied_gwp)
/(BATCH_SIZE*serveur_lifespan)</f>
        <v>#NAME?</v>
      </c>
      <c r="I198" s="128"/>
    </row>
  </sheetData>
  <sheetProtection selectLockedCells="1" selectUnlockedCells="1"/>
  <phoneticPr fontId="2" type="noConversion"/>
  <hyperlinks>
    <hyperlink ref="W20" r:id="rId1" display="https://www.feedough.com/openai-statistics/" xr:uid="{47D9008D-0525-4122-902A-CC2721EA317A}"/>
    <hyperlink ref="W3:W16" r:id="rId2" display="https://www.feedough.com/openai-statistics/" xr:uid="{71FC6B92-917D-473C-8498-1C75DCC30960}"/>
    <hyperlink ref="W9" r:id="rId3" xr:uid="{D813736E-62FC-417D-AE35-E3485CFB8187}"/>
    <hyperlink ref="W32:W34" r:id="rId4" display="https://www.technobezz.com/news/google-slashes-free-gemini-api-requests-to-20-per-day-2025-12-20-gl06" xr:uid="{F18FB005-A388-405D-816F-8271156076D8}"/>
    <hyperlink ref="W13" r:id="rId5" xr:uid="{48D6227F-0BAD-4EA5-8B7D-B1B677C30630}"/>
    <hyperlink ref="W18:W23" r:id="rId6" display="https://fueler.io/blog/mistral-ai-usage-revenue-valuation-growth-statistics" xr:uid="{3416CC3D-888A-46E0-8149-4741B4AAAB93}"/>
    <hyperlink ref="W2" r:id="rId7" xr:uid="{CDA31E35-DBF7-4B79-A1DC-FB8BC51631E8}"/>
    <hyperlink ref="W25:W30" r:id="rId8" display="https://www.demandsage.com/claude-ai-statistics/" xr:uid="{30FCFE56-D909-4DB1-9847-3B6D7E96B621}"/>
    <hyperlink ref="AA2" r:id="rId9" xr:uid="{CF0E05EF-270E-4C29-890E-86E1F3279E29}"/>
    <hyperlink ref="AA7" r:id="rId10" xr:uid="{CE8FE283-532D-49A6-BAB7-38B000852BFB}"/>
    <hyperlink ref="AA8" r:id="rId11" xr:uid="{77629E5F-AB85-40F0-B20A-647E5F928D70}"/>
    <hyperlink ref="AA9" r:id="rId12" xr:uid="{05035BAB-A2F7-4525-BE5D-B569360DD132}"/>
    <hyperlink ref="AA10" r:id="rId13" xr:uid="{5A92F5AB-6C7B-4154-ACD9-ABBEF70B080B}"/>
    <hyperlink ref="AA11" r:id="rId14" xr:uid="{70F2E5EC-EEDA-4563-9B12-E0F00477AC46}"/>
    <hyperlink ref="AA13" r:id="rId15" xr:uid="{B9891F2E-B49A-4D02-ABE0-E62B708B3144}"/>
    <hyperlink ref="AA14" r:id="rId16" xr:uid="{50A4CADD-E8CA-4BF4-87EA-92CCE18C7AD3}"/>
    <hyperlink ref="AA15" r:id="rId17" xr:uid="{BC38BE56-4BCF-4EDC-9EB1-3ABC10EABD32}"/>
    <hyperlink ref="AA16" r:id="rId18" xr:uid="{ED94341B-582B-4E54-B31F-099EFD34E6E1}"/>
    <hyperlink ref="AA18" r:id="rId19" xr:uid="{F73882A8-51F0-435D-B14D-F66241315199}"/>
    <hyperlink ref="AA22" r:id="rId20" xr:uid="{837446EE-A1B2-44D0-8FEC-A2192B388DDF}"/>
    <hyperlink ref="AA23" r:id="rId21" xr:uid="{FAF5B0AC-7FC5-461C-8E47-91F2B93A8EDB}"/>
    <hyperlink ref="AA24" r:id="rId22" xr:uid="{8A600E9B-8E51-4497-9EB0-C2DAA483A0E4}"/>
    <hyperlink ref="AA34" r:id="rId23" xr:uid="{692F8D38-CDF3-4356-8700-61346BAAA887}"/>
    <hyperlink ref="AD2" r:id="rId24" xr:uid="{A097EE12-B091-4B57-BA46-BFB756CB0A3C}"/>
    <hyperlink ref="AD3:AD8" r:id="rId25" display="https://wccftech.com/openai-sets-goal-to-scale-up-ai-compute-capacity-to-a-whopping-30gw-by-2030/" xr:uid="{770B958F-838A-44D7-8E5C-5ED778CBA42C}"/>
    <hyperlink ref="AD9" r:id="rId26" xr:uid="{89D4706D-C477-46D0-BDBE-2256F8039774}"/>
    <hyperlink ref="AD10:AD12" r:id="rId27" display="https://www.cnbc.com/2025/11/21/google-must-double-ai-serving-capacity-every-6-months-to-meet-demand.html" xr:uid="{FC924F5D-FDE6-422D-B496-AAEA311E981A}"/>
    <hyperlink ref="AD15" r:id="rId28" xr:uid="{8447AE1E-63C2-4AB6-99FA-51A8D02C44DC}"/>
    <hyperlink ref="AD21" r:id="rId29" xr:uid="{6A2A6694-D881-4E01-B6DA-91723F2BB2B2}"/>
    <hyperlink ref="W41" r:id="rId30" display="https://www.feedough.com/openai-statistics/" xr:uid="{B222E878-D01B-47F3-BA4D-E17E5F0048AA}"/>
    <hyperlink ref="AD41" r:id="rId31" xr:uid="{931E9583-8387-4427-B159-34202C778700}"/>
    <hyperlink ref="W40" r:id="rId32" display="https://www.feedough.com/openai-statistics/" xr:uid="{2CFDD0D8-EC46-4E01-8048-A027213BAF7B}"/>
    <hyperlink ref="AA40" r:id="rId33" xr:uid="{92701262-69A2-42E8-BCC7-80734845F1C5}"/>
    <hyperlink ref="AA41" r:id="rId34" xr:uid="{1861FD9F-BC79-4A33-A0CC-8206A8E2840A}"/>
    <hyperlink ref="W39" r:id="rId35" display="https://www.feedough.com/openai-statistics/" xr:uid="{005B24F0-B85C-4625-A498-B2DA3CEC92D9}"/>
    <hyperlink ref="AA39" r:id="rId36" xr:uid="{B0897B51-69F9-4CA1-8424-03DE256AE47B}"/>
    <hyperlink ref="AD40" r:id="rId37" xr:uid="{54A01642-98D0-4621-BA46-0485A41A1D68}"/>
    <hyperlink ref="AD39" r:id="rId38" xr:uid="{B5D2A1E6-C5A7-4E6E-8D6F-30B2A6B7F6C2}"/>
    <hyperlink ref="AA38" r:id="rId39" xr:uid="{9FF94B79-9B1C-4E5A-AF5F-BDD6CFF71151}"/>
    <hyperlink ref="AA36:AA37" r:id="rId40" display="Open AI" xr:uid="{C46A5BCE-1D26-4EE0-93B4-A416E6F89C86}"/>
    <hyperlink ref="W36" r:id="rId41" display="https://www.technobezz.com/news/google-slashes-free-gemini-api-requests-to-20-per-day-2025-12-20-gl06" xr:uid="{049607B2-20EC-4746-8397-0582D098EA01}"/>
    <hyperlink ref="W37" r:id="rId42" display="https://www.technobezz.com/news/google-slashes-free-gemini-api-requests-to-20-per-day-2025-12-20-gl06" xr:uid="{BB4E475B-8690-42BF-B4F6-FB29148ADAAD}"/>
    <hyperlink ref="W38" r:id="rId43" display="https://www.technobezz.com/news/google-slashes-free-gemini-api-requests-to-20-per-day-2025-12-20-gl06" xr:uid="{9A1A5060-2AEE-4116-8455-FB02336F8E49}"/>
  </hyperlinks>
  <pageMargins left="0.7" right="0.7" top="0.75" bottom="0.75" header="0.3" footer="0.3"/>
  <pageSetup paperSize="9" scale="26" fitToHeight="0" orientation="landscape" r:id="rId44"/>
  <headerFooter>
    <oddFooter>&amp;L_x000D_&amp;1#&amp;"Aptos"&amp;10&amp;K008000 Interne</oddFooter>
  </headerFooter>
  <tableParts count="1">
    <tablePart r:id="rId4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C119-AECA-4A4A-ADBB-425E0F3AC021}">
  <dimension ref="B1:AB19"/>
  <sheetViews>
    <sheetView zoomScale="90" workbookViewId="0">
      <selection activeCell="B15" sqref="B15:B16"/>
    </sheetView>
  </sheetViews>
  <sheetFormatPr baseColWidth="10" defaultColWidth="11.44140625" defaultRowHeight="15"/>
  <cols>
    <col min="2" max="2" width="28.77734375" bestFit="1" customWidth="1"/>
    <col min="5" max="5" width="12.44140625" bestFit="1" customWidth="1"/>
    <col min="6" max="6" width="18.44140625" bestFit="1" customWidth="1"/>
    <col min="8" max="8" width="16" bestFit="1" customWidth="1"/>
    <col min="14" max="14" width="12.6640625" bestFit="1" customWidth="1"/>
    <col min="15" max="15" width="12.6640625" customWidth="1"/>
    <col min="16" max="16" width="16" bestFit="1" customWidth="1"/>
    <col min="17" max="17" width="19.6640625" bestFit="1" customWidth="1"/>
    <col min="18" max="18" width="15.44140625" bestFit="1" customWidth="1"/>
    <col min="19" max="19" width="12" bestFit="1" customWidth="1"/>
  </cols>
  <sheetData>
    <row r="1" spans="2:28">
      <c r="B1" s="2" t="s">
        <v>436</v>
      </c>
      <c r="C1" s="2" t="s">
        <v>437</v>
      </c>
      <c r="E1" s="2" t="s">
        <v>344</v>
      </c>
      <c r="F1" s="2" t="s">
        <v>438</v>
      </c>
      <c r="G1" s="2" t="s">
        <v>236</v>
      </c>
      <c r="H1" t="str">
        <f>E2</f>
        <v>Anthropic</v>
      </c>
      <c r="I1" t="str">
        <f>E3</f>
        <v>Google</v>
      </c>
      <c r="J1" t="str">
        <f>E4</f>
        <v>Mistral AI</v>
      </c>
      <c r="K1" t="str">
        <f>E5</f>
        <v>OpenAI</v>
      </c>
      <c r="M1" t="str" cm="1">
        <f t="array" ref="M1:M4">_xlfn.UNIQUE(Tableau1[Fournisseurs])</f>
        <v>Anthropic</v>
      </c>
      <c r="N1" s="2" t="s">
        <v>236</v>
      </c>
      <c r="O1" t="e" cm="1" vm="1">
        <f t="array" ref="O1">_xlfn._xlws.FILTER(
 Tableau1[Nom du modèle],
 (Tableau1[Fournisseurs]='⚙️Données'!$F$26)*(Tableau1[Catégorie]&lt;&gt;"Embedding"))</f>
        <v>#VALUE!</v>
      </c>
      <c r="Q1" t="str" cm="1">
        <f t="array" ref="Q1:T1">TRANSPOSE(_xlfn.UNIQUE(Tableau1[Fournisseurs]))</f>
        <v>Anthropic</v>
      </c>
      <c r="R1" t="str">
        <v>Google</v>
      </c>
      <c r="S1" t="str">
        <v>Mistral AI</v>
      </c>
      <c r="T1" t="str">
        <v>OpenAI</v>
      </c>
      <c r="V1" t="s">
        <v>439</v>
      </c>
      <c r="W1" t="s">
        <v>44</v>
      </c>
      <c r="X1" t="s">
        <v>45</v>
      </c>
      <c r="Y1" t="s">
        <v>46</v>
      </c>
      <c r="Z1" t="s">
        <v>47</v>
      </c>
      <c r="AB1" t="s">
        <v>494</v>
      </c>
    </row>
    <row r="2" spans="2:28" ht="30">
      <c r="B2" t="s">
        <v>25</v>
      </c>
      <c r="C2">
        <v>400</v>
      </c>
      <c r="E2" t="str" cm="1">
        <f t="array" ref="E2:E5">_xlfn.UNIQUE(Tableau1[Fournisseurs])</f>
        <v>Anthropic</v>
      </c>
      <c r="F2" t="e" cm="1" vm="1">
        <f t="array" ref="F2">_xlfn._xlws.FILTER(Tableau1[Nom du modèle],Tableau1[Fournisseurs]='⚙️Données'!F26)</f>
        <v>#VALUE!</v>
      </c>
      <c r="G2" t="e">
        <f>_xlfn.XLOOKUP('⚙️Données'!J26,Tableau1[Nom du modèle],Tableau1[Catégorie])</f>
        <v>#N/A</v>
      </c>
      <c r="H2" s="116" t="e" cm="1">
        <f t="array" ref="H2">_xlfn._xlws.FILTER(
 Tableau1[Nom du modèle],
 (Tableau1[Fournisseurs]=H1)*
 (Tableau1[Catégorie]=$G$2),"Aucun modèle disponible"
)</f>
        <v>#N/A</v>
      </c>
      <c r="I2" s="116" t="e" cm="1">
        <f t="array" ref="I2">_xlfn._xlws.FILTER(
 Tableau1[Nom du modèle],
 (Tableau1[Fournisseurs]=I1)*
 (Tableau1[Catégorie]=$G$2)
)</f>
        <v>#N/A</v>
      </c>
      <c r="J2" s="116" t="e" cm="1">
        <f t="array" ref="J2">_xlfn._xlws.FILTER(
 Tableau1[Nom du modèle],
 (Tableau1[Fournisseurs]=J1)*
 (Tableau1[Catégorie]=$G$2)
)</f>
        <v>#N/A</v>
      </c>
      <c r="K2" s="116" t="e" cm="1">
        <f t="array" ref="K2">_xlfn._xlws.FILTER(
 Tableau1[Nom du modèle],
 (Tableau1[Fournisseurs]=K1)*
 (Tableau1[Catégorie]=$G$2)
)</f>
        <v>#N/A</v>
      </c>
      <c r="M2" t="str">
        <v>Google</v>
      </c>
      <c r="N2" t="str" cm="1">
        <f t="array" ref="N2:N6">_xlfn.UNIQUE(Tableau1[Catégorie])</f>
        <v>Moyen</v>
      </c>
      <c r="Q2" t="str" cm="1">
        <f t="array" ref="Q2:Q10">_xlfn._xlws.FILTER(
 Tableau1[Nom du modèle],
 (Tableau1[Fournisseurs]=Q1)*(Tableau1[Catégorie]&lt;&gt;"Embedding"))</f>
        <v>Claude Haiku 3</v>
      </c>
      <c r="R2" t="str" cm="1">
        <f t="array" ref="R2:R6">_xlfn._xlws.FILTER(
 Tableau1[Nom du modèle],
 (Tableau1[Fournisseurs]=R1)*(Tableau1[Catégorie]&lt;&gt;"Embedding"))</f>
        <v>Gemini 2.5 flash</v>
      </c>
      <c r="S2" t="str" cm="1">
        <f t="array" ref="S2:S8">_xlfn._xlws.FILTER(
 Tableau1[Nom du modèle],
 (Tableau1[Fournisseurs]=S1)*(Tableau1[Catégorie]&lt;&gt;"Embedding"))</f>
        <v>Codestral</v>
      </c>
      <c r="T2" t="str" cm="1">
        <f t="array" ref="T2:T19">_xlfn._xlws.FILTER(
 Tableau1[Nom du modèle],
 (Tableau1[Fournisseurs]=T1)*(Tableau1[Catégorie]&lt;&gt;"Embedding"))</f>
        <v>GPT-4</v>
      </c>
      <c r="V2" t="e" cm="1">
        <f t="array" ref="V2">_xlfn._xlws.FILTER(
 Tableau1[Nom du modèle],
 (Tableau1[Fournisseurs]=#REF!)*(Tableau1[Catégorie]&lt;&gt;"Embedding"))</f>
        <v>#REF!</v>
      </c>
      <c r="W2" t="e" cm="1">
        <f t="array" ref="W2">_xlfn._xlws.FILTER(
 Tableau1[Nom du modèle],
 (Tableau1[Fournisseurs]=#REF!)*(Tableau1[Catégorie]&lt;&gt;"Embedding"))</f>
        <v>#REF!</v>
      </c>
      <c r="X2" t="e" cm="1">
        <f t="array" ref="X2">_xlfn._xlws.FILTER(
 Tableau1[Nom du modèle],
 (Tableau1[Fournisseurs]=#REF!)*(Tableau1[Catégorie]&lt;&gt;"Embedding"))</f>
        <v>#REF!</v>
      </c>
      <c r="Y2" t="e" cm="1">
        <f t="array" ref="Y2">_xlfn._xlws.FILTER(
 Tableau1[Nom du modèle],
 (Tableau1[Fournisseurs]=#REF!)*(Tableau1[Catégorie]&lt;&gt;"Embedding"))</f>
        <v>#REF!</v>
      </c>
      <c r="Z2" t="e" cm="1">
        <f t="array" ref="Z2">_xlfn._xlws.FILTER(
 Tableau1[Nom du modèle],
 (Tableau1[Fournisseurs]=#REF!)*(Tableau1[Catégorie]&lt;&gt;"Embedding"))</f>
        <v>#REF!</v>
      </c>
      <c r="AB2" t="str" cm="1">
        <f t="array" ref="AB2:AB10">(_xlfn._xlws.FILTER(Tableau2[Sous-catégorie],Tableau2[Catégorie]="electricité","null"))</f>
        <v>France</v>
      </c>
    </row>
    <row r="3" spans="2:28">
      <c r="B3" t="s">
        <v>48</v>
      </c>
      <c r="C3">
        <v>1000</v>
      </c>
      <c r="E3" t="str">
        <v>Google</v>
      </c>
      <c r="M3" t="str">
        <v>Mistral AI</v>
      </c>
      <c r="N3" t="str">
        <v>Grand</v>
      </c>
      <c r="Q3" t="str">
        <v xml:space="preserve">Claude Haiku 4.5 </v>
      </c>
      <c r="R3" t="str">
        <v>Gemini 2.5 flash image</v>
      </c>
      <c r="S3" t="str">
        <v>Magistral Medium</v>
      </c>
      <c r="T3" t="str">
        <v>GPT-4 turbo</v>
      </c>
      <c r="AB3" t="str">
        <v>Autre (monde)</v>
      </c>
    </row>
    <row r="4" spans="2:28">
      <c r="B4" t="s">
        <v>440</v>
      </c>
      <c r="C4">
        <v>1500</v>
      </c>
      <c r="E4" t="str">
        <v>Mistral AI</v>
      </c>
      <c r="M4" t="str">
        <v>OpenAI</v>
      </c>
      <c r="N4" t="str">
        <v>Hors catégorie</v>
      </c>
      <c r="Q4" t="str">
        <v>Claude Sonnet 3.7</v>
      </c>
      <c r="R4" t="str">
        <v>Gemini 2.5 flash lite</v>
      </c>
      <c r="S4" t="str">
        <v>Ministral 3b</v>
      </c>
      <c r="T4" t="str">
        <v xml:space="preserve">GPT-4.1 </v>
      </c>
      <c r="AB4" t="str">
        <v>Europe (UE27)</v>
      </c>
    </row>
    <row r="5" spans="2:28">
      <c r="E5" t="str">
        <v>OpenAI</v>
      </c>
      <c r="N5" t="str">
        <v>Petit</v>
      </c>
      <c r="Q5" t="str">
        <v>Claude Sonnet 4</v>
      </c>
      <c r="R5" t="str">
        <v>Gemini 2.5 pro</v>
      </c>
      <c r="S5" t="str">
        <v>Ministral 8b</v>
      </c>
      <c r="T5" t="str">
        <v>GPT-4.1 nano</v>
      </c>
      <c r="AB5" t="str">
        <v>USA</v>
      </c>
    </row>
    <row r="6" spans="2:28">
      <c r="N6" t="str">
        <v>Embedding</v>
      </c>
      <c r="Q6" t="str">
        <v>Claude Sonnet 4.5</v>
      </c>
      <c r="R6" t="str">
        <v>Gemini 3.5 flash</v>
      </c>
      <c r="S6" t="str">
        <v>Mistral Large</v>
      </c>
      <c r="T6" t="str">
        <v>GPT-4.1-mini</v>
      </c>
      <c r="AB6" t="str">
        <v>UK</v>
      </c>
    </row>
    <row r="7" spans="2:28">
      <c r="Q7" t="str">
        <v>Claude Sonnet 4.6</v>
      </c>
      <c r="S7" t="str">
        <v>Mistral Medium</v>
      </c>
      <c r="T7" t="str">
        <v>GPT-4o</v>
      </c>
      <c r="AB7" t="str">
        <v>Allemagne</v>
      </c>
    </row>
    <row r="8" spans="2:28">
      <c r="Q8" t="str">
        <v>Claude Opus 4.6</v>
      </c>
      <c r="S8" t="str">
        <v>Pixtral Large</v>
      </c>
      <c r="T8" t="str">
        <v>GPT-4o mini</v>
      </c>
      <c r="AB8" t="str">
        <v>Irlande</v>
      </c>
    </row>
    <row r="9" spans="2:28">
      <c r="Q9" t="str">
        <v>Claude Sonnet 5</v>
      </c>
      <c r="T9" t="str">
        <v>GPT-5</v>
      </c>
      <c r="AB9" t="str">
        <v>Pays Bas</v>
      </c>
    </row>
    <row r="10" spans="2:28">
      <c r="Q10" t="str">
        <v>Claude Opus 4.8</v>
      </c>
      <c r="T10" t="str">
        <v>GPT-5 mini</v>
      </c>
      <c r="AB10" t="str">
        <v>Suède</v>
      </c>
    </row>
    <row r="11" spans="2:28">
      <c r="T11" t="str">
        <v>GPT-5 nano</v>
      </c>
    </row>
    <row r="12" spans="2:28">
      <c r="T12" t="str">
        <v>GPT-5.1</v>
      </c>
    </row>
    <row r="13" spans="2:28">
      <c r="T13" t="str">
        <v>GPT-5.2</v>
      </c>
    </row>
    <row r="14" spans="2:28">
      <c r="T14" t="str">
        <v>GPT-5.2 pro</v>
      </c>
    </row>
    <row r="15" spans="2:28">
      <c r="T15" t="str">
        <v>o3 mini</v>
      </c>
    </row>
    <row r="16" spans="2:28">
      <c r="T16" t="str">
        <v>o4 mini</v>
      </c>
    </row>
    <row r="17" spans="20:20">
      <c r="T17" t="str">
        <v>GPT-5.6 Sol</v>
      </c>
    </row>
    <row r="18" spans="20:20">
      <c r="T18" t="str">
        <v>GPT-5.6 Terra</v>
      </c>
    </row>
    <row r="19" spans="20:20">
      <c r="T19" t="str">
        <v>GPT-5.6 Luna</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5549726-c9a7-4aa3-91dd-d45d1ea9ea46" xsi:nil="true"/>
    <lcf76f155ced4ddcb4097134ff3c332f xmlns="bb424d1a-6bd0-491e-81f1-72baa450ae3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3FDE19FF01FB4ABB62E5F98751C546" ma:contentTypeVersion="18" ma:contentTypeDescription="Crée un document." ma:contentTypeScope="" ma:versionID="bfee1152d10e9baaf2247e6800796c1b">
  <xsd:schema xmlns:xsd="http://www.w3.org/2001/XMLSchema" xmlns:xs="http://www.w3.org/2001/XMLSchema" xmlns:p="http://schemas.microsoft.com/office/2006/metadata/properties" xmlns:ns2="bb424d1a-6bd0-491e-81f1-72baa450ae34" xmlns:ns3="05549726-c9a7-4aa3-91dd-d45d1ea9ea46" targetNamespace="http://schemas.microsoft.com/office/2006/metadata/properties" ma:root="true" ma:fieldsID="67547f41ab1ed0c2945b56e8eee9a33c" ns2:_="" ns3:_="">
    <xsd:import namespace="bb424d1a-6bd0-491e-81f1-72baa450ae34"/>
    <xsd:import namespace="05549726-c9a7-4aa3-91dd-d45d1ea9ea4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424d1a-6bd0-491e-81f1-72baa450ae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5096f5d6-3256-4090-9362-038d665d195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549726-c9a7-4aa3-91dd-d45d1ea9ea46"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331130c7-8441-4d86-bdc1-28ae48d36bc4}" ma:internalName="TaxCatchAll" ma:showField="CatchAllData" ma:web="05549726-c9a7-4aa3-91dd-d45d1ea9ea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D05762-C6D5-4ACA-ACCE-AC3532C795AA}">
  <ds:schemaRefs>
    <ds:schemaRef ds:uri="def375eb-5a4f-4e3a-9b16-de2761598a44"/>
    <ds:schemaRef ds:uri="http://www.w3.org/XML/1998/namespace"/>
    <ds:schemaRef ds:uri="http://purl.org/dc/terms/"/>
    <ds:schemaRef ds:uri="http://purl.org/dc/dcmityp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schemas.microsoft.com/office/2006/metadata/properties"/>
    <ds:schemaRef ds:uri="05549726-c9a7-4aa3-91dd-d45d1ea9ea46"/>
    <ds:schemaRef ds:uri="bb424d1a-6bd0-491e-81f1-72baa450ae34"/>
  </ds:schemaRefs>
</ds:datastoreItem>
</file>

<file path=customXml/itemProps2.xml><?xml version="1.0" encoding="utf-8"?>
<ds:datastoreItem xmlns:ds="http://schemas.openxmlformats.org/officeDocument/2006/customXml" ds:itemID="{DA9F074F-5894-4201-8BCC-43ED110B83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424d1a-6bd0-491e-81f1-72baa450ae34"/>
    <ds:schemaRef ds:uri="05549726-c9a7-4aa3-91dd-d45d1ea9ea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95A426-28B4-4B41-9CD5-97EE3F4AB7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13</vt:i4>
      </vt:variant>
    </vt:vector>
  </HeadingPairs>
  <TitlesOfParts>
    <vt:vector size="21" baseType="lpstr">
      <vt:lpstr>📓Notice</vt:lpstr>
      <vt:lpstr>⚙️Données</vt:lpstr>
      <vt:lpstr>📊Résultats</vt:lpstr>
      <vt:lpstr>♻️Bonnes pratiques</vt:lpstr>
      <vt:lpstr>Calcul</vt:lpstr>
      <vt:lpstr>Bibliothèque_FE</vt:lpstr>
      <vt:lpstr>Modèles_IA</vt:lpstr>
      <vt:lpstr>Paramètres</vt:lpstr>
      <vt:lpstr>Anthropic</vt:lpstr>
      <vt:lpstr>Google</vt:lpstr>
      <vt:lpstr>MistralAI</vt:lpstr>
      <vt:lpstr>'⚙️Données'!Nb_requests</vt:lpstr>
      <vt:lpstr>'⚙️Données'!Nb_tokens</vt:lpstr>
      <vt:lpstr>'⚙️Données'!Nb_users</vt:lpstr>
      <vt:lpstr>OpenAI</vt:lpstr>
      <vt:lpstr>'⚙️Données'!Phase_conception</vt:lpstr>
      <vt:lpstr>'⚙️Données'!Phase_production</vt:lpstr>
      <vt:lpstr>'⚙️Données'!Zone_d_impression</vt:lpstr>
      <vt:lpstr>Modèles_IA!Zone_d_impression</vt:lpstr>
      <vt:lpstr>📊Résultats!Zone_d_impression</vt:lpstr>
      <vt:lpstr>📓Notice!Zone_d_impression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FOUQUET Tatiana</dc:creator>
  <cp:keywords/>
  <dc:description/>
  <cp:lastModifiedBy>VERNE Xavier (SNCF / DGA NUMERIQUE / DNG.GOUV&amp;TRANSFO </cp:lastModifiedBy>
  <cp:revision/>
  <dcterms:created xsi:type="dcterms:W3CDTF">2015-06-05T18:17:20Z</dcterms:created>
  <dcterms:modified xsi:type="dcterms:W3CDTF">2026-09-16T08:32:56Z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0x010100243FDE19FF01FB4ABB62E5F98751C546</vt:lpwstr>
  </property>
  <property fmtid="{D5CDD505-2E9C-101B-9397-08002B2CF9AE}" pid="3" name="MediaServiceImageTags">
    <vt:lpwstr/>
  </property>
  <property fmtid="{D5CDD505-2E9C-101B-9397-08002B2CF9AE}" pid="4" name="MSIP_Label_c8d3f7c8-5c4b-4ab6-9486-a0a9eb08efa7_Enabled">
    <vt:lpwstr>true</vt:lpwstr>
  </property>
  <property fmtid="{D5CDD505-2E9C-101B-9397-08002B2CF9AE}" pid="5" name="MSIP_Label_c8d3f7c8-5c4b-4ab6-9486-a0a9eb08efa7_SetDate">
    <vt:lpwstr>2026-04-09T15:37:12Z</vt:lpwstr>
  </property>
  <property fmtid="{D5CDD505-2E9C-101B-9397-08002B2CF9AE}" pid="6" name="MSIP_Label_c8d3f7c8-5c4b-4ab6-9486-a0a9eb08efa7_Method">
    <vt:lpwstr>Standard</vt:lpwstr>
  </property>
  <property fmtid="{D5CDD505-2E9C-101B-9397-08002B2CF9AE}" pid="7" name="MSIP_Label_c8d3f7c8-5c4b-4ab6-9486-a0a9eb08efa7_Name">
    <vt:lpwstr>Interne - Groupe</vt:lpwstr>
  </property>
  <property fmtid="{D5CDD505-2E9C-101B-9397-08002B2CF9AE}" pid="8" name="MSIP_Label_c8d3f7c8-5c4b-4ab6-9486-a0a9eb08efa7_SiteId">
    <vt:lpwstr>4a7c8238-5799-4b16-9fc6-9ad8fce5a7d9</vt:lpwstr>
  </property>
  <property fmtid="{D5CDD505-2E9C-101B-9397-08002B2CF9AE}" pid="9" name="MSIP_Label_c8d3f7c8-5c4b-4ab6-9486-a0a9eb08efa7_ActionId">
    <vt:lpwstr>39902540-59a1-4b6f-804f-8da89e1c8e8c</vt:lpwstr>
  </property>
  <property fmtid="{D5CDD505-2E9C-101B-9397-08002B2CF9AE}" pid="10" name="MSIP_Label_c8d3f7c8-5c4b-4ab6-9486-a0a9eb08efa7_ContentBits">
    <vt:lpwstr>2</vt:lpwstr>
  </property>
  <property fmtid="{D5CDD505-2E9C-101B-9397-08002B2CF9AE}" pid="11" name="MSIP_Label_c8d3f7c8-5c4b-4ab6-9486-a0a9eb08efa7_Tag">
    <vt:lpwstr>10, 3, 0, 1</vt:lpwstr>
  </property>
</Properties>
</file>