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40" yWindow="240" windowWidth="25360" windowHeight="13620" tabRatio="500"/>
  </bookViews>
  <sheets>
    <sheet name="Quick View_ Sample Data" sheetId="1" r:id="rId1"/>
    <sheet name="Charts" sheetId="2" r:id="rId2"/>
    <sheet name="Rsheet Data" sheetId="3" r:id="rId3"/>
    <sheet name="CL_data" sheetId="4" r:id="rId4"/>
    <sheet name="Processes" sheetId="5" r:id="rId5"/>
    <sheet name="Film Inventory 10_15_2012" sheetId="6" r:id="rId6"/>
    <sheet name="Resistance Data" sheetId="7" r:id="rId7"/>
    <sheet name="Protocols" sheetId="8" r:id="rId8"/>
    <sheet name="best known values" sheetId="9" r:id="rId9"/>
    <sheet name="Tc Data from MATLAB" sheetId="10" r:id="rId10"/>
    <sheet name="Data Parsed from Files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3" i="10" l="1"/>
  <c r="F243" i="10"/>
  <c r="H243" i="10"/>
  <c r="E243" i="10"/>
  <c r="G243" i="10"/>
  <c r="D242" i="10"/>
  <c r="F242" i="10"/>
  <c r="H242" i="10"/>
  <c r="E242" i="10"/>
  <c r="G242" i="10"/>
  <c r="D241" i="10"/>
  <c r="F241" i="10"/>
  <c r="H241" i="10"/>
  <c r="E241" i="10"/>
  <c r="G241" i="10"/>
  <c r="D240" i="10"/>
  <c r="F240" i="10"/>
  <c r="H240" i="10"/>
  <c r="E240" i="10"/>
  <c r="G240" i="10"/>
  <c r="D239" i="10"/>
  <c r="F239" i="10"/>
  <c r="H239" i="10"/>
  <c r="E239" i="10"/>
  <c r="G239" i="10"/>
  <c r="D238" i="10"/>
  <c r="F238" i="10"/>
  <c r="H238" i="10"/>
  <c r="E238" i="10"/>
  <c r="G238" i="10"/>
  <c r="D237" i="10"/>
  <c r="F237" i="10"/>
  <c r="H237" i="10"/>
  <c r="E237" i="10"/>
  <c r="G237" i="10"/>
  <c r="D236" i="10"/>
  <c r="F236" i="10"/>
  <c r="H236" i="10"/>
  <c r="E236" i="10"/>
  <c r="G236" i="10"/>
  <c r="D235" i="10"/>
  <c r="F235" i="10"/>
  <c r="H235" i="10"/>
  <c r="E235" i="10"/>
  <c r="G235" i="10"/>
  <c r="D234" i="10"/>
  <c r="F234" i="10"/>
  <c r="H234" i="10"/>
  <c r="E234" i="10"/>
  <c r="G234" i="10"/>
  <c r="D233" i="10"/>
  <c r="F233" i="10"/>
  <c r="H233" i="10"/>
  <c r="E233" i="10"/>
  <c r="G233" i="10"/>
  <c r="D232" i="10"/>
  <c r="F232" i="10"/>
  <c r="H232" i="10"/>
  <c r="E232" i="10"/>
  <c r="G232" i="10"/>
  <c r="D231" i="10"/>
  <c r="F231" i="10"/>
  <c r="H231" i="10"/>
  <c r="E231" i="10"/>
  <c r="G231" i="10"/>
  <c r="D230" i="10"/>
  <c r="F230" i="10"/>
  <c r="H230" i="10"/>
  <c r="E230" i="10"/>
  <c r="G230" i="10"/>
  <c r="D229" i="10"/>
  <c r="F229" i="10"/>
  <c r="H229" i="10"/>
  <c r="E229" i="10"/>
  <c r="G229" i="10"/>
  <c r="D228" i="10"/>
  <c r="F228" i="10"/>
  <c r="H228" i="10"/>
  <c r="E228" i="10"/>
  <c r="G228" i="10"/>
  <c r="D227" i="10"/>
  <c r="F227" i="10"/>
  <c r="H227" i="10"/>
  <c r="E227" i="10"/>
  <c r="G227" i="10"/>
  <c r="D226" i="10"/>
  <c r="F226" i="10"/>
  <c r="H226" i="10"/>
  <c r="E226" i="10"/>
  <c r="G226" i="10"/>
  <c r="D225" i="10"/>
  <c r="F225" i="10"/>
  <c r="H225" i="10"/>
  <c r="E225" i="10"/>
  <c r="G225" i="10"/>
  <c r="D224" i="10"/>
  <c r="F224" i="10"/>
  <c r="H224" i="10"/>
  <c r="E224" i="10"/>
  <c r="G224" i="10"/>
  <c r="D223" i="10"/>
  <c r="F223" i="10"/>
  <c r="H223" i="10"/>
  <c r="E223" i="10"/>
  <c r="G223" i="10"/>
  <c r="D222" i="10"/>
  <c r="F222" i="10"/>
  <c r="H222" i="10"/>
  <c r="E222" i="10"/>
  <c r="G222" i="10"/>
  <c r="D221" i="10"/>
  <c r="F221" i="10"/>
  <c r="H221" i="10"/>
  <c r="E221" i="10"/>
  <c r="G221" i="10"/>
  <c r="D220" i="10"/>
  <c r="F220" i="10"/>
  <c r="H220" i="10"/>
  <c r="E220" i="10"/>
  <c r="G220" i="10"/>
  <c r="D219" i="10"/>
  <c r="F219" i="10"/>
  <c r="H219" i="10"/>
  <c r="E219" i="10"/>
  <c r="G219" i="10"/>
  <c r="D218" i="10"/>
  <c r="F218" i="10"/>
  <c r="H218" i="10"/>
  <c r="E218" i="10"/>
  <c r="G218" i="10"/>
  <c r="D217" i="10"/>
  <c r="F217" i="10"/>
  <c r="H217" i="10"/>
  <c r="E217" i="10"/>
  <c r="G217" i="10"/>
  <c r="D216" i="10"/>
  <c r="F216" i="10"/>
  <c r="H216" i="10"/>
  <c r="E216" i="10"/>
  <c r="G216" i="10"/>
  <c r="D215" i="10"/>
  <c r="F215" i="10"/>
  <c r="H215" i="10"/>
  <c r="E215" i="10"/>
  <c r="G215" i="10"/>
  <c r="D214" i="10"/>
  <c r="F214" i="10"/>
  <c r="H214" i="10"/>
  <c r="E214" i="10"/>
  <c r="G214" i="10"/>
  <c r="D213" i="10"/>
  <c r="F213" i="10"/>
  <c r="H213" i="10"/>
  <c r="E213" i="10"/>
  <c r="G213" i="10"/>
  <c r="D212" i="10"/>
  <c r="F212" i="10"/>
  <c r="H212" i="10"/>
  <c r="E212" i="10"/>
  <c r="G212" i="10"/>
  <c r="D211" i="10"/>
  <c r="F211" i="10"/>
  <c r="H211" i="10"/>
  <c r="E211" i="10"/>
  <c r="G211" i="10"/>
  <c r="D210" i="10"/>
  <c r="F210" i="10"/>
  <c r="H210" i="10"/>
  <c r="E210" i="10"/>
  <c r="G210" i="10"/>
  <c r="D209" i="10"/>
  <c r="F209" i="10"/>
  <c r="H209" i="10"/>
  <c r="E209" i="10"/>
  <c r="G209" i="10"/>
  <c r="D208" i="10"/>
  <c r="F208" i="10"/>
  <c r="H208" i="10"/>
  <c r="E208" i="10"/>
  <c r="G208" i="10"/>
  <c r="D207" i="10"/>
  <c r="F207" i="10"/>
  <c r="H207" i="10"/>
  <c r="E207" i="10"/>
  <c r="G207" i="10"/>
  <c r="D206" i="10"/>
  <c r="F206" i="10"/>
  <c r="H206" i="10"/>
  <c r="E206" i="10"/>
  <c r="G206" i="10"/>
  <c r="D205" i="10"/>
  <c r="F205" i="10"/>
  <c r="H205" i="10"/>
  <c r="E205" i="10"/>
  <c r="G205" i="10"/>
  <c r="D204" i="10"/>
  <c r="F204" i="10"/>
  <c r="H204" i="10"/>
  <c r="E204" i="10"/>
  <c r="G204" i="10"/>
  <c r="D203" i="10"/>
  <c r="F203" i="10"/>
  <c r="H203" i="10"/>
  <c r="E203" i="10"/>
  <c r="G203" i="10"/>
  <c r="D202" i="10"/>
  <c r="F202" i="10"/>
  <c r="H202" i="10"/>
  <c r="E202" i="10"/>
  <c r="G202" i="10"/>
  <c r="D201" i="10"/>
  <c r="F201" i="10"/>
  <c r="H201" i="10"/>
  <c r="E201" i="10"/>
  <c r="G201" i="10"/>
  <c r="D200" i="10"/>
  <c r="F200" i="10"/>
  <c r="H200" i="10"/>
  <c r="E200" i="10"/>
  <c r="G200" i="10"/>
  <c r="D199" i="10"/>
  <c r="F199" i="10"/>
  <c r="H199" i="10"/>
  <c r="E199" i="10"/>
  <c r="G199" i="10"/>
  <c r="D198" i="10"/>
  <c r="F198" i="10"/>
  <c r="H198" i="10"/>
  <c r="E198" i="10"/>
  <c r="G198" i="10"/>
  <c r="D197" i="10"/>
  <c r="F197" i="10"/>
  <c r="H197" i="10"/>
  <c r="E197" i="10"/>
  <c r="G197" i="10"/>
  <c r="D196" i="10"/>
  <c r="F196" i="10"/>
  <c r="H196" i="10"/>
  <c r="E196" i="10"/>
  <c r="G196" i="10"/>
  <c r="D195" i="10"/>
  <c r="F195" i="10"/>
  <c r="H195" i="10"/>
  <c r="E195" i="10"/>
  <c r="G195" i="10"/>
  <c r="D194" i="10"/>
  <c r="F194" i="10"/>
  <c r="H194" i="10"/>
  <c r="E194" i="10"/>
  <c r="G194" i="10"/>
  <c r="D193" i="10"/>
  <c r="F193" i="10"/>
  <c r="H193" i="10"/>
  <c r="E193" i="10"/>
  <c r="G193" i="10"/>
  <c r="D192" i="10"/>
  <c r="F192" i="10"/>
  <c r="H192" i="10"/>
  <c r="E192" i="10"/>
  <c r="G192" i="10"/>
  <c r="D191" i="10"/>
  <c r="F191" i="10"/>
  <c r="H191" i="10"/>
  <c r="E191" i="10"/>
  <c r="G191" i="10"/>
  <c r="D190" i="10"/>
  <c r="F190" i="10"/>
  <c r="H190" i="10"/>
  <c r="E190" i="10"/>
  <c r="G190" i="10"/>
  <c r="D189" i="10"/>
  <c r="F189" i="10"/>
  <c r="H189" i="10"/>
  <c r="E189" i="10"/>
  <c r="G189" i="10"/>
  <c r="D188" i="10"/>
  <c r="F188" i="10"/>
  <c r="H188" i="10"/>
  <c r="E188" i="10"/>
  <c r="G188" i="10"/>
  <c r="D187" i="10"/>
  <c r="F187" i="10"/>
  <c r="H187" i="10"/>
  <c r="E187" i="10"/>
  <c r="G187" i="10"/>
  <c r="D186" i="10"/>
  <c r="F186" i="10"/>
  <c r="H186" i="10"/>
  <c r="E186" i="10"/>
  <c r="G186" i="10"/>
  <c r="D185" i="10"/>
  <c r="F185" i="10"/>
  <c r="H185" i="10"/>
  <c r="E185" i="10"/>
  <c r="G185" i="10"/>
  <c r="D184" i="10"/>
  <c r="F184" i="10"/>
  <c r="H184" i="10"/>
  <c r="E184" i="10"/>
  <c r="G184" i="10"/>
  <c r="D183" i="10"/>
  <c r="F183" i="10"/>
  <c r="H183" i="10"/>
  <c r="E183" i="10"/>
  <c r="G183" i="10"/>
  <c r="D182" i="10"/>
  <c r="F182" i="10"/>
  <c r="H182" i="10"/>
  <c r="E182" i="10"/>
  <c r="G182" i="10"/>
  <c r="D181" i="10"/>
  <c r="F181" i="10"/>
  <c r="H181" i="10"/>
  <c r="E181" i="10"/>
  <c r="G181" i="10"/>
  <c r="D180" i="10"/>
  <c r="F180" i="10"/>
  <c r="H180" i="10"/>
  <c r="E180" i="10"/>
  <c r="G180" i="10"/>
  <c r="D179" i="10"/>
  <c r="F179" i="10"/>
  <c r="H179" i="10"/>
  <c r="E179" i="10"/>
  <c r="G179" i="10"/>
  <c r="D178" i="10"/>
  <c r="F178" i="10"/>
  <c r="H178" i="10"/>
  <c r="E178" i="10"/>
  <c r="G178" i="10"/>
  <c r="D177" i="10"/>
  <c r="F177" i="10"/>
  <c r="H177" i="10"/>
  <c r="E177" i="10"/>
  <c r="G177" i="10"/>
  <c r="D176" i="10"/>
  <c r="F176" i="10"/>
  <c r="H176" i="10"/>
  <c r="E176" i="10"/>
  <c r="G176" i="10"/>
  <c r="D175" i="10"/>
  <c r="F175" i="10"/>
  <c r="H175" i="10"/>
  <c r="E175" i="10"/>
  <c r="G175" i="10"/>
  <c r="D174" i="10"/>
  <c r="F174" i="10"/>
  <c r="H174" i="10"/>
  <c r="E174" i="10"/>
  <c r="G174" i="10"/>
  <c r="D173" i="10"/>
  <c r="F173" i="10"/>
  <c r="H173" i="10"/>
  <c r="E173" i="10"/>
  <c r="G173" i="10"/>
  <c r="D172" i="10"/>
  <c r="F172" i="10"/>
  <c r="H172" i="10"/>
  <c r="E172" i="10"/>
  <c r="G172" i="10"/>
  <c r="D171" i="10"/>
  <c r="F171" i="10"/>
  <c r="H171" i="10"/>
  <c r="E171" i="10"/>
  <c r="G171" i="10"/>
  <c r="D170" i="10"/>
  <c r="F170" i="10"/>
  <c r="H170" i="10"/>
  <c r="E170" i="10"/>
  <c r="G170" i="10"/>
  <c r="D169" i="10"/>
  <c r="F169" i="10"/>
  <c r="H169" i="10"/>
  <c r="E169" i="10"/>
  <c r="G169" i="10"/>
  <c r="D168" i="10"/>
  <c r="F168" i="10"/>
  <c r="H168" i="10"/>
  <c r="E168" i="10"/>
  <c r="G168" i="10"/>
  <c r="D167" i="10"/>
  <c r="F167" i="10"/>
  <c r="H167" i="10"/>
  <c r="E167" i="10"/>
  <c r="G167" i="10"/>
  <c r="D166" i="10"/>
  <c r="F166" i="10"/>
  <c r="H166" i="10"/>
  <c r="E166" i="10"/>
  <c r="G166" i="10"/>
  <c r="D165" i="10"/>
  <c r="F165" i="10"/>
  <c r="H165" i="10"/>
  <c r="E165" i="10"/>
  <c r="G165" i="10"/>
  <c r="D164" i="10"/>
  <c r="F164" i="10"/>
  <c r="H164" i="10"/>
  <c r="E164" i="10"/>
  <c r="G164" i="10"/>
  <c r="D163" i="10"/>
  <c r="F163" i="10"/>
  <c r="H163" i="10"/>
  <c r="E163" i="10"/>
  <c r="G163" i="10"/>
  <c r="D162" i="10"/>
  <c r="F162" i="10"/>
  <c r="H162" i="10"/>
  <c r="E162" i="10"/>
  <c r="G162" i="10"/>
  <c r="D161" i="10"/>
  <c r="F161" i="10"/>
  <c r="H161" i="10"/>
  <c r="E161" i="10"/>
  <c r="G161" i="10"/>
  <c r="D160" i="10"/>
  <c r="F160" i="10"/>
  <c r="H160" i="10"/>
  <c r="E160" i="10"/>
  <c r="G160" i="10"/>
  <c r="D159" i="10"/>
  <c r="F159" i="10"/>
  <c r="H159" i="10"/>
  <c r="E159" i="10"/>
  <c r="G159" i="10"/>
  <c r="D158" i="10"/>
  <c r="F158" i="10"/>
  <c r="H158" i="10"/>
  <c r="E158" i="10"/>
  <c r="G158" i="10"/>
  <c r="D157" i="10"/>
  <c r="F157" i="10"/>
  <c r="H157" i="10"/>
  <c r="E157" i="10"/>
  <c r="G157" i="10"/>
  <c r="D156" i="10"/>
  <c r="F156" i="10"/>
  <c r="H156" i="10"/>
  <c r="E156" i="10"/>
  <c r="G156" i="10"/>
  <c r="D155" i="10"/>
  <c r="F155" i="10"/>
  <c r="H155" i="10"/>
  <c r="E155" i="10"/>
  <c r="G155" i="10"/>
  <c r="D154" i="10"/>
  <c r="F154" i="10"/>
  <c r="H154" i="10"/>
  <c r="E154" i="10"/>
  <c r="G154" i="10"/>
  <c r="D153" i="10"/>
  <c r="F153" i="10"/>
  <c r="H153" i="10"/>
  <c r="E153" i="10"/>
  <c r="G153" i="10"/>
  <c r="D152" i="10"/>
  <c r="F152" i="10"/>
  <c r="H152" i="10"/>
  <c r="E152" i="10"/>
  <c r="G152" i="10"/>
  <c r="D151" i="10"/>
  <c r="F151" i="10"/>
  <c r="H151" i="10"/>
  <c r="E151" i="10"/>
  <c r="G151" i="10"/>
  <c r="D150" i="10"/>
  <c r="F150" i="10"/>
  <c r="H150" i="10"/>
  <c r="E150" i="10"/>
  <c r="G150" i="10"/>
  <c r="D149" i="10"/>
  <c r="F149" i="10"/>
  <c r="H149" i="10"/>
  <c r="E149" i="10"/>
  <c r="G149" i="10"/>
  <c r="E148" i="10"/>
  <c r="G148" i="10"/>
  <c r="D148" i="10"/>
  <c r="F148" i="10"/>
  <c r="E147" i="10"/>
  <c r="G147" i="10"/>
  <c r="D147" i="10"/>
  <c r="F147" i="10"/>
  <c r="D146" i="10"/>
  <c r="F146" i="10"/>
  <c r="H146" i="10"/>
  <c r="E146" i="10"/>
  <c r="G146" i="10"/>
  <c r="D145" i="10"/>
  <c r="F145" i="10"/>
  <c r="H145" i="10"/>
  <c r="E145" i="10"/>
  <c r="G145" i="10"/>
  <c r="D144" i="10"/>
  <c r="F144" i="10"/>
  <c r="H144" i="10"/>
  <c r="E144" i="10"/>
  <c r="G144" i="10"/>
  <c r="D143" i="10"/>
  <c r="F143" i="10"/>
  <c r="H143" i="10"/>
  <c r="E143" i="10"/>
  <c r="G143" i="10"/>
  <c r="D142" i="10"/>
  <c r="F142" i="10"/>
  <c r="H142" i="10"/>
  <c r="E142" i="10"/>
  <c r="G142" i="10"/>
  <c r="D141" i="10"/>
  <c r="F141" i="10"/>
  <c r="H141" i="10"/>
  <c r="E141" i="10"/>
  <c r="G141" i="10"/>
  <c r="D140" i="10"/>
  <c r="F140" i="10"/>
  <c r="H140" i="10"/>
  <c r="E140" i="10"/>
  <c r="G140" i="10"/>
  <c r="D139" i="10"/>
  <c r="F139" i="10"/>
  <c r="H139" i="10"/>
  <c r="E139" i="10"/>
  <c r="G139" i="10"/>
  <c r="D138" i="10"/>
  <c r="F138" i="10"/>
  <c r="H138" i="10"/>
  <c r="E138" i="10"/>
  <c r="G138" i="10"/>
  <c r="D137" i="10"/>
  <c r="F137" i="10"/>
  <c r="H137" i="10"/>
  <c r="E137" i="10"/>
  <c r="G137" i="10"/>
  <c r="D136" i="10"/>
  <c r="F136" i="10"/>
  <c r="H136" i="10"/>
  <c r="E136" i="10"/>
  <c r="G136" i="10"/>
  <c r="D135" i="10"/>
  <c r="F135" i="10"/>
  <c r="H135" i="10"/>
  <c r="E135" i="10"/>
  <c r="G135" i="10"/>
  <c r="D134" i="10"/>
  <c r="F134" i="10"/>
  <c r="H134" i="10"/>
  <c r="E134" i="10"/>
  <c r="G134" i="10"/>
  <c r="D133" i="10"/>
  <c r="F133" i="10"/>
  <c r="H133" i="10"/>
  <c r="E133" i="10"/>
  <c r="G133" i="10"/>
  <c r="D132" i="10"/>
  <c r="F132" i="10"/>
  <c r="H132" i="10"/>
  <c r="E132" i="10"/>
  <c r="G132" i="10"/>
  <c r="D131" i="10"/>
  <c r="F131" i="10"/>
  <c r="H131" i="10"/>
  <c r="E131" i="10"/>
  <c r="G131" i="10"/>
  <c r="D130" i="10"/>
  <c r="F130" i="10"/>
  <c r="H130" i="10"/>
  <c r="E130" i="10"/>
  <c r="G130" i="10"/>
  <c r="D129" i="10"/>
  <c r="F129" i="10"/>
  <c r="H129" i="10"/>
  <c r="E129" i="10"/>
  <c r="G129" i="10"/>
  <c r="D128" i="10"/>
  <c r="F128" i="10"/>
  <c r="H128" i="10"/>
  <c r="E128" i="10"/>
  <c r="G128" i="10"/>
  <c r="D127" i="10"/>
  <c r="F127" i="10"/>
  <c r="H127" i="10"/>
  <c r="E127" i="10"/>
  <c r="G127" i="10"/>
  <c r="D126" i="10"/>
  <c r="F126" i="10"/>
  <c r="H126" i="10"/>
  <c r="E126" i="10"/>
  <c r="G126" i="10"/>
  <c r="D125" i="10"/>
  <c r="F125" i="10"/>
  <c r="H125" i="10"/>
  <c r="E125" i="10"/>
  <c r="G125" i="10"/>
  <c r="D124" i="10"/>
  <c r="F124" i="10"/>
  <c r="H124" i="10"/>
  <c r="E124" i="10"/>
  <c r="G124" i="10"/>
  <c r="D123" i="10"/>
  <c r="F123" i="10"/>
  <c r="H123" i="10"/>
  <c r="E123" i="10"/>
  <c r="G123" i="10"/>
  <c r="D122" i="10"/>
  <c r="F122" i="10"/>
  <c r="H122" i="10"/>
  <c r="E122" i="10"/>
  <c r="G122" i="10"/>
  <c r="D121" i="10"/>
  <c r="F121" i="10"/>
  <c r="H121" i="10"/>
  <c r="E121" i="10"/>
  <c r="G121" i="10"/>
  <c r="D120" i="10"/>
  <c r="F120" i="10"/>
  <c r="H120" i="10"/>
  <c r="E120" i="10"/>
  <c r="G120" i="10"/>
  <c r="D119" i="10"/>
  <c r="F119" i="10"/>
  <c r="H119" i="10"/>
  <c r="E119" i="10"/>
  <c r="G119" i="10"/>
  <c r="D118" i="10"/>
  <c r="F118" i="10"/>
  <c r="H118" i="10"/>
  <c r="E118" i="10"/>
  <c r="G118" i="10"/>
  <c r="D117" i="10"/>
  <c r="F117" i="10"/>
  <c r="H117" i="10"/>
  <c r="E117" i="10"/>
  <c r="G117" i="10"/>
  <c r="D116" i="10"/>
  <c r="F116" i="10"/>
  <c r="H116" i="10"/>
  <c r="E116" i="10"/>
  <c r="G116" i="10"/>
  <c r="D115" i="10"/>
  <c r="F115" i="10"/>
  <c r="H115" i="10"/>
  <c r="E115" i="10"/>
  <c r="G115" i="10"/>
  <c r="D114" i="10"/>
  <c r="F114" i="10"/>
  <c r="H114" i="10"/>
  <c r="E114" i="10"/>
  <c r="G114" i="10"/>
  <c r="D113" i="10"/>
  <c r="F113" i="10"/>
  <c r="H113" i="10"/>
  <c r="E113" i="10"/>
  <c r="G113" i="10"/>
  <c r="D112" i="10"/>
  <c r="F112" i="10"/>
  <c r="H112" i="10"/>
  <c r="E112" i="10"/>
  <c r="G112" i="10"/>
  <c r="D111" i="10"/>
  <c r="F111" i="10"/>
  <c r="H111" i="10"/>
  <c r="E111" i="10"/>
  <c r="G111" i="10"/>
  <c r="D110" i="10"/>
  <c r="F110" i="10"/>
  <c r="H110" i="10"/>
  <c r="E110" i="10"/>
  <c r="G110" i="10"/>
  <c r="D109" i="10"/>
  <c r="F109" i="10"/>
  <c r="H109" i="10"/>
  <c r="E109" i="10"/>
  <c r="G109" i="10"/>
  <c r="D108" i="10"/>
  <c r="F108" i="10"/>
  <c r="H108" i="10"/>
  <c r="E108" i="10"/>
  <c r="G108" i="10"/>
  <c r="D107" i="10"/>
  <c r="F107" i="10"/>
  <c r="H107" i="10"/>
  <c r="E107" i="10"/>
  <c r="G107" i="10"/>
  <c r="D106" i="10"/>
  <c r="F106" i="10"/>
  <c r="H106" i="10"/>
  <c r="E106" i="10"/>
  <c r="G106" i="10"/>
  <c r="D105" i="10"/>
  <c r="F105" i="10"/>
  <c r="H105" i="10"/>
  <c r="E105" i="10"/>
  <c r="G105" i="10"/>
  <c r="E104" i="10"/>
  <c r="G104" i="10"/>
  <c r="D104" i="10"/>
  <c r="F104" i="10"/>
  <c r="E103" i="10"/>
  <c r="G103" i="10"/>
  <c r="D103" i="10"/>
  <c r="F103" i="10"/>
  <c r="D102" i="10"/>
  <c r="F102" i="10"/>
  <c r="H102" i="10"/>
  <c r="E102" i="10"/>
  <c r="G102" i="10"/>
  <c r="D101" i="10"/>
  <c r="F101" i="10"/>
  <c r="H101" i="10"/>
  <c r="E101" i="10"/>
  <c r="G101" i="10"/>
  <c r="E100" i="10"/>
  <c r="G100" i="10"/>
  <c r="D100" i="10"/>
  <c r="F100" i="10"/>
  <c r="D99" i="10"/>
  <c r="F99" i="10"/>
  <c r="H99" i="10"/>
  <c r="E99" i="10"/>
  <c r="G99" i="10"/>
  <c r="D98" i="10"/>
  <c r="F98" i="10"/>
  <c r="H98" i="10"/>
  <c r="E98" i="10"/>
  <c r="G98" i="10"/>
  <c r="D97" i="10"/>
  <c r="F97" i="10"/>
  <c r="H97" i="10"/>
  <c r="E97" i="10"/>
  <c r="G97" i="10"/>
  <c r="D96" i="10"/>
  <c r="F96" i="10"/>
  <c r="H96" i="10"/>
  <c r="E96" i="10"/>
  <c r="G96" i="10"/>
  <c r="D95" i="10"/>
  <c r="F95" i="10"/>
  <c r="H95" i="10"/>
  <c r="E95" i="10"/>
  <c r="G95" i="10"/>
  <c r="D94" i="10"/>
  <c r="F94" i="10"/>
  <c r="H94" i="10"/>
  <c r="E94" i="10"/>
  <c r="G94" i="10"/>
  <c r="D93" i="10"/>
  <c r="F93" i="10"/>
  <c r="H93" i="10"/>
  <c r="E93" i="10"/>
  <c r="G93" i="10"/>
  <c r="D92" i="10"/>
  <c r="F92" i="10"/>
  <c r="H92" i="10"/>
  <c r="E92" i="10"/>
  <c r="G92" i="10"/>
  <c r="D91" i="10"/>
  <c r="F91" i="10"/>
  <c r="H91" i="10"/>
  <c r="E91" i="10"/>
  <c r="G91" i="10"/>
  <c r="D90" i="10"/>
  <c r="F90" i="10"/>
  <c r="H90" i="10"/>
  <c r="E90" i="10"/>
  <c r="G90" i="10"/>
  <c r="D89" i="10"/>
  <c r="F89" i="10"/>
  <c r="H89" i="10"/>
  <c r="E89" i="10"/>
  <c r="G89" i="10"/>
  <c r="D88" i="10"/>
  <c r="F88" i="10"/>
  <c r="H88" i="10"/>
  <c r="E88" i="10"/>
  <c r="G88" i="10"/>
  <c r="D87" i="10"/>
  <c r="F87" i="10"/>
  <c r="H87" i="10"/>
  <c r="E87" i="10"/>
  <c r="G87" i="10"/>
  <c r="D86" i="10"/>
  <c r="F86" i="10"/>
  <c r="H86" i="10"/>
  <c r="E86" i="10"/>
  <c r="G86" i="10"/>
  <c r="D85" i="10"/>
  <c r="F85" i="10"/>
  <c r="H85" i="10"/>
  <c r="E85" i="10"/>
  <c r="G85" i="10"/>
  <c r="D84" i="10"/>
  <c r="F84" i="10"/>
  <c r="H84" i="10"/>
  <c r="E84" i="10"/>
  <c r="G84" i="10"/>
  <c r="D83" i="10"/>
  <c r="F83" i="10"/>
  <c r="H83" i="10"/>
  <c r="E83" i="10"/>
  <c r="G83" i="10"/>
  <c r="D82" i="10"/>
  <c r="F82" i="10"/>
  <c r="H82" i="10"/>
  <c r="E82" i="10"/>
  <c r="G82" i="10"/>
  <c r="D81" i="10"/>
  <c r="F81" i="10"/>
  <c r="H81" i="10"/>
  <c r="E81" i="10"/>
  <c r="G81" i="10"/>
  <c r="D80" i="10"/>
  <c r="F80" i="10"/>
  <c r="H80" i="10"/>
  <c r="E80" i="10"/>
  <c r="G80" i="10"/>
  <c r="D79" i="10"/>
  <c r="F79" i="10"/>
  <c r="H79" i="10"/>
  <c r="E79" i="10"/>
  <c r="G79" i="10"/>
  <c r="D78" i="10"/>
  <c r="F78" i="10"/>
  <c r="H78" i="10"/>
  <c r="E78" i="10"/>
  <c r="G78" i="10"/>
  <c r="D77" i="10"/>
  <c r="F77" i="10"/>
  <c r="H77" i="10"/>
  <c r="E77" i="10"/>
  <c r="G77" i="10"/>
  <c r="D76" i="10"/>
  <c r="F76" i="10"/>
  <c r="H76" i="10"/>
  <c r="E76" i="10"/>
  <c r="G76" i="10"/>
  <c r="D75" i="10"/>
  <c r="F75" i="10"/>
  <c r="H75" i="10"/>
  <c r="E75" i="10"/>
  <c r="G75" i="10"/>
  <c r="D74" i="10"/>
  <c r="F74" i="10"/>
  <c r="H74" i="10"/>
  <c r="E74" i="10"/>
  <c r="G74" i="10"/>
  <c r="D73" i="10"/>
  <c r="F73" i="10"/>
  <c r="H73" i="10"/>
  <c r="E73" i="10"/>
  <c r="G73" i="10"/>
  <c r="D72" i="10"/>
  <c r="F72" i="10"/>
  <c r="H72" i="10"/>
  <c r="E72" i="10"/>
  <c r="G72" i="10"/>
  <c r="D71" i="10"/>
  <c r="F71" i="10"/>
  <c r="H71" i="10"/>
  <c r="E71" i="10"/>
  <c r="G71" i="10"/>
  <c r="D70" i="10"/>
  <c r="F70" i="10"/>
  <c r="H70" i="10"/>
  <c r="E70" i="10"/>
  <c r="G70" i="10"/>
  <c r="D69" i="10"/>
  <c r="F69" i="10"/>
  <c r="H69" i="10"/>
  <c r="E69" i="10"/>
  <c r="G69" i="10"/>
  <c r="D68" i="10"/>
  <c r="F68" i="10"/>
  <c r="H68" i="10"/>
  <c r="E68" i="10"/>
  <c r="G68" i="10"/>
  <c r="D67" i="10"/>
  <c r="F67" i="10"/>
  <c r="H67" i="10"/>
  <c r="E67" i="10"/>
  <c r="G67" i="10"/>
  <c r="D66" i="10"/>
  <c r="F66" i="10"/>
  <c r="H66" i="10"/>
  <c r="E66" i="10"/>
  <c r="G66" i="10"/>
  <c r="D65" i="10"/>
  <c r="F65" i="10"/>
  <c r="H65" i="10"/>
  <c r="E65" i="10"/>
  <c r="G65" i="10"/>
  <c r="D64" i="10"/>
  <c r="F64" i="10"/>
  <c r="H64" i="10"/>
  <c r="E64" i="10"/>
  <c r="G64" i="10"/>
  <c r="D63" i="10"/>
  <c r="F63" i="10"/>
  <c r="H63" i="10"/>
  <c r="E63" i="10"/>
  <c r="G63" i="10"/>
  <c r="D62" i="10"/>
  <c r="F62" i="10"/>
  <c r="H62" i="10"/>
  <c r="E62" i="10"/>
  <c r="G62" i="10"/>
  <c r="D61" i="10"/>
  <c r="F61" i="10"/>
  <c r="H61" i="10"/>
  <c r="E61" i="10"/>
  <c r="G61" i="10"/>
  <c r="D60" i="10"/>
  <c r="F60" i="10"/>
  <c r="H60" i="10"/>
  <c r="E60" i="10"/>
  <c r="G60" i="10"/>
  <c r="D59" i="10"/>
  <c r="F59" i="10"/>
  <c r="H59" i="10"/>
  <c r="E59" i="10"/>
  <c r="G59" i="10"/>
  <c r="D58" i="10"/>
  <c r="F58" i="10"/>
  <c r="H58" i="10"/>
  <c r="E58" i="10"/>
  <c r="G58" i="10"/>
  <c r="D57" i="10"/>
  <c r="F57" i="10"/>
  <c r="H57" i="10"/>
  <c r="E57" i="10"/>
  <c r="G57" i="10"/>
  <c r="D56" i="10"/>
  <c r="F56" i="10"/>
  <c r="H56" i="10"/>
  <c r="E56" i="10"/>
  <c r="G56" i="10"/>
  <c r="D55" i="10"/>
  <c r="F55" i="10"/>
  <c r="H55" i="10"/>
  <c r="E55" i="10"/>
  <c r="G55" i="10"/>
  <c r="D54" i="10"/>
  <c r="F54" i="10"/>
  <c r="H54" i="10"/>
  <c r="E54" i="10"/>
  <c r="G54" i="10"/>
  <c r="D53" i="10"/>
  <c r="F53" i="10"/>
  <c r="H53" i="10"/>
  <c r="E53" i="10"/>
  <c r="G53" i="10"/>
  <c r="D52" i="10"/>
  <c r="F52" i="10"/>
  <c r="H52" i="10"/>
  <c r="E52" i="10"/>
  <c r="G52" i="10"/>
  <c r="D51" i="10"/>
  <c r="F51" i="10"/>
  <c r="H51" i="10"/>
  <c r="E51" i="10"/>
  <c r="G51" i="10"/>
  <c r="D50" i="10"/>
  <c r="F50" i="10"/>
  <c r="H50" i="10"/>
  <c r="E50" i="10"/>
  <c r="G50" i="10"/>
  <c r="D49" i="10"/>
  <c r="F49" i="10"/>
  <c r="H49" i="10"/>
  <c r="E49" i="10"/>
  <c r="G49" i="10"/>
  <c r="D48" i="10"/>
  <c r="F48" i="10"/>
  <c r="H48" i="10"/>
  <c r="E48" i="10"/>
  <c r="G48" i="10"/>
  <c r="D47" i="10"/>
  <c r="F47" i="10"/>
  <c r="H47" i="10"/>
  <c r="E47" i="10"/>
  <c r="G47" i="10"/>
  <c r="D46" i="10"/>
  <c r="F46" i="10"/>
  <c r="H46" i="10"/>
  <c r="E46" i="10"/>
  <c r="G46" i="10"/>
  <c r="D45" i="10"/>
  <c r="F45" i="10"/>
  <c r="H45" i="10"/>
  <c r="E45" i="10"/>
  <c r="G45" i="10"/>
  <c r="D44" i="10"/>
  <c r="F44" i="10"/>
  <c r="H44" i="10"/>
  <c r="E44" i="10"/>
  <c r="G44" i="10"/>
  <c r="D43" i="10"/>
  <c r="F43" i="10"/>
  <c r="H43" i="10"/>
  <c r="E43" i="10"/>
  <c r="G43" i="10"/>
  <c r="D42" i="10"/>
  <c r="F42" i="10"/>
  <c r="H42" i="10"/>
  <c r="E42" i="10"/>
  <c r="G42" i="10"/>
  <c r="D41" i="10"/>
  <c r="F41" i="10"/>
  <c r="H41" i="10"/>
  <c r="E41" i="10"/>
  <c r="G41" i="10"/>
  <c r="D40" i="10"/>
  <c r="F40" i="10"/>
  <c r="H40" i="10"/>
  <c r="E40" i="10"/>
  <c r="G40" i="10"/>
  <c r="D39" i="10"/>
  <c r="F39" i="10"/>
  <c r="H39" i="10"/>
  <c r="E39" i="10"/>
  <c r="G39" i="10"/>
  <c r="D38" i="10"/>
  <c r="F38" i="10"/>
  <c r="H38" i="10"/>
  <c r="E38" i="10"/>
  <c r="G38" i="10"/>
  <c r="D37" i="10"/>
  <c r="F37" i="10"/>
  <c r="H37" i="10"/>
  <c r="E37" i="10"/>
  <c r="G37" i="10"/>
  <c r="D36" i="10"/>
  <c r="F36" i="10"/>
  <c r="H36" i="10"/>
  <c r="E36" i="10"/>
  <c r="G36" i="10"/>
  <c r="D35" i="10"/>
  <c r="F35" i="10"/>
  <c r="H35" i="10"/>
  <c r="E35" i="10"/>
  <c r="G35" i="10"/>
  <c r="D34" i="10"/>
  <c r="F34" i="10"/>
  <c r="H34" i="10"/>
  <c r="E34" i="10"/>
  <c r="G34" i="10"/>
  <c r="D33" i="10"/>
  <c r="F33" i="10"/>
  <c r="H33" i="10"/>
  <c r="E33" i="10"/>
  <c r="G33" i="10"/>
  <c r="D32" i="10"/>
  <c r="F32" i="10"/>
  <c r="H32" i="10"/>
  <c r="E32" i="10"/>
  <c r="G32" i="10"/>
  <c r="D31" i="10"/>
  <c r="F31" i="10"/>
  <c r="H31" i="10"/>
  <c r="E31" i="10"/>
  <c r="G31" i="10"/>
  <c r="D30" i="10"/>
  <c r="F30" i="10"/>
  <c r="H30" i="10"/>
  <c r="E30" i="10"/>
  <c r="G30" i="10"/>
  <c r="D29" i="10"/>
  <c r="F29" i="10"/>
  <c r="H29" i="10"/>
  <c r="E29" i="10"/>
  <c r="G29" i="10"/>
  <c r="D28" i="10"/>
  <c r="F28" i="10"/>
  <c r="H28" i="10"/>
  <c r="E28" i="10"/>
  <c r="G28" i="10"/>
  <c r="D27" i="10"/>
  <c r="F27" i="10"/>
  <c r="H27" i="10"/>
  <c r="E27" i="10"/>
  <c r="G27" i="10"/>
  <c r="D26" i="10"/>
  <c r="F26" i="10"/>
  <c r="H26" i="10"/>
  <c r="E26" i="10"/>
  <c r="G26" i="10"/>
  <c r="D25" i="10"/>
  <c r="F25" i="10"/>
  <c r="H25" i="10"/>
  <c r="E25" i="10"/>
  <c r="G25" i="10"/>
  <c r="D24" i="10"/>
  <c r="F24" i="10"/>
  <c r="H24" i="10"/>
  <c r="E24" i="10"/>
  <c r="G24" i="10"/>
  <c r="D23" i="10"/>
  <c r="F23" i="10"/>
  <c r="H23" i="10"/>
  <c r="E23" i="10"/>
  <c r="G23" i="10"/>
  <c r="D22" i="10"/>
  <c r="F22" i="10"/>
  <c r="H22" i="10"/>
  <c r="E22" i="10"/>
  <c r="G22" i="10"/>
  <c r="D21" i="10"/>
  <c r="F21" i="10"/>
  <c r="H21" i="10"/>
  <c r="E21" i="10"/>
  <c r="G21" i="10"/>
  <c r="D20" i="10"/>
  <c r="F20" i="10"/>
  <c r="H20" i="10"/>
  <c r="E20" i="10"/>
  <c r="G20" i="10"/>
  <c r="D19" i="10"/>
  <c r="F19" i="10"/>
  <c r="H19" i="10"/>
  <c r="E19" i="10"/>
  <c r="G19" i="10"/>
  <c r="D18" i="10"/>
  <c r="F18" i="10"/>
  <c r="H18" i="10"/>
  <c r="E18" i="10"/>
  <c r="G18" i="10"/>
  <c r="D17" i="10"/>
  <c r="F17" i="10"/>
  <c r="H17" i="10"/>
  <c r="E17" i="10"/>
  <c r="G17" i="10"/>
  <c r="D16" i="10"/>
  <c r="F16" i="10"/>
  <c r="H16" i="10"/>
  <c r="E16" i="10"/>
  <c r="G16" i="10"/>
  <c r="D15" i="10"/>
  <c r="F15" i="10"/>
  <c r="H15" i="10"/>
  <c r="E15" i="10"/>
  <c r="G15" i="10"/>
  <c r="D14" i="10"/>
  <c r="F14" i="10"/>
  <c r="H14" i="10"/>
  <c r="E14" i="10"/>
  <c r="G14" i="10"/>
  <c r="D13" i="10"/>
  <c r="F13" i="10"/>
  <c r="H13" i="10"/>
  <c r="E13" i="10"/>
  <c r="G13" i="10"/>
  <c r="D12" i="10"/>
  <c r="F12" i="10"/>
  <c r="H12" i="10"/>
  <c r="E12" i="10"/>
  <c r="G12" i="10"/>
  <c r="D11" i="10"/>
  <c r="F11" i="10"/>
  <c r="H11" i="10"/>
  <c r="E11" i="10"/>
  <c r="G11" i="10"/>
  <c r="D10" i="10"/>
  <c r="F10" i="10"/>
  <c r="H10" i="10"/>
  <c r="E10" i="10"/>
  <c r="G10" i="10"/>
  <c r="D9" i="10"/>
  <c r="F9" i="10"/>
  <c r="H9" i="10"/>
  <c r="E9" i="10"/>
  <c r="G9" i="10"/>
  <c r="D8" i="10"/>
  <c r="F8" i="10"/>
  <c r="H8" i="10"/>
  <c r="E8" i="10"/>
  <c r="G8" i="10"/>
  <c r="D7" i="10"/>
  <c r="F7" i="10"/>
  <c r="H7" i="10"/>
  <c r="E7" i="10"/>
  <c r="G7" i="10"/>
  <c r="D6" i="10"/>
  <c r="F6" i="10"/>
  <c r="H6" i="10"/>
  <c r="E6" i="10"/>
  <c r="G6" i="10"/>
  <c r="D5" i="10"/>
  <c r="F5" i="10"/>
  <c r="H5" i="10"/>
  <c r="E5" i="10"/>
  <c r="G5" i="10"/>
  <c r="D4" i="10"/>
  <c r="F4" i="10"/>
  <c r="H4" i="10"/>
  <c r="E4" i="10"/>
  <c r="G4" i="10"/>
  <c r="D3" i="10"/>
  <c r="F3" i="10"/>
  <c r="H3" i="10"/>
  <c r="E3" i="10"/>
  <c r="G3" i="10"/>
  <c r="D2" i="10"/>
  <c r="F2" i="10"/>
  <c r="H2" i="10"/>
  <c r="E2" i="10"/>
  <c r="G2" i="10"/>
  <c r="J50" i="3"/>
  <c r="F50" i="9"/>
  <c r="J49" i="3"/>
  <c r="F49" i="9"/>
  <c r="J48" i="3"/>
  <c r="F48" i="9"/>
  <c r="J47" i="3"/>
  <c r="F47" i="9"/>
  <c r="J46" i="3"/>
  <c r="F46" i="9"/>
  <c r="J45" i="3"/>
  <c r="F45" i="9"/>
  <c r="J44" i="3"/>
  <c r="F44" i="9"/>
  <c r="J43" i="3"/>
  <c r="F43" i="9"/>
  <c r="J42" i="3"/>
  <c r="F42" i="9"/>
  <c r="J41" i="3"/>
  <c r="F41" i="9"/>
  <c r="J40" i="3"/>
  <c r="F40" i="9"/>
  <c r="J39" i="3"/>
  <c r="F39" i="9"/>
  <c r="J38" i="3"/>
  <c r="F38" i="9"/>
  <c r="J37" i="3"/>
  <c r="F37" i="9"/>
  <c r="J36" i="3"/>
  <c r="F36" i="9"/>
  <c r="J35" i="3"/>
  <c r="F35" i="9"/>
  <c r="J34" i="3"/>
  <c r="F34" i="9"/>
  <c r="J33" i="3"/>
  <c r="F33" i="9"/>
  <c r="J32" i="3"/>
  <c r="F32" i="9"/>
  <c r="J31" i="3"/>
  <c r="F31" i="9"/>
  <c r="J30" i="3"/>
  <c r="F30" i="9"/>
  <c r="J29" i="3"/>
  <c r="F29" i="9"/>
  <c r="J28" i="3"/>
  <c r="F28" i="9"/>
  <c r="J27" i="3"/>
  <c r="F27" i="9"/>
  <c r="J26" i="3"/>
  <c r="F26" i="9"/>
  <c r="J20" i="3"/>
  <c r="F25" i="9"/>
  <c r="J16" i="3"/>
  <c r="F16" i="9"/>
  <c r="J15" i="3"/>
  <c r="F15" i="9"/>
  <c r="J14" i="3"/>
  <c r="F14" i="9"/>
  <c r="J13" i="3"/>
  <c r="F13" i="9"/>
  <c r="J12" i="3"/>
  <c r="F12" i="9"/>
  <c r="J11" i="3"/>
  <c r="F11" i="9"/>
  <c r="J10" i="3"/>
  <c r="F10" i="9"/>
  <c r="J9" i="3"/>
  <c r="F9" i="9"/>
  <c r="J8" i="3"/>
  <c r="F8" i="9"/>
  <c r="J7" i="3"/>
  <c r="F7" i="9"/>
  <c r="J6" i="3"/>
  <c r="F6" i="9"/>
  <c r="J5" i="3"/>
  <c r="F5" i="9"/>
  <c r="J4" i="3"/>
  <c r="F4" i="9"/>
  <c r="J3" i="3"/>
  <c r="F3" i="9"/>
  <c r="J2" i="3"/>
  <c r="F2" i="9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E2" i="6"/>
  <c r="N3" i="4"/>
  <c r="K3" i="4"/>
  <c r="T3" i="4"/>
  <c r="N4" i="4"/>
  <c r="K4" i="4"/>
  <c r="T4" i="4"/>
  <c r="N5" i="4"/>
  <c r="K5" i="4"/>
  <c r="T5" i="4"/>
  <c r="N6" i="4"/>
  <c r="K6" i="4"/>
  <c r="T6" i="4"/>
  <c r="N7" i="4"/>
  <c r="K7" i="4"/>
  <c r="T7" i="4"/>
  <c r="N8" i="4"/>
  <c r="K8" i="4"/>
  <c r="T8" i="4"/>
  <c r="N9" i="4"/>
  <c r="K9" i="4"/>
  <c r="T9" i="4"/>
  <c r="N10" i="4"/>
  <c r="K10" i="4"/>
  <c r="T10" i="4"/>
  <c r="N11" i="4"/>
  <c r="K11" i="4"/>
  <c r="T11" i="4"/>
  <c r="T14" i="4"/>
  <c r="T13" i="4"/>
  <c r="V11" i="4"/>
  <c r="Q11" i="4"/>
  <c r="O11" i="4"/>
  <c r="P11" i="4"/>
  <c r="M11" i="4"/>
  <c r="F11" i="4"/>
  <c r="V10" i="4"/>
  <c r="Q10" i="4"/>
  <c r="O10" i="4"/>
  <c r="P10" i="4"/>
  <c r="M10" i="4"/>
  <c r="F10" i="4"/>
  <c r="V9" i="4"/>
  <c r="Q9" i="4"/>
  <c r="O9" i="4"/>
  <c r="P9" i="4"/>
  <c r="M9" i="4"/>
  <c r="F9" i="4"/>
  <c r="V8" i="4"/>
  <c r="Q8" i="4"/>
  <c r="O8" i="4"/>
  <c r="P8" i="4"/>
  <c r="M8" i="4"/>
  <c r="F8" i="4"/>
  <c r="V7" i="4"/>
  <c r="Q7" i="4"/>
  <c r="O7" i="4"/>
  <c r="P7" i="4"/>
  <c r="M7" i="4"/>
  <c r="F7" i="4"/>
  <c r="V6" i="4"/>
  <c r="Q6" i="4"/>
  <c r="O6" i="4"/>
  <c r="P6" i="4"/>
  <c r="M6" i="4"/>
  <c r="F6" i="4"/>
  <c r="V5" i="4"/>
  <c r="Q5" i="4"/>
  <c r="O5" i="4"/>
  <c r="P5" i="4"/>
  <c r="M5" i="4"/>
  <c r="F5" i="4"/>
  <c r="V4" i="4"/>
  <c r="Q4" i="4"/>
  <c r="O4" i="4"/>
  <c r="P4" i="4"/>
  <c r="M4" i="4"/>
  <c r="F4" i="4"/>
  <c r="V3" i="4"/>
  <c r="Q3" i="4"/>
  <c r="O3" i="4"/>
  <c r="P3" i="4"/>
  <c r="M3" i="4"/>
  <c r="F3" i="4"/>
  <c r="H1358" i="3"/>
  <c r="I1358" i="3"/>
  <c r="L1358" i="3"/>
  <c r="H1357" i="3"/>
  <c r="I1357" i="3"/>
  <c r="L1357" i="3"/>
  <c r="H1356" i="3"/>
  <c r="I1356" i="3"/>
  <c r="L1356" i="3"/>
  <c r="H1355" i="3"/>
  <c r="I1355" i="3"/>
  <c r="L1355" i="3"/>
  <c r="H1354" i="3"/>
  <c r="I1354" i="3"/>
  <c r="L1354" i="3"/>
  <c r="H1353" i="3"/>
  <c r="I1353" i="3"/>
  <c r="L1353" i="3"/>
  <c r="H1352" i="3"/>
  <c r="I1352" i="3"/>
  <c r="L1352" i="3"/>
  <c r="H1351" i="3"/>
  <c r="I1351" i="3"/>
  <c r="L1351" i="3"/>
  <c r="H1350" i="3"/>
  <c r="I1350" i="3"/>
  <c r="L1350" i="3"/>
  <c r="H1349" i="3"/>
  <c r="I1349" i="3"/>
  <c r="L1349" i="3"/>
  <c r="H1348" i="3"/>
  <c r="I1348" i="3"/>
  <c r="L1348" i="3"/>
  <c r="H1347" i="3"/>
  <c r="I1347" i="3"/>
  <c r="L1347" i="3"/>
  <c r="H1346" i="3"/>
  <c r="I1346" i="3"/>
  <c r="L1346" i="3"/>
  <c r="H1345" i="3"/>
  <c r="I1345" i="3"/>
  <c r="L1345" i="3"/>
  <c r="H1344" i="3"/>
  <c r="I1344" i="3"/>
  <c r="L1344" i="3"/>
  <c r="H1343" i="3"/>
  <c r="I1343" i="3"/>
  <c r="L1343" i="3"/>
  <c r="H1342" i="3"/>
  <c r="I1342" i="3"/>
  <c r="L1342" i="3"/>
  <c r="H1341" i="3"/>
  <c r="I1341" i="3"/>
  <c r="L1341" i="3"/>
  <c r="H1340" i="3"/>
  <c r="I1340" i="3"/>
  <c r="L1340" i="3"/>
  <c r="H1339" i="3"/>
  <c r="I1339" i="3"/>
  <c r="L1339" i="3"/>
  <c r="H1338" i="3"/>
  <c r="I1338" i="3"/>
  <c r="L1338" i="3"/>
  <c r="H1337" i="3"/>
  <c r="I1337" i="3"/>
  <c r="L1337" i="3"/>
  <c r="H1336" i="3"/>
  <c r="I1336" i="3"/>
  <c r="L1336" i="3"/>
  <c r="H1335" i="3"/>
  <c r="I1335" i="3"/>
  <c r="L1335" i="3"/>
  <c r="H1334" i="3"/>
  <c r="I1334" i="3"/>
  <c r="L1334" i="3"/>
  <c r="H1333" i="3"/>
  <c r="I1333" i="3"/>
  <c r="L1333" i="3"/>
  <c r="H1332" i="3"/>
  <c r="I1332" i="3"/>
  <c r="L1332" i="3"/>
  <c r="H1331" i="3"/>
  <c r="I1331" i="3"/>
  <c r="L1331" i="3"/>
  <c r="H1330" i="3"/>
  <c r="I1330" i="3"/>
  <c r="L1330" i="3"/>
  <c r="H1329" i="3"/>
  <c r="I1329" i="3"/>
  <c r="L1329" i="3"/>
  <c r="H1328" i="3"/>
  <c r="I1328" i="3"/>
  <c r="L1328" i="3"/>
  <c r="H1327" i="3"/>
  <c r="I1327" i="3"/>
  <c r="L1327" i="3"/>
  <c r="H1326" i="3"/>
  <c r="I1326" i="3"/>
  <c r="L1326" i="3"/>
  <c r="H1325" i="3"/>
  <c r="I1325" i="3"/>
  <c r="L1325" i="3"/>
  <c r="H1324" i="3"/>
  <c r="I1324" i="3"/>
  <c r="L1324" i="3"/>
  <c r="H1323" i="3"/>
  <c r="I1323" i="3"/>
  <c r="L1323" i="3"/>
  <c r="H1322" i="3"/>
  <c r="I1322" i="3"/>
  <c r="L1322" i="3"/>
  <c r="H1321" i="3"/>
  <c r="I1321" i="3"/>
  <c r="L1321" i="3"/>
  <c r="H1320" i="3"/>
  <c r="I1320" i="3"/>
  <c r="L1320" i="3"/>
  <c r="H1319" i="3"/>
  <c r="I1319" i="3"/>
  <c r="L1319" i="3"/>
  <c r="H1318" i="3"/>
  <c r="I1318" i="3"/>
  <c r="L1318" i="3"/>
  <c r="H1317" i="3"/>
  <c r="I1317" i="3"/>
  <c r="L1317" i="3"/>
  <c r="H1316" i="3"/>
  <c r="I1316" i="3"/>
  <c r="L1316" i="3"/>
  <c r="H1315" i="3"/>
  <c r="I1315" i="3"/>
  <c r="L1315" i="3"/>
  <c r="H1314" i="3"/>
  <c r="I1314" i="3"/>
  <c r="L1314" i="3"/>
  <c r="H1313" i="3"/>
  <c r="I1313" i="3"/>
  <c r="L1313" i="3"/>
  <c r="H1312" i="3"/>
  <c r="I1312" i="3"/>
  <c r="L1312" i="3"/>
  <c r="H1311" i="3"/>
  <c r="I1311" i="3"/>
  <c r="L1311" i="3"/>
  <c r="H1310" i="3"/>
  <c r="I1310" i="3"/>
  <c r="L1310" i="3"/>
  <c r="H1309" i="3"/>
  <c r="I1309" i="3"/>
  <c r="L1309" i="3"/>
  <c r="H1308" i="3"/>
  <c r="I1308" i="3"/>
  <c r="L1308" i="3"/>
  <c r="H1307" i="3"/>
  <c r="I1307" i="3"/>
  <c r="L1307" i="3"/>
  <c r="H1306" i="3"/>
  <c r="I1306" i="3"/>
  <c r="L1306" i="3"/>
  <c r="H1305" i="3"/>
  <c r="I1305" i="3"/>
  <c r="L1305" i="3"/>
  <c r="H1304" i="3"/>
  <c r="I1304" i="3"/>
  <c r="L1304" i="3"/>
  <c r="H1303" i="3"/>
  <c r="I1303" i="3"/>
  <c r="L1303" i="3"/>
  <c r="H1302" i="3"/>
  <c r="I1302" i="3"/>
  <c r="L1302" i="3"/>
  <c r="H1301" i="3"/>
  <c r="I1301" i="3"/>
  <c r="L1301" i="3"/>
  <c r="H1300" i="3"/>
  <c r="I1300" i="3"/>
  <c r="L1300" i="3"/>
  <c r="H1299" i="3"/>
  <c r="I1299" i="3"/>
  <c r="L1299" i="3"/>
  <c r="H1298" i="3"/>
  <c r="I1298" i="3"/>
  <c r="L1298" i="3"/>
  <c r="H1297" i="3"/>
  <c r="I1297" i="3"/>
  <c r="L1297" i="3"/>
  <c r="H1296" i="3"/>
  <c r="I1296" i="3"/>
  <c r="L1296" i="3"/>
  <c r="H1295" i="3"/>
  <c r="I1295" i="3"/>
  <c r="L1295" i="3"/>
  <c r="H1294" i="3"/>
  <c r="I1294" i="3"/>
  <c r="L1294" i="3"/>
  <c r="H1293" i="3"/>
  <c r="I1293" i="3"/>
  <c r="L1293" i="3"/>
  <c r="H1292" i="3"/>
  <c r="I1292" i="3"/>
  <c r="L1292" i="3"/>
  <c r="H1291" i="3"/>
  <c r="I1291" i="3"/>
  <c r="L1291" i="3"/>
  <c r="H1290" i="3"/>
  <c r="I1290" i="3"/>
  <c r="L1290" i="3"/>
  <c r="H1289" i="3"/>
  <c r="I1289" i="3"/>
  <c r="L1289" i="3"/>
  <c r="H1288" i="3"/>
  <c r="I1288" i="3"/>
  <c r="L1288" i="3"/>
  <c r="H1287" i="3"/>
  <c r="I1287" i="3"/>
  <c r="L1287" i="3"/>
  <c r="H1286" i="3"/>
  <c r="I1286" i="3"/>
  <c r="L1286" i="3"/>
  <c r="H1285" i="3"/>
  <c r="I1285" i="3"/>
  <c r="L1285" i="3"/>
  <c r="H1284" i="3"/>
  <c r="I1284" i="3"/>
  <c r="L1284" i="3"/>
  <c r="H1283" i="3"/>
  <c r="I1283" i="3"/>
  <c r="L1283" i="3"/>
  <c r="H1282" i="3"/>
  <c r="I1282" i="3"/>
  <c r="L1282" i="3"/>
  <c r="H1281" i="3"/>
  <c r="I1281" i="3"/>
  <c r="L1281" i="3"/>
  <c r="H1280" i="3"/>
  <c r="I1280" i="3"/>
  <c r="L1280" i="3"/>
  <c r="H1279" i="3"/>
  <c r="I1279" i="3"/>
  <c r="L1279" i="3"/>
  <c r="H1278" i="3"/>
  <c r="I1278" i="3"/>
  <c r="L1278" i="3"/>
  <c r="H1277" i="3"/>
  <c r="I1277" i="3"/>
  <c r="L1277" i="3"/>
  <c r="H1276" i="3"/>
  <c r="I1276" i="3"/>
  <c r="L1276" i="3"/>
  <c r="H1275" i="3"/>
  <c r="I1275" i="3"/>
  <c r="L1275" i="3"/>
  <c r="H1274" i="3"/>
  <c r="I1274" i="3"/>
  <c r="L1274" i="3"/>
  <c r="H1273" i="3"/>
  <c r="I1273" i="3"/>
  <c r="L1273" i="3"/>
  <c r="H1272" i="3"/>
  <c r="I1272" i="3"/>
  <c r="L1272" i="3"/>
  <c r="H1271" i="3"/>
  <c r="I1271" i="3"/>
  <c r="L1271" i="3"/>
  <c r="H1270" i="3"/>
  <c r="I1270" i="3"/>
  <c r="L1270" i="3"/>
  <c r="H1269" i="3"/>
  <c r="I1269" i="3"/>
  <c r="L1269" i="3"/>
  <c r="H1268" i="3"/>
  <c r="I1268" i="3"/>
  <c r="L1268" i="3"/>
  <c r="H1267" i="3"/>
  <c r="I1267" i="3"/>
  <c r="L1267" i="3"/>
  <c r="H1266" i="3"/>
  <c r="I1266" i="3"/>
  <c r="L1266" i="3"/>
  <c r="H1265" i="3"/>
  <c r="I1265" i="3"/>
  <c r="L1265" i="3"/>
  <c r="H1264" i="3"/>
  <c r="I1264" i="3"/>
  <c r="L1264" i="3"/>
  <c r="H1263" i="3"/>
  <c r="I1263" i="3"/>
  <c r="L1263" i="3"/>
  <c r="H1262" i="3"/>
  <c r="I1262" i="3"/>
  <c r="L1262" i="3"/>
  <c r="H1261" i="3"/>
  <c r="I1261" i="3"/>
  <c r="L1261" i="3"/>
  <c r="H1260" i="3"/>
  <c r="I1260" i="3"/>
  <c r="L1260" i="3"/>
  <c r="H1259" i="3"/>
  <c r="I1259" i="3"/>
  <c r="L1259" i="3"/>
  <c r="H1258" i="3"/>
  <c r="I1258" i="3"/>
  <c r="L1258" i="3"/>
  <c r="H1257" i="3"/>
  <c r="I1257" i="3"/>
  <c r="L1257" i="3"/>
  <c r="H1256" i="3"/>
  <c r="I1256" i="3"/>
  <c r="L1256" i="3"/>
  <c r="H1255" i="3"/>
  <c r="I1255" i="3"/>
  <c r="L1255" i="3"/>
  <c r="H1254" i="3"/>
  <c r="I1254" i="3"/>
  <c r="L1254" i="3"/>
  <c r="H1253" i="3"/>
  <c r="I1253" i="3"/>
  <c r="L1253" i="3"/>
  <c r="H1252" i="3"/>
  <c r="I1252" i="3"/>
  <c r="L1252" i="3"/>
  <c r="H1251" i="3"/>
  <c r="I1251" i="3"/>
  <c r="L1251" i="3"/>
  <c r="H1250" i="3"/>
  <c r="I1250" i="3"/>
  <c r="L1250" i="3"/>
  <c r="H1249" i="3"/>
  <c r="I1249" i="3"/>
  <c r="L1249" i="3"/>
  <c r="H1248" i="3"/>
  <c r="I1248" i="3"/>
  <c r="L1248" i="3"/>
  <c r="H1247" i="3"/>
  <c r="I1247" i="3"/>
  <c r="L1247" i="3"/>
  <c r="H1246" i="3"/>
  <c r="I1246" i="3"/>
  <c r="L1246" i="3"/>
  <c r="H1245" i="3"/>
  <c r="I1245" i="3"/>
  <c r="L1245" i="3"/>
  <c r="H1244" i="3"/>
  <c r="I1244" i="3"/>
  <c r="L1244" i="3"/>
  <c r="H1243" i="3"/>
  <c r="I1243" i="3"/>
  <c r="L1243" i="3"/>
  <c r="H1242" i="3"/>
  <c r="I1242" i="3"/>
  <c r="L1242" i="3"/>
  <c r="H1241" i="3"/>
  <c r="I1241" i="3"/>
  <c r="L1241" i="3"/>
  <c r="H1240" i="3"/>
  <c r="I1240" i="3"/>
  <c r="L1240" i="3"/>
  <c r="H1239" i="3"/>
  <c r="I1239" i="3"/>
  <c r="L1239" i="3"/>
  <c r="H1238" i="3"/>
  <c r="I1238" i="3"/>
  <c r="L1238" i="3"/>
  <c r="H1237" i="3"/>
  <c r="I1237" i="3"/>
  <c r="L1237" i="3"/>
  <c r="H1236" i="3"/>
  <c r="I1236" i="3"/>
  <c r="L1236" i="3"/>
  <c r="J1236" i="3"/>
  <c r="H1235" i="3"/>
  <c r="I1235" i="3"/>
  <c r="L1235" i="3"/>
  <c r="H1234" i="3"/>
  <c r="I1234" i="3"/>
  <c r="L1234" i="3"/>
  <c r="H1233" i="3"/>
  <c r="I1233" i="3"/>
  <c r="L1233" i="3"/>
  <c r="H1232" i="3"/>
  <c r="I1232" i="3"/>
  <c r="L1232" i="3"/>
  <c r="H1231" i="3"/>
  <c r="I1231" i="3"/>
  <c r="L1231" i="3"/>
  <c r="H1230" i="3"/>
  <c r="I1230" i="3"/>
  <c r="L1230" i="3"/>
  <c r="H1229" i="3"/>
  <c r="I1229" i="3"/>
  <c r="L1229" i="3"/>
  <c r="H1228" i="3"/>
  <c r="I1228" i="3"/>
  <c r="L1228" i="3"/>
  <c r="H1227" i="3"/>
  <c r="I1227" i="3"/>
  <c r="L1227" i="3"/>
  <c r="H1226" i="3"/>
  <c r="I1226" i="3"/>
  <c r="L1226" i="3"/>
  <c r="H1225" i="3"/>
  <c r="I1225" i="3"/>
  <c r="L1225" i="3"/>
  <c r="H1224" i="3"/>
  <c r="I1224" i="3"/>
  <c r="L1224" i="3"/>
  <c r="H1223" i="3"/>
  <c r="I1223" i="3"/>
  <c r="L1223" i="3"/>
  <c r="H1222" i="3"/>
  <c r="I1222" i="3"/>
  <c r="L1222" i="3"/>
  <c r="H1221" i="3"/>
  <c r="I1221" i="3"/>
  <c r="L1221" i="3"/>
  <c r="H1220" i="3"/>
  <c r="I1220" i="3"/>
  <c r="L1220" i="3"/>
  <c r="H1219" i="3"/>
  <c r="I1219" i="3"/>
  <c r="L1219" i="3"/>
  <c r="H1218" i="3"/>
  <c r="I1218" i="3"/>
  <c r="L1218" i="3"/>
  <c r="H1217" i="3"/>
  <c r="I1217" i="3"/>
  <c r="L1217" i="3"/>
  <c r="H1216" i="3"/>
  <c r="I1216" i="3"/>
  <c r="L1216" i="3"/>
  <c r="H1215" i="3"/>
  <c r="I1215" i="3"/>
  <c r="L1215" i="3"/>
  <c r="H1214" i="3"/>
  <c r="I1214" i="3"/>
  <c r="L1214" i="3"/>
  <c r="H1213" i="3"/>
  <c r="I1213" i="3"/>
  <c r="L1213" i="3"/>
  <c r="H1212" i="3"/>
  <c r="I1212" i="3"/>
  <c r="L1212" i="3"/>
  <c r="H1211" i="3"/>
  <c r="I1211" i="3"/>
  <c r="L1211" i="3"/>
  <c r="H1210" i="3"/>
  <c r="I1210" i="3"/>
  <c r="L1210" i="3"/>
  <c r="H1209" i="3"/>
  <c r="I1209" i="3"/>
  <c r="L1209" i="3"/>
  <c r="H1208" i="3"/>
  <c r="I1208" i="3"/>
  <c r="L1208" i="3"/>
  <c r="H1207" i="3"/>
  <c r="I1207" i="3"/>
  <c r="L1207" i="3"/>
  <c r="H1206" i="3"/>
  <c r="I1206" i="3"/>
  <c r="L1206" i="3"/>
  <c r="H1205" i="3"/>
  <c r="I1205" i="3"/>
  <c r="L1205" i="3"/>
  <c r="H1204" i="3"/>
  <c r="I1204" i="3"/>
  <c r="L1204" i="3"/>
  <c r="H1203" i="3"/>
  <c r="I1203" i="3"/>
  <c r="L1203" i="3"/>
  <c r="H1202" i="3"/>
  <c r="I1202" i="3"/>
  <c r="L1202" i="3"/>
  <c r="H1201" i="3"/>
  <c r="I1201" i="3"/>
  <c r="L1201" i="3"/>
  <c r="H1200" i="3"/>
  <c r="I1200" i="3"/>
  <c r="L1200" i="3"/>
  <c r="H1199" i="3"/>
  <c r="I1199" i="3"/>
  <c r="L1199" i="3"/>
  <c r="H1198" i="3"/>
  <c r="I1198" i="3"/>
  <c r="L1198" i="3"/>
  <c r="H1197" i="3"/>
  <c r="I1197" i="3"/>
  <c r="L1197" i="3"/>
  <c r="H1196" i="3"/>
  <c r="I1196" i="3"/>
  <c r="L1196" i="3"/>
  <c r="H1195" i="3"/>
  <c r="L1195" i="3"/>
  <c r="H1194" i="3"/>
  <c r="I1194" i="3"/>
  <c r="L1194" i="3"/>
  <c r="H1193" i="3"/>
  <c r="I1193" i="3"/>
  <c r="L1193" i="3"/>
  <c r="H1192" i="3"/>
  <c r="I1192" i="3"/>
  <c r="L1192" i="3"/>
  <c r="H1191" i="3"/>
  <c r="I1191" i="3"/>
  <c r="L1191" i="3"/>
  <c r="H1190" i="3"/>
  <c r="I1190" i="3"/>
  <c r="L1190" i="3"/>
  <c r="H1189" i="3"/>
  <c r="I1189" i="3"/>
  <c r="L1189" i="3"/>
  <c r="H1188" i="3"/>
  <c r="I1188" i="3"/>
  <c r="L1188" i="3"/>
  <c r="H1187" i="3"/>
  <c r="I1187" i="3"/>
  <c r="L1187" i="3"/>
  <c r="H1186" i="3"/>
  <c r="I1186" i="3"/>
  <c r="L1186" i="3"/>
  <c r="H1185" i="3"/>
  <c r="I1185" i="3"/>
  <c r="L1185" i="3"/>
  <c r="H1184" i="3"/>
  <c r="I1184" i="3"/>
  <c r="L1184" i="3"/>
  <c r="H1183" i="3"/>
  <c r="I1183" i="3"/>
  <c r="L1183" i="3"/>
  <c r="H1182" i="3"/>
  <c r="I1182" i="3"/>
  <c r="L1182" i="3"/>
  <c r="H1181" i="3"/>
  <c r="I1181" i="3"/>
  <c r="L1181" i="3"/>
  <c r="H1180" i="3"/>
  <c r="I1180" i="3"/>
  <c r="L1180" i="3"/>
  <c r="H1179" i="3"/>
  <c r="I1179" i="3"/>
  <c r="L1179" i="3"/>
  <c r="H1178" i="3"/>
  <c r="I1178" i="3"/>
  <c r="L1178" i="3"/>
  <c r="H1177" i="3"/>
  <c r="I1177" i="3"/>
  <c r="L1177" i="3"/>
  <c r="H1176" i="3"/>
  <c r="I1176" i="3"/>
  <c r="L1176" i="3"/>
  <c r="H1175" i="3"/>
  <c r="I1175" i="3"/>
  <c r="L1175" i="3"/>
  <c r="H1174" i="3"/>
  <c r="I1174" i="3"/>
  <c r="L1174" i="3"/>
  <c r="H1173" i="3"/>
  <c r="I1173" i="3"/>
  <c r="L1173" i="3"/>
  <c r="H1172" i="3"/>
  <c r="I1172" i="3"/>
  <c r="L1172" i="3"/>
  <c r="H1171" i="3"/>
  <c r="I1171" i="3"/>
  <c r="L1171" i="3"/>
  <c r="H1170" i="3"/>
  <c r="I1170" i="3"/>
  <c r="L1170" i="3"/>
  <c r="H1169" i="3"/>
  <c r="I1169" i="3"/>
  <c r="L1169" i="3"/>
  <c r="H1168" i="3"/>
  <c r="I1168" i="3"/>
  <c r="L1168" i="3"/>
  <c r="H1167" i="3"/>
  <c r="I1167" i="3"/>
  <c r="L1167" i="3"/>
  <c r="H1166" i="3"/>
  <c r="I1166" i="3"/>
  <c r="L1166" i="3"/>
  <c r="H1165" i="3"/>
  <c r="I1165" i="3"/>
  <c r="L1165" i="3"/>
  <c r="H1164" i="3"/>
  <c r="I1164" i="3"/>
  <c r="L1164" i="3"/>
  <c r="H1163" i="3"/>
  <c r="I1163" i="3"/>
  <c r="L1163" i="3"/>
  <c r="H1162" i="3"/>
  <c r="I1162" i="3"/>
  <c r="L1162" i="3"/>
  <c r="H1161" i="3"/>
  <c r="I1161" i="3"/>
  <c r="L1161" i="3"/>
  <c r="H1160" i="3"/>
  <c r="I1160" i="3"/>
  <c r="L1160" i="3"/>
  <c r="H1159" i="3"/>
  <c r="I1159" i="3"/>
  <c r="L1159" i="3"/>
  <c r="H1158" i="3"/>
  <c r="I1158" i="3"/>
  <c r="L1158" i="3"/>
  <c r="H1157" i="3"/>
  <c r="I1157" i="3"/>
  <c r="L1157" i="3"/>
  <c r="H1156" i="3"/>
  <c r="I1156" i="3"/>
  <c r="L1156" i="3"/>
  <c r="H1155" i="3"/>
  <c r="I1155" i="3"/>
  <c r="L1155" i="3"/>
  <c r="H1154" i="3"/>
  <c r="I1154" i="3"/>
  <c r="L1154" i="3"/>
  <c r="H1153" i="3"/>
  <c r="I1153" i="3"/>
  <c r="L1153" i="3"/>
  <c r="H1152" i="3"/>
  <c r="I1152" i="3"/>
  <c r="L1152" i="3"/>
  <c r="H1151" i="3"/>
  <c r="I1151" i="3"/>
  <c r="L1151" i="3"/>
  <c r="H1150" i="3"/>
  <c r="I1150" i="3"/>
  <c r="L1150" i="3"/>
  <c r="H1149" i="3"/>
  <c r="I1149" i="3"/>
  <c r="L1149" i="3"/>
  <c r="H1148" i="3"/>
  <c r="I1148" i="3"/>
  <c r="L1148" i="3"/>
  <c r="H1147" i="3"/>
  <c r="I1147" i="3"/>
  <c r="L1147" i="3"/>
  <c r="H1146" i="3"/>
  <c r="I1146" i="3"/>
  <c r="L1146" i="3"/>
  <c r="H1145" i="3"/>
  <c r="I1145" i="3"/>
  <c r="L1145" i="3"/>
  <c r="H1144" i="3"/>
  <c r="I1144" i="3"/>
  <c r="L1144" i="3"/>
  <c r="H1143" i="3"/>
  <c r="I1143" i="3"/>
  <c r="L1143" i="3"/>
  <c r="H1142" i="3"/>
  <c r="I1142" i="3"/>
  <c r="L1142" i="3"/>
  <c r="H1141" i="3"/>
  <c r="I1141" i="3"/>
  <c r="L1141" i="3"/>
  <c r="H1140" i="3"/>
  <c r="I1140" i="3"/>
  <c r="L1140" i="3"/>
  <c r="H1139" i="3"/>
  <c r="I1139" i="3"/>
  <c r="L1139" i="3"/>
  <c r="H1138" i="3"/>
  <c r="I1138" i="3"/>
  <c r="L1138" i="3"/>
  <c r="H1137" i="3"/>
  <c r="I1137" i="3"/>
  <c r="L1137" i="3"/>
  <c r="H1136" i="3"/>
  <c r="I1136" i="3"/>
  <c r="L1136" i="3"/>
  <c r="H1135" i="3"/>
  <c r="I1135" i="3"/>
  <c r="L1135" i="3"/>
  <c r="H1134" i="3"/>
  <c r="I1134" i="3"/>
  <c r="L1134" i="3"/>
  <c r="H1133" i="3"/>
  <c r="I1133" i="3"/>
  <c r="L1133" i="3"/>
  <c r="H1132" i="3"/>
  <c r="I1132" i="3"/>
  <c r="L1132" i="3"/>
  <c r="H1131" i="3"/>
  <c r="I1131" i="3"/>
  <c r="L1131" i="3"/>
  <c r="H1130" i="3"/>
  <c r="I1130" i="3"/>
  <c r="L1130" i="3"/>
  <c r="H1129" i="3"/>
  <c r="I1129" i="3"/>
  <c r="L1129" i="3"/>
  <c r="H1128" i="3"/>
  <c r="I1128" i="3"/>
  <c r="L1128" i="3"/>
  <c r="H1127" i="3"/>
  <c r="I1127" i="3"/>
  <c r="L1127" i="3"/>
  <c r="H1126" i="3"/>
  <c r="I1126" i="3"/>
  <c r="L1126" i="3"/>
  <c r="H1125" i="3"/>
  <c r="I1125" i="3"/>
  <c r="L1125" i="3"/>
  <c r="H1124" i="3"/>
  <c r="I1124" i="3"/>
  <c r="L1124" i="3"/>
  <c r="H1123" i="3"/>
  <c r="I1123" i="3"/>
  <c r="L1123" i="3"/>
  <c r="H1122" i="3"/>
  <c r="I1122" i="3"/>
  <c r="L1122" i="3"/>
  <c r="H1121" i="3"/>
  <c r="I1121" i="3"/>
  <c r="L1121" i="3"/>
  <c r="H1120" i="3"/>
  <c r="I1120" i="3"/>
  <c r="L1120" i="3"/>
  <c r="H1119" i="3"/>
  <c r="I1119" i="3"/>
  <c r="L1119" i="3"/>
  <c r="H1118" i="3"/>
  <c r="I1118" i="3"/>
  <c r="L1118" i="3"/>
  <c r="H1117" i="3"/>
  <c r="I1117" i="3"/>
  <c r="L1117" i="3"/>
  <c r="H1116" i="3"/>
  <c r="I1116" i="3"/>
  <c r="L1116" i="3"/>
  <c r="H1115" i="3"/>
  <c r="I1115" i="3"/>
  <c r="L1115" i="3"/>
  <c r="H1114" i="3"/>
  <c r="I1114" i="3"/>
  <c r="L1114" i="3"/>
  <c r="H1113" i="3"/>
  <c r="I1113" i="3"/>
  <c r="L1113" i="3"/>
  <c r="H1112" i="3"/>
  <c r="I1112" i="3"/>
  <c r="L1112" i="3"/>
  <c r="H1111" i="3"/>
  <c r="I1111" i="3"/>
  <c r="L1111" i="3"/>
  <c r="H1110" i="3"/>
  <c r="I1110" i="3"/>
  <c r="L1110" i="3"/>
  <c r="H1109" i="3"/>
  <c r="I1109" i="3"/>
  <c r="L1109" i="3"/>
  <c r="H1108" i="3"/>
  <c r="I1108" i="3"/>
  <c r="L1108" i="3"/>
  <c r="H1107" i="3"/>
  <c r="I1107" i="3"/>
  <c r="L1107" i="3"/>
  <c r="H1106" i="3"/>
  <c r="I1106" i="3"/>
  <c r="L1106" i="3"/>
  <c r="H1105" i="3"/>
  <c r="I1105" i="3"/>
  <c r="L1105" i="3"/>
  <c r="H1104" i="3"/>
  <c r="I1104" i="3"/>
  <c r="L1104" i="3"/>
  <c r="H1103" i="3"/>
  <c r="I1103" i="3"/>
  <c r="L1103" i="3"/>
  <c r="H1102" i="3"/>
  <c r="I1102" i="3"/>
  <c r="L1102" i="3"/>
  <c r="H1101" i="3"/>
  <c r="I1101" i="3"/>
  <c r="L1101" i="3"/>
  <c r="H1100" i="3"/>
  <c r="I1100" i="3"/>
  <c r="L1100" i="3"/>
  <c r="H1099" i="3"/>
  <c r="I1099" i="3"/>
  <c r="L1099" i="3"/>
  <c r="H1098" i="3"/>
  <c r="I1098" i="3"/>
  <c r="L1098" i="3"/>
  <c r="H1097" i="3"/>
  <c r="I1097" i="3"/>
  <c r="L1097" i="3"/>
  <c r="H1096" i="3"/>
  <c r="I1096" i="3"/>
  <c r="L1096" i="3"/>
  <c r="H1095" i="3"/>
  <c r="I1095" i="3"/>
  <c r="L1095" i="3"/>
  <c r="H1094" i="3"/>
  <c r="I1094" i="3"/>
  <c r="L1094" i="3"/>
  <c r="H1093" i="3"/>
  <c r="I1093" i="3"/>
  <c r="L1093" i="3"/>
  <c r="H1092" i="3"/>
  <c r="I1092" i="3"/>
  <c r="L1092" i="3"/>
  <c r="H1091" i="3"/>
  <c r="I1091" i="3"/>
  <c r="L1091" i="3"/>
  <c r="H1090" i="3"/>
  <c r="I1090" i="3"/>
  <c r="L1090" i="3"/>
  <c r="H1089" i="3"/>
  <c r="I1089" i="3"/>
  <c r="L1089" i="3"/>
  <c r="H1088" i="3"/>
  <c r="I1088" i="3"/>
  <c r="L1088" i="3"/>
  <c r="H1087" i="3"/>
  <c r="I1087" i="3"/>
  <c r="L1087" i="3"/>
  <c r="H1086" i="3"/>
  <c r="I1086" i="3"/>
  <c r="L1086" i="3"/>
  <c r="H1085" i="3"/>
  <c r="I1085" i="3"/>
  <c r="L1085" i="3"/>
  <c r="H1084" i="3"/>
  <c r="I1084" i="3"/>
  <c r="L1084" i="3"/>
  <c r="H1083" i="3"/>
  <c r="I1083" i="3"/>
  <c r="L1083" i="3"/>
  <c r="H1082" i="3"/>
  <c r="I1082" i="3"/>
  <c r="L1082" i="3"/>
  <c r="H1081" i="3"/>
  <c r="I1081" i="3"/>
  <c r="L1081" i="3"/>
  <c r="H1080" i="3"/>
  <c r="I1080" i="3"/>
  <c r="L1080" i="3"/>
  <c r="H1079" i="3"/>
  <c r="I1079" i="3"/>
  <c r="L1079" i="3"/>
  <c r="H1078" i="3"/>
  <c r="I1078" i="3"/>
  <c r="L1078" i="3"/>
  <c r="H1077" i="3"/>
  <c r="I1077" i="3"/>
  <c r="L1077" i="3"/>
  <c r="H1076" i="3"/>
  <c r="I1076" i="3"/>
  <c r="L1076" i="3"/>
  <c r="H1075" i="3"/>
  <c r="I1075" i="3"/>
  <c r="L1075" i="3"/>
  <c r="H1074" i="3"/>
  <c r="I1074" i="3"/>
  <c r="L1074" i="3"/>
  <c r="H1073" i="3"/>
  <c r="I1073" i="3"/>
  <c r="L1073" i="3"/>
  <c r="H1072" i="3"/>
  <c r="I1072" i="3"/>
  <c r="J1072" i="3"/>
  <c r="K1072" i="3"/>
  <c r="L1072" i="3"/>
  <c r="H1071" i="3"/>
  <c r="I1071" i="3"/>
  <c r="L1071" i="3"/>
  <c r="H1070" i="3"/>
  <c r="I1070" i="3"/>
  <c r="L1070" i="3"/>
  <c r="H1069" i="3"/>
  <c r="I1069" i="3"/>
  <c r="L1069" i="3"/>
  <c r="H1068" i="3"/>
  <c r="I1068" i="3"/>
  <c r="L1068" i="3"/>
  <c r="H1067" i="3"/>
  <c r="I1067" i="3"/>
  <c r="L1067" i="3"/>
  <c r="H1066" i="3"/>
  <c r="I1066" i="3"/>
  <c r="L1066" i="3"/>
  <c r="H1065" i="3"/>
  <c r="I1065" i="3"/>
  <c r="L1065" i="3"/>
  <c r="H1064" i="3"/>
  <c r="I1064" i="3"/>
  <c r="L1064" i="3"/>
  <c r="H1063" i="3"/>
  <c r="I1063" i="3"/>
  <c r="L1063" i="3"/>
  <c r="H1062" i="3"/>
  <c r="I1062" i="3"/>
  <c r="L1062" i="3"/>
  <c r="H1061" i="3"/>
  <c r="I1061" i="3"/>
  <c r="L1061" i="3"/>
  <c r="H1060" i="3"/>
  <c r="I1060" i="3"/>
  <c r="L1060" i="3"/>
  <c r="H1059" i="3"/>
  <c r="I1059" i="3"/>
  <c r="L1059" i="3"/>
  <c r="H1058" i="3"/>
  <c r="I1058" i="3"/>
  <c r="L1058" i="3"/>
  <c r="H1057" i="3"/>
  <c r="I1057" i="3"/>
  <c r="L1057" i="3"/>
  <c r="H1056" i="3"/>
  <c r="I1056" i="3"/>
  <c r="L1056" i="3"/>
  <c r="H1055" i="3"/>
  <c r="I1055" i="3"/>
  <c r="L1055" i="3"/>
  <c r="H1054" i="3"/>
  <c r="I1054" i="3"/>
  <c r="L1054" i="3"/>
  <c r="H1053" i="3"/>
  <c r="I1053" i="3"/>
  <c r="L1053" i="3"/>
  <c r="H1052" i="3"/>
  <c r="I1052" i="3"/>
  <c r="L1052" i="3"/>
  <c r="H1051" i="3"/>
  <c r="I1051" i="3"/>
  <c r="L1051" i="3"/>
  <c r="H1050" i="3"/>
  <c r="I1050" i="3"/>
  <c r="L1050" i="3"/>
  <c r="H1049" i="3"/>
  <c r="I1049" i="3"/>
  <c r="L1049" i="3"/>
  <c r="H1048" i="3"/>
  <c r="I1048" i="3"/>
  <c r="L1048" i="3"/>
  <c r="H1042" i="3"/>
  <c r="I1042" i="3"/>
  <c r="L1042" i="3"/>
  <c r="M1048" i="3"/>
  <c r="H1047" i="3"/>
  <c r="I1047" i="3"/>
  <c r="L1047" i="3"/>
  <c r="H1041" i="3"/>
  <c r="I1041" i="3"/>
  <c r="L1041" i="3"/>
  <c r="M1047" i="3"/>
  <c r="H1046" i="3"/>
  <c r="I1046" i="3"/>
  <c r="L1046" i="3"/>
  <c r="H1040" i="3"/>
  <c r="I1040" i="3"/>
  <c r="L1040" i="3"/>
  <c r="M1046" i="3"/>
  <c r="H1045" i="3"/>
  <c r="I1045" i="3"/>
  <c r="L1045" i="3"/>
  <c r="H1039" i="3"/>
  <c r="I1039" i="3"/>
  <c r="L1039" i="3"/>
  <c r="M1045" i="3"/>
  <c r="H1044" i="3"/>
  <c r="I1044" i="3"/>
  <c r="L1044" i="3"/>
  <c r="H1038" i="3"/>
  <c r="I1038" i="3"/>
  <c r="L1038" i="3"/>
  <c r="M1044" i="3"/>
  <c r="H1043" i="3"/>
  <c r="I1043" i="3"/>
  <c r="L1043" i="3"/>
  <c r="H1037" i="3"/>
  <c r="I1037" i="3"/>
  <c r="L1037" i="3"/>
  <c r="M1043" i="3"/>
  <c r="H1036" i="3"/>
  <c r="I1036" i="3"/>
  <c r="L1036" i="3"/>
  <c r="H1030" i="3"/>
  <c r="I1030" i="3"/>
  <c r="L1030" i="3"/>
  <c r="M1036" i="3"/>
  <c r="H1035" i="3"/>
  <c r="I1035" i="3"/>
  <c r="L1035" i="3"/>
  <c r="H1029" i="3"/>
  <c r="I1029" i="3"/>
  <c r="L1029" i="3"/>
  <c r="M1035" i="3"/>
  <c r="H1034" i="3"/>
  <c r="I1034" i="3"/>
  <c r="L1034" i="3"/>
  <c r="H1028" i="3"/>
  <c r="I1028" i="3"/>
  <c r="L1028" i="3"/>
  <c r="M1034" i="3"/>
  <c r="H1027" i="3"/>
  <c r="I1027" i="3"/>
  <c r="L1027" i="3"/>
  <c r="M1033" i="3"/>
  <c r="H1032" i="3"/>
  <c r="I1032" i="3"/>
  <c r="L1032" i="3"/>
  <c r="H1026" i="3"/>
  <c r="I1026" i="3"/>
  <c r="L1026" i="3"/>
  <c r="M1032" i="3"/>
  <c r="H1031" i="3"/>
  <c r="I1031" i="3"/>
  <c r="L1031" i="3"/>
  <c r="H1025" i="3"/>
  <c r="I1025" i="3"/>
  <c r="L1025" i="3"/>
  <c r="M1031" i="3"/>
  <c r="H1024" i="3"/>
  <c r="I1024" i="3"/>
  <c r="L1024" i="3"/>
  <c r="H1023" i="3"/>
  <c r="I1023" i="3"/>
  <c r="L1023" i="3"/>
  <c r="H1022" i="3"/>
  <c r="I1022" i="3"/>
  <c r="L1022" i="3"/>
  <c r="H1021" i="3"/>
  <c r="I1021" i="3"/>
  <c r="L1021" i="3"/>
  <c r="H1020" i="3"/>
  <c r="I1020" i="3"/>
  <c r="L1020" i="3"/>
  <c r="H1019" i="3"/>
  <c r="I1019" i="3"/>
  <c r="L1019" i="3"/>
  <c r="H1018" i="3"/>
  <c r="I1018" i="3"/>
  <c r="L1018" i="3"/>
  <c r="H1017" i="3"/>
  <c r="I1017" i="3"/>
  <c r="L1017" i="3"/>
  <c r="H1016" i="3"/>
  <c r="I1016" i="3"/>
  <c r="L1016" i="3"/>
  <c r="H1015" i="3"/>
  <c r="I1015" i="3"/>
  <c r="L1015" i="3"/>
  <c r="H1014" i="3"/>
  <c r="I1014" i="3"/>
  <c r="L1014" i="3"/>
  <c r="H1013" i="3"/>
  <c r="I1013" i="3"/>
  <c r="L1013" i="3"/>
  <c r="H1012" i="3"/>
  <c r="I1012" i="3"/>
  <c r="L1012" i="3"/>
  <c r="H1011" i="3"/>
  <c r="I1011" i="3"/>
  <c r="L1011" i="3"/>
  <c r="H1010" i="3"/>
  <c r="I1010" i="3"/>
  <c r="L1010" i="3"/>
  <c r="H1009" i="3"/>
  <c r="I1009" i="3"/>
  <c r="L1009" i="3"/>
  <c r="H1008" i="3"/>
  <c r="I1008" i="3"/>
  <c r="L1008" i="3"/>
  <c r="H1007" i="3"/>
  <c r="I1007" i="3"/>
  <c r="L1007" i="3"/>
  <c r="H1006" i="3"/>
  <c r="I1006" i="3"/>
  <c r="L1006" i="3"/>
  <c r="H1005" i="3"/>
  <c r="I1005" i="3"/>
  <c r="L1005" i="3"/>
  <c r="H1004" i="3"/>
  <c r="I1004" i="3"/>
  <c r="L1004" i="3"/>
  <c r="H1003" i="3"/>
  <c r="I1003" i="3"/>
  <c r="L1003" i="3"/>
  <c r="H1002" i="3"/>
  <c r="I1002" i="3"/>
  <c r="L1002" i="3"/>
  <c r="H1001" i="3"/>
  <c r="I1001" i="3"/>
  <c r="L1001" i="3"/>
  <c r="H1000" i="3"/>
  <c r="I1000" i="3"/>
  <c r="L1000" i="3"/>
  <c r="H999" i="3"/>
  <c r="I999" i="3"/>
  <c r="L999" i="3"/>
  <c r="H998" i="3"/>
  <c r="I998" i="3"/>
  <c r="L998" i="3"/>
  <c r="H997" i="3"/>
  <c r="I997" i="3"/>
  <c r="L997" i="3"/>
  <c r="H996" i="3"/>
  <c r="I996" i="3"/>
  <c r="L996" i="3"/>
  <c r="H995" i="3"/>
  <c r="I995" i="3"/>
  <c r="L995" i="3"/>
  <c r="H994" i="3"/>
  <c r="I994" i="3"/>
  <c r="L994" i="3"/>
  <c r="H993" i="3"/>
  <c r="I993" i="3"/>
  <c r="L993" i="3"/>
  <c r="H992" i="3"/>
  <c r="I992" i="3"/>
  <c r="L992" i="3"/>
  <c r="H991" i="3"/>
  <c r="I991" i="3"/>
  <c r="L991" i="3"/>
  <c r="H990" i="3"/>
  <c r="I990" i="3"/>
  <c r="L990" i="3"/>
  <c r="H989" i="3"/>
  <c r="I989" i="3"/>
  <c r="L989" i="3"/>
  <c r="H988" i="3"/>
  <c r="I988" i="3"/>
  <c r="L988" i="3"/>
  <c r="H987" i="3"/>
  <c r="I987" i="3"/>
  <c r="L987" i="3"/>
  <c r="H986" i="3"/>
  <c r="I986" i="3"/>
  <c r="L986" i="3"/>
  <c r="H985" i="3"/>
  <c r="I985" i="3"/>
  <c r="L985" i="3"/>
  <c r="H984" i="3"/>
  <c r="I984" i="3"/>
  <c r="L984" i="3"/>
  <c r="H983" i="3"/>
  <c r="I983" i="3"/>
  <c r="L983" i="3"/>
  <c r="H982" i="3"/>
  <c r="I982" i="3"/>
  <c r="L982" i="3"/>
  <c r="H981" i="3"/>
  <c r="I981" i="3"/>
  <c r="L981" i="3"/>
  <c r="H980" i="3"/>
  <c r="I980" i="3"/>
  <c r="L980" i="3"/>
  <c r="H979" i="3"/>
  <c r="I979" i="3"/>
  <c r="L979" i="3"/>
  <c r="H978" i="3"/>
  <c r="I978" i="3"/>
  <c r="L978" i="3"/>
  <c r="H977" i="3"/>
  <c r="I977" i="3"/>
  <c r="L977" i="3"/>
  <c r="H976" i="3"/>
  <c r="I976" i="3"/>
  <c r="L976" i="3"/>
  <c r="H975" i="3"/>
  <c r="I975" i="3"/>
  <c r="L975" i="3"/>
  <c r="H974" i="3"/>
  <c r="I974" i="3"/>
  <c r="L974" i="3"/>
  <c r="H973" i="3"/>
  <c r="I973" i="3"/>
  <c r="L973" i="3"/>
  <c r="H972" i="3"/>
  <c r="I972" i="3"/>
  <c r="L972" i="3"/>
  <c r="H971" i="3"/>
  <c r="I971" i="3"/>
  <c r="L971" i="3"/>
  <c r="H970" i="3"/>
  <c r="I970" i="3"/>
  <c r="L970" i="3"/>
  <c r="H969" i="3"/>
  <c r="I969" i="3"/>
  <c r="L969" i="3"/>
  <c r="H968" i="3"/>
  <c r="I968" i="3"/>
  <c r="L968" i="3"/>
  <c r="H967" i="3"/>
  <c r="I967" i="3"/>
  <c r="L967" i="3"/>
  <c r="H966" i="3"/>
  <c r="I966" i="3"/>
  <c r="L966" i="3"/>
  <c r="H965" i="3"/>
  <c r="I965" i="3"/>
  <c r="L965" i="3"/>
  <c r="H964" i="3"/>
  <c r="I964" i="3"/>
  <c r="L964" i="3"/>
  <c r="H963" i="3"/>
  <c r="I963" i="3"/>
  <c r="L963" i="3"/>
  <c r="H962" i="3"/>
  <c r="I962" i="3"/>
  <c r="L962" i="3"/>
  <c r="H961" i="3"/>
  <c r="I961" i="3"/>
  <c r="L961" i="3"/>
  <c r="H960" i="3"/>
  <c r="I960" i="3"/>
  <c r="L960" i="3"/>
  <c r="H959" i="3"/>
  <c r="I959" i="3"/>
  <c r="L959" i="3"/>
  <c r="H958" i="3"/>
  <c r="I958" i="3"/>
  <c r="L958" i="3"/>
  <c r="H957" i="3"/>
  <c r="I957" i="3"/>
  <c r="L957" i="3"/>
  <c r="H956" i="3"/>
  <c r="I956" i="3"/>
  <c r="L956" i="3"/>
  <c r="H955" i="3"/>
  <c r="I955" i="3"/>
  <c r="L955" i="3"/>
  <c r="H954" i="3"/>
  <c r="I954" i="3"/>
  <c r="L954" i="3"/>
  <c r="H953" i="3"/>
  <c r="I953" i="3"/>
  <c r="L953" i="3"/>
  <c r="H952" i="3"/>
  <c r="I952" i="3"/>
  <c r="J952" i="3"/>
  <c r="K952" i="3"/>
  <c r="L952" i="3"/>
  <c r="H951" i="3"/>
  <c r="I951" i="3"/>
  <c r="J951" i="3"/>
  <c r="K951" i="3"/>
  <c r="L951" i="3"/>
  <c r="H950" i="3"/>
  <c r="I950" i="3"/>
  <c r="J950" i="3"/>
  <c r="K950" i="3"/>
  <c r="L950" i="3"/>
  <c r="H949" i="3"/>
  <c r="I949" i="3"/>
  <c r="J949" i="3"/>
  <c r="K949" i="3"/>
  <c r="L949" i="3"/>
  <c r="H948" i="3"/>
  <c r="I948" i="3"/>
  <c r="J948" i="3"/>
  <c r="K948" i="3"/>
  <c r="L948" i="3"/>
  <c r="H947" i="3"/>
  <c r="I947" i="3"/>
  <c r="J947" i="3"/>
  <c r="K947" i="3"/>
  <c r="L947" i="3"/>
  <c r="H946" i="3"/>
  <c r="I946" i="3"/>
  <c r="J946" i="3"/>
  <c r="K946" i="3"/>
  <c r="L946" i="3"/>
  <c r="H945" i="3"/>
  <c r="I945" i="3"/>
  <c r="J945" i="3"/>
  <c r="K945" i="3"/>
  <c r="L945" i="3"/>
  <c r="H944" i="3"/>
  <c r="I944" i="3"/>
  <c r="L944" i="3"/>
  <c r="H943" i="3"/>
  <c r="I943" i="3"/>
  <c r="L943" i="3"/>
  <c r="H942" i="3"/>
  <c r="I942" i="3"/>
  <c r="L942" i="3"/>
  <c r="H941" i="3"/>
  <c r="I941" i="3"/>
  <c r="L941" i="3"/>
  <c r="H940" i="3"/>
  <c r="I940" i="3"/>
  <c r="L940" i="3"/>
  <c r="H939" i="3"/>
  <c r="I939" i="3"/>
  <c r="L939" i="3"/>
  <c r="H938" i="3"/>
  <c r="I938" i="3"/>
  <c r="L938" i="3"/>
  <c r="H937" i="3"/>
  <c r="I937" i="3"/>
  <c r="L937" i="3"/>
  <c r="H936" i="3"/>
  <c r="I936" i="3"/>
  <c r="L936" i="3"/>
  <c r="H935" i="3"/>
  <c r="I935" i="3"/>
  <c r="L935" i="3"/>
  <c r="H934" i="3"/>
  <c r="I934" i="3"/>
  <c r="L934" i="3"/>
  <c r="H933" i="3"/>
  <c r="I933" i="3"/>
  <c r="L933" i="3"/>
  <c r="H932" i="3"/>
  <c r="I932" i="3"/>
  <c r="L932" i="3"/>
  <c r="H931" i="3"/>
  <c r="I931" i="3"/>
  <c r="L931" i="3"/>
  <c r="H930" i="3"/>
  <c r="I930" i="3"/>
  <c r="L930" i="3"/>
  <c r="H929" i="3"/>
  <c r="I929" i="3"/>
  <c r="L929" i="3"/>
  <c r="H928" i="3"/>
  <c r="I928" i="3"/>
  <c r="L928" i="3"/>
  <c r="H927" i="3"/>
  <c r="I927" i="3"/>
  <c r="L927" i="3"/>
  <c r="H926" i="3"/>
  <c r="I926" i="3"/>
  <c r="L926" i="3"/>
  <c r="H925" i="3"/>
  <c r="I925" i="3"/>
  <c r="L925" i="3"/>
  <c r="H924" i="3"/>
  <c r="I924" i="3"/>
  <c r="L924" i="3"/>
  <c r="H923" i="3"/>
  <c r="I923" i="3"/>
  <c r="J923" i="3"/>
  <c r="K923" i="3"/>
  <c r="L923" i="3"/>
  <c r="H922" i="3"/>
  <c r="I922" i="3"/>
  <c r="J922" i="3"/>
  <c r="K922" i="3"/>
  <c r="L922" i="3"/>
  <c r="H921" i="3"/>
  <c r="I921" i="3"/>
  <c r="J921" i="3"/>
  <c r="K921" i="3"/>
  <c r="L921" i="3"/>
  <c r="H920" i="3"/>
  <c r="I920" i="3"/>
  <c r="J920" i="3"/>
  <c r="K920" i="3"/>
  <c r="L920" i="3"/>
  <c r="H919" i="3"/>
  <c r="I919" i="3"/>
  <c r="J919" i="3"/>
  <c r="K919" i="3"/>
  <c r="L919" i="3"/>
  <c r="H918" i="3"/>
  <c r="I918" i="3"/>
  <c r="J918" i="3"/>
  <c r="K918" i="3"/>
  <c r="L918" i="3"/>
  <c r="H917" i="3"/>
  <c r="I917" i="3"/>
  <c r="J917" i="3"/>
  <c r="K917" i="3"/>
  <c r="L917" i="3"/>
  <c r="H916" i="3"/>
  <c r="I916" i="3"/>
  <c r="J916" i="3"/>
  <c r="K916" i="3"/>
  <c r="L916" i="3"/>
  <c r="H915" i="3"/>
  <c r="I915" i="3"/>
  <c r="J915" i="3"/>
  <c r="K915" i="3"/>
  <c r="L915" i="3"/>
  <c r="H914" i="3"/>
  <c r="I914" i="3"/>
  <c r="J914" i="3"/>
  <c r="K914" i="3"/>
  <c r="L914" i="3"/>
  <c r="H913" i="3"/>
  <c r="I913" i="3"/>
  <c r="J913" i="3"/>
  <c r="K913" i="3"/>
  <c r="L913" i="3"/>
  <c r="H912" i="3"/>
  <c r="I912" i="3"/>
  <c r="J912" i="3"/>
  <c r="K912" i="3"/>
  <c r="L912" i="3"/>
  <c r="H911" i="3"/>
  <c r="I911" i="3"/>
  <c r="J911" i="3"/>
  <c r="K911" i="3"/>
  <c r="L911" i="3"/>
  <c r="H910" i="3"/>
  <c r="I910" i="3"/>
  <c r="J910" i="3"/>
  <c r="K910" i="3"/>
  <c r="L910" i="3"/>
  <c r="H909" i="3"/>
  <c r="I909" i="3"/>
  <c r="J909" i="3"/>
  <c r="K909" i="3"/>
  <c r="L909" i="3"/>
  <c r="H908" i="3"/>
  <c r="I908" i="3"/>
  <c r="J908" i="3"/>
  <c r="K908" i="3"/>
  <c r="L908" i="3"/>
  <c r="H907" i="3"/>
  <c r="I907" i="3"/>
  <c r="J907" i="3"/>
  <c r="K907" i="3"/>
  <c r="L907" i="3"/>
  <c r="H906" i="3"/>
  <c r="I906" i="3"/>
  <c r="J906" i="3"/>
  <c r="K906" i="3"/>
  <c r="L906" i="3"/>
  <c r="H905" i="3"/>
  <c r="I905" i="3"/>
  <c r="J905" i="3"/>
  <c r="K905" i="3"/>
  <c r="L905" i="3"/>
  <c r="H904" i="3"/>
  <c r="I904" i="3"/>
  <c r="J904" i="3"/>
  <c r="K904" i="3"/>
  <c r="L904" i="3"/>
  <c r="H903" i="3"/>
  <c r="I903" i="3"/>
  <c r="J903" i="3"/>
  <c r="K903" i="3"/>
  <c r="L903" i="3"/>
  <c r="H902" i="3"/>
  <c r="I902" i="3"/>
  <c r="J902" i="3"/>
  <c r="K902" i="3"/>
  <c r="L902" i="3"/>
  <c r="H901" i="3"/>
  <c r="I901" i="3"/>
  <c r="J901" i="3"/>
  <c r="K901" i="3"/>
  <c r="L901" i="3"/>
  <c r="H900" i="3"/>
  <c r="I900" i="3"/>
  <c r="J900" i="3"/>
  <c r="K900" i="3"/>
  <c r="L900" i="3"/>
  <c r="H899" i="3"/>
  <c r="I899" i="3"/>
  <c r="J899" i="3"/>
  <c r="K899" i="3"/>
  <c r="L899" i="3"/>
  <c r="H898" i="3"/>
  <c r="I898" i="3"/>
  <c r="J898" i="3"/>
  <c r="K898" i="3"/>
  <c r="L898" i="3"/>
  <c r="H897" i="3"/>
  <c r="I897" i="3"/>
  <c r="J897" i="3"/>
  <c r="K897" i="3"/>
  <c r="L897" i="3"/>
  <c r="H896" i="3"/>
  <c r="I896" i="3"/>
  <c r="J896" i="3"/>
  <c r="K896" i="3"/>
  <c r="L896" i="3"/>
  <c r="H895" i="3"/>
  <c r="I895" i="3"/>
  <c r="J895" i="3"/>
  <c r="K895" i="3"/>
  <c r="L895" i="3"/>
  <c r="H894" i="3"/>
  <c r="I894" i="3"/>
  <c r="J894" i="3"/>
  <c r="K894" i="3"/>
  <c r="L894" i="3"/>
  <c r="H893" i="3"/>
  <c r="I893" i="3"/>
  <c r="J893" i="3"/>
  <c r="K893" i="3"/>
  <c r="L893" i="3"/>
  <c r="H892" i="3"/>
  <c r="I892" i="3"/>
  <c r="J892" i="3"/>
  <c r="K892" i="3"/>
  <c r="L892" i="3"/>
  <c r="H891" i="3"/>
  <c r="I891" i="3"/>
  <c r="J891" i="3"/>
  <c r="K891" i="3"/>
  <c r="L891" i="3"/>
  <c r="H890" i="3"/>
  <c r="I890" i="3"/>
  <c r="J890" i="3"/>
  <c r="K890" i="3"/>
  <c r="L890" i="3"/>
  <c r="H889" i="3"/>
  <c r="I889" i="3"/>
  <c r="J889" i="3"/>
  <c r="K889" i="3"/>
  <c r="L889" i="3"/>
  <c r="H888" i="3"/>
  <c r="I888" i="3"/>
  <c r="J888" i="3"/>
  <c r="K888" i="3"/>
  <c r="L888" i="3"/>
  <c r="H887" i="3"/>
  <c r="I887" i="3"/>
  <c r="J887" i="3"/>
  <c r="K887" i="3"/>
  <c r="L887" i="3"/>
  <c r="H886" i="3"/>
  <c r="I886" i="3"/>
  <c r="J886" i="3"/>
  <c r="K886" i="3"/>
  <c r="L886" i="3"/>
  <c r="H885" i="3"/>
  <c r="I885" i="3"/>
  <c r="J885" i="3"/>
  <c r="K885" i="3"/>
  <c r="L885" i="3"/>
  <c r="H884" i="3"/>
  <c r="I884" i="3"/>
  <c r="J884" i="3"/>
  <c r="K884" i="3"/>
  <c r="L884" i="3"/>
  <c r="H883" i="3"/>
  <c r="I883" i="3"/>
  <c r="J883" i="3"/>
  <c r="K883" i="3"/>
  <c r="L883" i="3"/>
  <c r="H882" i="3"/>
  <c r="I882" i="3"/>
  <c r="J882" i="3"/>
  <c r="K882" i="3"/>
  <c r="L882" i="3"/>
  <c r="H881" i="3"/>
  <c r="I881" i="3"/>
  <c r="J881" i="3"/>
  <c r="K881" i="3"/>
  <c r="L881" i="3"/>
  <c r="H880" i="3"/>
  <c r="I880" i="3"/>
  <c r="J880" i="3"/>
  <c r="K880" i="3"/>
  <c r="L880" i="3"/>
  <c r="H879" i="3"/>
  <c r="I879" i="3"/>
  <c r="J879" i="3"/>
  <c r="K879" i="3"/>
  <c r="L879" i="3"/>
  <c r="H878" i="3"/>
  <c r="I878" i="3"/>
  <c r="J878" i="3"/>
  <c r="K878" i="3"/>
  <c r="L878" i="3"/>
  <c r="H877" i="3"/>
  <c r="I877" i="3"/>
  <c r="J877" i="3"/>
  <c r="K877" i="3"/>
  <c r="L877" i="3"/>
  <c r="H876" i="3"/>
  <c r="I876" i="3"/>
  <c r="J876" i="3"/>
  <c r="K876" i="3"/>
  <c r="L876" i="3"/>
  <c r="H875" i="3"/>
  <c r="I875" i="3"/>
  <c r="J875" i="3"/>
  <c r="K875" i="3"/>
  <c r="L875" i="3"/>
  <c r="H874" i="3"/>
  <c r="I874" i="3"/>
  <c r="J874" i="3"/>
  <c r="K874" i="3"/>
  <c r="L874" i="3"/>
  <c r="H873" i="3"/>
  <c r="I873" i="3"/>
  <c r="J873" i="3"/>
  <c r="K873" i="3"/>
  <c r="L873" i="3"/>
  <c r="H872" i="3"/>
  <c r="I872" i="3"/>
  <c r="J872" i="3"/>
  <c r="K872" i="3"/>
  <c r="L872" i="3"/>
  <c r="H871" i="3"/>
  <c r="I871" i="3"/>
  <c r="J871" i="3"/>
  <c r="K871" i="3"/>
  <c r="L871" i="3"/>
  <c r="H870" i="3"/>
  <c r="I870" i="3"/>
  <c r="J870" i="3"/>
  <c r="K870" i="3"/>
  <c r="L870" i="3"/>
  <c r="H869" i="3"/>
  <c r="I869" i="3"/>
  <c r="J869" i="3"/>
  <c r="K869" i="3"/>
  <c r="L869" i="3"/>
  <c r="H868" i="3"/>
  <c r="I868" i="3"/>
  <c r="J868" i="3"/>
  <c r="K868" i="3"/>
  <c r="L868" i="3"/>
  <c r="H867" i="3"/>
  <c r="I867" i="3"/>
  <c r="J867" i="3"/>
  <c r="K867" i="3"/>
  <c r="L867" i="3"/>
  <c r="H866" i="3"/>
  <c r="I866" i="3"/>
  <c r="J866" i="3"/>
  <c r="K866" i="3"/>
  <c r="L866" i="3"/>
  <c r="H865" i="3"/>
  <c r="I865" i="3"/>
  <c r="J865" i="3"/>
  <c r="K865" i="3"/>
  <c r="L865" i="3"/>
  <c r="H864" i="3"/>
  <c r="I864" i="3"/>
  <c r="J864" i="3"/>
  <c r="K864" i="3"/>
  <c r="L864" i="3"/>
  <c r="H863" i="3"/>
  <c r="I863" i="3"/>
  <c r="J863" i="3"/>
  <c r="K863" i="3"/>
  <c r="L863" i="3"/>
  <c r="H862" i="3"/>
  <c r="I862" i="3"/>
  <c r="J862" i="3"/>
  <c r="K862" i="3"/>
  <c r="L862" i="3"/>
  <c r="H861" i="3"/>
  <c r="I861" i="3"/>
  <c r="J861" i="3"/>
  <c r="K861" i="3"/>
  <c r="L861" i="3"/>
  <c r="H860" i="3"/>
  <c r="I860" i="3"/>
  <c r="J860" i="3"/>
  <c r="K860" i="3"/>
  <c r="L860" i="3"/>
  <c r="H859" i="3"/>
  <c r="I859" i="3"/>
  <c r="J859" i="3"/>
  <c r="K859" i="3"/>
  <c r="L859" i="3"/>
  <c r="H858" i="3"/>
  <c r="I858" i="3"/>
  <c r="J858" i="3"/>
  <c r="K858" i="3"/>
  <c r="L858" i="3"/>
  <c r="H857" i="3"/>
  <c r="I857" i="3"/>
  <c r="J857" i="3"/>
  <c r="K857" i="3"/>
  <c r="L857" i="3"/>
  <c r="H856" i="3"/>
  <c r="I856" i="3"/>
  <c r="J856" i="3"/>
  <c r="K856" i="3"/>
  <c r="L856" i="3"/>
  <c r="H855" i="3"/>
  <c r="I855" i="3"/>
  <c r="J855" i="3"/>
  <c r="K855" i="3"/>
  <c r="L855" i="3"/>
  <c r="H854" i="3"/>
  <c r="I854" i="3"/>
  <c r="J854" i="3"/>
  <c r="K854" i="3"/>
  <c r="L854" i="3"/>
  <c r="H853" i="3"/>
  <c r="I853" i="3"/>
  <c r="J853" i="3"/>
  <c r="K853" i="3"/>
  <c r="L853" i="3"/>
  <c r="H852" i="3"/>
  <c r="I852" i="3"/>
  <c r="J852" i="3"/>
  <c r="K852" i="3"/>
  <c r="L852" i="3"/>
  <c r="H851" i="3"/>
  <c r="I851" i="3"/>
  <c r="J851" i="3"/>
  <c r="K851" i="3"/>
  <c r="L851" i="3"/>
  <c r="H850" i="3"/>
  <c r="I850" i="3"/>
  <c r="J850" i="3"/>
  <c r="K850" i="3"/>
  <c r="L850" i="3"/>
  <c r="H849" i="3"/>
  <c r="I849" i="3"/>
  <c r="J849" i="3"/>
  <c r="K849" i="3"/>
  <c r="L849" i="3"/>
  <c r="H848" i="3"/>
  <c r="I848" i="3"/>
  <c r="J848" i="3"/>
  <c r="K848" i="3"/>
  <c r="L848" i="3"/>
  <c r="H847" i="3"/>
  <c r="I847" i="3"/>
  <c r="J847" i="3"/>
  <c r="K847" i="3"/>
  <c r="L847" i="3"/>
  <c r="H846" i="3"/>
  <c r="I846" i="3"/>
  <c r="J846" i="3"/>
  <c r="K846" i="3"/>
  <c r="L846" i="3"/>
  <c r="H845" i="3"/>
  <c r="I845" i="3"/>
  <c r="J845" i="3"/>
  <c r="K845" i="3"/>
  <c r="L845" i="3"/>
  <c r="H844" i="3"/>
  <c r="I844" i="3"/>
  <c r="J844" i="3"/>
  <c r="K844" i="3"/>
  <c r="L844" i="3"/>
  <c r="H843" i="3"/>
  <c r="I843" i="3"/>
  <c r="J843" i="3"/>
  <c r="K843" i="3"/>
  <c r="L843" i="3"/>
  <c r="H842" i="3"/>
  <c r="I842" i="3"/>
  <c r="J842" i="3"/>
  <c r="K842" i="3"/>
  <c r="L842" i="3"/>
  <c r="H841" i="3"/>
  <c r="I841" i="3"/>
  <c r="J841" i="3"/>
  <c r="K841" i="3"/>
  <c r="L841" i="3"/>
  <c r="H840" i="3"/>
  <c r="I840" i="3"/>
  <c r="J840" i="3"/>
  <c r="K840" i="3"/>
  <c r="L840" i="3"/>
  <c r="H839" i="3"/>
  <c r="I839" i="3"/>
  <c r="J839" i="3"/>
  <c r="K839" i="3"/>
  <c r="L839" i="3"/>
  <c r="H838" i="3"/>
  <c r="I838" i="3"/>
  <c r="J838" i="3"/>
  <c r="K838" i="3"/>
  <c r="L838" i="3"/>
  <c r="H837" i="3"/>
  <c r="I837" i="3"/>
  <c r="J837" i="3"/>
  <c r="K837" i="3"/>
  <c r="L837" i="3"/>
  <c r="H836" i="3"/>
  <c r="I836" i="3"/>
  <c r="J836" i="3"/>
  <c r="K836" i="3"/>
  <c r="L836" i="3"/>
  <c r="H835" i="3"/>
  <c r="I835" i="3"/>
  <c r="J835" i="3"/>
  <c r="K835" i="3"/>
  <c r="L835" i="3"/>
  <c r="H834" i="3"/>
  <c r="I834" i="3"/>
  <c r="J834" i="3"/>
  <c r="K834" i="3"/>
  <c r="L834" i="3"/>
  <c r="H833" i="3"/>
  <c r="I833" i="3"/>
  <c r="J833" i="3"/>
  <c r="K833" i="3"/>
  <c r="L833" i="3"/>
  <c r="H832" i="3"/>
  <c r="I832" i="3"/>
  <c r="J832" i="3"/>
  <c r="K832" i="3"/>
  <c r="L832" i="3"/>
  <c r="H831" i="3"/>
  <c r="I831" i="3"/>
  <c r="J831" i="3"/>
  <c r="K831" i="3"/>
  <c r="L831" i="3"/>
  <c r="H830" i="3"/>
  <c r="I830" i="3"/>
  <c r="J830" i="3"/>
  <c r="K830" i="3"/>
  <c r="L830" i="3"/>
  <c r="H829" i="3"/>
  <c r="I829" i="3"/>
  <c r="J829" i="3"/>
  <c r="K829" i="3"/>
  <c r="L829" i="3"/>
  <c r="H828" i="3"/>
  <c r="I828" i="3"/>
  <c r="J828" i="3"/>
  <c r="K828" i="3"/>
  <c r="L828" i="3"/>
  <c r="H827" i="3"/>
  <c r="I827" i="3"/>
  <c r="J827" i="3"/>
  <c r="K827" i="3"/>
  <c r="L827" i="3"/>
  <c r="H826" i="3"/>
  <c r="I826" i="3"/>
  <c r="J826" i="3"/>
  <c r="K826" i="3"/>
  <c r="L826" i="3"/>
  <c r="H825" i="3"/>
  <c r="I825" i="3"/>
  <c r="J825" i="3"/>
  <c r="K825" i="3"/>
  <c r="L825" i="3"/>
  <c r="H824" i="3"/>
  <c r="I824" i="3"/>
  <c r="J824" i="3"/>
  <c r="K824" i="3"/>
  <c r="L824" i="3"/>
  <c r="H823" i="3"/>
  <c r="I823" i="3"/>
  <c r="J823" i="3"/>
  <c r="K823" i="3"/>
  <c r="L823" i="3"/>
  <c r="H822" i="3"/>
  <c r="I822" i="3"/>
  <c r="J822" i="3"/>
  <c r="K822" i="3"/>
  <c r="L822" i="3"/>
  <c r="H821" i="3"/>
  <c r="I821" i="3"/>
  <c r="J821" i="3"/>
  <c r="K821" i="3"/>
  <c r="L821" i="3"/>
  <c r="H820" i="3"/>
  <c r="I820" i="3"/>
  <c r="J820" i="3"/>
  <c r="K820" i="3"/>
  <c r="L820" i="3"/>
  <c r="H819" i="3"/>
  <c r="I819" i="3"/>
  <c r="J819" i="3"/>
  <c r="K819" i="3"/>
  <c r="L819" i="3"/>
  <c r="H818" i="3"/>
  <c r="I818" i="3"/>
  <c r="J818" i="3"/>
  <c r="K818" i="3"/>
  <c r="L818" i="3"/>
  <c r="H817" i="3"/>
  <c r="I817" i="3"/>
  <c r="J817" i="3"/>
  <c r="K817" i="3"/>
  <c r="L817" i="3"/>
  <c r="H816" i="3"/>
  <c r="I816" i="3"/>
  <c r="J816" i="3"/>
  <c r="K816" i="3"/>
  <c r="L816" i="3"/>
  <c r="H815" i="3"/>
  <c r="I815" i="3"/>
  <c r="J815" i="3"/>
  <c r="K815" i="3"/>
  <c r="L815" i="3"/>
  <c r="H814" i="3"/>
  <c r="I814" i="3"/>
  <c r="J814" i="3"/>
  <c r="K814" i="3"/>
  <c r="L814" i="3"/>
  <c r="H813" i="3"/>
  <c r="I813" i="3"/>
  <c r="J813" i="3"/>
  <c r="K813" i="3"/>
  <c r="L813" i="3"/>
  <c r="H812" i="3"/>
  <c r="I812" i="3"/>
  <c r="J812" i="3"/>
  <c r="K812" i="3"/>
  <c r="L812" i="3"/>
  <c r="H811" i="3"/>
  <c r="I811" i="3"/>
  <c r="J811" i="3"/>
  <c r="K811" i="3"/>
  <c r="L811" i="3"/>
  <c r="H810" i="3"/>
  <c r="I810" i="3"/>
  <c r="J810" i="3"/>
  <c r="K810" i="3"/>
  <c r="L810" i="3"/>
  <c r="H809" i="3"/>
  <c r="I809" i="3"/>
  <c r="J809" i="3"/>
  <c r="K809" i="3"/>
  <c r="L809" i="3"/>
  <c r="H808" i="3"/>
  <c r="I808" i="3"/>
  <c r="J808" i="3"/>
  <c r="K808" i="3"/>
  <c r="L808" i="3"/>
  <c r="H807" i="3"/>
  <c r="I807" i="3"/>
  <c r="J807" i="3"/>
  <c r="K807" i="3"/>
  <c r="L807" i="3"/>
  <c r="H806" i="3"/>
  <c r="I806" i="3"/>
  <c r="J806" i="3"/>
  <c r="K806" i="3"/>
  <c r="L806" i="3"/>
  <c r="H805" i="3"/>
  <c r="I805" i="3"/>
  <c r="J805" i="3"/>
  <c r="K805" i="3"/>
  <c r="L805" i="3"/>
  <c r="H804" i="3"/>
  <c r="I804" i="3"/>
  <c r="J804" i="3"/>
  <c r="K804" i="3"/>
  <c r="L804" i="3"/>
  <c r="H803" i="3"/>
  <c r="I803" i="3"/>
  <c r="J803" i="3"/>
  <c r="L803" i="3"/>
  <c r="H802" i="3"/>
  <c r="I802" i="3"/>
  <c r="J802" i="3"/>
  <c r="K802" i="3"/>
  <c r="L802" i="3"/>
  <c r="H801" i="3"/>
  <c r="I801" i="3"/>
  <c r="J801" i="3"/>
  <c r="L801" i="3"/>
  <c r="H800" i="3"/>
  <c r="I800" i="3"/>
  <c r="J800" i="3"/>
  <c r="L800" i="3"/>
  <c r="H799" i="3"/>
  <c r="I799" i="3"/>
  <c r="J799" i="3"/>
  <c r="K799" i="3"/>
  <c r="L799" i="3"/>
  <c r="H798" i="3"/>
  <c r="I798" i="3"/>
  <c r="J798" i="3"/>
  <c r="K798" i="3"/>
  <c r="L798" i="3"/>
  <c r="H797" i="3"/>
  <c r="I797" i="3"/>
  <c r="J797" i="3"/>
  <c r="K797" i="3"/>
  <c r="L797" i="3"/>
  <c r="H796" i="3"/>
  <c r="I796" i="3"/>
  <c r="J796" i="3"/>
  <c r="K796" i="3"/>
  <c r="L796" i="3"/>
  <c r="H795" i="3"/>
  <c r="I795" i="3"/>
  <c r="J795" i="3"/>
  <c r="K795" i="3"/>
  <c r="L795" i="3"/>
  <c r="H794" i="3"/>
  <c r="I794" i="3"/>
  <c r="J794" i="3"/>
  <c r="K794" i="3"/>
  <c r="L794" i="3"/>
  <c r="H793" i="3"/>
  <c r="I793" i="3"/>
  <c r="J793" i="3"/>
  <c r="K793" i="3"/>
  <c r="L793" i="3"/>
  <c r="H792" i="3"/>
  <c r="I792" i="3"/>
  <c r="J792" i="3"/>
  <c r="K792" i="3"/>
  <c r="L792" i="3"/>
  <c r="H791" i="3"/>
  <c r="I791" i="3"/>
  <c r="J791" i="3"/>
  <c r="K791" i="3"/>
  <c r="L791" i="3"/>
  <c r="H790" i="3"/>
  <c r="I790" i="3"/>
  <c r="J790" i="3"/>
  <c r="K790" i="3"/>
  <c r="L790" i="3"/>
  <c r="H789" i="3"/>
  <c r="I789" i="3"/>
  <c r="J789" i="3"/>
  <c r="K789" i="3"/>
  <c r="L789" i="3"/>
  <c r="H788" i="3"/>
  <c r="I788" i="3"/>
  <c r="J788" i="3"/>
  <c r="K788" i="3"/>
  <c r="L788" i="3"/>
  <c r="H787" i="3"/>
  <c r="I787" i="3"/>
  <c r="J787" i="3"/>
  <c r="K787" i="3"/>
  <c r="L787" i="3"/>
  <c r="H786" i="3"/>
  <c r="I786" i="3"/>
  <c r="J786" i="3"/>
  <c r="K786" i="3"/>
  <c r="L786" i="3"/>
  <c r="H785" i="3"/>
  <c r="I785" i="3"/>
  <c r="J785" i="3"/>
  <c r="K785" i="3"/>
  <c r="L785" i="3"/>
  <c r="H784" i="3"/>
  <c r="I784" i="3"/>
  <c r="J784" i="3"/>
  <c r="K784" i="3"/>
  <c r="L784" i="3"/>
  <c r="H783" i="3"/>
  <c r="I783" i="3"/>
  <c r="J783" i="3"/>
  <c r="K783" i="3"/>
  <c r="L783" i="3"/>
  <c r="H782" i="3"/>
  <c r="I782" i="3"/>
  <c r="J782" i="3"/>
  <c r="K782" i="3"/>
  <c r="L782" i="3"/>
  <c r="H781" i="3"/>
  <c r="I781" i="3"/>
  <c r="J781" i="3"/>
  <c r="K781" i="3"/>
  <c r="L781" i="3"/>
  <c r="H780" i="3"/>
  <c r="I780" i="3"/>
  <c r="J780" i="3"/>
  <c r="K780" i="3"/>
  <c r="L780" i="3"/>
  <c r="H779" i="3"/>
  <c r="I779" i="3"/>
  <c r="J779" i="3"/>
  <c r="K779" i="3"/>
  <c r="L779" i="3"/>
  <c r="H778" i="3"/>
  <c r="I778" i="3"/>
  <c r="J778" i="3"/>
  <c r="K778" i="3"/>
  <c r="L778" i="3"/>
  <c r="H777" i="3"/>
  <c r="I777" i="3"/>
  <c r="J777" i="3"/>
  <c r="K777" i="3"/>
  <c r="L777" i="3"/>
  <c r="H776" i="3"/>
  <c r="I776" i="3"/>
  <c r="J776" i="3"/>
  <c r="K776" i="3"/>
  <c r="L776" i="3"/>
  <c r="H775" i="3"/>
  <c r="I775" i="3"/>
  <c r="J775" i="3"/>
  <c r="K775" i="3"/>
  <c r="L775" i="3"/>
  <c r="H774" i="3"/>
  <c r="I774" i="3"/>
  <c r="J774" i="3"/>
  <c r="K774" i="3"/>
  <c r="L774" i="3"/>
  <c r="H773" i="3"/>
  <c r="I773" i="3"/>
  <c r="J773" i="3"/>
  <c r="K773" i="3"/>
  <c r="L773" i="3"/>
  <c r="H772" i="3"/>
  <c r="I772" i="3"/>
  <c r="J772" i="3"/>
  <c r="K772" i="3"/>
  <c r="L772" i="3"/>
  <c r="H771" i="3"/>
  <c r="I771" i="3"/>
  <c r="J771" i="3"/>
  <c r="K771" i="3"/>
  <c r="L771" i="3"/>
  <c r="H770" i="3"/>
  <c r="I770" i="3"/>
  <c r="J770" i="3"/>
  <c r="K770" i="3"/>
  <c r="L770" i="3"/>
  <c r="H769" i="3"/>
  <c r="I769" i="3"/>
  <c r="J769" i="3"/>
  <c r="K769" i="3"/>
  <c r="L769" i="3"/>
  <c r="H768" i="3"/>
  <c r="I768" i="3"/>
  <c r="J768" i="3"/>
  <c r="L768" i="3"/>
  <c r="H767" i="3"/>
  <c r="I767" i="3"/>
  <c r="J767" i="3"/>
  <c r="L767" i="3"/>
  <c r="H766" i="3"/>
  <c r="I766" i="3"/>
  <c r="J766" i="3"/>
  <c r="L766" i="3"/>
  <c r="H765" i="3"/>
  <c r="I765" i="3"/>
  <c r="J765" i="3"/>
  <c r="L765" i="3"/>
  <c r="H764" i="3"/>
  <c r="I764" i="3"/>
  <c r="J764" i="3"/>
  <c r="L764" i="3"/>
  <c r="H763" i="3"/>
  <c r="I763" i="3"/>
  <c r="J763" i="3"/>
  <c r="L763" i="3"/>
  <c r="H762" i="3"/>
  <c r="I762" i="3"/>
  <c r="J762" i="3"/>
  <c r="K762" i="3"/>
  <c r="L762" i="3"/>
  <c r="H761" i="3"/>
  <c r="I761" i="3"/>
  <c r="J761" i="3"/>
  <c r="K761" i="3"/>
  <c r="L761" i="3"/>
  <c r="H760" i="3"/>
  <c r="I760" i="3"/>
  <c r="J760" i="3"/>
  <c r="K760" i="3"/>
  <c r="L760" i="3"/>
  <c r="H759" i="3"/>
  <c r="I759" i="3"/>
  <c r="J759" i="3"/>
  <c r="K759" i="3"/>
  <c r="L759" i="3"/>
  <c r="H758" i="3"/>
  <c r="I758" i="3"/>
  <c r="J758" i="3"/>
  <c r="K758" i="3"/>
  <c r="L758" i="3"/>
  <c r="H757" i="3"/>
  <c r="I757" i="3"/>
  <c r="J757" i="3"/>
  <c r="K757" i="3"/>
  <c r="L757" i="3"/>
  <c r="H756" i="3"/>
  <c r="I756" i="3"/>
  <c r="J756" i="3"/>
  <c r="K756" i="3"/>
  <c r="L756" i="3"/>
  <c r="H755" i="3"/>
  <c r="I755" i="3"/>
  <c r="J755" i="3"/>
  <c r="K755" i="3"/>
  <c r="L755" i="3"/>
  <c r="H754" i="3"/>
  <c r="I754" i="3"/>
  <c r="J754" i="3"/>
  <c r="K754" i="3"/>
  <c r="L754" i="3"/>
  <c r="H753" i="3"/>
  <c r="I753" i="3"/>
  <c r="J753" i="3"/>
  <c r="K753" i="3"/>
  <c r="L753" i="3"/>
  <c r="H752" i="3"/>
  <c r="I752" i="3"/>
  <c r="J752" i="3"/>
  <c r="K752" i="3"/>
  <c r="L752" i="3"/>
  <c r="H751" i="3"/>
  <c r="I751" i="3"/>
  <c r="J751" i="3"/>
  <c r="K751" i="3"/>
  <c r="L751" i="3"/>
  <c r="H750" i="3"/>
  <c r="I750" i="3"/>
  <c r="J750" i="3"/>
  <c r="K750" i="3"/>
  <c r="L750" i="3"/>
  <c r="H749" i="3"/>
  <c r="I749" i="3"/>
  <c r="J749" i="3"/>
  <c r="K749" i="3"/>
  <c r="L749" i="3"/>
  <c r="H748" i="3"/>
  <c r="I748" i="3"/>
  <c r="J748" i="3"/>
  <c r="K748" i="3"/>
  <c r="L748" i="3"/>
  <c r="H747" i="3"/>
  <c r="I747" i="3"/>
  <c r="J747" i="3"/>
  <c r="K747" i="3"/>
  <c r="L747" i="3"/>
  <c r="H746" i="3"/>
  <c r="I746" i="3"/>
  <c r="J746" i="3"/>
  <c r="K746" i="3"/>
  <c r="L746" i="3"/>
  <c r="H745" i="3"/>
  <c r="I745" i="3"/>
  <c r="J745" i="3"/>
  <c r="K745" i="3"/>
  <c r="L745" i="3"/>
  <c r="H744" i="3"/>
  <c r="I744" i="3"/>
  <c r="J744" i="3"/>
  <c r="K744" i="3"/>
  <c r="L744" i="3"/>
  <c r="H743" i="3"/>
  <c r="I743" i="3"/>
  <c r="J743" i="3"/>
  <c r="K743" i="3"/>
  <c r="L743" i="3"/>
  <c r="H742" i="3"/>
  <c r="I742" i="3"/>
  <c r="J742" i="3"/>
  <c r="K742" i="3"/>
  <c r="L742" i="3"/>
  <c r="H741" i="3"/>
  <c r="I741" i="3"/>
  <c r="J741" i="3"/>
  <c r="K741" i="3"/>
  <c r="L741" i="3"/>
  <c r="H740" i="3"/>
  <c r="I740" i="3"/>
  <c r="J740" i="3"/>
  <c r="L740" i="3"/>
  <c r="K740" i="3"/>
  <c r="H739" i="3"/>
  <c r="I739" i="3"/>
  <c r="J739" i="3"/>
  <c r="L739" i="3"/>
  <c r="K739" i="3"/>
  <c r="H738" i="3"/>
  <c r="I738" i="3"/>
  <c r="J738" i="3"/>
  <c r="L738" i="3"/>
  <c r="K738" i="3"/>
  <c r="H737" i="3"/>
  <c r="I737" i="3"/>
  <c r="J737" i="3"/>
  <c r="L737" i="3"/>
  <c r="K737" i="3"/>
  <c r="H736" i="3"/>
  <c r="I736" i="3"/>
  <c r="J736" i="3"/>
  <c r="L736" i="3"/>
  <c r="K736" i="3"/>
  <c r="H735" i="3"/>
  <c r="I735" i="3"/>
  <c r="J735" i="3"/>
  <c r="L735" i="3"/>
  <c r="K735" i="3"/>
  <c r="H734" i="3"/>
  <c r="I734" i="3"/>
  <c r="J734" i="3"/>
  <c r="K734" i="3"/>
  <c r="L734" i="3"/>
  <c r="H733" i="3"/>
  <c r="I733" i="3"/>
  <c r="J733" i="3"/>
  <c r="K733" i="3"/>
  <c r="L733" i="3"/>
  <c r="H732" i="3"/>
  <c r="I732" i="3"/>
  <c r="J732" i="3"/>
  <c r="K732" i="3"/>
  <c r="L732" i="3"/>
  <c r="H731" i="3"/>
  <c r="I731" i="3"/>
  <c r="J731" i="3"/>
  <c r="K731" i="3"/>
  <c r="L731" i="3"/>
  <c r="H730" i="3"/>
  <c r="I730" i="3"/>
  <c r="J730" i="3"/>
  <c r="K730" i="3"/>
  <c r="L730" i="3"/>
  <c r="H729" i="3"/>
  <c r="I729" i="3"/>
  <c r="J729" i="3"/>
  <c r="K729" i="3"/>
  <c r="L729" i="3"/>
  <c r="H728" i="3"/>
  <c r="I728" i="3"/>
  <c r="J728" i="3"/>
  <c r="K728" i="3"/>
  <c r="L728" i="3"/>
  <c r="H727" i="3"/>
  <c r="I727" i="3"/>
  <c r="J727" i="3"/>
  <c r="K727" i="3"/>
  <c r="L727" i="3"/>
  <c r="H726" i="3"/>
  <c r="I726" i="3"/>
  <c r="J726" i="3"/>
  <c r="K726" i="3"/>
  <c r="L726" i="3"/>
  <c r="H725" i="3"/>
  <c r="H724" i="3"/>
  <c r="H723" i="3"/>
  <c r="I723" i="3"/>
  <c r="J723" i="3"/>
  <c r="K723" i="3"/>
  <c r="L723" i="3"/>
  <c r="H722" i="3"/>
  <c r="I722" i="3"/>
  <c r="J722" i="3"/>
  <c r="K722" i="3"/>
  <c r="L722" i="3"/>
  <c r="H721" i="3"/>
  <c r="I721" i="3"/>
  <c r="J721" i="3"/>
  <c r="K721" i="3"/>
  <c r="L721" i="3"/>
  <c r="H720" i="3"/>
  <c r="I720" i="3"/>
  <c r="J720" i="3"/>
  <c r="K720" i="3"/>
  <c r="L720" i="3"/>
  <c r="H719" i="3"/>
  <c r="I719" i="3"/>
  <c r="J719" i="3"/>
  <c r="K719" i="3"/>
  <c r="L719" i="3"/>
  <c r="H718" i="3"/>
  <c r="I718" i="3"/>
  <c r="J718" i="3"/>
  <c r="K718" i="3"/>
  <c r="L718" i="3"/>
  <c r="H717" i="3"/>
  <c r="I717" i="3"/>
  <c r="J717" i="3"/>
  <c r="K717" i="3"/>
  <c r="L717" i="3"/>
  <c r="H716" i="3"/>
  <c r="I716" i="3"/>
  <c r="J716" i="3"/>
  <c r="K716" i="3"/>
  <c r="L716" i="3"/>
  <c r="H715" i="3"/>
  <c r="I715" i="3"/>
  <c r="J715" i="3"/>
  <c r="K715" i="3"/>
  <c r="L715" i="3"/>
  <c r="H714" i="3"/>
  <c r="I714" i="3"/>
  <c r="J714" i="3"/>
  <c r="K714" i="3"/>
  <c r="L714" i="3"/>
  <c r="H713" i="3"/>
  <c r="I713" i="3"/>
  <c r="J713" i="3"/>
  <c r="K713" i="3"/>
  <c r="L713" i="3"/>
  <c r="H712" i="3"/>
  <c r="I712" i="3"/>
  <c r="J712" i="3"/>
  <c r="K712" i="3"/>
  <c r="L712" i="3"/>
  <c r="H711" i="3"/>
  <c r="I711" i="3"/>
  <c r="J711" i="3"/>
  <c r="K711" i="3"/>
  <c r="L711" i="3"/>
  <c r="H710" i="3"/>
  <c r="I710" i="3"/>
  <c r="J710" i="3"/>
  <c r="K710" i="3"/>
  <c r="L710" i="3"/>
  <c r="H709" i="3"/>
  <c r="I709" i="3"/>
  <c r="J709" i="3"/>
  <c r="K709" i="3"/>
  <c r="L709" i="3"/>
  <c r="H708" i="3"/>
  <c r="I708" i="3"/>
  <c r="J708" i="3"/>
  <c r="K708" i="3"/>
  <c r="L708" i="3"/>
  <c r="H707" i="3"/>
  <c r="I707" i="3"/>
  <c r="J707" i="3"/>
  <c r="K707" i="3"/>
  <c r="L707" i="3"/>
  <c r="H706" i="3"/>
  <c r="I706" i="3"/>
  <c r="J706" i="3"/>
  <c r="K706" i="3"/>
  <c r="L706" i="3"/>
  <c r="H705" i="3"/>
  <c r="I705" i="3"/>
  <c r="J705" i="3"/>
  <c r="K705" i="3"/>
  <c r="L705" i="3"/>
  <c r="H704" i="3"/>
  <c r="I704" i="3"/>
  <c r="J704" i="3"/>
  <c r="K704" i="3"/>
  <c r="L704" i="3"/>
  <c r="H703" i="3"/>
  <c r="I703" i="3"/>
  <c r="J703" i="3"/>
  <c r="K703" i="3"/>
  <c r="L703" i="3"/>
  <c r="H702" i="3"/>
  <c r="I702" i="3"/>
  <c r="J702" i="3"/>
  <c r="K702" i="3"/>
  <c r="L702" i="3"/>
  <c r="H701" i="3"/>
  <c r="I701" i="3"/>
  <c r="J701" i="3"/>
  <c r="K701" i="3"/>
  <c r="L701" i="3"/>
  <c r="H700" i="3"/>
  <c r="I700" i="3"/>
  <c r="J700" i="3"/>
  <c r="K700" i="3"/>
  <c r="L700" i="3"/>
  <c r="H699" i="3"/>
  <c r="I699" i="3"/>
  <c r="J699" i="3"/>
  <c r="K699" i="3"/>
  <c r="L699" i="3"/>
  <c r="H698" i="3"/>
  <c r="I698" i="3"/>
  <c r="J698" i="3"/>
  <c r="K698" i="3"/>
  <c r="L698" i="3"/>
  <c r="H697" i="3"/>
  <c r="I697" i="3"/>
  <c r="J697" i="3"/>
  <c r="K697" i="3"/>
  <c r="L697" i="3"/>
  <c r="H696" i="3"/>
  <c r="I696" i="3"/>
  <c r="J696" i="3"/>
  <c r="K696" i="3"/>
  <c r="L696" i="3"/>
  <c r="H695" i="3"/>
  <c r="I695" i="3"/>
  <c r="J695" i="3"/>
  <c r="K695" i="3"/>
  <c r="L695" i="3"/>
  <c r="H694" i="3"/>
  <c r="I694" i="3"/>
  <c r="J694" i="3"/>
  <c r="K694" i="3"/>
  <c r="L694" i="3"/>
  <c r="H693" i="3"/>
  <c r="I693" i="3"/>
  <c r="J693" i="3"/>
  <c r="K693" i="3"/>
  <c r="L693" i="3"/>
  <c r="H692" i="3"/>
  <c r="I692" i="3"/>
  <c r="J692" i="3"/>
  <c r="K692" i="3"/>
  <c r="L692" i="3"/>
  <c r="H691" i="3"/>
  <c r="I691" i="3"/>
  <c r="J691" i="3"/>
  <c r="K691" i="3"/>
  <c r="L691" i="3"/>
  <c r="H690" i="3"/>
  <c r="I690" i="3"/>
  <c r="J690" i="3"/>
  <c r="K690" i="3"/>
  <c r="L690" i="3"/>
  <c r="H689" i="3"/>
  <c r="I689" i="3"/>
  <c r="J689" i="3"/>
  <c r="K689" i="3"/>
  <c r="L689" i="3"/>
  <c r="H688" i="3"/>
  <c r="I688" i="3"/>
  <c r="J688" i="3"/>
  <c r="K688" i="3"/>
  <c r="L688" i="3"/>
  <c r="H687" i="3"/>
  <c r="I687" i="3"/>
  <c r="J687" i="3"/>
  <c r="K687" i="3"/>
  <c r="L687" i="3"/>
  <c r="H686" i="3"/>
  <c r="I686" i="3"/>
  <c r="J686" i="3"/>
  <c r="K686" i="3"/>
  <c r="L686" i="3"/>
  <c r="H685" i="3"/>
  <c r="I685" i="3"/>
  <c r="J685" i="3"/>
  <c r="K685" i="3"/>
  <c r="L685" i="3"/>
  <c r="H684" i="3"/>
  <c r="I684" i="3"/>
  <c r="J684" i="3"/>
  <c r="K684" i="3"/>
  <c r="L684" i="3"/>
  <c r="H683" i="3"/>
  <c r="I683" i="3"/>
  <c r="J683" i="3"/>
  <c r="K683" i="3"/>
  <c r="L683" i="3"/>
  <c r="H682" i="3"/>
  <c r="I682" i="3"/>
  <c r="J682" i="3"/>
  <c r="K682" i="3"/>
  <c r="L682" i="3"/>
  <c r="H681" i="3"/>
  <c r="I681" i="3"/>
  <c r="J681" i="3"/>
  <c r="K681" i="3"/>
  <c r="L681" i="3"/>
  <c r="H680" i="3"/>
  <c r="I680" i="3"/>
  <c r="J680" i="3"/>
  <c r="K680" i="3"/>
  <c r="L680" i="3"/>
  <c r="H679" i="3"/>
  <c r="I679" i="3"/>
  <c r="J679" i="3"/>
  <c r="K679" i="3"/>
  <c r="L679" i="3"/>
  <c r="H678" i="3"/>
  <c r="I678" i="3"/>
  <c r="J678" i="3"/>
  <c r="K678" i="3"/>
  <c r="L678" i="3"/>
  <c r="H677" i="3"/>
  <c r="I677" i="3"/>
  <c r="J677" i="3"/>
  <c r="K677" i="3"/>
  <c r="L677" i="3"/>
  <c r="H676" i="3"/>
  <c r="I676" i="3"/>
  <c r="J676" i="3"/>
  <c r="K676" i="3"/>
  <c r="L676" i="3"/>
  <c r="H675" i="3"/>
  <c r="I675" i="3"/>
  <c r="J675" i="3"/>
  <c r="K675" i="3"/>
  <c r="L675" i="3"/>
  <c r="H674" i="3"/>
  <c r="I674" i="3"/>
  <c r="J674" i="3"/>
  <c r="K674" i="3"/>
  <c r="L674" i="3"/>
  <c r="H673" i="3"/>
  <c r="I673" i="3"/>
  <c r="J673" i="3"/>
  <c r="K673" i="3"/>
  <c r="L673" i="3"/>
  <c r="H672" i="3"/>
  <c r="I672" i="3"/>
  <c r="J672" i="3"/>
  <c r="K672" i="3"/>
  <c r="L672" i="3"/>
  <c r="H671" i="3"/>
  <c r="I671" i="3"/>
  <c r="J671" i="3"/>
  <c r="K671" i="3"/>
  <c r="L671" i="3"/>
  <c r="H670" i="3"/>
  <c r="I670" i="3"/>
  <c r="J670" i="3"/>
  <c r="K670" i="3"/>
  <c r="L670" i="3"/>
  <c r="H669" i="3"/>
  <c r="I669" i="3"/>
  <c r="J669" i="3"/>
  <c r="K669" i="3"/>
  <c r="L669" i="3"/>
  <c r="H668" i="3"/>
  <c r="I668" i="3"/>
  <c r="J668" i="3"/>
  <c r="K668" i="3"/>
  <c r="L668" i="3"/>
  <c r="H667" i="3"/>
  <c r="I667" i="3"/>
  <c r="J667" i="3"/>
  <c r="K667" i="3"/>
  <c r="L667" i="3"/>
  <c r="H666" i="3"/>
  <c r="I666" i="3"/>
  <c r="J666" i="3"/>
  <c r="K666" i="3"/>
  <c r="L666" i="3"/>
  <c r="H665" i="3"/>
  <c r="I665" i="3"/>
  <c r="J665" i="3"/>
  <c r="K665" i="3"/>
  <c r="L665" i="3"/>
  <c r="H664" i="3"/>
  <c r="I664" i="3"/>
  <c r="J664" i="3"/>
  <c r="K664" i="3"/>
  <c r="L664" i="3"/>
  <c r="H663" i="3"/>
  <c r="I663" i="3"/>
  <c r="J663" i="3"/>
  <c r="K663" i="3"/>
  <c r="L663" i="3"/>
  <c r="H662" i="3"/>
  <c r="I662" i="3"/>
  <c r="J662" i="3"/>
  <c r="K662" i="3"/>
  <c r="L662" i="3"/>
  <c r="H658" i="3"/>
  <c r="I658" i="3"/>
  <c r="J658" i="3"/>
  <c r="K658" i="3"/>
  <c r="L658" i="3"/>
  <c r="H660" i="3"/>
  <c r="I660" i="3"/>
  <c r="J660" i="3"/>
  <c r="K660" i="3"/>
  <c r="L660" i="3"/>
  <c r="H661" i="3"/>
  <c r="I661" i="3"/>
  <c r="J661" i="3"/>
  <c r="K661" i="3"/>
  <c r="L661" i="3"/>
  <c r="M661" i="3"/>
  <c r="H659" i="3"/>
  <c r="I659" i="3"/>
  <c r="J659" i="3"/>
  <c r="K659" i="3"/>
  <c r="L659" i="3"/>
  <c r="H655" i="3"/>
  <c r="I655" i="3"/>
  <c r="J655" i="3"/>
  <c r="K655" i="3"/>
  <c r="L655" i="3"/>
  <c r="H656" i="3"/>
  <c r="I656" i="3"/>
  <c r="J656" i="3"/>
  <c r="K656" i="3"/>
  <c r="L656" i="3"/>
  <c r="H657" i="3"/>
  <c r="I657" i="3"/>
  <c r="J657" i="3"/>
  <c r="K657" i="3"/>
  <c r="L657" i="3"/>
  <c r="M657" i="3"/>
  <c r="N657" i="3"/>
  <c r="H654" i="3"/>
  <c r="I654" i="3"/>
  <c r="J654" i="3"/>
  <c r="K654" i="3"/>
  <c r="L654" i="3"/>
  <c r="H653" i="3"/>
  <c r="I653" i="3"/>
  <c r="J653" i="3"/>
  <c r="K653" i="3"/>
  <c r="L653" i="3"/>
  <c r="H652" i="3"/>
  <c r="I652" i="3"/>
  <c r="J652" i="3"/>
  <c r="K652" i="3"/>
  <c r="L652" i="3"/>
  <c r="H651" i="3"/>
  <c r="I651" i="3"/>
  <c r="J651" i="3"/>
  <c r="K651" i="3"/>
  <c r="L651" i="3"/>
  <c r="H650" i="3"/>
  <c r="I650" i="3"/>
  <c r="J650" i="3"/>
  <c r="K650" i="3"/>
  <c r="L650" i="3"/>
  <c r="H649" i="3"/>
  <c r="I649" i="3"/>
  <c r="J649" i="3"/>
  <c r="K649" i="3"/>
  <c r="L649" i="3"/>
  <c r="H646" i="3"/>
  <c r="I646" i="3"/>
  <c r="J646" i="3"/>
  <c r="K646" i="3"/>
  <c r="L646" i="3"/>
  <c r="H647" i="3"/>
  <c r="I647" i="3"/>
  <c r="J647" i="3"/>
  <c r="K647" i="3"/>
  <c r="L647" i="3"/>
  <c r="H648" i="3"/>
  <c r="I648" i="3"/>
  <c r="J648" i="3"/>
  <c r="K648" i="3"/>
  <c r="L648" i="3"/>
  <c r="M648" i="3"/>
  <c r="N648" i="3"/>
  <c r="H645" i="3"/>
  <c r="I645" i="3"/>
  <c r="J645" i="3"/>
  <c r="K645" i="3"/>
  <c r="L645" i="3"/>
  <c r="H644" i="3"/>
  <c r="I644" i="3"/>
  <c r="J644" i="3"/>
  <c r="K644" i="3"/>
  <c r="L644" i="3"/>
  <c r="H643" i="3"/>
  <c r="I643" i="3"/>
  <c r="J643" i="3"/>
  <c r="K643" i="3"/>
  <c r="L643" i="3"/>
  <c r="H642" i="3"/>
  <c r="I642" i="3"/>
  <c r="J642" i="3"/>
  <c r="K642" i="3"/>
  <c r="L642" i="3"/>
  <c r="H638" i="3"/>
  <c r="I638" i="3"/>
  <c r="J638" i="3"/>
  <c r="K638" i="3"/>
  <c r="L638" i="3"/>
  <c r="H639" i="3"/>
  <c r="I639" i="3"/>
  <c r="J639" i="3"/>
  <c r="K639" i="3"/>
  <c r="L639" i="3"/>
  <c r="H640" i="3"/>
  <c r="I640" i="3"/>
  <c r="J640" i="3"/>
  <c r="K640" i="3"/>
  <c r="L640" i="3"/>
  <c r="H641" i="3"/>
  <c r="I641" i="3"/>
  <c r="J641" i="3"/>
  <c r="K641" i="3"/>
  <c r="L641" i="3"/>
  <c r="M641" i="3"/>
  <c r="N641" i="3"/>
  <c r="H634" i="3"/>
  <c r="I634" i="3"/>
  <c r="J634" i="3"/>
  <c r="K634" i="3"/>
  <c r="L634" i="3"/>
  <c r="H635" i="3"/>
  <c r="I635" i="3"/>
  <c r="J635" i="3"/>
  <c r="K635" i="3"/>
  <c r="L635" i="3"/>
  <c r="H636" i="3"/>
  <c r="I636" i="3"/>
  <c r="J636" i="3"/>
  <c r="K636" i="3"/>
  <c r="L636" i="3"/>
  <c r="H637" i="3"/>
  <c r="I637" i="3"/>
  <c r="J637" i="3"/>
  <c r="K637" i="3"/>
  <c r="L637" i="3"/>
  <c r="M637" i="3"/>
  <c r="N637" i="3"/>
  <c r="H633" i="3"/>
  <c r="I633" i="3"/>
  <c r="J633" i="3"/>
  <c r="K633" i="3"/>
  <c r="L633" i="3"/>
  <c r="H632" i="3"/>
  <c r="I632" i="3"/>
  <c r="J632" i="3"/>
  <c r="K632" i="3"/>
  <c r="L632" i="3"/>
  <c r="H631" i="3"/>
  <c r="I631" i="3"/>
  <c r="J631" i="3"/>
  <c r="K631" i="3"/>
  <c r="L631" i="3"/>
  <c r="H630" i="3"/>
  <c r="I630" i="3"/>
  <c r="J630" i="3"/>
  <c r="K630" i="3"/>
  <c r="L630" i="3"/>
  <c r="H626" i="3"/>
  <c r="I626" i="3"/>
  <c r="J626" i="3"/>
  <c r="K626" i="3"/>
  <c r="L626" i="3"/>
  <c r="H627" i="3"/>
  <c r="I627" i="3"/>
  <c r="J627" i="3"/>
  <c r="K627" i="3"/>
  <c r="L627" i="3"/>
  <c r="H628" i="3"/>
  <c r="I628" i="3"/>
  <c r="J628" i="3"/>
  <c r="K628" i="3"/>
  <c r="L628" i="3"/>
  <c r="H629" i="3"/>
  <c r="I629" i="3"/>
  <c r="J629" i="3"/>
  <c r="K629" i="3"/>
  <c r="L629" i="3"/>
  <c r="M629" i="3"/>
  <c r="N629" i="3"/>
  <c r="H622" i="3"/>
  <c r="I622" i="3"/>
  <c r="J622" i="3"/>
  <c r="K622" i="3"/>
  <c r="L622" i="3"/>
  <c r="H623" i="3"/>
  <c r="I623" i="3"/>
  <c r="J623" i="3"/>
  <c r="K623" i="3"/>
  <c r="L623" i="3"/>
  <c r="H624" i="3"/>
  <c r="I624" i="3"/>
  <c r="J624" i="3"/>
  <c r="K624" i="3"/>
  <c r="L624" i="3"/>
  <c r="H625" i="3"/>
  <c r="I625" i="3"/>
  <c r="J625" i="3"/>
  <c r="K625" i="3"/>
  <c r="L625" i="3"/>
  <c r="M625" i="3"/>
  <c r="N625" i="3"/>
  <c r="H618" i="3"/>
  <c r="I618" i="3"/>
  <c r="J618" i="3"/>
  <c r="K618" i="3"/>
  <c r="L618" i="3"/>
  <c r="H619" i="3"/>
  <c r="I619" i="3"/>
  <c r="J619" i="3"/>
  <c r="K619" i="3"/>
  <c r="L619" i="3"/>
  <c r="H620" i="3"/>
  <c r="I620" i="3"/>
  <c r="J620" i="3"/>
  <c r="K620" i="3"/>
  <c r="L620" i="3"/>
  <c r="H621" i="3"/>
  <c r="I621" i="3"/>
  <c r="J621" i="3"/>
  <c r="K621" i="3"/>
  <c r="L621" i="3"/>
  <c r="M621" i="3"/>
  <c r="N621" i="3"/>
  <c r="H614" i="3"/>
  <c r="I614" i="3"/>
  <c r="J614" i="3"/>
  <c r="K614" i="3"/>
  <c r="L614" i="3"/>
  <c r="H615" i="3"/>
  <c r="I615" i="3"/>
  <c r="J615" i="3"/>
  <c r="K615" i="3"/>
  <c r="L615" i="3"/>
  <c r="H616" i="3"/>
  <c r="I616" i="3"/>
  <c r="J616" i="3"/>
  <c r="K616" i="3"/>
  <c r="L616" i="3"/>
  <c r="H617" i="3"/>
  <c r="I617" i="3"/>
  <c r="J617" i="3"/>
  <c r="K617" i="3"/>
  <c r="L617" i="3"/>
  <c r="M617" i="3"/>
  <c r="N617" i="3"/>
  <c r="H610" i="3"/>
  <c r="I610" i="3"/>
  <c r="J610" i="3"/>
  <c r="K610" i="3"/>
  <c r="L610" i="3"/>
  <c r="H612" i="3"/>
  <c r="I612" i="3"/>
  <c r="J612" i="3"/>
  <c r="K612" i="3"/>
  <c r="L612" i="3"/>
  <c r="H613" i="3"/>
  <c r="I613" i="3"/>
  <c r="J613" i="3"/>
  <c r="K613" i="3"/>
  <c r="L613" i="3"/>
  <c r="M613" i="3"/>
  <c r="N613" i="3"/>
  <c r="H611" i="3"/>
  <c r="I611" i="3"/>
  <c r="J611" i="3"/>
  <c r="K611" i="3"/>
  <c r="L611" i="3"/>
  <c r="H606" i="3"/>
  <c r="I606" i="3"/>
  <c r="J606" i="3"/>
  <c r="K606" i="3"/>
  <c r="L606" i="3"/>
  <c r="H608" i="3"/>
  <c r="I608" i="3"/>
  <c r="J608" i="3"/>
  <c r="K608" i="3"/>
  <c r="L608" i="3"/>
  <c r="H609" i="3"/>
  <c r="I609" i="3"/>
  <c r="J609" i="3"/>
  <c r="K609" i="3"/>
  <c r="L609" i="3"/>
  <c r="M609" i="3"/>
  <c r="N609" i="3"/>
  <c r="H607" i="3"/>
  <c r="I607" i="3"/>
  <c r="J607" i="3"/>
  <c r="K607" i="3"/>
  <c r="L607" i="3"/>
  <c r="H602" i="3"/>
  <c r="I602" i="3"/>
  <c r="J602" i="3"/>
  <c r="K602" i="3"/>
  <c r="L602" i="3"/>
  <c r="H604" i="3"/>
  <c r="I604" i="3"/>
  <c r="J604" i="3"/>
  <c r="K604" i="3"/>
  <c r="L604" i="3"/>
  <c r="H605" i="3"/>
  <c r="I605" i="3"/>
  <c r="J605" i="3"/>
  <c r="K605" i="3"/>
  <c r="L605" i="3"/>
  <c r="M605" i="3"/>
  <c r="N605" i="3"/>
  <c r="H603" i="3"/>
  <c r="I603" i="3"/>
  <c r="J603" i="3"/>
  <c r="K603" i="3"/>
  <c r="L603" i="3"/>
  <c r="H598" i="3"/>
  <c r="I598" i="3"/>
  <c r="J598" i="3"/>
  <c r="K598" i="3"/>
  <c r="L598" i="3"/>
  <c r="H600" i="3"/>
  <c r="I600" i="3"/>
  <c r="J600" i="3"/>
  <c r="K600" i="3"/>
  <c r="L600" i="3"/>
  <c r="H601" i="3"/>
  <c r="I601" i="3"/>
  <c r="J601" i="3"/>
  <c r="K601" i="3"/>
  <c r="L601" i="3"/>
  <c r="M601" i="3"/>
  <c r="N601" i="3"/>
  <c r="H599" i="3"/>
  <c r="I599" i="3"/>
  <c r="J599" i="3"/>
  <c r="K599" i="3"/>
  <c r="L599" i="3"/>
  <c r="H594" i="3"/>
  <c r="I594" i="3"/>
  <c r="J594" i="3"/>
  <c r="K594" i="3"/>
  <c r="L594" i="3"/>
  <c r="H596" i="3"/>
  <c r="I596" i="3"/>
  <c r="J596" i="3"/>
  <c r="K596" i="3"/>
  <c r="L596" i="3"/>
  <c r="H597" i="3"/>
  <c r="I597" i="3"/>
  <c r="J597" i="3"/>
  <c r="K597" i="3"/>
  <c r="L597" i="3"/>
  <c r="M597" i="3"/>
  <c r="N597" i="3"/>
  <c r="H595" i="3"/>
  <c r="I595" i="3"/>
  <c r="J595" i="3"/>
  <c r="K595" i="3"/>
  <c r="L595" i="3"/>
  <c r="H590" i="3"/>
  <c r="I590" i="3"/>
  <c r="J590" i="3"/>
  <c r="K590" i="3"/>
  <c r="L590" i="3"/>
  <c r="H592" i="3"/>
  <c r="I592" i="3"/>
  <c r="J592" i="3"/>
  <c r="K592" i="3"/>
  <c r="L592" i="3"/>
  <c r="H593" i="3"/>
  <c r="I593" i="3"/>
  <c r="J593" i="3"/>
  <c r="K593" i="3"/>
  <c r="L593" i="3"/>
  <c r="M593" i="3"/>
  <c r="N593" i="3"/>
  <c r="H591" i="3"/>
  <c r="I591" i="3"/>
  <c r="J591" i="3"/>
  <c r="K591" i="3"/>
  <c r="L591" i="3"/>
  <c r="H586" i="3"/>
  <c r="I586" i="3"/>
  <c r="J586" i="3"/>
  <c r="K586" i="3"/>
  <c r="L586" i="3"/>
  <c r="H588" i="3"/>
  <c r="I588" i="3"/>
  <c r="J588" i="3"/>
  <c r="K588" i="3"/>
  <c r="L588" i="3"/>
  <c r="H589" i="3"/>
  <c r="I589" i="3"/>
  <c r="J589" i="3"/>
  <c r="K589" i="3"/>
  <c r="L589" i="3"/>
  <c r="M589" i="3"/>
  <c r="N589" i="3"/>
  <c r="H587" i="3"/>
  <c r="I587" i="3"/>
  <c r="J587" i="3"/>
  <c r="K587" i="3"/>
  <c r="L587" i="3"/>
  <c r="H582" i="3"/>
  <c r="I582" i="3"/>
  <c r="J582" i="3"/>
  <c r="K582" i="3"/>
  <c r="L582" i="3"/>
  <c r="H583" i="3"/>
  <c r="I583" i="3"/>
  <c r="J583" i="3"/>
  <c r="K583" i="3"/>
  <c r="L583" i="3"/>
  <c r="H584" i="3"/>
  <c r="I584" i="3"/>
  <c r="J584" i="3"/>
  <c r="K584" i="3"/>
  <c r="L584" i="3"/>
  <c r="H585" i="3"/>
  <c r="I585" i="3"/>
  <c r="J585" i="3"/>
  <c r="K585" i="3"/>
  <c r="L585" i="3"/>
  <c r="M585" i="3"/>
  <c r="N585" i="3"/>
  <c r="H578" i="3"/>
  <c r="I578" i="3"/>
  <c r="J578" i="3"/>
  <c r="K578" i="3"/>
  <c r="L578" i="3"/>
  <c r="H579" i="3"/>
  <c r="I579" i="3"/>
  <c r="J579" i="3"/>
  <c r="K579" i="3"/>
  <c r="L579" i="3"/>
  <c r="H580" i="3"/>
  <c r="I580" i="3"/>
  <c r="J580" i="3"/>
  <c r="K580" i="3"/>
  <c r="L580" i="3"/>
  <c r="H581" i="3"/>
  <c r="I581" i="3"/>
  <c r="J581" i="3"/>
  <c r="K581" i="3"/>
  <c r="L581" i="3"/>
  <c r="M581" i="3"/>
  <c r="N581" i="3"/>
  <c r="H574" i="3"/>
  <c r="I574" i="3"/>
  <c r="J574" i="3"/>
  <c r="K574" i="3"/>
  <c r="L574" i="3"/>
  <c r="H575" i="3"/>
  <c r="I575" i="3"/>
  <c r="J575" i="3"/>
  <c r="K575" i="3"/>
  <c r="L575" i="3"/>
  <c r="H576" i="3"/>
  <c r="I576" i="3"/>
  <c r="J576" i="3"/>
  <c r="K576" i="3"/>
  <c r="L576" i="3"/>
  <c r="H577" i="3"/>
  <c r="I577" i="3"/>
  <c r="J577" i="3"/>
  <c r="K577" i="3"/>
  <c r="L577" i="3"/>
  <c r="M577" i="3"/>
  <c r="N577" i="3"/>
  <c r="H570" i="3"/>
  <c r="I570" i="3"/>
  <c r="J570" i="3"/>
  <c r="K570" i="3"/>
  <c r="L570" i="3"/>
  <c r="H571" i="3"/>
  <c r="I571" i="3"/>
  <c r="J571" i="3"/>
  <c r="K571" i="3"/>
  <c r="L571" i="3"/>
  <c r="H572" i="3"/>
  <c r="I572" i="3"/>
  <c r="J572" i="3"/>
  <c r="K572" i="3"/>
  <c r="L572" i="3"/>
  <c r="H573" i="3"/>
  <c r="I573" i="3"/>
  <c r="J573" i="3"/>
  <c r="K573" i="3"/>
  <c r="L573" i="3"/>
  <c r="M573" i="3"/>
  <c r="N573" i="3"/>
  <c r="H566" i="3"/>
  <c r="I566" i="3"/>
  <c r="J566" i="3"/>
  <c r="K566" i="3"/>
  <c r="L566" i="3"/>
  <c r="H567" i="3"/>
  <c r="I567" i="3"/>
  <c r="J567" i="3"/>
  <c r="K567" i="3"/>
  <c r="L567" i="3"/>
  <c r="H568" i="3"/>
  <c r="I568" i="3"/>
  <c r="J568" i="3"/>
  <c r="K568" i="3"/>
  <c r="L568" i="3"/>
  <c r="H569" i="3"/>
  <c r="I569" i="3"/>
  <c r="J569" i="3"/>
  <c r="K569" i="3"/>
  <c r="L569" i="3"/>
  <c r="M569" i="3"/>
  <c r="N569" i="3"/>
  <c r="H565" i="3"/>
  <c r="I565" i="3"/>
  <c r="J565" i="3"/>
  <c r="K565" i="3"/>
  <c r="L565" i="3"/>
  <c r="H564" i="3"/>
  <c r="I564" i="3"/>
  <c r="J564" i="3"/>
  <c r="K564" i="3"/>
  <c r="L564" i="3"/>
  <c r="H560" i="3"/>
  <c r="I560" i="3"/>
  <c r="J560" i="3"/>
  <c r="K560" i="3"/>
  <c r="L560" i="3"/>
  <c r="H561" i="3"/>
  <c r="I561" i="3"/>
  <c r="J561" i="3"/>
  <c r="K561" i="3"/>
  <c r="L561" i="3"/>
  <c r="H562" i="3"/>
  <c r="I562" i="3"/>
  <c r="J562" i="3"/>
  <c r="K562" i="3"/>
  <c r="L562" i="3"/>
  <c r="H563" i="3"/>
  <c r="I563" i="3"/>
  <c r="J563" i="3"/>
  <c r="K563" i="3"/>
  <c r="L563" i="3"/>
  <c r="M563" i="3"/>
  <c r="N563" i="3"/>
  <c r="H556" i="3"/>
  <c r="I556" i="3"/>
  <c r="J556" i="3"/>
  <c r="K556" i="3"/>
  <c r="L556" i="3"/>
  <c r="H557" i="3"/>
  <c r="I557" i="3"/>
  <c r="J557" i="3"/>
  <c r="K557" i="3"/>
  <c r="L557" i="3"/>
  <c r="H558" i="3"/>
  <c r="I558" i="3"/>
  <c r="J558" i="3"/>
  <c r="K558" i="3"/>
  <c r="L558" i="3"/>
  <c r="H559" i="3"/>
  <c r="I559" i="3"/>
  <c r="J559" i="3"/>
  <c r="K559" i="3"/>
  <c r="L559" i="3"/>
  <c r="M559" i="3"/>
  <c r="N559" i="3"/>
  <c r="H555" i="3"/>
  <c r="I555" i="3"/>
  <c r="J555" i="3"/>
  <c r="K555" i="3"/>
  <c r="L555" i="3"/>
  <c r="H554" i="3"/>
  <c r="I554" i="3"/>
  <c r="J554" i="3"/>
  <c r="K554" i="3"/>
  <c r="L554" i="3"/>
  <c r="H553" i="3"/>
  <c r="I553" i="3"/>
  <c r="J553" i="3"/>
  <c r="K553" i="3"/>
  <c r="L553" i="3"/>
  <c r="H552" i="3"/>
  <c r="I552" i="3"/>
  <c r="J552" i="3"/>
  <c r="K552" i="3"/>
  <c r="L552" i="3"/>
  <c r="H548" i="3"/>
  <c r="I548" i="3"/>
  <c r="J548" i="3"/>
  <c r="K548" i="3"/>
  <c r="L548" i="3"/>
  <c r="H549" i="3"/>
  <c r="I549" i="3"/>
  <c r="J549" i="3"/>
  <c r="K549" i="3"/>
  <c r="L549" i="3"/>
  <c r="H550" i="3"/>
  <c r="I550" i="3"/>
  <c r="J550" i="3"/>
  <c r="K550" i="3"/>
  <c r="L550" i="3"/>
  <c r="H551" i="3"/>
  <c r="I551" i="3"/>
  <c r="J551" i="3"/>
  <c r="K551" i="3"/>
  <c r="L551" i="3"/>
  <c r="M551" i="3"/>
  <c r="N551" i="3"/>
  <c r="H547" i="3"/>
  <c r="I547" i="3"/>
  <c r="J547" i="3"/>
  <c r="K547" i="3"/>
  <c r="L547" i="3"/>
  <c r="H546" i="3"/>
  <c r="I546" i="3"/>
  <c r="J546" i="3"/>
  <c r="K546" i="3"/>
  <c r="L546" i="3"/>
  <c r="H542" i="3"/>
  <c r="I542" i="3"/>
  <c r="J542" i="3"/>
  <c r="K542" i="3"/>
  <c r="L542" i="3"/>
  <c r="H543" i="3"/>
  <c r="I543" i="3"/>
  <c r="J543" i="3"/>
  <c r="K543" i="3"/>
  <c r="L543" i="3"/>
  <c r="H544" i="3"/>
  <c r="I544" i="3"/>
  <c r="J544" i="3"/>
  <c r="K544" i="3"/>
  <c r="L544" i="3"/>
  <c r="H545" i="3"/>
  <c r="I545" i="3"/>
  <c r="J545" i="3"/>
  <c r="K545" i="3"/>
  <c r="L545" i="3"/>
  <c r="M545" i="3"/>
  <c r="N545" i="3"/>
  <c r="H538" i="3"/>
  <c r="I538" i="3"/>
  <c r="J538" i="3"/>
  <c r="K538" i="3"/>
  <c r="L538" i="3"/>
  <c r="H539" i="3"/>
  <c r="I539" i="3"/>
  <c r="J539" i="3"/>
  <c r="K539" i="3"/>
  <c r="L539" i="3"/>
  <c r="H540" i="3"/>
  <c r="I540" i="3"/>
  <c r="J540" i="3"/>
  <c r="K540" i="3"/>
  <c r="L540" i="3"/>
  <c r="H541" i="3"/>
  <c r="I541" i="3"/>
  <c r="J541" i="3"/>
  <c r="K541" i="3"/>
  <c r="L541" i="3"/>
  <c r="M541" i="3"/>
  <c r="N541" i="3"/>
  <c r="H534" i="3"/>
  <c r="I534" i="3"/>
  <c r="J534" i="3"/>
  <c r="K534" i="3"/>
  <c r="L534" i="3"/>
  <c r="H535" i="3"/>
  <c r="I535" i="3"/>
  <c r="J535" i="3"/>
  <c r="K535" i="3"/>
  <c r="L535" i="3"/>
  <c r="H536" i="3"/>
  <c r="I536" i="3"/>
  <c r="J536" i="3"/>
  <c r="K536" i="3"/>
  <c r="L536" i="3"/>
  <c r="H537" i="3"/>
  <c r="I537" i="3"/>
  <c r="J537" i="3"/>
  <c r="K537" i="3"/>
  <c r="L537" i="3"/>
  <c r="M537" i="3"/>
  <c r="N537" i="3"/>
  <c r="H533" i="3"/>
  <c r="I533" i="3"/>
  <c r="J533" i="3"/>
  <c r="K533" i="3"/>
  <c r="L533" i="3"/>
  <c r="H532" i="3"/>
  <c r="I532" i="3"/>
  <c r="J532" i="3"/>
  <c r="K532" i="3"/>
  <c r="L532" i="3"/>
  <c r="H528" i="3"/>
  <c r="I528" i="3"/>
  <c r="J528" i="3"/>
  <c r="K528" i="3"/>
  <c r="L528" i="3"/>
  <c r="H529" i="3"/>
  <c r="I529" i="3"/>
  <c r="J529" i="3"/>
  <c r="K529" i="3"/>
  <c r="L529" i="3"/>
  <c r="H530" i="3"/>
  <c r="I530" i="3"/>
  <c r="J530" i="3"/>
  <c r="K530" i="3"/>
  <c r="L530" i="3"/>
  <c r="H531" i="3"/>
  <c r="I531" i="3"/>
  <c r="J531" i="3"/>
  <c r="K531" i="3"/>
  <c r="L531" i="3"/>
  <c r="M531" i="3"/>
  <c r="N531" i="3"/>
  <c r="H524" i="3"/>
  <c r="I524" i="3"/>
  <c r="J524" i="3"/>
  <c r="K524" i="3"/>
  <c r="L524" i="3"/>
  <c r="H525" i="3"/>
  <c r="I525" i="3"/>
  <c r="J525" i="3"/>
  <c r="K525" i="3"/>
  <c r="L525" i="3"/>
  <c r="H526" i="3"/>
  <c r="I526" i="3"/>
  <c r="J526" i="3"/>
  <c r="K526" i="3"/>
  <c r="L526" i="3"/>
  <c r="H527" i="3"/>
  <c r="I527" i="3"/>
  <c r="J527" i="3"/>
  <c r="K527" i="3"/>
  <c r="L527" i="3"/>
  <c r="M527" i="3"/>
  <c r="N527" i="3"/>
  <c r="H520" i="3"/>
  <c r="I520" i="3"/>
  <c r="J520" i="3"/>
  <c r="K520" i="3"/>
  <c r="L520" i="3"/>
  <c r="H521" i="3"/>
  <c r="I521" i="3"/>
  <c r="J521" i="3"/>
  <c r="K521" i="3"/>
  <c r="L521" i="3"/>
  <c r="H522" i="3"/>
  <c r="I522" i="3"/>
  <c r="J522" i="3"/>
  <c r="K522" i="3"/>
  <c r="L522" i="3"/>
  <c r="H523" i="3"/>
  <c r="I523" i="3"/>
  <c r="J523" i="3"/>
  <c r="K523" i="3"/>
  <c r="L523" i="3"/>
  <c r="M523" i="3"/>
  <c r="N523" i="3"/>
  <c r="H516" i="3"/>
  <c r="I516" i="3"/>
  <c r="J516" i="3"/>
  <c r="K516" i="3"/>
  <c r="L516" i="3"/>
  <c r="H517" i="3"/>
  <c r="I517" i="3"/>
  <c r="J517" i="3"/>
  <c r="K517" i="3"/>
  <c r="L517" i="3"/>
  <c r="H518" i="3"/>
  <c r="I518" i="3"/>
  <c r="J518" i="3"/>
  <c r="K518" i="3"/>
  <c r="L518" i="3"/>
  <c r="H519" i="3"/>
  <c r="I519" i="3"/>
  <c r="J519" i="3"/>
  <c r="K519" i="3"/>
  <c r="L519" i="3"/>
  <c r="M519" i="3"/>
  <c r="N519" i="3"/>
  <c r="H512" i="3"/>
  <c r="I512" i="3"/>
  <c r="J512" i="3"/>
  <c r="K512" i="3"/>
  <c r="L512" i="3"/>
  <c r="H513" i="3"/>
  <c r="I513" i="3"/>
  <c r="J513" i="3"/>
  <c r="K513" i="3"/>
  <c r="L513" i="3"/>
  <c r="H514" i="3"/>
  <c r="I514" i="3"/>
  <c r="J514" i="3"/>
  <c r="K514" i="3"/>
  <c r="L514" i="3"/>
  <c r="H515" i="3"/>
  <c r="I515" i="3"/>
  <c r="J515" i="3"/>
  <c r="K515" i="3"/>
  <c r="L515" i="3"/>
  <c r="M515" i="3"/>
  <c r="N515" i="3"/>
  <c r="H508" i="3"/>
  <c r="I508" i="3"/>
  <c r="J508" i="3"/>
  <c r="K508" i="3"/>
  <c r="L508" i="3"/>
  <c r="H509" i="3"/>
  <c r="I509" i="3"/>
  <c r="J509" i="3"/>
  <c r="K509" i="3"/>
  <c r="L509" i="3"/>
  <c r="H510" i="3"/>
  <c r="I510" i="3"/>
  <c r="J510" i="3"/>
  <c r="K510" i="3"/>
  <c r="L510" i="3"/>
  <c r="H511" i="3"/>
  <c r="I511" i="3"/>
  <c r="J511" i="3"/>
  <c r="K511" i="3"/>
  <c r="L511" i="3"/>
  <c r="M511" i="3"/>
  <c r="N511" i="3"/>
  <c r="H504" i="3"/>
  <c r="I504" i="3"/>
  <c r="J504" i="3"/>
  <c r="K504" i="3"/>
  <c r="L504" i="3"/>
  <c r="H505" i="3"/>
  <c r="I505" i="3"/>
  <c r="J505" i="3"/>
  <c r="K505" i="3"/>
  <c r="L505" i="3"/>
  <c r="H506" i="3"/>
  <c r="I506" i="3"/>
  <c r="J506" i="3"/>
  <c r="K506" i="3"/>
  <c r="L506" i="3"/>
  <c r="H507" i="3"/>
  <c r="I507" i="3"/>
  <c r="J507" i="3"/>
  <c r="K507" i="3"/>
  <c r="L507" i="3"/>
  <c r="M507" i="3"/>
  <c r="N507" i="3"/>
  <c r="H503" i="3"/>
  <c r="I503" i="3"/>
  <c r="J503" i="3"/>
  <c r="K503" i="3"/>
  <c r="L503" i="3"/>
  <c r="H502" i="3"/>
  <c r="I502" i="3"/>
  <c r="J502" i="3"/>
  <c r="K502" i="3"/>
  <c r="L502" i="3"/>
  <c r="H501" i="3"/>
  <c r="I501" i="3"/>
  <c r="J501" i="3"/>
  <c r="K501" i="3"/>
  <c r="L501" i="3"/>
  <c r="H500" i="3"/>
  <c r="I500" i="3"/>
  <c r="J500" i="3"/>
  <c r="K500" i="3"/>
  <c r="L500" i="3"/>
  <c r="H499" i="3"/>
  <c r="I499" i="3"/>
  <c r="J499" i="3"/>
  <c r="K499" i="3"/>
  <c r="L499" i="3"/>
  <c r="H498" i="3"/>
  <c r="I498" i="3"/>
  <c r="J498" i="3"/>
  <c r="K498" i="3"/>
  <c r="L498" i="3"/>
  <c r="H497" i="3"/>
  <c r="I497" i="3"/>
  <c r="J497" i="3"/>
  <c r="L497" i="3"/>
  <c r="H496" i="3"/>
  <c r="I496" i="3"/>
  <c r="J496" i="3"/>
  <c r="L496" i="3"/>
  <c r="H495" i="3"/>
  <c r="I495" i="3"/>
  <c r="J495" i="3"/>
  <c r="L495" i="3"/>
  <c r="H494" i="3"/>
  <c r="I494" i="3"/>
  <c r="J494" i="3"/>
  <c r="L494" i="3"/>
  <c r="H493" i="3"/>
  <c r="I493" i="3"/>
  <c r="J493" i="3"/>
  <c r="L493" i="3"/>
  <c r="H492" i="3"/>
  <c r="I492" i="3"/>
  <c r="J492" i="3"/>
  <c r="L492" i="3"/>
  <c r="H491" i="3"/>
  <c r="I491" i="3"/>
  <c r="J491" i="3"/>
  <c r="L491" i="3"/>
  <c r="H490" i="3"/>
  <c r="I490" i="3"/>
  <c r="J490" i="3"/>
  <c r="L490" i="3"/>
  <c r="H489" i="3"/>
  <c r="I489" i="3"/>
  <c r="J489" i="3"/>
  <c r="L489" i="3"/>
  <c r="H488" i="3"/>
  <c r="I488" i="3"/>
  <c r="J488" i="3"/>
  <c r="L488" i="3"/>
  <c r="H487" i="3"/>
  <c r="I487" i="3"/>
  <c r="J487" i="3"/>
  <c r="L487" i="3"/>
  <c r="H486" i="3"/>
  <c r="I486" i="3"/>
  <c r="J486" i="3"/>
  <c r="L486" i="3"/>
  <c r="H485" i="3"/>
  <c r="I485" i="3"/>
  <c r="J485" i="3"/>
  <c r="L485" i="3"/>
  <c r="H484" i="3"/>
  <c r="I484" i="3"/>
  <c r="J484" i="3"/>
  <c r="L484" i="3"/>
  <c r="H483" i="3"/>
  <c r="I483" i="3"/>
  <c r="J483" i="3"/>
  <c r="L483" i="3"/>
  <c r="H482" i="3"/>
  <c r="I482" i="3"/>
  <c r="J482" i="3"/>
  <c r="L482" i="3"/>
  <c r="H478" i="3"/>
  <c r="I478" i="3"/>
  <c r="J478" i="3"/>
  <c r="L478" i="3"/>
  <c r="H479" i="3"/>
  <c r="I479" i="3"/>
  <c r="J479" i="3"/>
  <c r="L479" i="3"/>
  <c r="H480" i="3"/>
  <c r="I480" i="3"/>
  <c r="J480" i="3"/>
  <c r="L480" i="3"/>
  <c r="H481" i="3"/>
  <c r="I481" i="3"/>
  <c r="J481" i="3"/>
  <c r="L481" i="3"/>
  <c r="M481" i="3"/>
  <c r="H474" i="3"/>
  <c r="I474" i="3"/>
  <c r="J474" i="3"/>
  <c r="L474" i="3"/>
  <c r="H475" i="3"/>
  <c r="I475" i="3"/>
  <c r="J475" i="3"/>
  <c r="L475" i="3"/>
  <c r="H476" i="3"/>
  <c r="I476" i="3"/>
  <c r="J476" i="3"/>
  <c r="L476" i="3"/>
  <c r="H477" i="3"/>
  <c r="I477" i="3"/>
  <c r="J477" i="3"/>
  <c r="L477" i="3"/>
  <c r="M477" i="3"/>
  <c r="H470" i="3"/>
  <c r="I470" i="3"/>
  <c r="J470" i="3"/>
  <c r="L470" i="3"/>
  <c r="H471" i="3"/>
  <c r="I471" i="3"/>
  <c r="J471" i="3"/>
  <c r="L471" i="3"/>
  <c r="H472" i="3"/>
  <c r="I472" i="3"/>
  <c r="J472" i="3"/>
  <c r="L472" i="3"/>
  <c r="H473" i="3"/>
  <c r="I473" i="3"/>
  <c r="J473" i="3"/>
  <c r="L473" i="3"/>
  <c r="M473" i="3"/>
  <c r="H466" i="3"/>
  <c r="I466" i="3"/>
  <c r="J466" i="3"/>
  <c r="L466" i="3"/>
  <c r="H467" i="3"/>
  <c r="I467" i="3"/>
  <c r="J467" i="3"/>
  <c r="L467" i="3"/>
  <c r="H468" i="3"/>
  <c r="I468" i="3"/>
  <c r="J468" i="3"/>
  <c r="L468" i="3"/>
  <c r="H469" i="3"/>
  <c r="I469" i="3"/>
  <c r="J469" i="3"/>
  <c r="L469" i="3"/>
  <c r="M469" i="3"/>
  <c r="H462" i="3"/>
  <c r="I462" i="3"/>
  <c r="J462" i="3"/>
  <c r="L462" i="3"/>
  <c r="H463" i="3"/>
  <c r="I463" i="3"/>
  <c r="J463" i="3"/>
  <c r="L463" i="3"/>
  <c r="H464" i="3"/>
  <c r="I464" i="3"/>
  <c r="J464" i="3"/>
  <c r="L464" i="3"/>
  <c r="H465" i="3"/>
  <c r="I465" i="3"/>
  <c r="J465" i="3"/>
  <c r="L465" i="3"/>
  <c r="M465" i="3"/>
  <c r="H458" i="3"/>
  <c r="I458" i="3"/>
  <c r="J458" i="3"/>
  <c r="L458" i="3"/>
  <c r="H459" i="3"/>
  <c r="I459" i="3"/>
  <c r="J459" i="3"/>
  <c r="L459" i="3"/>
  <c r="H460" i="3"/>
  <c r="I460" i="3"/>
  <c r="J460" i="3"/>
  <c r="L460" i="3"/>
  <c r="H461" i="3"/>
  <c r="I461" i="3"/>
  <c r="J461" i="3"/>
  <c r="L461" i="3"/>
  <c r="M461" i="3"/>
  <c r="H454" i="3"/>
  <c r="I454" i="3"/>
  <c r="J454" i="3"/>
  <c r="L454" i="3"/>
  <c r="H455" i="3"/>
  <c r="I455" i="3"/>
  <c r="J455" i="3"/>
  <c r="L455" i="3"/>
  <c r="H456" i="3"/>
  <c r="I456" i="3"/>
  <c r="J456" i="3"/>
  <c r="L456" i="3"/>
  <c r="H457" i="3"/>
  <c r="I457" i="3"/>
  <c r="J457" i="3"/>
  <c r="L457" i="3"/>
  <c r="M457" i="3"/>
  <c r="H450" i="3"/>
  <c r="I450" i="3"/>
  <c r="J450" i="3"/>
  <c r="L450" i="3"/>
  <c r="H451" i="3"/>
  <c r="I451" i="3"/>
  <c r="J451" i="3"/>
  <c r="L451" i="3"/>
  <c r="H452" i="3"/>
  <c r="I452" i="3"/>
  <c r="J452" i="3"/>
  <c r="L452" i="3"/>
  <c r="H453" i="3"/>
  <c r="I453" i="3"/>
  <c r="J453" i="3"/>
  <c r="L453" i="3"/>
  <c r="M453" i="3"/>
  <c r="H446" i="3"/>
  <c r="I446" i="3"/>
  <c r="J446" i="3"/>
  <c r="L446" i="3"/>
  <c r="H447" i="3"/>
  <c r="I447" i="3"/>
  <c r="J447" i="3"/>
  <c r="L447" i="3"/>
  <c r="H448" i="3"/>
  <c r="I448" i="3"/>
  <c r="J448" i="3"/>
  <c r="L448" i="3"/>
  <c r="H449" i="3"/>
  <c r="I449" i="3"/>
  <c r="J449" i="3"/>
  <c r="L449" i="3"/>
  <c r="M449" i="3"/>
  <c r="H442" i="3"/>
  <c r="I442" i="3"/>
  <c r="J442" i="3"/>
  <c r="L442" i="3"/>
  <c r="H443" i="3"/>
  <c r="I443" i="3"/>
  <c r="J443" i="3"/>
  <c r="L443" i="3"/>
  <c r="H444" i="3"/>
  <c r="I444" i="3"/>
  <c r="J444" i="3"/>
  <c r="L444" i="3"/>
  <c r="H445" i="3"/>
  <c r="I445" i="3"/>
  <c r="J445" i="3"/>
  <c r="L445" i="3"/>
  <c r="M445" i="3"/>
  <c r="O445" i="3"/>
  <c r="H441" i="3"/>
  <c r="I441" i="3"/>
  <c r="J441" i="3"/>
  <c r="L441" i="3"/>
  <c r="H440" i="3"/>
  <c r="I440" i="3"/>
  <c r="J440" i="3"/>
  <c r="L440" i="3"/>
  <c r="H439" i="3"/>
  <c r="I439" i="3"/>
  <c r="J439" i="3"/>
  <c r="L439" i="3"/>
  <c r="H438" i="3"/>
  <c r="I438" i="3"/>
  <c r="J438" i="3"/>
  <c r="L438" i="3"/>
  <c r="M438" i="3"/>
  <c r="N438" i="3"/>
  <c r="H437" i="3"/>
  <c r="I437" i="3"/>
  <c r="J437" i="3"/>
  <c r="L437" i="3"/>
  <c r="H436" i="3"/>
  <c r="I436" i="3"/>
  <c r="J436" i="3"/>
  <c r="L436" i="3"/>
  <c r="H435" i="3"/>
  <c r="I435" i="3"/>
  <c r="J435" i="3"/>
  <c r="L435" i="3"/>
  <c r="H434" i="3"/>
  <c r="I434" i="3"/>
  <c r="J434" i="3"/>
  <c r="L434" i="3"/>
  <c r="M434" i="3"/>
  <c r="N434" i="3"/>
  <c r="H433" i="3"/>
  <c r="I433" i="3"/>
  <c r="J433" i="3"/>
  <c r="L433" i="3"/>
  <c r="H432" i="3"/>
  <c r="I432" i="3"/>
  <c r="J432" i="3"/>
  <c r="L432" i="3"/>
  <c r="H431" i="3"/>
  <c r="I431" i="3"/>
  <c r="J431" i="3"/>
  <c r="L431" i="3"/>
  <c r="H430" i="3"/>
  <c r="I430" i="3"/>
  <c r="J430" i="3"/>
  <c r="L430" i="3"/>
  <c r="H429" i="3"/>
  <c r="I429" i="3"/>
  <c r="J429" i="3"/>
  <c r="L429" i="3"/>
  <c r="N429" i="3"/>
  <c r="H428" i="3"/>
  <c r="I428" i="3"/>
  <c r="J428" i="3"/>
  <c r="L428" i="3"/>
  <c r="H427" i="3"/>
  <c r="I427" i="3"/>
  <c r="J427" i="3"/>
  <c r="L427" i="3"/>
  <c r="H426" i="3"/>
  <c r="I426" i="3"/>
  <c r="J426" i="3"/>
  <c r="L426" i="3"/>
  <c r="M426" i="3"/>
  <c r="N426" i="3"/>
  <c r="H425" i="3"/>
  <c r="I425" i="3"/>
  <c r="J425" i="3"/>
  <c r="L425" i="3"/>
  <c r="H424" i="3"/>
  <c r="I424" i="3"/>
  <c r="J424" i="3"/>
  <c r="L424" i="3"/>
  <c r="H423" i="3"/>
  <c r="I423" i="3"/>
  <c r="J423" i="3"/>
  <c r="L423" i="3"/>
  <c r="M423" i="3"/>
  <c r="N423" i="3"/>
  <c r="H422" i="3"/>
  <c r="I422" i="3"/>
  <c r="J422" i="3"/>
  <c r="L422" i="3"/>
  <c r="N422" i="3"/>
  <c r="H421" i="3"/>
  <c r="I421" i="3"/>
  <c r="J421" i="3"/>
  <c r="L421" i="3"/>
  <c r="H420" i="3"/>
  <c r="I420" i="3"/>
  <c r="J420" i="3"/>
  <c r="L420" i="3"/>
  <c r="H419" i="3"/>
  <c r="I419" i="3"/>
  <c r="J419" i="3"/>
  <c r="L419" i="3"/>
  <c r="M419" i="3"/>
  <c r="N419" i="3"/>
  <c r="H418" i="3"/>
  <c r="I418" i="3"/>
  <c r="J418" i="3"/>
  <c r="L418" i="3"/>
  <c r="H417" i="3"/>
  <c r="I417" i="3"/>
  <c r="J417" i="3"/>
  <c r="L417" i="3"/>
  <c r="H416" i="3"/>
  <c r="I416" i="3"/>
  <c r="J416" i="3"/>
  <c r="L416" i="3"/>
  <c r="M416" i="3"/>
  <c r="N416" i="3"/>
  <c r="H415" i="3"/>
  <c r="I415" i="3"/>
  <c r="J415" i="3"/>
  <c r="L415" i="3"/>
  <c r="H414" i="3"/>
  <c r="I414" i="3"/>
  <c r="J414" i="3"/>
  <c r="L414" i="3"/>
  <c r="H413" i="3"/>
  <c r="I413" i="3"/>
  <c r="J413" i="3"/>
  <c r="L413" i="3"/>
  <c r="H412" i="3"/>
  <c r="I412" i="3"/>
  <c r="J412" i="3"/>
  <c r="L412" i="3"/>
  <c r="M412" i="3"/>
  <c r="N412" i="3"/>
  <c r="H411" i="3"/>
  <c r="I411" i="3"/>
  <c r="J411" i="3"/>
  <c r="L411" i="3"/>
  <c r="H410" i="3"/>
  <c r="I410" i="3"/>
  <c r="J410" i="3"/>
  <c r="L410" i="3"/>
  <c r="H409" i="3"/>
  <c r="I409" i="3"/>
  <c r="J409" i="3"/>
  <c r="L409" i="3"/>
  <c r="M409" i="3"/>
  <c r="N409" i="3"/>
  <c r="H408" i="3"/>
  <c r="I408" i="3"/>
  <c r="J408" i="3"/>
  <c r="L408" i="3"/>
  <c r="H407" i="3"/>
  <c r="I407" i="3"/>
  <c r="J407" i="3"/>
  <c r="L407" i="3"/>
  <c r="H406" i="3"/>
  <c r="I406" i="3"/>
  <c r="J406" i="3"/>
  <c r="L406" i="3"/>
  <c r="H405" i="3"/>
  <c r="I405" i="3"/>
  <c r="J405" i="3"/>
  <c r="L405" i="3"/>
  <c r="M405" i="3"/>
  <c r="N405" i="3"/>
  <c r="H404" i="3"/>
  <c r="I404" i="3"/>
  <c r="J404" i="3"/>
  <c r="L404" i="3"/>
  <c r="H403" i="3"/>
  <c r="I403" i="3"/>
  <c r="J403" i="3"/>
  <c r="L403" i="3"/>
  <c r="H402" i="3"/>
  <c r="I402" i="3"/>
  <c r="J402" i="3"/>
  <c r="L402" i="3"/>
  <c r="H401" i="3"/>
  <c r="I401" i="3"/>
  <c r="J401" i="3"/>
  <c r="L401" i="3"/>
  <c r="M401" i="3"/>
  <c r="N401" i="3"/>
  <c r="H400" i="3"/>
  <c r="I400" i="3"/>
  <c r="J400" i="3"/>
  <c r="L400" i="3"/>
  <c r="H399" i="3"/>
  <c r="I399" i="3"/>
  <c r="J399" i="3"/>
  <c r="L399" i="3"/>
  <c r="H398" i="3"/>
  <c r="I398" i="3"/>
  <c r="J398" i="3"/>
  <c r="L398" i="3"/>
  <c r="M398" i="3"/>
  <c r="N398" i="3"/>
  <c r="H397" i="3"/>
  <c r="I397" i="3"/>
  <c r="J397" i="3"/>
  <c r="L397" i="3"/>
  <c r="H396" i="3"/>
  <c r="I396" i="3"/>
  <c r="J396" i="3"/>
  <c r="L396" i="3"/>
  <c r="H395" i="3"/>
  <c r="I395" i="3"/>
  <c r="J395" i="3"/>
  <c r="L395" i="3"/>
  <c r="H394" i="3"/>
  <c r="I394" i="3"/>
  <c r="J394" i="3"/>
  <c r="L394" i="3"/>
  <c r="M394" i="3"/>
  <c r="N394" i="3"/>
  <c r="H393" i="3"/>
  <c r="I393" i="3"/>
  <c r="J393" i="3"/>
  <c r="L393" i="3"/>
  <c r="H392" i="3"/>
  <c r="I392" i="3"/>
  <c r="J392" i="3"/>
  <c r="L392" i="3"/>
  <c r="H391" i="3"/>
  <c r="I391" i="3"/>
  <c r="J391" i="3"/>
  <c r="L391" i="3"/>
  <c r="H390" i="3"/>
  <c r="I390" i="3"/>
  <c r="J390" i="3"/>
  <c r="L390" i="3"/>
  <c r="M390" i="3"/>
  <c r="N390" i="3"/>
  <c r="H389" i="3"/>
  <c r="I389" i="3"/>
  <c r="J389" i="3"/>
  <c r="L389" i="3"/>
  <c r="H388" i="3"/>
  <c r="I388" i="3"/>
  <c r="J388" i="3"/>
  <c r="L388" i="3"/>
  <c r="H387" i="3"/>
  <c r="I387" i="3"/>
  <c r="J387" i="3"/>
  <c r="L387" i="3"/>
  <c r="H386" i="3"/>
  <c r="I386" i="3"/>
  <c r="J386" i="3"/>
  <c r="L386" i="3"/>
  <c r="M386" i="3"/>
  <c r="N386" i="3"/>
  <c r="H385" i="3"/>
  <c r="I385" i="3"/>
  <c r="J385" i="3"/>
  <c r="L385" i="3"/>
  <c r="H384" i="3"/>
  <c r="I384" i="3"/>
  <c r="J384" i="3"/>
  <c r="L384" i="3"/>
  <c r="H383" i="3"/>
  <c r="I383" i="3"/>
  <c r="J383" i="3"/>
  <c r="L383" i="3"/>
  <c r="H382" i="3"/>
  <c r="I382" i="3"/>
  <c r="J382" i="3"/>
  <c r="L382" i="3"/>
  <c r="M382" i="3"/>
  <c r="N382" i="3"/>
  <c r="H381" i="3"/>
  <c r="I381" i="3"/>
  <c r="J381" i="3"/>
  <c r="L381" i="3"/>
  <c r="H380" i="3"/>
  <c r="I380" i="3"/>
  <c r="J380" i="3"/>
  <c r="L380" i="3"/>
  <c r="H379" i="3"/>
  <c r="I379" i="3"/>
  <c r="J379" i="3"/>
  <c r="L379" i="3"/>
  <c r="H378" i="3"/>
  <c r="I378" i="3"/>
  <c r="J378" i="3"/>
  <c r="L378" i="3"/>
  <c r="M378" i="3"/>
  <c r="N378" i="3"/>
  <c r="H377" i="3"/>
  <c r="I377" i="3"/>
  <c r="J377" i="3"/>
  <c r="L377" i="3"/>
  <c r="H376" i="3"/>
  <c r="I376" i="3"/>
  <c r="J376" i="3"/>
  <c r="L376" i="3"/>
  <c r="H375" i="3"/>
  <c r="I375" i="3"/>
  <c r="J375" i="3"/>
  <c r="L375" i="3"/>
  <c r="H374" i="3"/>
  <c r="I374" i="3"/>
  <c r="J374" i="3"/>
  <c r="L374" i="3"/>
  <c r="M374" i="3"/>
  <c r="N374" i="3"/>
  <c r="I373" i="3"/>
  <c r="J373" i="3"/>
  <c r="H373" i="3"/>
  <c r="L373" i="3"/>
  <c r="M373" i="3"/>
  <c r="I372" i="3"/>
  <c r="J372" i="3"/>
  <c r="H372" i="3"/>
  <c r="L372" i="3"/>
  <c r="M372" i="3"/>
  <c r="H371" i="3"/>
  <c r="I371" i="3"/>
  <c r="J371" i="3"/>
  <c r="L371" i="3"/>
  <c r="H370" i="3"/>
  <c r="I370" i="3"/>
  <c r="J370" i="3"/>
  <c r="L370" i="3"/>
  <c r="H369" i="3"/>
  <c r="I369" i="3"/>
  <c r="J369" i="3"/>
  <c r="L369" i="3"/>
  <c r="M369" i="3"/>
  <c r="N369" i="3"/>
  <c r="H368" i="3"/>
  <c r="I368" i="3"/>
  <c r="J368" i="3"/>
  <c r="L368" i="3"/>
  <c r="H367" i="3"/>
  <c r="I367" i="3"/>
  <c r="J367" i="3"/>
  <c r="L367" i="3"/>
  <c r="M367" i="3"/>
  <c r="N367" i="3"/>
  <c r="H366" i="3"/>
  <c r="I366" i="3"/>
  <c r="J366" i="3"/>
  <c r="L366" i="3"/>
  <c r="H365" i="3"/>
  <c r="I365" i="3"/>
  <c r="J365" i="3"/>
  <c r="L365" i="3"/>
  <c r="M365" i="3"/>
  <c r="N365" i="3"/>
  <c r="H364" i="3"/>
  <c r="I364" i="3"/>
  <c r="J364" i="3"/>
  <c r="L364" i="3"/>
  <c r="H363" i="3"/>
  <c r="I363" i="3"/>
  <c r="J363" i="3"/>
  <c r="L363" i="3"/>
  <c r="H362" i="3"/>
  <c r="I362" i="3"/>
  <c r="J362" i="3"/>
  <c r="L362" i="3"/>
  <c r="H361" i="3"/>
  <c r="I361" i="3"/>
  <c r="J361" i="3"/>
  <c r="L361" i="3"/>
  <c r="M361" i="3"/>
  <c r="N361" i="3"/>
  <c r="H360" i="3"/>
  <c r="I360" i="3"/>
  <c r="J360" i="3"/>
  <c r="L360" i="3"/>
  <c r="H359" i="3"/>
  <c r="I359" i="3"/>
  <c r="J359" i="3"/>
  <c r="L359" i="3"/>
  <c r="H358" i="3"/>
  <c r="I358" i="3"/>
  <c r="J358" i="3"/>
  <c r="L358" i="3"/>
  <c r="H357" i="3"/>
  <c r="I357" i="3"/>
  <c r="J357" i="3"/>
  <c r="L357" i="3"/>
  <c r="M357" i="3"/>
  <c r="N357" i="3"/>
  <c r="H356" i="3"/>
  <c r="I356" i="3"/>
  <c r="J356" i="3"/>
  <c r="L356" i="3"/>
  <c r="H355" i="3"/>
  <c r="I355" i="3"/>
  <c r="J355" i="3"/>
  <c r="L355" i="3"/>
  <c r="H354" i="3"/>
  <c r="I354" i="3"/>
  <c r="J354" i="3"/>
  <c r="L354" i="3"/>
  <c r="H353" i="3"/>
  <c r="I353" i="3"/>
  <c r="J353" i="3"/>
  <c r="L353" i="3"/>
  <c r="M353" i="3"/>
  <c r="N353" i="3"/>
  <c r="H352" i="3"/>
  <c r="I352" i="3"/>
  <c r="J352" i="3"/>
  <c r="L352" i="3"/>
  <c r="H351" i="3"/>
  <c r="I351" i="3"/>
  <c r="J351" i="3"/>
  <c r="L351" i="3"/>
  <c r="H350" i="3"/>
  <c r="I350" i="3"/>
  <c r="J350" i="3"/>
  <c r="L350" i="3"/>
  <c r="H349" i="3"/>
  <c r="I349" i="3"/>
  <c r="J349" i="3"/>
  <c r="L349" i="3"/>
  <c r="M349" i="3"/>
  <c r="N349" i="3"/>
  <c r="H348" i="3"/>
  <c r="I348" i="3"/>
  <c r="J348" i="3"/>
  <c r="L348" i="3"/>
  <c r="H347" i="3"/>
  <c r="I347" i="3"/>
  <c r="J347" i="3"/>
  <c r="L347" i="3"/>
  <c r="H346" i="3"/>
  <c r="I346" i="3"/>
  <c r="J346" i="3"/>
  <c r="L346" i="3"/>
  <c r="H345" i="3"/>
  <c r="I345" i="3"/>
  <c r="J345" i="3"/>
  <c r="L345" i="3"/>
  <c r="H344" i="3"/>
  <c r="I344" i="3"/>
  <c r="J344" i="3"/>
  <c r="L344" i="3"/>
  <c r="H343" i="3"/>
  <c r="I343" i="3"/>
  <c r="J343" i="3"/>
  <c r="L343" i="3"/>
  <c r="M343" i="3"/>
  <c r="N343" i="3"/>
  <c r="H342" i="3"/>
  <c r="I342" i="3"/>
  <c r="J342" i="3"/>
  <c r="L342" i="3"/>
  <c r="H341" i="3"/>
  <c r="I341" i="3"/>
  <c r="J341" i="3"/>
  <c r="L341" i="3"/>
  <c r="H340" i="3"/>
  <c r="I340" i="3"/>
  <c r="J340" i="3"/>
  <c r="L340" i="3"/>
  <c r="H339" i="3"/>
  <c r="I339" i="3"/>
  <c r="J339" i="3"/>
  <c r="L339" i="3"/>
  <c r="M339" i="3"/>
  <c r="N339" i="3"/>
  <c r="H338" i="3"/>
  <c r="I338" i="3"/>
  <c r="J338" i="3"/>
  <c r="L338" i="3"/>
  <c r="H337" i="3"/>
  <c r="I337" i="3"/>
  <c r="J337" i="3"/>
  <c r="L337" i="3"/>
  <c r="H336" i="3"/>
  <c r="I336" i="3"/>
  <c r="J336" i="3"/>
  <c r="L336" i="3"/>
  <c r="H335" i="3"/>
  <c r="I335" i="3"/>
  <c r="J335" i="3"/>
  <c r="L335" i="3"/>
  <c r="M335" i="3"/>
  <c r="N335" i="3"/>
  <c r="H334" i="3"/>
  <c r="I334" i="3"/>
  <c r="J334" i="3"/>
  <c r="L334" i="3"/>
  <c r="H333" i="3"/>
  <c r="I333" i="3"/>
  <c r="J333" i="3"/>
  <c r="L333" i="3"/>
  <c r="H332" i="3"/>
  <c r="I332" i="3"/>
  <c r="J332" i="3"/>
  <c r="L332" i="3"/>
  <c r="H331" i="3"/>
  <c r="I331" i="3"/>
  <c r="J331" i="3"/>
  <c r="L331" i="3"/>
  <c r="M331" i="3"/>
  <c r="N331" i="3"/>
  <c r="H330" i="3"/>
  <c r="I330" i="3"/>
  <c r="J330" i="3"/>
  <c r="L330" i="3"/>
  <c r="H329" i="3"/>
  <c r="I329" i="3"/>
  <c r="J329" i="3"/>
  <c r="L329" i="3"/>
  <c r="H328" i="3"/>
  <c r="I328" i="3"/>
  <c r="J328" i="3"/>
  <c r="L328" i="3"/>
  <c r="H327" i="3"/>
  <c r="I327" i="3"/>
  <c r="J327" i="3"/>
  <c r="L327" i="3"/>
  <c r="M327" i="3"/>
  <c r="N327" i="3"/>
  <c r="H326" i="3"/>
  <c r="I326" i="3"/>
  <c r="J326" i="3"/>
  <c r="M326" i="3"/>
  <c r="L326" i="3"/>
  <c r="H325" i="3"/>
  <c r="I325" i="3"/>
  <c r="J325" i="3"/>
  <c r="M325" i="3"/>
  <c r="L325" i="3"/>
  <c r="H324" i="3"/>
  <c r="I324" i="3"/>
  <c r="J324" i="3"/>
  <c r="L324" i="3"/>
  <c r="H323" i="3"/>
  <c r="I323" i="3"/>
  <c r="J323" i="3"/>
  <c r="L323" i="3"/>
  <c r="H322" i="3"/>
  <c r="I322" i="3"/>
  <c r="J322" i="3"/>
  <c r="L322" i="3"/>
  <c r="H321" i="3"/>
  <c r="I321" i="3"/>
  <c r="J321" i="3"/>
  <c r="L321" i="3"/>
  <c r="M321" i="3"/>
  <c r="N321" i="3"/>
  <c r="H320" i="3"/>
  <c r="I320" i="3"/>
  <c r="J320" i="3"/>
  <c r="L320" i="3"/>
  <c r="H319" i="3"/>
  <c r="I319" i="3"/>
  <c r="J319" i="3"/>
  <c r="L319" i="3"/>
  <c r="H318" i="3"/>
  <c r="I318" i="3"/>
  <c r="J318" i="3"/>
  <c r="L318" i="3"/>
  <c r="H317" i="3"/>
  <c r="I317" i="3"/>
  <c r="J317" i="3"/>
  <c r="L317" i="3"/>
  <c r="M317" i="3"/>
  <c r="N317" i="3"/>
  <c r="H316" i="3"/>
  <c r="I316" i="3"/>
  <c r="J316" i="3"/>
  <c r="M316" i="3"/>
  <c r="L316" i="3"/>
  <c r="H315" i="3"/>
  <c r="I315" i="3"/>
  <c r="J315" i="3"/>
  <c r="L315" i="3"/>
  <c r="H314" i="3"/>
  <c r="I314" i="3"/>
  <c r="J314" i="3"/>
  <c r="L314" i="3"/>
  <c r="H313" i="3"/>
  <c r="I313" i="3"/>
  <c r="J313" i="3"/>
  <c r="L313" i="3"/>
  <c r="H312" i="3"/>
  <c r="I312" i="3"/>
  <c r="J312" i="3"/>
  <c r="L312" i="3"/>
  <c r="M312" i="3"/>
  <c r="N312" i="3"/>
  <c r="H311" i="3"/>
  <c r="I311" i="3"/>
  <c r="J311" i="3"/>
  <c r="L311" i="3"/>
  <c r="H310" i="3"/>
  <c r="I310" i="3"/>
  <c r="J310" i="3"/>
  <c r="L310" i="3"/>
  <c r="H309" i="3"/>
  <c r="I309" i="3"/>
  <c r="J309" i="3"/>
  <c r="L309" i="3"/>
  <c r="H308" i="3"/>
  <c r="I308" i="3"/>
  <c r="J308" i="3"/>
  <c r="L308" i="3"/>
  <c r="M308" i="3"/>
  <c r="N308" i="3"/>
  <c r="H307" i="3"/>
  <c r="I307" i="3"/>
  <c r="J307" i="3"/>
  <c r="L307" i="3"/>
  <c r="H306" i="3"/>
  <c r="I306" i="3"/>
  <c r="J306" i="3"/>
  <c r="L306" i="3"/>
  <c r="H305" i="3"/>
  <c r="I305" i="3"/>
  <c r="J305" i="3"/>
  <c r="L305" i="3"/>
  <c r="H304" i="3"/>
  <c r="I304" i="3"/>
  <c r="J304" i="3"/>
  <c r="L304" i="3"/>
  <c r="M304" i="3"/>
  <c r="N304" i="3"/>
  <c r="H303" i="3"/>
  <c r="I303" i="3"/>
  <c r="J303" i="3"/>
  <c r="L303" i="3"/>
  <c r="H302" i="3"/>
  <c r="I302" i="3"/>
  <c r="J302" i="3"/>
  <c r="L302" i="3"/>
  <c r="H301" i="3"/>
  <c r="I301" i="3"/>
  <c r="J301" i="3"/>
  <c r="L301" i="3"/>
  <c r="H300" i="3"/>
  <c r="I300" i="3"/>
  <c r="J300" i="3"/>
  <c r="L300" i="3"/>
  <c r="M300" i="3"/>
  <c r="N300" i="3"/>
  <c r="H299" i="3"/>
  <c r="I299" i="3"/>
  <c r="J299" i="3"/>
  <c r="L299" i="3"/>
  <c r="H298" i="3"/>
  <c r="I298" i="3"/>
  <c r="J298" i="3"/>
  <c r="L298" i="3"/>
  <c r="H297" i="3"/>
  <c r="I297" i="3"/>
  <c r="J297" i="3"/>
  <c r="L297" i="3"/>
  <c r="H296" i="3"/>
  <c r="I296" i="3"/>
  <c r="J296" i="3"/>
  <c r="L296" i="3"/>
  <c r="M296" i="3"/>
  <c r="N296" i="3"/>
  <c r="H295" i="3"/>
  <c r="I295" i="3"/>
  <c r="J295" i="3"/>
  <c r="L295" i="3"/>
  <c r="H294" i="3"/>
  <c r="I294" i="3"/>
  <c r="J294" i="3"/>
  <c r="L294" i="3"/>
  <c r="H293" i="3"/>
  <c r="I293" i="3"/>
  <c r="J293" i="3"/>
  <c r="L293" i="3"/>
  <c r="H292" i="3"/>
  <c r="I292" i="3"/>
  <c r="J292" i="3"/>
  <c r="L292" i="3"/>
  <c r="M292" i="3"/>
  <c r="N292" i="3"/>
  <c r="H291" i="3"/>
  <c r="I291" i="3"/>
  <c r="J291" i="3"/>
  <c r="L291" i="3"/>
  <c r="H290" i="3"/>
  <c r="I290" i="3"/>
  <c r="J290" i="3"/>
  <c r="L290" i="3"/>
  <c r="H289" i="3"/>
  <c r="I289" i="3"/>
  <c r="J289" i="3"/>
  <c r="L289" i="3"/>
  <c r="H288" i="3"/>
  <c r="I288" i="3"/>
  <c r="J288" i="3"/>
  <c r="L288" i="3"/>
  <c r="H287" i="3"/>
  <c r="I287" i="3"/>
  <c r="J287" i="3"/>
  <c r="L287" i="3"/>
  <c r="H286" i="3"/>
  <c r="I286" i="3"/>
  <c r="J286" i="3"/>
  <c r="L286" i="3"/>
  <c r="M286" i="3"/>
  <c r="N286" i="3"/>
  <c r="H285" i="3"/>
  <c r="I285" i="3"/>
  <c r="J285" i="3"/>
  <c r="L285" i="3"/>
  <c r="H284" i="3"/>
  <c r="I284" i="3"/>
  <c r="J284" i="3"/>
  <c r="L284" i="3"/>
  <c r="H283" i="3"/>
  <c r="I283" i="3"/>
  <c r="J283" i="3"/>
  <c r="L283" i="3"/>
  <c r="H282" i="3"/>
  <c r="I282" i="3"/>
  <c r="J282" i="3"/>
  <c r="L282" i="3"/>
  <c r="M282" i="3"/>
  <c r="N282" i="3"/>
  <c r="H281" i="3"/>
  <c r="I281" i="3"/>
  <c r="J281" i="3"/>
  <c r="L281" i="3"/>
  <c r="H280" i="3"/>
  <c r="I280" i="3"/>
  <c r="J280" i="3"/>
  <c r="L280" i="3"/>
  <c r="H279" i="3"/>
  <c r="I279" i="3"/>
  <c r="J279" i="3"/>
  <c r="L279" i="3"/>
  <c r="H278" i="3"/>
  <c r="I278" i="3"/>
  <c r="J278" i="3"/>
  <c r="L278" i="3"/>
  <c r="M278" i="3"/>
  <c r="N278" i="3"/>
  <c r="H277" i="3"/>
  <c r="I277" i="3"/>
  <c r="J277" i="3"/>
  <c r="L277" i="3"/>
  <c r="H276" i="3"/>
  <c r="I276" i="3"/>
  <c r="J276" i="3"/>
  <c r="L276" i="3"/>
  <c r="H275" i="3"/>
  <c r="I275" i="3"/>
  <c r="J275" i="3"/>
  <c r="L275" i="3"/>
  <c r="H274" i="3"/>
  <c r="I274" i="3"/>
  <c r="J274" i="3"/>
  <c r="L274" i="3"/>
  <c r="M274" i="3"/>
  <c r="N274" i="3"/>
  <c r="H273" i="3"/>
  <c r="I273" i="3"/>
  <c r="J273" i="3"/>
  <c r="L273" i="3"/>
  <c r="H272" i="3"/>
  <c r="I272" i="3"/>
  <c r="J272" i="3"/>
  <c r="L272" i="3"/>
  <c r="H271" i="3"/>
  <c r="I271" i="3"/>
  <c r="J271" i="3"/>
  <c r="L271" i="3"/>
  <c r="H270" i="3"/>
  <c r="I270" i="3"/>
  <c r="J270" i="3"/>
  <c r="L270" i="3"/>
  <c r="M270" i="3"/>
  <c r="N270" i="3"/>
  <c r="H269" i="3"/>
  <c r="I269" i="3"/>
  <c r="J269" i="3"/>
  <c r="L269" i="3"/>
  <c r="H268" i="3"/>
  <c r="I268" i="3"/>
  <c r="J268" i="3"/>
  <c r="L268" i="3"/>
  <c r="H267" i="3"/>
  <c r="I267" i="3"/>
  <c r="J267" i="3"/>
  <c r="L267" i="3"/>
  <c r="H266" i="3"/>
  <c r="I266" i="3"/>
  <c r="J266" i="3"/>
  <c r="L266" i="3"/>
  <c r="M266" i="3"/>
  <c r="N266" i="3"/>
  <c r="H265" i="3"/>
  <c r="I265" i="3"/>
  <c r="J265" i="3"/>
  <c r="L265" i="3"/>
  <c r="H264" i="3"/>
  <c r="I264" i="3"/>
  <c r="J264" i="3"/>
  <c r="L264" i="3"/>
  <c r="H263" i="3"/>
  <c r="I263" i="3"/>
  <c r="J263" i="3"/>
  <c r="L263" i="3"/>
  <c r="H262" i="3"/>
  <c r="I262" i="3"/>
  <c r="J262" i="3"/>
  <c r="L262" i="3"/>
  <c r="M262" i="3"/>
  <c r="N262" i="3"/>
  <c r="H261" i="3"/>
  <c r="I261" i="3"/>
  <c r="J261" i="3"/>
  <c r="L261" i="3"/>
  <c r="H260" i="3"/>
  <c r="I260" i="3"/>
  <c r="J260" i="3"/>
  <c r="L260" i="3"/>
  <c r="H259" i="3"/>
  <c r="I259" i="3"/>
  <c r="J259" i="3"/>
  <c r="L259" i="3"/>
  <c r="H258" i="3"/>
  <c r="I258" i="3"/>
  <c r="J258" i="3"/>
  <c r="L258" i="3"/>
  <c r="M258" i="3"/>
  <c r="N258" i="3"/>
  <c r="H257" i="3"/>
  <c r="I257" i="3"/>
  <c r="J257" i="3"/>
  <c r="L257" i="3"/>
  <c r="H256" i="3"/>
  <c r="I256" i="3"/>
  <c r="J256" i="3"/>
  <c r="L256" i="3"/>
  <c r="H255" i="3"/>
  <c r="I255" i="3"/>
  <c r="J255" i="3"/>
  <c r="L255" i="3"/>
  <c r="H254" i="3"/>
  <c r="I254" i="3"/>
  <c r="J254" i="3"/>
  <c r="L254" i="3"/>
  <c r="M254" i="3"/>
  <c r="N254" i="3"/>
  <c r="H253" i="3"/>
  <c r="I253" i="3"/>
  <c r="J253" i="3"/>
  <c r="L253" i="3"/>
  <c r="H252" i="3"/>
  <c r="I252" i="3"/>
  <c r="J252" i="3"/>
  <c r="L252" i="3"/>
  <c r="H251" i="3"/>
  <c r="I251" i="3"/>
  <c r="J251" i="3"/>
  <c r="L251" i="3"/>
  <c r="H250" i="3"/>
  <c r="I250" i="3"/>
  <c r="J250" i="3"/>
  <c r="L250" i="3"/>
  <c r="M250" i="3"/>
  <c r="N250" i="3"/>
  <c r="H249" i="3"/>
  <c r="I249" i="3"/>
  <c r="J249" i="3"/>
  <c r="L249" i="3"/>
  <c r="H248" i="3"/>
  <c r="I248" i="3"/>
  <c r="J248" i="3"/>
  <c r="L248" i="3"/>
  <c r="H247" i="3"/>
  <c r="I247" i="3"/>
  <c r="J247" i="3"/>
  <c r="L247" i="3"/>
  <c r="H246" i="3"/>
  <c r="I246" i="3"/>
  <c r="J246" i="3"/>
  <c r="L246" i="3"/>
  <c r="M246" i="3"/>
  <c r="N246" i="3"/>
  <c r="H245" i="3"/>
  <c r="I245" i="3"/>
  <c r="J245" i="3"/>
  <c r="L245" i="3"/>
  <c r="H244" i="3"/>
  <c r="I244" i="3"/>
  <c r="J244" i="3"/>
  <c r="L244" i="3"/>
  <c r="H243" i="3"/>
  <c r="I243" i="3"/>
  <c r="J243" i="3"/>
  <c r="L243" i="3"/>
  <c r="H242" i="3"/>
  <c r="I242" i="3"/>
  <c r="J242" i="3"/>
  <c r="L242" i="3"/>
  <c r="M242" i="3"/>
  <c r="N242" i="3"/>
  <c r="H241" i="3"/>
  <c r="I241" i="3"/>
  <c r="J241" i="3"/>
  <c r="L241" i="3"/>
  <c r="H240" i="3"/>
  <c r="I240" i="3"/>
  <c r="J240" i="3"/>
  <c r="L240" i="3"/>
  <c r="H239" i="3"/>
  <c r="I239" i="3"/>
  <c r="J239" i="3"/>
  <c r="L239" i="3"/>
  <c r="H238" i="3"/>
  <c r="I238" i="3"/>
  <c r="J238" i="3"/>
  <c r="L238" i="3"/>
  <c r="M238" i="3"/>
  <c r="N238" i="3"/>
  <c r="H237" i="3"/>
  <c r="I237" i="3"/>
  <c r="J237" i="3"/>
  <c r="L237" i="3"/>
  <c r="H236" i="3"/>
  <c r="I236" i="3"/>
  <c r="J236" i="3"/>
  <c r="L236" i="3"/>
  <c r="H235" i="3"/>
  <c r="I235" i="3"/>
  <c r="J235" i="3"/>
  <c r="L235" i="3"/>
  <c r="H234" i="3"/>
  <c r="I234" i="3"/>
  <c r="J234" i="3"/>
  <c r="L234" i="3"/>
  <c r="M234" i="3"/>
  <c r="N234" i="3"/>
  <c r="H233" i="3"/>
  <c r="I233" i="3"/>
  <c r="J233" i="3"/>
  <c r="L233" i="3"/>
  <c r="H232" i="3"/>
  <c r="I232" i="3"/>
  <c r="J232" i="3"/>
  <c r="L232" i="3"/>
  <c r="H231" i="3"/>
  <c r="I231" i="3"/>
  <c r="J231" i="3"/>
  <c r="L231" i="3"/>
  <c r="H230" i="3"/>
  <c r="I230" i="3"/>
  <c r="J230" i="3"/>
  <c r="L230" i="3"/>
  <c r="M230" i="3"/>
  <c r="N230" i="3"/>
  <c r="H229" i="3"/>
  <c r="I229" i="3"/>
  <c r="J229" i="3"/>
  <c r="L229" i="3"/>
  <c r="H228" i="3"/>
  <c r="I228" i="3"/>
  <c r="J228" i="3"/>
  <c r="L228" i="3"/>
  <c r="H227" i="3"/>
  <c r="I227" i="3"/>
  <c r="J227" i="3"/>
  <c r="L227" i="3"/>
  <c r="H226" i="3"/>
  <c r="I226" i="3"/>
  <c r="J226" i="3"/>
  <c r="L226" i="3"/>
  <c r="M226" i="3"/>
  <c r="N226" i="3"/>
  <c r="H225" i="3"/>
  <c r="I225" i="3"/>
  <c r="J225" i="3"/>
  <c r="L225" i="3"/>
  <c r="H224" i="3"/>
  <c r="I224" i="3"/>
  <c r="J224" i="3"/>
  <c r="L224" i="3"/>
  <c r="H223" i="3"/>
  <c r="I223" i="3"/>
  <c r="J223" i="3"/>
  <c r="L223" i="3"/>
  <c r="H222" i="3"/>
  <c r="I222" i="3"/>
  <c r="J222" i="3"/>
  <c r="L222" i="3"/>
  <c r="M222" i="3"/>
  <c r="N222" i="3"/>
  <c r="H221" i="3"/>
  <c r="I221" i="3"/>
  <c r="J221" i="3"/>
  <c r="L221" i="3"/>
  <c r="H220" i="3"/>
  <c r="I220" i="3"/>
  <c r="J220" i="3"/>
  <c r="L220" i="3"/>
  <c r="H219" i="3"/>
  <c r="I219" i="3"/>
  <c r="J219" i="3"/>
  <c r="L219" i="3"/>
  <c r="H218" i="3"/>
  <c r="I218" i="3"/>
  <c r="J218" i="3"/>
  <c r="L218" i="3"/>
  <c r="M218" i="3"/>
  <c r="N218" i="3"/>
  <c r="H217" i="3"/>
  <c r="I217" i="3"/>
  <c r="J217" i="3"/>
  <c r="L217" i="3"/>
  <c r="H216" i="3"/>
  <c r="I216" i="3"/>
  <c r="J216" i="3"/>
  <c r="L216" i="3"/>
  <c r="H215" i="3"/>
  <c r="I215" i="3"/>
  <c r="J215" i="3"/>
  <c r="L215" i="3"/>
  <c r="H214" i="3"/>
  <c r="I214" i="3"/>
  <c r="J214" i="3"/>
  <c r="L214" i="3"/>
  <c r="M214" i="3"/>
  <c r="N214" i="3"/>
  <c r="H213" i="3"/>
  <c r="I213" i="3"/>
  <c r="J213" i="3"/>
  <c r="L213" i="3"/>
  <c r="H212" i="3"/>
  <c r="I212" i="3"/>
  <c r="J212" i="3"/>
  <c r="L212" i="3"/>
  <c r="H211" i="3"/>
  <c r="I211" i="3"/>
  <c r="J211" i="3"/>
  <c r="L211" i="3"/>
  <c r="H210" i="3"/>
  <c r="I210" i="3"/>
  <c r="J210" i="3"/>
  <c r="L210" i="3"/>
  <c r="M210" i="3"/>
  <c r="N210" i="3"/>
  <c r="H209" i="3"/>
  <c r="I209" i="3"/>
  <c r="J209" i="3"/>
  <c r="L209" i="3"/>
  <c r="H208" i="3"/>
  <c r="I208" i="3"/>
  <c r="J208" i="3"/>
  <c r="L208" i="3"/>
  <c r="H207" i="3"/>
  <c r="I207" i="3"/>
  <c r="J207" i="3"/>
  <c r="L207" i="3"/>
  <c r="H206" i="3"/>
  <c r="I206" i="3"/>
  <c r="J206" i="3"/>
  <c r="L206" i="3"/>
  <c r="M206" i="3"/>
  <c r="N206" i="3"/>
  <c r="H205" i="3"/>
  <c r="I205" i="3"/>
  <c r="J205" i="3"/>
  <c r="L205" i="3"/>
  <c r="H204" i="3"/>
  <c r="I204" i="3"/>
  <c r="J204" i="3"/>
  <c r="L204" i="3"/>
  <c r="H203" i="3"/>
  <c r="I203" i="3"/>
  <c r="J203" i="3"/>
  <c r="L203" i="3"/>
  <c r="H202" i="3"/>
  <c r="I202" i="3"/>
  <c r="J202" i="3"/>
  <c r="L202" i="3"/>
  <c r="M202" i="3"/>
  <c r="N202" i="3"/>
  <c r="H201" i="3"/>
  <c r="I201" i="3"/>
  <c r="J201" i="3"/>
  <c r="L201" i="3"/>
  <c r="H200" i="3"/>
  <c r="I200" i="3"/>
  <c r="J200" i="3"/>
  <c r="L200" i="3"/>
  <c r="H199" i="3"/>
  <c r="I199" i="3"/>
  <c r="J199" i="3"/>
  <c r="L199" i="3"/>
  <c r="H198" i="3"/>
  <c r="I198" i="3"/>
  <c r="J198" i="3"/>
  <c r="L198" i="3"/>
  <c r="M198" i="3"/>
  <c r="N198" i="3"/>
  <c r="H197" i="3"/>
  <c r="I197" i="3"/>
  <c r="J197" i="3"/>
  <c r="L197" i="3"/>
  <c r="H196" i="3"/>
  <c r="I196" i="3"/>
  <c r="J196" i="3"/>
  <c r="L196" i="3"/>
  <c r="H195" i="3"/>
  <c r="I195" i="3"/>
  <c r="J195" i="3"/>
  <c r="L195" i="3"/>
  <c r="H194" i="3"/>
  <c r="I194" i="3"/>
  <c r="J194" i="3"/>
  <c r="L194" i="3"/>
  <c r="M194" i="3"/>
  <c r="N194" i="3"/>
  <c r="H193" i="3"/>
  <c r="I193" i="3"/>
  <c r="J193" i="3"/>
  <c r="L193" i="3"/>
  <c r="H192" i="3"/>
  <c r="I192" i="3"/>
  <c r="J192" i="3"/>
  <c r="L192" i="3"/>
  <c r="H191" i="3"/>
  <c r="I191" i="3"/>
  <c r="J191" i="3"/>
  <c r="L191" i="3"/>
  <c r="H190" i="3"/>
  <c r="I190" i="3"/>
  <c r="J190" i="3"/>
  <c r="L190" i="3"/>
  <c r="M190" i="3"/>
  <c r="N190" i="3"/>
  <c r="H189" i="3"/>
  <c r="I189" i="3"/>
  <c r="J189" i="3"/>
  <c r="L189" i="3"/>
  <c r="H188" i="3"/>
  <c r="I188" i="3"/>
  <c r="J188" i="3"/>
  <c r="L188" i="3"/>
  <c r="H187" i="3"/>
  <c r="I187" i="3"/>
  <c r="J187" i="3"/>
  <c r="L187" i="3"/>
  <c r="H186" i="3"/>
  <c r="I186" i="3"/>
  <c r="J186" i="3"/>
  <c r="L186" i="3"/>
  <c r="M186" i="3"/>
  <c r="N186" i="3"/>
  <c r="H185" i="3"/>
  <c r="I185" i="3"/>
  <c r="J185" i="3"/>
  <c r="L185" i="3"/>
  <c r="H184" i="3"/>
  <c r="I184" i="3"/>
  <c r="J184" i="3"/>
  <c r="L184" i="3"/>
  <c r="H183" i="3"/>
  <c r="I183" i="3"/>
  <c r="J183" i="3"/>
  <c r="L183" i="3"/>
  <c r="H182" i="3"/>
  <c r="I182" i="3"/>
  <c r="J182" i="3"/>
  <c r="L182" i="3"/>
  <c r="H181" i="3"/>
  <c r="I181" i="3"/>
  <c r="J181" i="3"/>
  <c r="L181" i="3"/>
  <c r="H180" i="3"/>
  <c r="I180" i="3"/>
  <c r="J180" i="3"/>
  <c r="L180" i="3"/>
  <c r="H179" i="3"/>
  <c r="I179" i="3"/>
  <c r="J179" i="3"/>
  <c r="L179" i="3"/>
  <c r="H178" i="3"/>
  <c r="I178" i="3"/>
  <c r="J178" i="3"/>
  <c r="L178" i="3"/>
  <c r="H177" i="3"/>
  <c r="I177" i="3"/>
  <c r="J177" i="3"/>
  <c r="L177" i="3"/>
  <c r="H176" i="3"/>
  <c r="I176" i="3"/>
  <c r="J176" i="3"/>
  <c r="L176" i="3"/>
  <c r="H175" i="3"/>
  <c r="I175" i="3"/>
  <c r="J175" i="3"/>
  <c r="L175" i="3"/>
  <c r="H174" i="3"/>
  <c r="I174" i="3"/>
  <c r="J174" i="3"/>
  <c r="L174" i="3"/>
  <c r="H173" i="3"/>
  <c r="I173" i="3"/>
  <c r="J173" i="3"/>
  <c r="L173" i="3"/>
  <c r="H172" i="3"/>
  <c r="I172" i="3"/>
  <c r="J172" i="3"/>
  <c r="L172" i="3"/>
  <c r="H171" i="3"/>
  <c r="I171" i="3"/>
  <c r="J171" i="3"/>
  <c r="L171" i="3"/>
  <c r="H170" i="3"/>
  <c r="I170" i="3"/>
  <c r="J170" i="3"/>
  <c r="L170" i="3"/>
  <c r="H169" i="3"/>
  <c r="I169" i="3"/>
  <c r="J169" i="3"/>
  <c r="L169" i="3"/>
  <c r="H168" i="3"/>
  <c r="I168" i="3"/>
  <c r="J168" i="3"/>
  <c r="L168" i="3"/>
  <c r="H167" i="3"/>
  <c r="I167" i="3"/>
  <c r="J167" i="3"/>
  <c r="L167" i="3"/>
  <c r="H166" i="3"/>
  <c r="I166" i="3"/>
  <c r="J166" i="3"/>
  <c r="L166" i="3"/>
  <c r="H165" i="3"/>
  <c r="I165" i="3"/>
  <c r="J165" i="3"/>
  <c r="L165" i="3"/>
  <c r="H164" i="3"/>
  <c r="I164" i="3"/>
  <c r="J164" i="3"/>
  <c r="L164" i="3"/>
  <c r="H163" i="3"/>
  <c r="I163" i="3"/>
  <c r="J163" i="3"/>
  <c r="L163" i="3"/>
  <c r="H162" i="3"/>
  <c r="I162" i="3"/>
  <c r="J162" i="3"/>
  <c r="L162" i="3"/>
  <c r="H161" i="3"/>
  <c r="I161" i="3"/>
  <c r="J161" i="3"/>
  <c r="L161" i="3"/>
  <c r="H160" i="3"/>
  <c r="I160" i="3"/>
  <c r="J160" i="3"/>
  <c r="L160" i="3"/>
  <c r="H159" i="3"/>
  <c r="I159" i="3"/>
  <c r="J159" i="3"/>
  <c r="L159" i="3"/>
  <c r="H158" i="3"/>
  <c r="I158" i="3"/>
  <c r="J158" i="3"/>
  <c r="L158" i="3"/>
  <c r="H157" i="3"/>
  <c r="I157" i="3"/>
  <c r="J157" i="3"/>
  <c r="L157" i="3"/>
  <c r="H156" i="3"/>
  <c r="I156" i="3"/>
  <c r="J156" i="3"/>
  <c r="L156" i="3"/>
  <c r="H155" i="3"/>
  <c r="I155" i="3"/>
  <c r="J155" i="3"/>
  <c r="L155" i="3"/>
  <c r="H154" i="3"/>
  <c r="I154" i="3"/>
  <c r="J154" i="3"/>
  <c r="L154" i="3"/>
  <c r="H153" i="3"/>
  <c r="I153" i="3"/>
  <c r="J153" i="3"/>
  <c r="L153" i="3"/>
  <c r="H152" i="3"/>
  <c r="I152" i="3"/>
  <c r="J152" i="3"/>
  <c r="L152" i="3"/>
  <c r="H151" i="3"/>
  <c r="I151" i="3"/>
  <c r="J151" i="3"/>
  <c r="L151" i="3"/>
  <c r="H150" i="3"/>
  <c r="I150" i="3"/>
  <c r="J150" i="3"/>
  <c r="L150" i="3"/>
  <c r="H149" i="3"/>
  <c r="I149" i="3"/>
  <c r="J149" i="3"/>
  <c r="L149" i="3"/>
  <c r="H148" i="3"/>
  <c r="I148" i="3"/>
  <c r="J148" i="3"/>
  <c r="L148" i="3"/>
  <c r="H147" i="3"/>
  <c r="I147" i="3"/>
  <c r="J147" i="3"/>
  <c r="L147" i="3"/>
  <c r="H146" i="3"/>
  <c r="I146" i="3"/>
  <c r="J146" i="3"/>
  <c r="L146" i="3"/>
  <c r="H145" i="3"/>
  <c r="I145" i="3"/>
  <c r="J145" i="3"/>
  <c r="L145" i="3"/>
  <c r="H144" i="3"/>
  <c r="I144" i="3"/>
  <c r="J144" i="3"/>
  <c r="L144" i="3"/>
  <c r="H143" i="3"/>
  <c r="I143" i="3"/>
  <c r="J143" i="3"/>
  <c r="L143" i="3"/>
  <c r="H142" i="3"/>
  <c r="I142" i="3"/>
  <c r="J142" i="3"/>
  <c r="L142" i="3"/>
  <c r="H141" i="3"/>
  <c r="I141" i="3"/>
  <c r="J141" i="3"/>
  <c r="L141" i="3"/>
  <c r="H140" i="3"/>
  <c r="I140" i="3"/>
  <c r="J140" i="3"/>
  <c r="L140" i="3"/>
  <c r="H139" i="3"/>
  <c r="I139" i="3"/>
  <c r="J139" i="3"/>
  <c r="L139" i="3"/>
  <c r="H138" i="3"/>
  <c r="I138" i="3"/>
  <c r="J138" i="3"/>
  <c r="L138" i="3"/>
  <c r="H137" i="3"/>
  <c r="I137" i="3"/>
  <c r="J137" i="3"/>
  <c r="L137" i="3"/>
  <c r="H136" i="3"/>
  <c r="I136" i="3"/>
  <c r="J136" i="3"/>
  <c r="L136" i="3"/>
  <c r="H135" i="3"/>
  <c r="I135" i="3"/>
  <c r="J135" i="3"/>
  <c r="L135" i="3"/>
  <c r="H134" i="3"/>
  <c r="I134" i="3"/>
  <c r="J134" i="3"/>
  <c r="L134" i="3"/>
  <c r="H133" i="3"/>
  <c r="I133" i="3"/>
  <c r="J133" i="3"/>
  <c r="L133" i="3"/>
  <c r="H132" i="3"/>
  <c r="I132" i="3"/>
  <c r="J132" i="3"/>
  <c r="L132" i="3"/>
  <c r="H131" i="3"/>
  <c r="I131" i="3"/>
  <c r="J131" i="3"/>
  <c r="L131" i="3"/>
  <c r="H130" i="3"/>
  <c r="I130" i="3"/>
  <c r="J130" i="3"/>
  <c r="L130" i="3"/>
  <c r="H129" i="3"/>
  <c r="I129" i="3"/>
  <c r="J129" i="3"/>
  <c r="L129" i="3"/>
  <c r="H128" i="3"/>
  <c r="I128" i="3"/>
  <c r="J128" i="3"/>
  <c r="L128" i="3"/>
  <c r="H127" i="3"/>
  <c r="I127" i="3"/>
  <c r="J127" i="3"/>
  <c r="L127" i="3"/>
  <c r="H126" i="3"/>
  <c r="I126" i="3"/>
  <c r="J126" i="3"/>
  <c r="L126" i="3"/>
  <c r="H125" i="3"/>
  <c r="I125" i="3"/>
  <c r="J125" i="3"/>
  <c r="L125" i="3"/>
  <c r="H124" i="3"/>
  <c r="I124" i="3"/>
  <c r="J124" i="3"/>
  <c r="L124" i="3"/>
  <c r="H123" i="3"/>
  <c r="I123" i="3"/>
  <c r="J123" i="3"/>
  <c r="L123" i="3"/>
  <c r="H122" i="3"/>
  <c r="I122" i="3"/>
  <c r="J122" i="3"/>
  <c r="L122" i="3"/>
  <c r="H121" i="3"/>
  <c r="I121" i="3"/>
  <c r="J121" i="3"/>
  <c r="L121" i="3"/>
  <c r="H120" i="3"/>
  <c r="I120" i="3"/>
  <c r="J120" i="3"/>
  <c r="L120" i="3"/>
  <c r="H119" i="3"/>
  <c r="I119" i="3"/>
  <c r="J119" i="3"/>
  <c r="L119" i="3"/>
  <c r="H118" i="3"/>
  <c r="I118" i="3"/>
  <c r="J118" i="3"/>
  <c r="L118" i="3"/>
  <c r="H117" i="3"/>
  <c r="I117" i="3"/>
  <c r="J117" i="3"/>
  <c r="L117" i="3"/>
  <c r="H116" i="3"/>
  <c r="I116" i="3"/>
  <c r="J116" i="3"/>
  <c r="L116" i="3"/>
  <c r="H115" i="3"/>
  <c r="I115" i="3"/>
  <c r="J115" i="3"/>
  <c r="L115" i="3"/>
  <c r="H114" i="3"/>
  <c r="I114" i="3"/>
  <c r="J114" i="3"/>
  <c r="L114" i="3"/>
  <c r="H113" i="3"/>
  <c r="I113" i="3"/>
  <c r="J113" i="3"/>
  <c r="L113" i="3"/>
  <c r="H112" i="3"/>
  <c r="I112" i="3"/>
  <c r="J112" i="3"/>
  <c r="L112" i="3"/>
  <c r="H111" i="3"/>
  <c r="I111" i="3"/>
  <c r="J111" i="3"/>
  <c r="L111" i="3"/>
  <c r="H110" i="3"/>
  <c r="I110" i="3"/>
  <c r="J110" i="3"/>
  <c r="L110" i="3"/>
  <c r="H109" i="3"/>
  <c r="I109" i="3"/>
  <c r="J109" i="3"/>
  <c r="L109" i="3"/>
  <c r="H108" i="3"/>
  <c r="I108" i="3"/>
  <c r="J108" i="3"/>
  <c r="L108" i="3"/>
  <c r="H107" i="3"/>
  <c r="I107" i="3"/>
  <c r="J107" i="3"/>
  <c r="L107" i="3"/>
  <c r="H106" i="3"/>
  <c r="I106" i="3"/>
  <c r="J106" i="3"/>
  <c r="L106" i="3"/>
  <c r="H105" i="3"/>
  <c r="I105" i="3"/>
  <c r="J105" i="3"/>
  <c r="L105" i="3"/>
  <c r="H104" i="3"/>
  <c r="I104" i="3"/>
  <c r="J104" i="3"/>
  <c r="L104" i="3"/>
  <c r="H103" i="3"/>
  <c r="I103" i="3"/>
  <c r="J103" i="3"/>
  <c r="L103" i="3"/>
  <c r="H102" i="3"/>
  <c r="I102" i="3"/>
  <c r="J102" i="3"/>
  <c r="L102" i="3"/>
  <c r="H101" i="3"/>
  <c r="I101" i="3"/>
  <c r="J101" i="3"/>
  <c r="L101" i="3"/>
  <c r="H100" i="3"/>
  <c r="I100" i="3"/>
  <c r="J100" i="3"/>
  <c r="L100" i="3"/>
  <c r="H99" i="3"/>
  <c r="I99" i="3"/>
  <c r="J99" i="3"/>
  <c r="L99" i="3"/>
  <c r="H98" i="3"/>
  <c r="I98" i="3"/>
  <c r="J98" i="3"/>
  <c r="L98" i="3"/>
  <c r="H97" i="3"/>
  <c r="I97" i="3"/>
  <c r="J97" i="3"/>
  <c r="L97" i="3"/>
  <c r="H96" i="3"/>
  <c r="I96" i="3"/>
  <c r="J96" i="3"/>
  <c r="L96" i="3"/>
  <c r="H95" i="3"/>
  <c r="I95" i="3"/>
  <c r="J95" i="3"/>
  <c r="L95" i="3"/>
  <c r="H94" i="3"/>
  <c r="I94" i="3"/>
  <c r="J94" i="3"/>
  <c r="L94" i="3"/>
  <c r="H93" i="3"/>
  <c r="I93" i="3"/>
  <c r="J93" i="3"/>
  <c r="L93" i="3"/>
  <c r="H92" i="3"/>
  <c r="I92" i="3"/>
  <c r="J92" i="3"/>
  <c r="L92" i="3"/>
  <c r="H91" i="3"/>
  <c r="I91" i="3"/>
  <c r="J91" i="3"/>
  <c r="L91" i="3"/>
  <c r="H90" i="3"/>
  <c r="I90" i="3"/>
  <c r="J90" i="3"/>
  <c r="L90" i="3"/>
  <c r="H89" i="3"/>
  <c r="I89" i="3"/>
  <c r="J89" i="3"/>
  <c r="L89" i="3"/>
  <c r="H88" i="3"/>
  <c r="I88" i="3"/>
  <c r="J88" i="3"/>
  <c r="L88" i="3"/>
  <c r="H87" i="3"/>
  <c r="I87" i="3"/>
  <c r="J87" i="3"/>
  <c r="L87" i="3"/>
  <c r="H86" i="3"/>
  <c r="I86" i="3"/>
  <c r="J86" i="3"/>
  <c r="L86" i="3"/>
  <c r="H85" i="3"/>
  <c r="I85" i="3"/>
  <c r="J85" i="3"/>
  <c r="L85" i="3"/>
  <c r="H84" i="3"/>
  <c r="I84" i="3"/>
  <c r="J84" i="3"/>
  <c r="L84" i="3"/>
  <c r="H83" i="3"/>
  <c r="I83" i="3"/>
  <c r="J83" i="3"/>
  <c r="L83" i="3"/>
  <c r="H82" i="3"/>
  <c r="I82" i="3"/>
  <c r="J82" i="3"/>
  <c r="L82" i="3"/>
  <c r="H81" i="3"/>
  <c r="I81" i="3"/>
  <c r="J81" i="3"/>
  <c r="L81" i="3"/>
  <c r="H80" i="3"/>
  <c r="I80" i="3"/>
  <c r="J80" i="3"/>
  <c r="L80" i="3"/>
  <c r="H79" i="3"/>
  <c r="I79" i="3"/>
  <c r="J79" i="3"/>
  <c r="L79" i="3"/>
  <c r="H78" i="3"/>
  <c r="I78" i="3"/>
  <c r="J78" i="3"/>
  <c r="L78" i="3"/>
  <c r="H77" i="3"/>
  <c r="I77" i="3"/>
  <c r="J77" i="3"/>
  <c r="L77" i="3"/>
  <c r="H76" i="3"/>
  <c r="I76" i="3"/>
  <c r="J76" i="3"/>
  <c r="L76" i="3"/>
  <c r="H75" i="3"/>
  <c r="I75" i="3"/>
  <c r="J75" i="3"/>
  <c r="L75" i="3"/>
  <c r="H74" i="3"/>
  <c r="I74" i="3"/>
  <c r="J74" i="3"/>
  <c r="L74" i="3"/>
  <c r="H73" i="3"/>
  <c r="I73" i="3"/>
  <c r="J73" i="3"/>
  <c r="L73" i="3"/>
  <c r="H72" i="3"/>
  <c r="I72" i="3"/>
  <c r="J72" i="3"/>
  <c r="L72" i="3"/>
  <c r="H71" i="3"/>
  <c r="I71" i="3"/>
  <c r="J71" i="3"/>
  <c r="L71" i="3"/>
  <c r="H70" i="3"/>
  <c r="I70" i="3"/>
  <c r="J70" i="3"/>
  <c r="L70" i="3"/>
  <c r="H69" i="3"/>
  <c r="I69" i="3"/>
  <c r="J69" i="3"/>
  <c r="L69" i="3"/>
  <c r="H68" i="3"/>
  <c r="I68" i="3"/>
  <c r="J68" i="3"/>
  <c r="L68" i="3"/>
  <c r="H67" i="3"/>
  <c r="I67" i="3"/>
  <c r="J67" i="3"/>
  <c r="L67" i="3"/>
  <c r="H66" i="3"/>
  <c r="I66" i="3"/>
  <c r="J66" i="3"/>
  <c r="L66" i="3"/>
  <c r="H65" i="3"/>
  <c r="I65" i="3"/>
  <c r="J65" i="3"/>
  <c r="L65" i="3"/>
  <c r="H64" i="3"/>
  <c r="I64" i="3"/>
  <c r="J64" i="3"/>
  <c r="L64" i="3"/>
  <c r="H63" i="3"/>
  <c r="I63" i="3"/>
  <c r="J63" i="3"/>
  <c r="L63" i="3"/>
  <c r="H62" i="3"/>
  <c r="I62" i="3"/>
  <c r="J62" i="3"/>
  <c r="L62" i="3"/>
  <c r="H61" i="3"/>
  <c r="I61" i="3"/>
  <c r="J61" i="3"/>
  <c r="L61" i="3"/>
  <c r="H60" i="3"/>
  <c r="I60" i="3"/>
  <c r="J60" i="3"/>
  <c r="L60" i="3"/>
  <c r="H59" i="3"/>
  <c r="I59" i="3"/>
  <c r="J59" i="3"/>
  <c r="L59" i="3"/>
  <c r="H58" i="3"/>
  <c r="I58" i="3"/>
  <c r="J58" i="3"/>
  <c r="L58" i="3"/>
  <c r="H57" i="3"/>
  <c r="I57" i="3"/>
  <c r="J57" i="3"/>
  <c r="L57" i="3"/>
  <c r="H56" i="3"/>
  <c r="I56" i="3"/>
  <c r="J56" i="3"/>
  <c r="L56" i="3"/>
  <c r="H55" i="3"/>
  <c r="I55" i="3"/>
  <c r="J55" i="3"/>
  <c r="L55" i="3"/>
  <c r="H54" i="3"/>
  <c r="I54" i="3"/>
  <c r="J54" i="3"/>
  <c r="L54" i="3"/>
  <c r="H53" i="3"/>
  <c r="I53" i="3"/>
  <c r="J53" i="3"/>
  <c r="L53" i="3"/>
  <c r="H52" i="3"/>
  <c r="I52" i="3"/>
  <c r="J52" i="3"/>
  <c r="L52" i="3"/>
  <c r="H51" i="3"/>
  <c r="I51" i="3"/>
  <c r="J51" i="3"/>
  <c r="L51" i="3"/>
  <c r="H50" i="3"/>
  <c r="I50" i="3"/>
  <c r="L50" i="3"/>
  <c r="H49" i="3"/>
  <c r="I49" i="3"/>
  <c r="L49" i="3"/>
  <c r="H48" i="3"/>
  <c r="I48" i="3"/>
  <c r="L48" i="3"/>
  <c r="H47" i="3"/>
  <c r="I47" i="3"/>
  <c r="L47" i="3"/>
  <c r="H46" i="3"/>
  <c r="I46" i="3"/>
  <c r="L46" i="3"/>
  <c r="H45" i="3"/>
  <c r="I45" i="3"/>
  <c r="L45" i="3"/>
  <c r="H44" i="3"/>
  <c r="I44" i="3"/>
  <c r="L44" i="3"/>
  <c r="H43" i="3"/>
  <c r="I43" i="3"/>
  <c r="L43" i="3"/>
  <c r="H42" i="3"/>
  <c r="I42" i="3"/>
  <c r="L42" i="3"/>
  <c r="H41" i="3"/>
  <c r="I41" i="3"/>
  <c r="L41" i="3"/>
  <c r="H40" i="3"/>
  <c r="I40" i="3"/>
  <c r="L40" i="3"/>
  <c r="H39" i="3"/>
  <c r="I39" i="3"/>
  <c r="L39" i="3"/>
  <c r="H38" i="3"/>
  <c r="I38" i="3"/>
  <c r="L38" i="3"/>
  <c r="H37" i="3"/>
  <c r="I37" i="3"/>
  <c r="L37" i="3"/>
  <c r="H36" i="3"/>
  <c r="I36" i="3"/>
  <c r="L36" i="3"/>
  <c r="H35" i="3"/>
  <c r="I35" i="3"/>
  <c r="L35" i="3"/>
  <c r="H34" i="3"/>
  <c r="I34" i="3"/>
  <c r="L34" i="3"/>
  <c r="H33" i="3"/>
  <c r="I33" i="3"/>
  <c r="L33" i="3"/>
  <c r="H32" i="3"/>
  <c r="I32" i="3"/>
  <c r="L32" i="3"/>
  <c r="H31" i="3"/>
  <c r="I31" i="3"/>
  <c r="L31" i="3"/>
  <c r="H30" i="3"/>
  <c r="I30" i="3"/>
  <c r="L30" i="3"/>
  <c r="H29" i="3"/>
  <c r="I29" i="3"/>
  <c r="L29" i="3"/>
  <c r="H28" i="3"/>
  <c r="I28" i="3"/>
  <c r="L28" i="3"/>
  <c r="H27" i="3"/>
  <c r="I27" i="3"/>
  <c r="L27" i="3"/>
  <c r="H26" i="3"/>
  <c r="I26" i="3"/>
  <c r="L26" i="3"/>
  <c r="H25" i="3"/>
  <c r="I25" i="3"/>
  <c r="J25" i="3"/>
  <c r="L25" i="3"/>
  <c r="H24" i="3"/>
  <c r="I24" i="3"/>
  <c r="J24" i="3"/>
  <c r="L24" i="3"/>
  <c r="H23" i="3"/>
  <c r="I23" i="3"/>
  <c r="J23" i="3"/>
  <c r="L23" i="3"/>
  <c r="H22" i="3"/>
  <c r="I22" i="3"/>
  <c r="J22" i="3"/>
  <c r="L22" i="3"/>
  <c r="H21" i="3"/>
  <c r="I21" i="3"/>
  <c r="J21" i="3"/>
  <c r="L21" i="3"/>
  <c r="H20" i="3"/>
  <c r="I20" i="3"/>
  <c r="L20" i="3"/>
  <c r="H19" i="3"/>
  <c r="I19" i="3"/>
  <c r="J19" i="3"/>
  <c r="L19" i="3"/>
  <c r="H18" i="3"/>
  <c r="I18" i="3"/>
  <c r="J18" i="3"/>
  <c r="L18" i="3"/>
  <c r="H17" i="3"/>
  <c r="I17" i="3"/>
  <c r="J17" i="3"/>
  <c r="L17" i="3"/>
  <c r="H16" i="3"/>
  <c r="I16" i="3"/>
  <c r="L16" i="3"/>
  <c r="H15" i="3"/>
  <c r="I15" i="3"/>
  <c r="L15" i="3"/>
  <c r="H14" i="3"/>
  <c r="I14" i="3"/>
  <c r="L14" i="3"/>
  <c r="H13" i="3"/>
  <c r="I13" i="3"/>
  <c r="L13" i="3"/>
  <c r="H12" i="3"/>
  <c r="I12" i="3"/>
  <c r="L12" i="3"/>
  <c r="H11" i="3"/>
  <c r="I11" i="3"/>
  <c r="L11" i="3"/>
  <c r="H10" i="3"/>
  <c r="I10" i="3"/>
  <c r="L10" i="3"/>
  <c r="H9" i="3"/>
  <c r="I9" i="3"/>
  <c r="L9" i="3"/>
  <c r="H8" i="3"/>
  <c r="I8" i="3"/>
  <c r="L8" i="3"/>
  <c r="H7" i="3"/>
  <c r="I7" i="3"/>
  <c r="L7" i="3"/>
  <c r="H6" i="3"/>
  <c r="I6" i="3"/>
  <c r="L6" i="3"/>
  <c r="H5" i="3"/>
  <c r="I5" i="3"/>
  <c r="L5" i="3"/>
  <c r="H4" i="3"/>
  <c r="I4" i="3"/>
  <c r="L4" i="3"/>
  <c r="H3" i="3"/>
  <c r="I3" i="3"/>
  <c r="L3" i="3"/>
  <c r="H2" i="3"/>
  <c r="I2" i="3"/>
  <c r="L2" i="3"/>
  <c r="I1400" i="2"/>
  <c r="J1400" i="2"/>
  <c r="L1400" i="2"/>
  <c r="K1400" i="2"/>
  <c r="H1400" i="2"/>
  <c r="G1400" i="2"/>
  <c r="F1400" i="2"/>
  <c r="E1400" i="2"/>
  <c r="D1400" i="2"/>
  <c r="C1400" i="2"/>
  <c r="B1400" i="2"/>
  <c r="I1399" i="2"/>
  <c r="J1399" i="2"/>
  <c r="L1399" i="2"/>
  <c r="K1399" i="2"/>
  <c r="H1399" i="2"/>
  <c r="G1399" i="2"/>
  <c r="F1399" i="2"/>
  <c r="E1399" i="2"/>
  <c r="D1399" i="2"/>
  <c r="C1399" i="2"/>
  <c r="B1399" i="2"/>
  <c r="I1398" i="2"/>
  <c r="J1398" i="2"/>
  <c r="L1398" i="2"/>
  <c r="K1398" i="2"/>
  <c r="H1398" i="2"/>
  <c r="G1398" i="2"/>
  <c r="F1398" i="2"/>
  <c r="E1398" i="2"/>
  <c r="D1398" i="2"/>
  <c r="C1398" i="2"/>
  <c r="B1398" i="2"/>
  <c r="I1397" i="2"/>
  <c r="J1397" i="2"/>
  <c r="L1397" i="2"/>
  <c r="K1397" i="2"/>
  <c r="H1397" i="2"/>
  <c r="G1397" i="2"/>
  <c r="F1397" i="2"/>
  <c r="E1397" i="2"/>
  <c r="D1397" i="2"/>
  <c r="C1397" i="2"/>
  <c r="B1397" i="2"/>
  <c r="I1396" i="2"/>
  <c r="J1396" i="2"/>
  <c r="L1396" i="2"/>
  <c r="K1396" i="2"/>
  <c r="H1396" i="2"/>
  <c r="G1396" i="2"/>
  <c r="F1396" i="2"/>
  <c r="E1396" i="2"/>
  <c r="D1396" i="2"/>
  <c r="C1396" i="2"/>
  <c r="B1396" i="2"/>
  <c r="I1395" i="2"/>
  <c r="J1395" i="2"/>
  <c r="L1395" i="2"/>
  <c r="K1395" i="2"/>
  <c r="H1395" i="2"/>
  <c r="G1395" i="2"/>
  <c r="F1395" i="2"/>
  <c r="E1395" i="2"/>
  <c r="D1395" i="2"/>
  <c r="C1395" i="2"/>
  <c r="B1395" i="2"/>
  <c r="I1394" i="2"/>
  <c r="J1394" i="2"/>
  <c r="L1394" i="2"/>
  <c r="K1394" i="2"/>
  <c r="H1394" i="2"/>
  <c r="G1394" i="2"/>
  <c r="F1394" i="2"/>
  <c r="E1394" i="2"/>
  <c r="D1394" i="2"/>
  <c r="C1394" i="2"/>
  <c r="B1394" i="2"/>
  <c r="I1393" i="2"/>
  <c r="J1393" i="2"/>
  <c r="L1393" i="2"/>
  <c r="K1393" i="2"/>
  <c r="H1393" i="2"/>
  <c r="G1393" i="2"/>
  <c r="F1393" i="2"/>
  <c r="E1393" i="2"/>
  <c r="D1393" i="2"/>
  <c r="C1393" i="2"/>
  <c r="B1393" i="2"/>
  <c r="I1392" i="2"/>
  <c r="J1392" i="2"/>
  <c r="L1392" i="2"/>
  <c r="K1392" i="2"/>
  <c r="H1392" i="2"/>
  <c r="G1392" i="2"/>
  <c r="F1392" i="2"/>
  <c r="E1392" i="2"/>
  <c r="D1392" i="2"/>
  <c r="C1392" i="2"/>
  <c r="B1392" i="2"/>
  <c r="I1391" i="2"/>
  <c r="J1391" i="2"/>
  <c r="L1391" i="2"/>
  <c r="K1391" i="2"/>
  <c r="H1391" i="2"/>
  <c r="G1391" i="2"/>
  <c r="F1391" i="2"/>
  <c r="E1391" i="2"/>
  <c r="D1391" i="2"/>
  <c r="C1391" i="2"/>
  <c r="B1391" i="2"/>
  <c r="I1390" i="2"/>
  <c r="J1390" i="2"/>
  <c r="L1390" i="2"/>
  <c r="K1390" i="2"/>
  <c r="H1390" i="2"/>
  <c r="G1390" i="2"/>
  <c r="F1390" i="2"/>
  <c r="E1390" i="2"/>
  <c r="D1390" i="2"/>
  <c r="C1390" i="2"/>
  <c r="B1390" i="2"/>
  <c r="I1389" i="2"/>
  <c r="J1389" i="2"/>
  <c r="L1389" i="2"/>
  <c r="K1389" i="2"/>
  <c r="H1389" i="2"/>
  <c r="G1389" i="2"/>
  <c r="F1389" i="2"/>
  <c r="E1389" i="2"/>
  <c r="D1389" i="2"/>
  <c r="C1389" i="2"/>
  <c r="B1389" i="2"/>
  <c r="I1388" i="2"/>
  <c r="J1388" i="2"/>
  <c r="L1388" i="2"/>
  <c r="K1388" i="2"/>
  <c r="H1388" i="2"/>
  <c r="G1388" i="2"/>
  <c r="F1388" i="2"/>
  <c r="E1388" i="2"/>
  <c r="D1388" i="2"/>
  <c r="C1388" i="2"/>
  <c r="B1388" i="2"/>
  <c r="I1387" i="2"/>
  <c r="J1387" i="2"/>
  <c r="L1387" i="2"/>
  <c r="K1387" i="2"/>
  <c r="H1387" i="2"/>
  <c r="G1387" i="2"/>
  <c r="F1387" i="2"/>
  <c r="E1387" i="2"/>
  <c r="D1387" i="2"/>
  <c r="C1387" i="2"/>
  <c r="B1387" i="2"/>
  <c r="I1386" i="2"/>
  <c r="J1386" i="2"/>
  <c r="L1386" i="2"/>
  <c r="K1386" i="2"/>
  <c r="H1386" i="2"/>
  <c r="G1386" i="2"/>
  <c r="F1386" i="2"/>
  <c r="E1386" i="2"/>
  <c r="D1386" i="2"/>
  <c r="C1386" i="2"/>
  <c r="B1386" i="2"/>
  <c r="I1385" i="2"/>
  <c r="J1385" i="2"/>
  <c r="L1385" i="2"/>
  <c r="K1385" i="2"/>
  <c r="H1385" i="2"/>
  <c r="G1385" i="2"/>
  <c r="F1385" i="2"/>
  <c r="E1385" i="2"/>
  <c r="D1385" i="2"/>
  <c r="C1385" i="2"/>
  <c r="B1385" i="2"/>
  <c r="I1384" i="2"/>
  <c r="J1384" i="2"/>
  <c r="L1384" i="2"/>
  <c r="K1384" i="2"/>
  <c r="H1384" i="2"/>
  <c r="G1384" i="2"/>
  <c r="F1384" i="2"/>
  <c r="E1384" i="2"/>
  <c r="D1384" i="2"/>
  <c r="C1384" i="2"/>
  <c r="B1384" i="2"/>
  <c r="I1383" i="2"/>
  <c r="J1383" i="2"/>
  <c r="L1383" i="2"/>
  <c r="K1383" i="2"/>
  <c r="H1383" i="2"/>
  <c r="G1383" i="2"/>
  <c r="F1383" i="2"/>
  <c r="E1383" i="2"/>
  <c r="D1383" i="2"/>
  <c r="C1383" i="2"/>
  <c r="B1383" i="2"/>
  <c r="I1382" i="2"/>
  <c r="J1382" i="2"/>
  <c r="L1382" i="2"/>
  <c r="K1382" i="2"/>
  <c r="H1382" i="2"/>
  <c r="G1382" i="2"/>
  <c r="F1382" i="2"/>
  <c r="E1382" i="2"/>
  <c r="D1382" i="2"/>
  <c r="C1382" i="2"/>
  <c r="B1382" i="2"/>
  <c r="I1381" i="2"/>
  <c r="J1381" i="2"/>
  <c r="L1381" i="2"/>
  <c r="K1381" i="2"/>
  <c r="H1381" i="2"/>
  <c r="G1381" i="2"/>
  <c r="F1381" i="2"/>
  <c r="E1381" i="2"/>
  <c r="D1381" i="2"/>
  <c r="C1381" i="2"/>
  <c r="B1381" i="2"/>
  <c r="I1380" i="2"/>
  <c r="J1380" i="2"/>
  <c r="L1380" i="2"/>
  <c r="K1380" i="2"/>
  <c r="H1380" i="2"/>
  <c r="G1380" i="2"/>
  <c r="F1380" i="2"/>
  <c r="E1380" i="2"/>
  <c r="D1380" i="2"/>
  <c r="C1380" i="2"/>
  <c r="B1380" i="2"/>
  <c r="I1379" i="2"/>
  <c r="J1379" i="2"/>
  <c r="L1379" i="2"/>
  <c r="K1379" i="2"/>
  <c r="H1379" i="2"/>
  <c r="G1379" i="2"/>
  <c r="F1379" i="2"/>
  <c r="E1379" i="2"/>
  <c r="D1379" i="2"/>
  <c r="C1379" i="2"/>
  <c r="B1379" i="2"/>
  <c r="I1378" i="2"/>
  <c r="J1378" i="2"/>
  <c r="L1378" i="2"/>
  <c r="K1378" i="2"/>
  <c r="H1378" i="2"/>
  <c r="G1378" i="2"/>
  <c r="F1378" i="2"/>
  <c r="E1378" i="2"/>
  <c r="D1378" i="2"/>
  <c r="C1378" i="2"/>
  <c r="B1378" i="2"/>
  <c r="I1377" i="2"/>
  <c r="J1377" i="2"/>
  <c r="L1377" i="2"/>
  <c r="K1377" i="2"/>
  <c r="H1377" i="2"/>
  <c r="G1377" i="2"/>
  <c r="F1377" i="2"/>
  <c r="E1377" i="2"/>
  <c r="D1377" i="2"/>
  <c r="C1377" i="2"/>
  <c r="B1377" i="2"/>
  <c r="I1376" i="2"/>
  <c r="J1376" i="2"/>
  <c r="L1376" i="2"/>
  <c r="K1376" i="2"/>
  <c r="H1376" i="2"/>
  <c r="G1376" i="2"/>
  <c r="F1376" i="2"/>
  <c r="E1376" i="2"/>
  <c r="D1376" i="2"/>
  <c r="C1376" i="2"/>
  <c r="B1376" i="2"/>
  <c r="I1375" i="2"/>
  <c r="J1375" i="2"/>
  <c r="L1375" i="2"/>
  <c r="K1375" i="2"/>
  <c r="H1375" i="2"/>
  <c r="G1375" i="2"/>
  <c r="F1375" i="2"/>
  <c r="E1375" i="2"/>
  <c r="D1375" i="2"/>
  <c r="C1375" i="2"/>
  <c r="B1375" i="2"/>
  <c r="I1374" i="2"/>
  <c r="J1374" i="2"/>
  <c r="L1374" i="2"/>
  <c r="K1374" i="2"/>
  <c r="H1374" i="2"/>
  <c r="G1374" i="2"/>
  <c r="F1374" i="2"/>
  <c r="E1374" i="2"/>
  <c r="D1374" i="2"/>
  <c r="C1374" i="2"/>
  <c r="B1374" i="2"/>
  <c r="I1373" i="2"/>
  <c r="J1373" i="2"/>
  <c r="L1373" i="2"/>
  <c r="K1373" i="2"/>
  <c r="H1373" i="2"/>
  <c r="G1373" i="2"/>
  <c r="F1373" i="2"/>
  <c r="E1373" i="2"/>
  <c r="D1373" i="2"/>
  <c r="C1373" i="2"/>
  <c r="B1373" i="2"/>
  <c r="I1372" i="2"/>
  <c r="J1372" i="2"/>
  <c r="L1372" i="2"/>
  <c r="K1372" i="2"/>
  <c r="H1372" i="2"/>
  <c r="G1372" i="2"/>
  <c r="F1372" i="2"/>
  <c r="E1372" i="2"/>
  <c r="D1372" i="2"/>
  <c r="C1372" i="2"/>
  <c r="B1372" i="2"/>
  <c r="I1371" i="2"/>
  <c r="J1371" i="2"/>
  <c r="L1371" i="2"/>
  <c r="K1371" i="2"/>
  <c r="H1371" i="2"/>
  <c r="G1371" i="2"/>
  <c r="F1371" i="2"/>
  <c r="E1371" i="2"/>
  <c r="D1371" i="2"/>
  <c r="C1371" i="2"/>
  <c r="B1371" i="2"/>
  <c r="I1370" i="2"/>
  <c r="J1370" i="2"/>
  <c r="L1370" i="2"/>
  <c r="K1370" i="2"/>
  <c r="H1370" i="2"/>
  <c r="G1370" i="2"/>
  <c r="F1370" i="2"/>
  <c r="E1370" i="2"/>
  <c r="D1370" i="2"/>
  <c r="C1370" i="2"/>
  <c r="B1370" i="2"/>
  <c r="I1369" i="2"/>
  <c r="J1369" i="2"/>
  <c r="L1369" i="2"/>
  <c r="K1369" i="2"/>
  <c r="H1369" i="2"/>
  <c r="G1369" i="2"/>
  <c r="F1369" i="2"/>
  <c r="E1369" i="2"/>
  <c r="D1369" i="2"/>
  <c r="C1369" i="2"/>
  <c r="B1369" i="2"/>
  <c r="I1368" i="2"/>
  <c r="J1368" i="2"/>
  <c r="L1368" i="2"/>
  <c r="K1368" i="2"/>
  <c r="H1368" i="2"/>
  <c r="G1368" i="2"/>
  <c r="F1368" i="2"/>
  <c r="E1368" i="2"/>
  <c r="D1368" i="2"/>
  <c r="C1368" i="2"/>
  <c r="B1368" i="2"/>
  <c r="I1367" i="2"/>
  <c r="J1367" i="2"/>
  <c r="L1367" i="2"/>
  <c r="K1367" i="2"/>
  <c r="H1367" i="2"/>
  <c r="G1367" i="2"/>
  <c r="F1367" i="2"/>
  <c r="E1367" i="2"/>
  <c r="D1367" i="2"/>
  <c r="C1367" i="2"/>
  <c r="B1367" i="2"/>
  <c r="I1366" i="2"/>
  <c r="J1366" i="2"/>
  <c r="L1366" i="2"/>
  <c r="K1366" i="2"/>
  <c r="H1366" i="2"/>
  <c r="G1366" i="2"/>
  <c r="F1366" i="2"/>
  <c r="E1366" i="2"/>
  <c r="D1366" i="2"/>
  <c r="C1366" i="2"/>
  <c r="B1366" i="2"/>
  <c r="I1365" i="2"/>
  <c r="J1365" i="2"/>
  <c r="L1365" i="2"/>
  <c r="K1365" i="2"/>
  <c r="H1365" i="2"/>
  <c r="G1365" i="2"/>
  <c r="F1365" i="2"/>
  <c r="E1365" i="2"/>
  <c r="D1365" i="2"/>
  <c r="C1365" i="2"/>
  <c r="B1365" i="2"/>
  <c r="I1364" i="2"/>
  <c r="J1364" i="2"/>
  <c r="L1364" i="2"/>
  <c r="K1364" i="2"/>
  <c r="H1364" i="2"/>
  <c r="G1364" i="2"/>
  <c r="F1364" i="2"/>
  <c r="E1364" i="2"/>
  <c r="D1364" i="2"/>
  <c r="C1364" i="2"/>
  <c r="B1364" i="2"/>
  <c r="I1363" i="2"/>
  <c r="J1363" i="2"/>
  <c r="L1363" i="2"/>
  <c r="K1363" i="2"/>
  <c r="H1363" i="2"/>
  <c r="G1363" i="2"/>
  <c r="F1363" i="2"/>
  <c r="E1363" i="2"/>
  <c r="D1363" i="2"/>
  <c r="C1363" i="2"/>
  <c r="B1363" i="2"/>
  <c r="I1362" i="2"/>
  <c r="J1362" i="2"/>
  <c r="L1362" i="2"/>
  <c r="K1362" i="2"/>
  <c r="H1362" i="2"/>
  <c r="G1362" i="2"/>
  <c r="F1362" i="2"/>
  <c r="E1362" i="2"/>
  <c r="D1362" i="2"/>
  <c r="C1362" i="2"/>
  <c r="B1362" i="2"/>
  <c r="I1361" i="2"/>
  <c r="J1361" i="2"/>
  <c r="L1361" i="2"/>
  <c r="K1361" i="2"/>
  <c r="H1361" i="2"/>
  <c r="G1361" i="2"/>
  <c r="F1361" i="2"/>
  <c r="E1361" i="2"/>
  <c r="D1361" i="2"/>
  <c r="C1361" i="2"/>
  <c r="B1361" i="2"/>
  <c r="I1360" i="2"/>
  <c r="J1360" i="2"/>
  <c r="L1360" i="2"/>
  <c r="K1360" i="2"/>
  <c r="H1360" i="2"/>
  <c r="G1360" i="2"/>
  <c r="F1360" i="2"/>
  <c r="E1360" i="2"/>
  <c r="D1360" i="2"/>
  <c r="C1360" i="2"/>
  <c r="B1360" i="2"/>
  <c r="I1359" i="2"/>
  <c r="J1359" i="2"/>
  <c r="L1359" i="2"/>
  <c r="K1359" i="2"/>
  <c r="H1359" i="2"/>
  <c r="G1359" i="2"/>
  <c r="F1359" i="2"/>
  <c r="E1359" i="2"/>
  <c r="D1359" i="2"/>
  <c r="C1359" i="2"/>
  <c r="B1359" i="2"/>
  <c r="I1358" i="2"/>
  <c r="J1358" i="2"/>
  <c r="L1358" i="2"/>
  <c r="K1358" i="2"/>
  <c r="H1358" i="2"/>
  <c r="G1358" i="2"/>
  <c r="F1358" i="2"/>
  <c r="E1358" i="2"/>
  <c r="D1358" i="2"/>
  <c r="C1358" i="2"/>
  <c r="B1358" i="2"/>
  <c r="I1357" i="2"/>
  <c r="J1357" i="2"/>
  <c r="L1357" i="2"/>
  <c r="K1357" i="2"/>
  <c r="H1357" i="2"/>
  <c r="G1357" i="2"/>
  <c r="F1357" i="2"/>
  <c r="E1357" i="2"/>
  <c r="D1357" i="2"/>
  <c r="C1357" i="2"/>
  <c r="B1357" i="2"/>
  <c r="I1356" i="2"/>
  <c r="J1356" i="2"/>
  <c r="L1356" i="2"/>
  <c r="K1356" i="2"/>
  <c r="H1356" i="2"/>
  <c r="G1356" i="2"/>
  <c r="F1356" i="2"/>
  <c r="E1356" i="2"/>
  <c r="D1356" i="2"/>
  <c r="C1356" i="2"/>
  <c r="B1356" i="2"/>
  <c r="I1355" i="2"/>
  <c r="J1355" i="2"/>
  <c r="L1355" i="2"/>
  <c r="K1355" i="2"/>
  <c r="H1355" i="2"/>
  <c r="G1355" i="2"/>
  <c r="F1355" i="2"/>
  <c r="E1355" i="2"/>
  <c r="D1355" i="2"/>
  <c r="C1355" i="2"/>
  <c r="B1355" i="2"/>
  <c r="I1354" i="2"/>
  <c r="J1354" i="2"/>
  <c r="L1354" i="2"/>
  <c r="K1354" i="2"/>
  <c r="H1354" i="2"/>
  <c r="G1354" i="2"/>
  <c r="F1354" i="2"/>
  <c r="E1354" i="2"/>
  <c r="D1354" i="2"/>
  <c r="C1354" i="2"/>
  <c r="B1354" i="2"/>
  <c r="I1353" i="2"/>
  <c r="J1353" i="2"/>
  <c r="L1353" i="2"/>
  <c r="K1353" i="2"/>
  <c r="H1353" i="2"/>
  <c r="G1353" i="2"/>
  <c r="F1353" i="2"/>
  <c r="E1353" i="2"/>
  <c r="D1353" i="2"/>
  <c r="C1353" i="2"/>
  <c r="B1353" i="2"/>
  <c r="I1352" i="2"/>
  <c r="J1352" i="2"/>
  <c r="L1352" i="2"/>
  <c r="K1352" i="2"/>
  <c r="H1352" i="2"/>
  <c r="G1352" i="2"/>
  <c r="F1352" i="2"/>
  <c r="E1352" i="2"/>
  <c r="D1352" i="2"/>
  <c r="C1352" i="2"/>
  <c r="B1352" i="2"/>
  <c r="I1351" i="2"/>
  <c r="J1351" i="2"/>
  <c r="L1351" i="2"/>
  <c r="K1351" i="2"/>
  <c r="H1351" i="2"/>
  <c r="G1351" i="2"/>
  <c r="F1351" i="2"/>
  <c r="E1351" i="2"/>
  <c r="D1351" i="2"/>
  <c r="C1351" i="2"/>
  <c r="B1351" i="2"/>
  <c r="I1350" i="2"/>
  <c r="J1350" i="2"/>
  <c r="L1350" i="2"/>
  <c r="K1350" i="2"/>
  <c r="H1350" i="2"/>
  <c r="G1350" i="2"/>
  <c r="F1350" i="2"/>
  <c r="E1350" i="2"/>
  <c r="D1350" i="2"/>
  <c r="C1350" i="2"/>
  <c r="B1350" i="2"/>
  <c r="I1349" i="2"/>
  <c r="J1349" i="2"/>
  <c r="L1349" i="2"/>
  <c r="K1349" i="2"/>
  <c r="H1349" i="2"/>
  <c r="G1349" i="2"/>
  <c r="F1349" i="2"/>
  <c r="E1349" i="2"/>
  <c r="D1349" i="2"/>
  <c r="C1349" i="2"/>
  <c r="B1349" i="2"/>
  <c r="I1348" i="2"/>
  <c r="J1348" i="2"/>
  <c r="L1348" i="2"/>
  <c r="K1348" i="2"/>
  <c r="H1348" i="2"/>
  <c r="G1348" i="2"/>
  <c r="F1348" i="2"/>
  <c r="E1348" i="2"/>
  <c r="D1348" i="2"/>
  <c r="C1348" i="2"/>
  <c r="B1348" i="2"/>
  <c r="I1347" i="2"/>
  <c r="J1347" i="2"/>
  <c r="L1347" i="2"/>
  <c r="K1347" i="2"/>
  <c r="H1347" i="2"/>
  <c r="G1347" i="2"/>
  <c r="F1347" i="2"/>
  <c r="E1347" i="2"/>
  <c r="D1347" i="2"/>
  <c r="C1347" i="2"/>
  <c r="B1347" i="2"/>
  <c r="I1346" i="2"/>
  <c r="J1346" i="2"/>
  <c r="L1346" i="2"/>
  <c r="K1346" i="2"/>
  <c r="H1346" i="2"/>
  <c r="G1346" i="2"/>
  <c r="F1346" i="2"/>
  <c r="E1346" i="2"/>
  <c r="D1346" i="2"/>
  <c r="C1346" i="2"/>
  <c r="B1346" i="2"/>
  <c r="I1345" i="2"/>
  <c r="J1345" i="2"/>
  <c r="L1345" i="2"/>
  <c r="K1345" i="2"/>
  <c r="H1345" i="2"/>
  <c r="G1345" i="2"/>
  <c r="F1345" i="2"/>
  <c r="E1345" i="2"/>
  <c r="D1345" i="2"/>
  <c r="C1345" i="2"/>
  <c r="B1345" i="2"/>
  <c r="I1344" i="2"/>
  <c r="J1344" i="2"/>
  <c r="L1344" i="2"/>
  <c r="K1344" i="2"/>
  <c r="H1344" i="2"/>
  <c r="G1344" i="2"/>
  <c r="F1344" i="2"/>
  <c r="E1344" i="2"/>
  <c r="D1344" i="2"/>
  <c r="C1344" i="2"/>
  <c r="B1344" i="2"/>
  <c r="I1343" i="2"/>
  <c r="J1343" i="2"/>
  <c r="L1343" i="2"/>
  <c r="K1343" i="2"/>
  <c r="H1343" i="2"/>
  <c r="G1343" i="2"/>
  <c r="F1343" i="2"/>
  <c r="E1343" i="2"/>
  <c r="D1343" i="2"/>
  <c r="C1343" i="2"/>
  <c r="B1343" i="2"/>
  <c r="I1342" i="2"/>
  <c r="J1342" i="2"/>
  <c r="L1342" i="2"/>
  <c r="K1342" i="2"/>
  <c r="H1342" i="2"/>
  <c r="G1342" i="2"/>
  <c r="F1342" i="2"/>
  <c r="E1342" i="2"/>
  <c r="D1342" i="2"/>
  <c r="C1342" i="2"/>
  <c r="B1342" i="2"/>
  <c r="I1341" i="2"/>
  <c r="J1341" i="2"/>
  <c r="L1341" i="2"/>
  <c r="K1341" i="2"/>
  <c r="AP1344" i="1"/>
  <c r="H1341" i="2"/>
  <c r="G1341" i="2"/>
  <c r="AO1344" i="1"/>
  <c r="F1341" i="2"/>
  <c r="E1341" i="2"/>
  <c r="AN1344" i="1"/>
  <c r="D1341" i="2"/>
  <c r="C1341" i="2"/>
  <c r="B1341" i="2"/>
  <c r="I1340" i="2"/>
  <c r="J1340" i="2"/>
  <c r="L1340" i="2"/>
  <c r="K1340" i="2"/>
  <c r="AP1343" i="1"/>
  <c r="H1340" i="2"/>
  <c r="G1340" i="2"/>
  <c r="AO1343" i="1"/>
  <c r="F1340" i="2"/>
  <c r="E1340" i="2"/>
  <c r="AN1343" i="1"/>
  <c r="D1340" i="2"/>
  <c r="C1340" i="2"/>
  <c r="B1340" i="2"/>
  <c r="I1339" i="2"/>
  <c r="J1339" i="2"/>
  <c r="L1339" i="2"/>
  <c r="K1339" i="2"/>
  <c r="AP1342" i="1"/>
  <c r="H1339" i="2"/>
  <c r="G1339" i="2"/>
  <c r="AO1342" i="1"/>
  <c r="F1339" i="2"/>
  <c r="E1339" i="2"/>
  <c r="AN1342" i="1"/>
  <c r="D1339" i="2"/>
  <c r="C1339" i="2"/>
  <c r="B1339" i="2"/>
  <c r="I1338" i="2"/>
  <c r="J1338" i="2"/>
  <c r="L1338" i="2"/>
  <c r="K1338" i="2"/>
  <c r="AP1341" i="1"/>
  <c r="H1338" i="2"/>
  <c r="G1338" i="2"/>
  <c r="AO1341" i="1"/>
  <c r="F1338" i="2"/>
  <c r="E1338" i="2"/>
  <c r="AN1341" i="1"/>
  <c r="D1338" i="2"/>
  <c r="C1338" i="2"/>
  <c r="B1338" i="2"/>
  <c r="I1337" i="2"/>
  <c r="J1337" i="2"/>
  <c r="L1337" i="2"/>
  <c r="K1337" i="2"/>
  <c r="AP1340" i="1"/>
  <c r="H1337" i="2"/>
  <c r="G1337" i="2"/>
  <c r="AO1340" i="1"/>
  <c r="F1337" i="2"/>
  <c r="E1337" i="2"/>
  <c r="AN1340" i="1"/>
  <c r="D1337" i="2"/>
  <c r="C1337" i="2"/>
  <c r="B1337" i="2"/>
  <c r="I1336" i="2"/>
  <c r="J1336" i="2"/>
  <c r="L1336" i="2"/>
  <c r="K1336" i="2"/>
  <c r="AP1339" i="1"/>
  <c r="H1336" i="2"/>
  <c r="G1336" i="2"/>
  <c r="AO1339" i="1"/>
  <c r="F1336" i="2"/>
  <c r="E1336" i="2"/>
  <c r="AN1339" i="1"/>
  <c r="D1336" i="2"/>
  <c r="C1336" i="2"/>
  <c r="B1336" i="2"/>
  <c r="I1335" i="2"/>
  <c r="J1335" i="2"/>
  <c r="L1335" i="2"/>
  <c r="K1335" i="2"/>
  <c r="AP1338" i="1"/>
  <c r="H1335" i="2"/>
  <c r="G1335" i="2"/>
  <c r="AO1338" i="1"/>
  <c r="F1335" i="2"/>
  <c r="E1335" i="2"/>
  <c r="AN1338" i="1"/>
  <c r="D1335" i="2"/>
  <c r="C1335" i="2"/>
  <c r="B1335" i="2"/>
  <c r="I1334" i="2"/>
  <c r="J1334" i="2"/>
  <c r="L1334" i="2"/>
  <c r="K1334" i="2"/>
  <c r="AP1337" i="1"/>
  <c r="H1334" i="2"/>
  <c r="G1334" i="2"/>
  <c r="AO1337" i="1"/>
  <c r="F1334" i="2"/>
  <c r="E1334" i="2"/>
  <c r="AN1337" i="1"/>
  <c r="D1334" i="2"/>
  <c r="C1334" i="2"/>
  <c r="B1334" i="2"/>
  <c r="I1333" i="2"/>
  <c r="J1333" i="2"/>
  <c r="L1333" i="2"/>
  <c r="K1333" i="2"/>
  <c r="AP1336" i="1"/>
  <c r="H1333" i="2"/>
  <c r="G1333" i="2"/>
  <c r="AO1336" i="1"/>
  <c r="F1333" i="2"/>
  <c r="E1333" i="2"/>
  <c r="AN1336" i="1"/>
  <c r="D1333" i="2"/>
  <c r="C1333" i="2"/>
  <c r="B1333" i="2"/>
  <c r="I1332" i="2"/>
  <c r="J1332" i="2"/>
  <c r="L1332" i="2"/>
  <c r="K1332" i="2"/>
  <c r="AP1335" i="1"/>
  <c r="H1332" i="2"/>
  <c r="G1332" i="2"/>
  <c r="AO1335" i="1"/>
  <c r="F1332" i="2"/>
  <c r="E1332" i="2"/>
  <c r="AN1335" i="1"/>
  <c r="D1332" i="2"/>
  <c r="C1332" i="2"/>
  <c r="B1332" i="2"/>
  <c r="I1331" i="2"/>
  <c r="J1331" i="2"/>
  <c r="L1331" i="2"/>
  <c r="K1331" i="2"/>
  <c r="AP1334" i="1"/>
  <c r="H1331" i="2"/>
  <c r="G1331" i="2"/>
  <c r="AO1334" i="1"/>
  <c r="F1331" i="2"/>
  <c r="E1331" i="2"/>
  <c r="AN1334" i="1"/>
  <c r="D1331" i="2"/>
  <c r="C1331" i="2"/>
  <c r="B1331" i="2"/>
  <c r="I1330" i="2"/>
  <c r="J1330" i="2"/>
  <c r="L1330" i="2"/>
  <c r="K1330" i="2"/>
  <c r="AP1333" i="1"/>
  <c r="H1330" i="2"/>
  <c r="G1330" i="2"/>
  <c r="AO1333" i="1"/>
  <c r="F1330" i="2"/>
  <c r="E1330" i="2"/>
  <c r="AN1333" i="1"/>
  <c r="D1330" i="2"/>
  <c r="C1330" i="2"/>
  <c r="B1330" i="2"/>
  <c r="I1329" i="2"/>
  <c r="J1329" i="2"/>
  <c r="L1329" i="2"/>
  <c r="K1329" i="2"/>
  <c r="AP1332" i="1"/>
  <c r="H1329" i="2"/>
  <c r="G1329" i="2"/>
  <c r="AO1332" i="1"/>
  <c r="F1329" i="2"/>
  <c r="E1329" i="2"/>
  <c r="AN1332" i="1"/>
  <c r="D1329" i="2"/>
  <c r="C1329" i="2"/>
  <c r="B1329" i="2"/>
  <c r="I1328" i="2"/>
  <c r="J1328" i="2"/>
  <c r="L1328" i="2"/>
  <c r="K1328" i="2"/>
  <c r="AP1331" i="1"/>
  <c r="H1328" i="2"/>
  <c r="G1328" i="2"/>
  <c r="AO1331" i="1"/>
  <c r="F1328" i="2"/>
  <c r="E1328" i="2"/>
  <c r="AN1331" i="1"/>
  <c r="D1328" i="2"/>
  <c r="C1328" i="2"/>
  <c r="B1328" i="2"/>
  <c r="I1327" i="2"/>
  <c r="J1327" i="2"/>
  <c r="L1327" i="2"/>
  <c r="K1327" i="2"/>
  <c r="AP1330" i="1"/>
  <c r="H1327" i="2"/>
  <c r="G1327" i="2"/>
  <c r="AO1330" i="1"/>
  <c r="F1327" i="2"/>
  <c r="E1327" i="2"/>
  <c r="AN1330" i="1"/>
  <c r="D1327" i="2"/>
  <c r="C1327" i="2"/>
  <c r="B1327" i="2"/>
  <c r="I1326" i="2"/>
  <c r="J1326" i="2"/>
  <c r="L1326" i="2"/>
  <c r="K1326" i="2"/>
  <c r="AP1329" i="1"/>
  <c r="H1326" i="2"/>
  <c r="G1326" i="2"/>
  <c r="AO1329" i="1"/>
  <c r="F1326" i="2"/>
  <c r="E1326" i="2"/>
  <c r="AN1329" i="1"/>
  <c r="D1326" i="2"/>
  <c r="C1326" i="2"/>
  <c r="B1326" i="2"/>
  <c r="I1325" i="2"/>
  <c r="J1325" i="2"/>
  <c r="L1325" i="2"/>
  <c r="K1325" i="2"/>
  <c r="AP1328" i="1"/>
  <c r="H1325" i="2"/>
  <c r="G1325" i="2"/>
  <c r="AO1328" i="1"/>
  <c r="F1325" i="2"/>
  <c r="E1325" i="2"/>
  <c r="AN1328" i="1"/>
  <c r="D1325" i="2"/>
  <c r="C1325" i="2"/>
  <c r="B1325" i="2"/>
  <c r="I1324" i="2"/>
  <c r="J1324" i="2"/>
  <c r="L1324" i="2"/>
  <c r="K1324" i="2"/>
  <c r="AP1327" i="1"/>
  <c r="H1324" i="2"/>
  <c r="G1324" i="2"/>
  <c r="AO1327" i="1"/>
  <c r="F1324" i="2"/>
  <c r="E1324" i="2"/>
  <c r="AN1327" i="1"/>
  <c r="D1324" i="2"/>
  <c r="C1324" i="2"/>
  <c r="B1324" i="2"/>
  <c r="I1323" i="2"/>
  <c r="J1323" i="2"/>
  <c r="L1323" i="2"/>
  <c r="K1323" i="2"/>
  <c r="AP1326" i="1"/>
  <c r="H1323" i="2"/>
  <c r="G1323" i="2"/>
  <c r="AO1326" i="1"/>
  <c r="F1323" i="2"/>
  <c r="E1323" i="2"/>
  <c r="AN1326" i="1"/>
  <c r="D1323" i="2"/>
  <c r="C1323" i="2"/>
  <c r="B1323" i="2"/>
  <c r="I1322" i="2"/>
  <c r="J1322" i="2"/>
  <c r="L1322" i="2"/>
  <c r="K1322" i="2"/>
  <c r="AP1325" i="1"/>
  <c r="H1322" i="2"/>
  <c r="G1322" i="2"/>
  <c r="AO1325" i="1"/>
  <c r="F1322" i="2"/>
  <c r="E1322" i="2"/>
  <c r="AN1325" i="1"/>
  <c r="D1322" i="2"/>
  <c r="C1322" i="2"/>
  <c r="B1322" i="2"/>
  <c r="I1321" i="2"/>
  <c r="J1321" i="2"/>
  <c r="L1321" i="2"/>
  <c r="K1321" i="2"/>
  <c r="AP1324" i="1"/>
  <c r="H1321" i="2"/>
  <c r="G1321" i="2"/>
  <c r="AO1324" i="1"/>
  <c r="F1321" i="2"/>
  <c r="E1321" i="2"/>
  <c r="AN1324" i="1"/>
  <c r="D1321" i="2"/>
  <c r="C1321" i="2"/>
  <c r="B1321" i="2"/>
  <c r="I1320" i="2"/>
  <c r="J1320" i="2"/>
  <c r="L1320" i="2"/>
  <c r="K1320" i="2"/>
  <c r="AP1323" i="1"/>
  <c r="H1320" i="2"/>
  <c r="G1320" i="2"/>
  <c r="AO1323" i="1"/>
  <c r="F1320" i="2"/>
  <c r="E1320" i="2"/>
  <c r="AN1323" i="1"/>
  <c r="D1320" i="2"/>
  <c r="C1320" i="2"/>
  <c r="B1320" i="2"/>
  <c r="I1319" i="2"/>
  <c r="J1319" i="2"/>
  <c r="L1319" i="2"/>
  <c r="K1319" i="2"/>
  <c r="AP1322" i="1"/>
  <c r="H1319" i="2"/>
  <c r="G1319" i="2"/>
  <c r="AO1322" i="1"/>
  <c r="F1319" i="2"/>
  <c r="E1319" i="2"/>
  <c r="AN1322" i="1"/>
  <c r="D1319" i="2"/>
  <c r="C1319" i="2"/>
  <c r="B1319" i="2"/>
  <c r="I1318" i="2"/>
  <c r="J1318" i="2"/>
  <c r="L1318" i="2"/>
  <c r="K1318" i="2"/>
  <c r="AP1321" i="1"/>
  <c r="H1318" i="2"/>
  <c r="G1318" i="2"/>
  <c r="AO1321" i="1"/>
  <c r="F1318" i="2"/>
  <c r="E1318" i="2"/>
  <c r="AN1321" i="1"/>
  <c r="D1318" i="2"/>
  <c r="C1318" i="2"/>
  <c r="B1318" i="2"/>
  <c r="I1317" i="2"/>
  <c r="J1317" i="2"/>
  <c r="L1317" i="2"/>
  <c r="K1317" i="2"/>
  <c r="AP1320" i="1"/>
  <c r="H1317" i="2"/>
  <c r="G1317" i="2"/>
  <c r="AO1320" i="1"/>
  <c r="F1317" i="2"/>
  <c r="E1317" i="2"/>
  <c r="AN1320" i="1"/>
  <c r="D1317" i="2"/>
  <c r="C1317" i="2"/>
  <c r="B1317" i="2"/>
  <c r="I1316" i="2"/>
  <c r="J1316" i="2"/>
  <c r="L1316" i="2"/>
  <c r="K1316" i="2"/>
  <c r="AP1319" i="1"/>
  <c r="H1316" i="2"/>
  <c r="G1316" i="2"/>
  <c r="AO1319" i="1"/>
  <c r="F1316" i="2"/>
  <c r="E1316" i="2"/>
  <c r="AN1319" i="1"/>
  <c r="D1316" i="2"/>
  <c r="C1316" i="2"/>
  <c r="B1316" i="2"/>
  <c r="I1315" i="2"/>
  <c r="J1315" i="2"/>
  <c r="L1315" i="2"/>
  <c r="K1315" i="2"/>
  <c r="AP1318" i="1"/>
  <c r="H1315" i="2"/>
  <c r="G1315" i="2"/>
  <c r="AO1318" i="1"/>
  <c r="F1315" i="2"/>
  <c r="E1315" i="2"/>
  <c r="AN1318" i="1"/>
  <c r="D1315" i="2"/>
  <c r="C1315" i="2"/>
  <c r="B1315" i="2"/>
  <c r="I1314" i="2"/>
  <c r="J1314" i="2"/>
  <c r="L1314" i="2"/>
  <c r="K1314" i="2"/>
  <c r="AP1317" i="1"/>
  <c r="H1314" i="2"/>
  <c r="G1314" i="2"/>
  <c r="AO1317" i="1"/>
  <c r="F1314" i="2"/>
  <c r="E1314" i="2"/>
  <c r="AN1317" i="1"/>
  <c r="D1314" i="2"/>
  <c r="C1314" i="2"/>
  <c r="B1314" i="2"/>
  <c r="I1313" i="2"/>
  <c r="J1313" i="2"/>
  <c r="L1313" i="2"/>
  <c r="K1313" i="2"/>
  <c r="AP1316" i="1"/>
  <c r="H1313" i="2"/>
  <c r="G1313" i="2"/>
  <c r="AO1316" i="1"/>
  <c r="F1313" i="2"/>
  <c r="E1313" i="2"/>
  <c r="AN1316" i="1"/>
  <c r="D1313" i="2"/>
  <c r="C1313" i="2"/>
  <c r="B1313" i="2"/>
  <c r="I1312" i="2"/>
  <c r="J1312" i="2"/>
  <c r="L1312" i="2"/>
  <c r="K1312" i="2"/>
  <c r="AP1315" i="1"/>
  <c r="H1312" i="2"/>
  <c r="G1312" i="2"/>
  <c r="AO1315" i="1"/>
  <c r="F1312" i="2"/>
  <c r="E1312" i="2"/>
  <c r="AN1315" i="1"/>
  <c r="D1312" i="2"/>
  <c r="C1312" i="2"/>
  <c r="B1312" i="2"/>
  <c r="I1311" i="2"/>
  <c r="J1311" i="2"/>
  <c r="L1311" i="2"/>
  <c r="K1311" i="2"/>
  <c r="AP1314" i="1"/>
  <c r="H1311" i="2"/>
  <c r="G1311" i="2"/>
  <c r="AO1314" i="1"/>
  <c r="F1311" i="2"/>
  <c r="E1311" i="2"/>
  <c r="AN1314" i="1"/>
  <c r="D1311" i="2"/>
  <c r="C1311" i="2"/>
  <c r="B1311" i="2"/>
  <c r="I1310" i="2"/>
  <c r="J1310" i="2"/>
  <c r="L1310" i="2"/>
  <c r="K1310" i="2"/>
  <c r="AP1313" i="1"/>
  <c r="H1310" i="2"/>
  <c r="G1310" i="2"/>
  <c r="AO1313" i="1"/>
  <c r="F1310" i="2"/>
  <c r="E1310" i="2"/>
  <c r="AN1313" i="1"/>
  <c r="D1310" i="2"/>
  <c r="C1310" i="2"/>
  <c r="B1310" i="2"/>
  <c r="I1309" i="2"/>
  <c r="J1309" i="2"/>
  <c r="L1309" i="2"/>
  <c r="K1309" i="2"/>
  <c r="AP1312" i="1"/>
  <c r="H1309" i="2"/>
  <c r="G1309" i="2"/>
  <c r="AO1312" i="1"/>
  <c r="F1309" i="2"/>
  <c r="E1309" i="2"/>
  <c r="AN1312" i="1"/>
  <c r="D1309" i="2"/>
  <c r="C1309" i="2"/>
  <c r="B1309" i="2"/>
  <c r="I1308" i="2"/>
  <c r="J1308" i="2"/>
  <c r="L1308" i="2"/>
  <c r="K1308" i="2"/>
  <c r="AP1311" i="1"/>
  <c r="H1308" i="2"/>
  <c r="G1308" i="2"/>
  <c r="AO1311" i="1"/>
  <c r="F1308" i="2"/>
  <c r="E1308" i="2"/>
  <c r="AN1311" i="1"/>
  <c r="D1308" i="2"/>
  <c r="C1308" i="2"/>
  <c r="B1308" i="2"/>
  <c r="I1307" i="2"/>
  <c r="J1307" i="2"/>
  <c r="L1307" i="2"/>
  <c r="K1307" i="2"/>
  <c r="AP1310" i="1"/>
  <c r="H1307" i="2"/>
  <c r="G1307" i="2"/>
  <c r="AO1310" i="1"/>
  <c r="F1307" i="2"/>
  <c r="E1307" i="2"/>
  <c r="AN1310" i="1"/>
  <c r="D1307" i="2"/>
  <c r="C1307" i="2"/>
  <c r="B1307" i="2"/>
  <c r="I1306" i="2"/>
  <c r="J1306" i="2"/>
  <c r="L1306" i="2"/>
  <c r="K1306" i="2"/>
  <c r="AP1309" i="1"/>
  <c r="H1306" i="2"/>
  <c r="G1306" i="2"/>
  <c r="AO1309" i="1"/>
  <c r="F1306" i="2"/>
  <c r="E1306" i="2"/>
  <c r="AN1309" i="1"/>
  <c r="D1306" i="2"/>
  <c r="C1306" i="2"/>
  <c r="B1306" i="2"/>
  <c r="I1305" i="2"/>
  <c r="J1305" i="2"/>
  <c r="L1305" i="2"/>
  <c r="K1305" i="2"/>
  <c r="AP1308" i="1"/>
  <c r="H1305" i="2"/>
  <c r="G1305" i="2"/>
  <c r="AO1308" i="1"/>
  <c r="F1305" i="2"/>
  <c r="E1305" i="2"/>
  <c r="AN1308" i="1"/>
  <c r="D1305" i="2"/>
  <c r="C1305" i="2"/>
  <c r="B1305" i="2"/>
  <c r="I1304" i="2"/>
  <c r="J1304" i="2"/>
  <c r="L1304" i="2"/>
  <c r="K1304" i="2"/>
  <c r="AP1307" i="1"/>
  <c r="H1304" i="2"/>
  <c r="G1304" i="2"/>
  <c r="AO1307" i="1"/>
  <c r="F1304" i="2"/>
  <c r="E1304" i="2"/>
  <c r="AN1307" i="1"/>
  <c r="D1304" i="2"/>
  <c r="C1304" i="2"/>
  <c r="B1304" i="2"/>
  <c r="I1303" i="2"/>
  <c r="J1303" i="2"/>
  <c r="L1303" i="2"/>
  <c r="K1303" i="2"/>
  <c r="AP1306" i="1"/>
  <c r="H1303" i="2"/>
  <c r="G1303" i="2"/>
  <c r="AO1306" i="1"/>
  <c r="F1303" i="2"/>
  <c r="E1303" i="2"/>
  <c r="AN1306" i="1"/>
  <c r="D1303" i="2"/>
  <c r="C1303" i="2"/>
  <c r="B1303" i="2"/>
  <c r="I1302" i="2"/>
  <c r="J1302" i="2"/>
  <c r="L1302" i="2"/>
  <c r="K1302" i="2"/>
  <c r="AP1305" i="1"/>
  <c r="H1302" i="2"/>
  <c r="G1302" i="2"/>
  <c r="AO1305" i="1"/>
  <c r="F1302" i="2"/>
  <c r="E1302" i="2"/>
  <c r="AN1305" i="1"/>
  <c r="D1302" i="2"/>
  <c r="C1302" i="2"/>
  <c r="B1302" i="2"/>
  <c r="I1301" i="2"/>
  <c r="J1301" i="2"/>
  <c r="L1301" i="2"/>
  <c r="K1301" i="2"/>
  <c r="AP1304" i="1"/>
  <c r="H1301" i="2"/>
  <c r="G1301" i="2"/>
  <c r="AO1304" i="1"/>
  <c r="F1301" i="2"/>
  <c r="E1301" i="2"/>
  <c r="AN1304" i="1"/>
  <c r="D1301" i="2"/>
  <c r="C1301" i="2"/>
  <c r="B1301" i="2"/>
  <c r="I1300" i="2"/>
  <c r="J1300" i="2"/>
  <c r="L1300" i="2"/>
  <c r="K1300" i="2"/>
  <c r="AP1303" i="1"/>
  <c r="H1300" i="2"/>
  <c r="G1300" i="2"/>
  <c r="AO1303" i="1"/>
  <c r="F1300" i="2"/>
  <c r="E1300" i="2"/>
  <c r="AN1303" i="1"/>
  <c r="D1300" i="2"/>
  <c r="C1300" i="2"/>
  <c r="B1300" i="2"/>
  <c r="I1299" i="2"/>
  <c r="J1299" i="2"/>
  <c r="L1299" i="2"/>
  <c r="K1299" i="2"/>
  <c r="AP1302" i="1"/>
  <c r="H1299" i="2"/>
  <c r="G1299" i="2"/>
  <c r="AO1302" i="1"/>
  <c r="F1299" i="2"/>
  <c r="E1299" i="2"/>
  <c r="AN1302" i="1"/>
  <c r="D1299" i="2"/>
  <c r="C1299" i="2"/>
  <c r="B1299" i="2"/>
  <c r="I1298" i="2"/>
  <c r="J1298" i="2"/>
  <c r="L1298" i="2"/>
  <c r="K1298" i="2"/>
  <c r="AP1301" i="1"/>
  <c r="H1298" i="2"/>
  <c r="G1298" i="2"/>
  <c r="AO1301" i="1"/>
  <c r="F1298" i="2"/>
  <c r="E1298" i="2"/>
  <c r="AN1301" i="1"/>
  <c r="D1298" i="2"/>
  <c r="C1298" i="2"/>
  <c r="B1298" i="2"/>
  <c r="I1297" i="2"/>
  <c r="J1297" i="2"/>
  <c r="L1297" i="2"/>
  <c r="K1297" i="2"/>
  <c r="AP1300" i="1"/>
  <c r="H1297" i="2"/>
  <c r="G1297" i="2"/>
  <c r="AO1300" i="1"/>
  <c r="F1297" i="2"/>
  <c r="E1297" i="2"/>
  <c r="AN1300" i="1"/>
  <c r="D1297" i="2"/>
  <c r="C1297" i="2"/>
  <c r="B1297" i="2"/>
  <c r="I1296" i="2"/>
  <c r="J1296" i="2"/>
  <c r="L1296" i="2"/>
  <c r="K1296" i="2"/>
  <c r="AP1299" i="1"/>
  <c r="H1296" i="2"/>
  <c r="G1296" i="2"/>
  <c r="AO1299" i="1"/>
  <c r="F1296" i="2"/>
  <c r="E1296" i="2"/>
  <c r="AN1299" i="1"/>
  <c r="D1296" i="2"/>
  <c r="C1296" i="2"/>
  <c r="B1296" i="2"/>
  <c r="I1295" i="2"/>
  <c r="AJ1298" i="1"/>
  <c r="J1295" i="2"/>
  <c r="L1295" i="2"/>
  <c r="K1295" i="2"/>
  <c r="AP1298" i="1"/>
  <c r="H1295" i="2"/>
  <c r="G1295" i="2"/>
  <c r="AO1298" i="1"/>
  <c r="F1295" i="2"/>
  <c r="E1295" i="2"/>
  <c r="AN1298" i="1"/>
  <c r="D1295" i="2"/>
  <c r="C1295" i="2"/>
  <c r="B1295" i="2"/>
  <c r="I1294" i="2"/>
  <c r="J1294" i="2"/>
  <c r="L1294" i="2"/>
  <c r="K1294" i="2"/>
  <c r="AP1297" i="1"/>
  <c r="H1294" i="2"/>
  <c r="G1294" i="2"/>
  <c r="AO1297" i="1"/>
  <c r="F1294" i="2"/>
  <c r="E1294" i="2"/>
  <c r="AN1297" i="1"/>
  <c r="D1294" i="2"/>
  <c r="C1294" i="2"/>
  <c r="B1294" i="2"/>
  <c r="I1293" i="2"/>
  <c r="J1293" i="2"/>
  <c r="L1293" i="2"/>
  <c r="K1293" i="2"/>
  <c r="AP1296" i="1"/>
  <c r="H1293" i="2"/>
  <c r="G1293" i="2"/>
  <c r="AO1296" i="1"/>
  <c r="F1293" i="2"/>
  <c r="E1293" i="2"/>
  <c r="AN1296" i="1"/>
  <c r="D1293" i="2"/>
  <c r="C1293" i="2"/>
  <c r="B1293" i="2"/>
  <c r="I1292" i="2"/>
  <c r="J1292" i="2"/>
  <c r="L1292" i="2"/>
  <c r="K1292" i="2"/>
  <c r="AP1295" i="1"/>
  <c r="H1292" i="2"/>
  <c r="G1292" i="2"/>
  <c r="AO1295" i="1"/>
  <c r="F1292" i="2"/>
  <c r="E1292" i="2"/>
  <c r="AN1295" i="1"/>
  <c r="D1292" i="2"/>
  <c r="C1292" i="2"/>
  <c r="B1292" i="2"/>
  <c r="I1291" i="2"/>
  <c r="J1291" i="2"/>
  <c r="L1291" i="2"/>
  <c r="K1291" i="2"/>
  <c r="AP1294" i="1"/>
  <c r="H1291" i="2"/>
  <c r="G1291" i="2"/>
  <c r="AO1294" i="1"/>
  <c r="F1291" i="2"/>
  <c r="E1291" i="2"/>
  <c r="AN1294" i="1"/>
  <c r="D1291" i="2"/>
  <c r="C1291" i="2"/>
  <c r="B1291" i="2"/>
  <c r="I1290" i="2"/>
  <c r="J1290" i="2"/>
  <c r="L1290" i="2"/>
  <c r="K1290" i="2"/>
  <c r="AP1293" i="1"/>
  <c r="H1290" i="2"/>
  <c r="G1290" i="2"/>
  <c r="AO1293" i="1"/>
  <c r="F1290" i="2"/>
  <c r="E1290" i="2"/>
  <c r="AN1293" i="1"/>
  <c r="D1290" i="2"/>
  <c r="C1290" i="2"/>
  <c r="B1290" i="2"/>
  <c r="I1289" i="2"/>
  <c r="J1289" i="2"/>
  <c r="L1289" i="2"/>
  <c r="K1289" i="2"/>
  <c r="AP1292" i="1"/>
  <c r="H1289" i="2"/>
  <c r="G1289" i="2"/>
  <c r="AO1292" i="1"/>
  <c r="F1289" i="2"/>
  <c r="E1289" i="2"/>
  <c r="AN1292" i="1"/>
  <c r="D1289" i="2"/>
  <c r="C1289" i="2"/>
  <c r="B1289" i="2"/>
  <c r="I1288" i="2"/>
  <c r="J1288" i="2"/>
  <c r="L1288" i="2"/>
  <c r="K1288" i="2"/>
  <c r="AP1291" i="1"/>
  <c r="H1288" i="2"/>
  <c r="G1288" i="2"/>
  <c r="AO1291" i="1"/>
  <c r="F1288" i="2"/>
  <c r="E1288" i="2"/>
  <c r="AN1291" i="1"/>
  <c r="D1288" i="2"/>
  <c r="C1288" i="2"/>
  <c r="B1288" i="2"/>
  <c r="I1287" i="2"/>
  <c r="J1287" i="2"/>
  <c r="L1287" i="2"/>
  <c r="K1287" i="2"/>
  <c r="AP1290" i="1"/>
  <c r="H1287" i="2"/>
  <c r="G1287" i="2"/>
  <c r="AO1290" i="1"/>
  <c r="F1287" i="2"/>
  <c r="E1287" i="2"/>
  <c r="AN1290" i="1"/>
  <c r="D1287" i="2"/>
  <c r="C1287" i="2"/>
  <c r="B1287" i="2"/>
  <c r="I1286" i="2"/>
  <c r="J1286" i="2"/>
  <c r="L1286" i="2"/>
  <c r="K1286" i="2"/>
  <c r="AP1289" i="1"/>
  <c r="H1286" i="2"/>
  <c r="G1286" i="2"/>
  <c r="AO1289" i="1"/>
  <c r="F1286" i="2"/>
  <c r="E1286" i="2"/>
  <c r="AN1289" i="1"/>
  <c r="D1286" i="2"/>
  <c r="C1286" i="2"/>
  <c r="B1286" i="2"/>
  <c r="I1285" i="2"/>
  <c r="J1285" i="2"/>
  <c r="L1285" i="2"/>
  <c r="K1285" i="2"/>
  <c r="AP1288" i="1"/>
  <c r="H1285" i="2"/>
  <c r="G1285" i="2"/>
  <c r="AO1288" i="1"/>
  <c r="F1285" i="2"/>
  <c r="E1285" i="2"/>
  <c r="AN1288" i="1"/>
  <c r="D1285" i="2"/>
  <c r="C1285" i="2"/>
  <c r="B1285" i="2"/>
  <c r="I1284" i="2"/>
  <c r="J1284" i="2"/>
  <c r="L1284" i="2"/>
  <c r="K1284" i="2"/>
  <c r="AP1287" i="1"/>
  <c r="H1284" i="2"/>
  <c r="G1284" i="2"/>
  <c r="AO1287" i="1"/>
  <c r="F1284" i="2"/>
  <c r="E1284" i="2"/>
  <c r="AN1287" i="1"/>
  <c r="D1284" i="2"/>
  <c r="C1284" i="2"/>
  <c r="B1284" i="2"/>
  <c r="I1283" i="2"/>
  <c r="J1283" i="2"/>
  <c r="L1283" i="2"/>
  <c r="K1283" i="2"/>
  <c r="AP1286" i="1"/>
  <c r="H1283" i="2"/>
  <c r="G1283" i="2"/>
  <c r="AO1286" i="1"/>
  <c r="F1283" i="2"/>
  <c r="E1283" i="2"/>
  <c r="AN1286" i="1"/>
  <c r="D1283" i="2"/>
  <c r="C1283" i="2"/>
  <c r="B1283" i="2"/>
  <c r="I1282" i="2"/>
  <c r="J1282" i="2"/>
  <c r="L1282" i="2"/>
  <c r="K1282" i="2"/>
  <c r="AP1285" i="1"/>
  <c r="H1282" i="2"/>
  <c r="G1282" i="2"/>
  <c r="AO1285" i="1"/>
  <c r="F1282" i="2"/>
  <c r="E1282" i="2"/>
  <c r="AN1285" i="1"/>
  <c r="D1282" i="2"/>
  <c r="C1282" i="2"/>
  <c r="B1282" i="2"/>
  <c r="I1281" i="2"/>
  <c r="J1281" i="2"/>
  <c r="L1281" i="2"/>
  <c r="K1281" i="2"/>
  <c r="AP1284" i="1"/>
  <c r="H1281" i="2"/>
  <c r="G1281" i="2"/>
  <c r="AO1284" i="1"/>
  <c r="F1281" i="2"/>
  <c r="E1281" i="2"/>
  <c r="AN1284" i="1"/>
  <c r="D1281" i="2"/>
  <c r="C1281" i="2"/>
  <c r="B1281" i="2"/>
  <c r="I1280" i="2"/>
  <c r="J1280" i="2"/>
  <c r="L1280" i="2"/>
  <c r="K1280" i="2"/>
  <c r="AP1283" i="1"/>
  <c r="H1280" i="2"/>
  <c r="G1280" i="2"/>
  <c r="AO1283" i="1"/>
  <c r="F1280" i="2"/>
  <c r="E1280" i="2"/>
  <c r="AN1283" i="1"/>
  <c r="D1280" i="2"/>
  <c r="C1280" i="2"/>
  <c r="B1280" i="2"/>
  <c r="I1279" i="2"/>
  <c r="J1279" i="2"/>
  <c r="L1279" i="2"/>
  <c r="K1279" i="2"/>
  <c r="AP1282" i="1"/>
  <c r="H1279" i="2"/>
  <c r="G1279" i="2"/>
  <c r="AO1282" i="1"/>
  <c r="F1279" i="2"/>
  <c r="E1279" i="2"/>
  <c r="AN1282" i="1"/>
  <c r="D1279" i="2"/>
  <c r="C1279" i="2"/>
  <c r="B1279" i="2"/>
  <c r="I1278" i="2"/>
  <c r="J1278" i="2"/>
  <c r="L1278" i="2"/>
  <c r="K1278" i="2"/>
  <c r="AP1281" i="1"/>
  <c r="H1278" i="2"/>
  <c r="G1278" i="2"/>
  <c r="AO1281" i="1"/>
  <c r="F1278" i="2"/>
  <c r="E1278" i="2"/>
  <c r="AN1281" i="1"/>
  <c r="D1278" i="2"/>
  <c r="C1278" i="2"/>
  <c r="B1278" i="2"/>
  <c r="I1277" i="2"/>
  <c r="J1277" i="2"/>
  <c r="L1277" i="2"/>
  <c r="K1277" i="2"/>
  <c r="AP1280" i="1"/>
  <c r="H1277" i="2"/>
  <c r="G1277" i="2"/>
  <c r="AO1280" i="1"/>
  <c r="F1277" i="2"/>
  <c r="E1277" i="2"/>
  <c r="AN1280" i="1"/>
  <c r="D1277" i="2"/>
  <c r="C1277" i="2"/>
  <c r="B1277" i="2"/>
  <c r="I1276" i="2"/>
  <c r="J1276" i="2"/>
  <c r="L1276" i="2"/>
  <c r="K1276" i="2"/>
  <c r="AP1279" i="1"/>
  <c r="H1276" i="2"/>
  <c r="G1276" i="2"/>
  <c r="AO1279" i="1"/>
  <c r="F1276" i="2"/>
  <c r="E1276" i="2"/>
  <c r="AN1279" i="1"/>
  <c r="D1276" i="2"/>
  <c r="C1276" i="2"/>
  <c r="B1276" i="2"/>
  <c r="I1275" i="2"/>
  <c r="J1275" i="2"/>
  <c r="L1275" i="2"/>
  <c r="K1275" i="2"/>
  <c r="AP1278" i="1"/>
  <c r="H1275" i="2"/>
  <c r="G1275" i="2"/>
  <c r="AO1278" i="1"/>
  <c r="F1275" i="2"/>
  <c r="E1275" i="2"/>
  <c r="AN1278" i="1"/>
  <c r="D1275" i="2"/>
  <c r="C1275" i="2"/>
  <c r="B1275" i="2"/>
  <c r="I1274" i="2"/>
  <c r="J1274" i="2"/>
  <c r="L1274" i="2"/>
  <c r="K1274" i="2"/>
  <c r="AP1277" i="1"/>
  <c r="H1274" i="2"/>
  <c r="G1274" i="2"/>
  <c r="AO1277" i="1"/>
  <c r="F1274" i="2"/>
  <c r="E1274" i="2"/>
  <c r="AN1277" i="1"/>
  <c r="D1274" i="2"/>
  <c r="C1274" i="2"/>
  <c r="B1274" i="2"/>
  <c r="I1273" i="2"/>
  <c r="J1273" i="2"/>
  <c r="L1273" i="2"/>
  <c r="K1273" i="2"/>
  <c r="AP1276" i="1"/>
  <c r="H1273" i="2"/>
  <c r="G1273" i="2"/>
  <c r="AO1276" i="1"/>
  <c r="F1273" i="2"/>
  <c r="E1273" i="2"/>
  <c r="AN1276" i="1"/>
  <c r="D1273" i="2"/>
  <c r="C1273" i="2"/>
  <c r="B1273" i="2"/>
  <c r="I1272" i="2"/>
  <c r="J1272" i="2"/>
  <c r="L1272" i="2"/>
  <c r="K1272" i="2"/>
  <c r="AP1275" i="1"/>
  <c r="H1272" i="2"/>
  <c r="G1272" i="2"/>
  <c r="AO1275" i="1"/>
  <c r="F1272" i="2"/>
  <c r="E1272" i="2"/>
  <c r="AN1275" i="1"/>
  <c r="D1272" i="2"/>
  <c r="C1272" i="2"/>
  <c r="B1272" i="2"/>
  <c r="I1271" i="2"/>
  <c r="J1271" i="2"/>
  <c r="L1271" i="2"/>
  <c r="K1271" i="2"/>
  <c r="AP1274" i="1"/>
  <c r="H1271" i="2"/>
  <c r="G1271" i="2"/>
  <c r="AO1274" i="1"/>
  <c r="F1271" i="2"/>
  <c r="E1271" i="2"/>
  <c r="AN1274" i="1"/>
  <c r="D1271" i="2"/>
  <c r="C1271" i="2"/>
  <c r="B1271" i="2"/>
  <c r="I1270" i="2"/>
  <c r="J1270" i="2"/>
  <c r="L1270" i="2"/>
  <c r="K1270" i="2"/>
  <c r="AP1273" i="1"/>
  <c r="H1270" i="2"/>
  <c r="G1270" i="2"/>
  <c r="AO1273" i="1"/>
  <c r="F1270" i="2"/>
  <c r="E1270" i="2"/>
  <c r="AN1273" i="1"/>
  <c r="D1270" i="2"/>
  <c r="C1270" i="2"/>
  <c r="B1270" i="2"/>
  <c r="I1269" i="2"/>
  <c r="J1269" i="2"/>
  <c r="L1269" i="2"/>
  <c r="K1269" i="2"/>
  <c r="AP1272" i="1"/>
  <c r="H1269" i="2"/>
  <c r="G1269" i="2"/>
  <c r="AO1272" i="1"/>
  <c r="F1269" i="2"/>
  <c r="E1269" i="2"/>
  <c r="AN1272" i="1"/>
  <c r="D1269" i="2"/>
  <c r="C1269" i="2"/>
  <c r="B1269" i="2"/>
  <c r="I1268" i="2"/>
  <c r="J1268" i="2"/>
  <c r="L1268" i="2"/>
  <c r="K1268" i="2"/>
  <c r="AP1271" i="1"/>
  <c r="H1268" i="2"/>
  <c r="G1268" i="2"/>
  <c r="AO1271" i="1"/>
  <c r="F1268" i="2"/>
  <c r="E1268" i="2"/>
  <c r="AN1271" i="1"/>
  <c r="D1268" i="2"/>
  <c r="C1268" i="2"/>
  <c r="B1268" i="2"/>
  <c r="I1267" i="2"/>
  <c r="J1267" i="2"/>
  <c r="L1267" i="2"/>
  <c r="K1267" i="2"/>
  <c r="AP1270" i="1"/>
  <c r="H1267" i="2"/>
  <c r="G1267" i="2"/>
  <c r="AO1270" i="1"/>
  <c r="F1267" i="2"/>
  <c r="E1267" i="2"/>
  <c r="AN1270" i="1"/>
  <c r="D1267" i="2"/>
  <c r="C1267" i="2"/>
  <c r="B1267" i="2"/>
  <c r="I1266" i="2"/>
  <c r="J1266" i="2"/>
  <c r="L1266" i="2"/>
  <c r="K1266" i="2"/>
  <c r="AP1269" i="1"/>
  <c r="H1266" i="2"/>
  <c r="G1266" i="2"/>
  <c r="AO1269" i="1"/>
  <c r="F1266" i="2"/>
  <c r="E1266" i="2"/>
  <c r="AN1269" i="1"/>
  <c r="D1266" i="2"/>
  <c r="C1266" i="2"/>
  <c r="B1266" i="2"/>
  <c r="I1265" i="2"/>
  <c r="J1265" i="2"/>
  <c r="L1265" i="2"/>
  <c r="K1265" i="2"/>
  <c r="AP1268" i="1"/>
  <c r="H1265" i="2"/>
  <c r="G1265" i="2"/>
  <c r="AO1268" i="1"/>
  <c r="F1265" i="2"/>
  <c r="E1265" i="2"/>
  <c r="AN1268" i="1"/>
  <c r="D1265" i="2"/>
  <c r="C1265" i="2"/>
  <c r="B1265" i="2"/>
  <c r="I1264" i="2"/>
  <c r="J1264" i="2"/>
  <c r="L1264" i="2"/>
  <c r="K1264" i="2"/>
  <c r="AP1267" i="1"/>
  <c r="H1264" i="2"/>
  <c r="G1264" i="2"/>
  <c r="AO1267" i="1"/>
  <c r="F1264" i="2"/>
  <c r="E1264" i="2"/>
  <c r="AN1267" i="1"/>
  <c r="D1264" i="2"/>
  <c r="C1264" i="2"/>
  <c r="B1264" i="2"/>
  <c r="I1263" i="2"/>
  <c r="J1263" i="2"/>
  <c r="L1263" i="2"/>
  <c r="K1263" i="2"/>
  <c r="AP1266" i="1"/>
  <c r="H1263" i="2"/>
  <c r="G1263" i="2"/>
  <c r="AO1266" i="1"/>
  <c r="F1263" i="2"/>
  <c r="E1263" i="2"/>
  <c r="AN1266" i="1"/>
  <c r="D1263" i="2"/>
  <c r="C1263" i="2"/>
  <c r="B1263" i="2"/>
  <c r="I1262" i="2"/>
  <c r="J1262" i="2"/>
  <c r="L1262" i="2"/>
  <c r="K1262" i="2"/>
  <c r="AP1265" i="1"/>
  <c r="H1262" i="2"/>
  <c r="G1262" i="2"/>
  <c r="AO1265" i="1"/>
  <c r="F1262" i="2"/>
  <c r="E1262" i="2"/>
  <c r="AN1265" i="1"/>
  <c r="D1262" i="2"/>
  <c r="C1262" i="2"/>
  <c r="B1262" i="2"/>
  <c r="I1261" i="2"/>
  <c r="J1261" i="2"/>
  <c r="L1261" i="2"/>
  <c r="K1261" i="2"/>
  <c r="AP1264" i="1"/>
  <c r="H1261" i="2"/>
  <c r="G1261" i="2"/>
  <c r="AO1264" i="1"/>
  <c r="F1261" i="2"/>
  <c r="E1261" i="2"/>
  <c r="AN1264" i="1"/>
  <c r="D1261" i="2"/>
  <c r="C1261" i="2"/>
  <c r="B1261" i="2"/>
  <c r="I1260" i="2"/>
  <c r="J1260" i="2"/>
  <c r="L1260" i="2"/>
  <c r="K1260" i="2"/>
  <c r="AP1263" i="1"/>
  <c r="H1260" i="2"/>
  <c r="G1260" i="2"/>
  <c r="AO1263" i="1"/>
  <c r="F1260" i="2"/>
  <c r="E1260" i="2"/>
  <c r="AN1263" i="1"/>
  <c r="D1260" i="2"/>
  <c r="C1260" i="2"/>
  <c r="B1260" i="2"/>
  <c r="I1259" i="2"/>
  <c r="J1259" i="2"/>
  <c r="L1259" i="2"/>
  <c r="K1259" i="2"/>
  <c r="AP1262" i="1"/>
  <c r="H1259" i="2"/>
  <c r="G1259" i="2"/>
  <c r="AO1262" i="1"/>
  <c r="F1259" i="2"/>
  <c r="E1259" i="2"/>
  <c r="AN1262" i="1"/>
  <c r="D1259" i="2"/>
  <c r="C1259" i="2"/>
  <c r="B1259" i="2"/>
  <c r="I1258" i="2"/>
  <c r="J1258" i="2"/>
  <c r="L1258" i="2"/>
  <c r="K1258" i="2"/>
  <c r="AP1261" i="1"/>
  <c r="H1258" i="2"/>
  <c r="G1258" i="2"/>
  <c r="AO1261" i="1"/>
  <c r="F1258" i="2"/>
  <c r="E1258" i="2"/>
  <c r="AN1261" i="1"/>
  <c r="D1258" i="2"/>
  <c r="C1258" i="2"/>
  <c r="B1258" i="2"/>
  <c r="I1257" i="2"/>
  <c r="J1257" i="2"/>
  <c r="L1257" i="2"/>
  <c r="K1257" i="2"/>
  <c r="AP1260" i="1"/>
  <c r="H1257" i="2"/>
  <c r="G1257" i="2"/>
  <c r="AO1260" i="1"/>
  <c r="F1257" i="2"/>
  <c r="E1257" i="2"/>
  <c r="AN1260" i="1"/>
  <c r="D1257" i="2"/>
  <c r="C1257" i="2"/>
  <c r="B1257" i="2"/>
  <c r="I1256" i="2"/>
  <c r="J1256" i="2"/>
  <c r="L1256" i="2"/>
  <c r="K1256" i="2"/>
  <c r="AP1259" i="1"/>
  <c r="H1256" i="2"/>
  <c r="G1256" i="2"/>
  <c r="AO1259" i="1"/>
  <c r="F1256" i="2"/>
  <c r="E1256" i="2"/>
  <c r="AN1259" i="1"/>
  <c r="D1256" i="2"/>
  <c r="C1256" i="2"/>
  <c r="B1256" i="2"/>
  <c r="I1255" i="2"/>
  <c r="J1255" i="2"/>
  <c r="L1255" i="2"/>
  <c r="K1255" i="2"/>
  <c r="AP1258" i="1"/>
  <c r="H1255" i="2"/>
  <c r="G1255" i="2"/>
  <c r="AO1258" i="1"/>
  <c r="F1255" i="2"/>
  <c r="E1255" i="2"/>
  <c r="AN1258" i="1"/>
  <c r="D1255" i="2"/>
  <c r="C1255" i="2"/>
  <c r="B1255" i="2"/>
  <c r="I1254" i="2"/>
  <c r="J1254" i="2"/>
  <c r="L1254" i="2"/>
  <c r="K1254" i="2"/>
  <c r="AP1257" i="1"/>
  <c r="H1254" i="2"/>
  <c r="G1254" i="2"/>
  <c r="AO1257" i="1"/>
  <c r="F1254" i="2"/>
  <c r="E1254" i="2"/>
  <c r="AN1257" i="1"/>
  <c r="D1254" i="2"/>
  <c r="C1254" i="2"/>
  <c r="B1254" i="2"/>
  <c r="I1253" i="2"/>
  <c r="J1253" i="2"/>
  <c r="L1253" i="2"/>
  <c r="K1253" i="2"/>
  <c r="AP1256" i="1"/>
  <c r="H1253" i="2"/>
  <c r="G1253" i="2"/>
  <c r="AO1256" i="1"/>
  <c r="F1253" i="2"/>
  <c r="E1253" i="2"/>
  <c r="AN1256" i="1"/>
  <c r="D1253" i="2"/>
  <c r="C1253" i="2"/>
  <c r="B1253" i="2"/>
  <c r="I1252" i="2"/>
  <c r="J1252" i="2"/>
  <c r="L1252" i="2"/>
  <c r="K1252" i="2"/>
  <c r="AP1255" i="1"/>
  <c r="H1252" i="2"/>
  <c r="G1252" i="2"/>
  <c r="AO1255" i="1"/>
  <c r="F1252" i="2"/>
  <c r="E1252" i="2"/>
  <c r="AN1255" i="1"/>
  <c r="D1252" i="2"/>
  <c r="C1252" i="2"/>
  <c r="B1252" i="2"/>
  <c r="I1251" i="2"/>
  <c r="J1251" i="2"/>
  <c r="L1251" i="2"/>
  <c r="K1251" i="2"/>
  <c r="AP1254" i="1"/>
  <c r="H1251" i="2"/>
  <c r="G1251" i="2"/>
  <c r="AO1254" i="1"/>
  <c r="F1251" i="2"/>
  <c r="E1251" i="2"/>
  <c r="AN1254" i="1"/>
  <c r="D1251" i="2"/>
  <c r="C1251" i="2"/>
  <c r="B1251" i="2"/>
  <c r="I1250" i="2"/>
  <c r="J1250" i="2"/>
  <c r="L1250" i="2"/>
  <c r="K1250" i="2"/>
  <c r="AP1253" i="1"/>
  <c r="H1250" i="2"/>
  <c r="G1250" i="2"/>
  <c r="AO1253" i="1"/>
  <c r="F1250" i="2"/>
  <c r="E1250" i="2"/>
  <c r="AN1253" i="1"/>
  <c r="D1250" i="2"/>
  <c r="C1250" i="2"/>
  <c r="B1250" i="2"/>
  <c r="I1249" i="2"/>
  <c r="J1249" i="2"/>
  <c r="L1249" i="2"/>
  <c r="K1249" i="2"/>
  <c r="AP1252" i="1"/>
  <c r="H1249" i="2"/>
  <c r="G1249" i="2"/>
  <c r="AO1252" i="1"/>
  <c r="F1249" i="2"/>
  <c r="E1249" i="2"/>
  <c r="AN1252" i="1"/>
  <c r="D1249" i="2"/>
  <c r="C1249" i="2"/>
  <c r="B1249" i="2"/>
  <c r="I1248" i="2"/>
  <c r="J1248" i="2"/>
  <c r="L1248" i="2"/>
  <c r="K1248" i="2"/>
  <c r="AP1251" i="1"/>
  <c r="H1248" i="2"/>
  <c r="G1248" i="2"/>
  <c r="AO1251" i="1"/>
  <c r="F1248" i="2"/>
  <c r="E1248" i="2"/>
  <c r="AN1251" i="1"/>
  <c r="D1248" i="2"/>
  <c r="C1248" i="2"/>
  <c r="B1248" i="2"/>
  <c r="I1247" i="2"/>
  <c r="J1247" i="2"/>
  <c r="L1247" i="2"/>
  <c r="K1247" i="2"/>
  <c r="AP1250" i="1"/>
  <c r="H1247" i="2"/>
  <c r="G1247" i="2"/>
  <c r="AO1250" i="1"/>
  <c r="F1247" i="2"/>
  <c r="E1247" i="2"/>
  <c r="AN1250" i="1"/>
  <c r="D1247" i="2"/>
  <c r="C1247" i="2"/>
  <c r="B1247" i="2"/>
  <c r="I1246" i="2"/>
  <c r="J1246" i="2"/>
  <c r="L1246" i="2"/>
  <c r="K1246" i="2"/>
  <c r="AP1249" i="1"/>
  <c r="H1246" i="2"/>
  <c r="G1246" i="2"/>
  <c r="AO1249" i="1"/>
  <c r="F1246" i="2"/>
  <c r="E1246" i="2"/>
  <c r="AN1249" i="1"/>
  <c r="D1246" i="2"/>
  <c r="C1246" i="2"/>
  <c r="B1246" i="2"/>
  <c r="I1245" i="2"/>
  <c r="J1245" i="2"/>
  <c r="L1245" i="2"/>
  <c r="K1245" i="2"/>
  <c r="H1245" i="2"/>
  <c r="G1245" i="2"/>
  <c r="AO1248" i="1"/>
  <c r="F1245" i="2"/>
  <c r="E1245" i="2"/>
  <c r="AN1248" i="1"/>
  <c r="D1245" i="2"/>
  <c r="C1245" i="2"/>
  <c r="B1245" i="2"/>
  <c r="I1244" i="2"/>
  <c r="J1244" i="2"/>
  <c r="L1244" i="2"/>
  <c r="K1244" i="2"/>
  <c r="H1244" i="2"/>
  <c r="G1244" i="2"/>
  <c r="AO1247" i="1"/>
  <c r="F1244" i="2"/>
  <c r="E1244" i="2"/>
  <c r="AN1247" i="1"/>
  <c r="D1244" i="2"/>
  <c r="C1244" i="2"/>
  <c r="B1244" i="2"/>
  <c r="I1243" i="2"/>
  <c r="J1243" i="2"/>
  <c r="L1243" i="2"/>
  <c r="K1243" i="2"/>
  <c r="H1243" i="2"/>
  <c r="G1243" i="2"/>
  <c r="AO1246" i="1"/>
  <c r="F1243" i="2"/>
  <c r="E1243" i="2"/>
  <c r="AN1246" i="1"/>
  <c r="D1243" i="2"/>
  <c r="C1243" i="2"/>
  <c r="B1243" i="2"/>
  <c r="I1242" i="2"/>
  <c r="J1242" i="2"/>
  <c r="L1242" i="2"/>
  <c r="K1242" i="2"/>
  <c r="H1242" i="2"/>
  <c r="G1242" i="2"/>
  <c r="AO1245" i="1"/>
  <c r="F1242" i="2"/>
  <c r="E1242" i="2"/>
  <c r="AN1245" i="1"/>
  <c r="D1242" i="2"/>
  <c r="C1242" i="2"/>
  <c r="B1242" i="2"/>
  <c r="I1241" i="2"/>
  <c r="J1241" i="2"/>
  <c r="L1241" i="2"/>
  <c r="K1241" i="2"/>
  <c r="AP1244" i="1"/>
  <c r="H1241" i="2"/>
  <c r="G1241" i="2"/>
  <c r="AO1244" i="1"/>
  <c r="F1241" i="2"/>
  <c r="E1241" i="2"/>
  <c r="AN1244" i="1"/>
  <c r="D1241" i="2"/>
  <c r="C1241" i="2"/>
  <c r="B1241" i="2"/>
  <c r="I1240" i="2"/>
  <c r="J1240" i="2"/>
  <c r="L1240" i="2"/>
  <c r="K1240" i="2"/>
  <c r="AP1243" i="1"/>
  <c r="H1240" i="2"/>
  <c r="G1240" i="2"/>
  <c r="AO1243" i="1"/>
  <c r="F1240" i="2"/>
  <c r="E1240" i="2"/>
  <c r="AN1243" i="1"/>
  <c r="D1240" i="2"/>
  <c r="C1240" i="2"/>
  <c r="B1240" i="2"/>
  <c r="I1239" i="2"/>
  <c r="J1239" i="2"/>
  <c r="L1239" i="2"/>
  <c r="K1239" i="2"/>
  <c r="AP1242" i="1"/>
  <c r="H1239" i="2"/>
  <c r="G1239" i="2"/>
  <c r="AO1242" i="1"/>
  <c r="F1239" i="2"/>
  <c r="E1239" i="2"/>
  <c r="AN1242" i="1"/>
  <c r="D1239" i="2"/>
  <c r="C1239" i="2"/>
  <c r="B1239" i="2"/>
  <c r="I1238" i="2"/>
  <c r="J1238" i="2"/>
  <c r="L1238" i="2"/>
  <c r="K1238" i="2"/>
  <c r="AP1241" i="1"/>
  <c r="H1238" i="2"/>
  <c r="G1238" i="2"/>
  <c r="AO1241" i="1"/>
  <c r="F1238" i="2"/>
  <c r="E1238" i="2"/>
  <c r="AN1241" i="1"/>
  <c r="D1238" i="2"/>
  <c r="C1238" i="2"/>
  <c r="B1238" i="2"/>
  <c r="I1237" i="2"/>
  <c r="J1237" i="2"/>
  <c r="L1237" i="2"/>
  <c r="K1237" i="2"/>
  <c r="AP1240" i="1"/>
  <c r="H1237" i="2"/>
  <c r="G1237" i="2"/>
  <c r="AO1240" i="1"/>
  <c r="F1237" i="2"/>
  <c r="E1237" i="2"/>
  <c r="AN1240" i="1"/>
  <c r="D1237" i="2"/>
  <c r="C1237" i="2"/>
  <c r="B1237" i="2"/>
  <c r="I1236" i="2"/>
  <c r="J1236" i="2"/>
  <c r="L1236" i="2"/>
  <c r="K1236" i="2"/>
  <c r="AP1239" i="1"/>
  <c r="H1236" i="2"/>
  <c r="G1236" i="2"/>
  <c r="AO1239" i="1"/>
  <c r="F1236" i="2"/>
  <c r="E1236" i="2"/>
  <c r="AN1239" i="1"/>
  <c r="D1236" i="2"/>
  <c r="C1236" i="2"/>
  <c r="B1236" i="2"/>
  <c r="I1235" i="2"/>
  <c r="J1235" i="2"/>
  <c r="L1235" i="2"/>
  <c r="K1235" i="2"/>
  <c r="AP1238" i="1"/>
  <c r="H1235" i="2"/>
  <c r="G1235" i="2"/>
  <c r="AO1238" i="1"/>
  <c r="F1235" i="2"/>
  <c r="E1235" i="2"/>
  <c r="AN1238" i="1"/>
  <c r="D1235" i="2"/>
  <c r="C1235" i="2"/>
  <c r="B1235" i="2"/>
  <c r="I1234" i="2"/>
  <c r="J1234" i="2"/>
  <c r="L1234" i="2"/>
  <c r="K1234" i="2"/>
  <c r="AP1237" i="1"/>
  <c r="H1234" i="2"/>
  <c r="G1234" i="2"/>
  <c r="AO1237" i="1"/>
  <c r="F1234" i="2"/>
  <c r="E1234" i="2"/>
  <c r="AN1237" i="1"/>
  <c r="D1234" i="2"/>
  <c r="C1234" i="2"/>
  <c r="B1234" i="2"/>
  <c r="I1233" i="2"/>
  <c r="J1233" i="2"/>
  <c r="L1233" i="2"/>
  <c r="K1233" i="2"/>
  <c r="AP1236" i="1"/>
  <c r="H1233" i="2"/>
  <c r="G1233" i="2"/>
  <c r="AO1236" i="1"/>
  <c r="F1233" i="2"/>
  <c r="E1233" i="2"/>
  <c r="AN1236" i="1"/>
  <c r="D1233" i="2"/>
  <c r="C1233" i="2"/>
  <c r="B1233" i="2"/>
  <c r="I1232" i="2"/>
  <c r="J1232" i="2"/>
  <c r="L1232" i="2"/>
  <c r="K1232" i="2"/>
  <c r="AP1235" i="1"/>
  <c r="H1232" i="2"/>
  <c r="G1232" i="2"/>
  <c r="AO1235" i="1"/>
  <c r="F1232" i="2"/>
  <c r="E1232" i="2"/>
  <c r="AN1235" i="1"/>
  <c r="D1232" i="2"/>
  <c r="C1232" i="2"/>
  <c r="B1232" i="2"/>
  <c r="I1231" i="2"/>
  <c r="J1231" i="2"/>
  <c r="L1231" i="2"/>
  <c r="K1231" i="2"/>
  <c r="AP1234" i="1"/>
  <c r="H1231" i="2"/>
  <c r="G1231" i="2"/>
  <c r="AO1234" i="1"/>
  <c r="F1231" i="2"/>
  <c r="E1231" i="2"/>
  <c r="AN1234" i="1"/>
  <c r="D1231" i="2"/>
  <c r="C1231" i="2"/>
  <c r="B1231" i="2"/>
  <c r="I1230" i="2"/>
  <c r="J1230" i="2"/>
  <c r="L1230" i="2"/>
  <c r="K1230" i="2"/>
  <c r="AP1233" i="1"/>
  <c r="H1230" i="2"/>
  <c r="G1230" i="2"/>
  <c r="AO1233" i="1"/>
  <c r="F1230" i="2"/>
  <c r="E1230" i="2"/>
  <c r="AN1233" i="1"/>
  <c r="D1230" i="2"/>
  <c r="C1230" i="2"/>
  <c r="B1230" i="2"/>
  <c r="I1229" i="2"/>
  <c r="J1229" i="2"/>
  <c r="L1229" i="2"/>
  <c r="K1229" i="2"/>
  <c r="AP1232" i="1"/>
  <c r="H1229" i="2"/>
  <c r="G1229" i="2"/>
  <c r="AO1232" i="1"/>
  <c r="F1229" i="2"/>
  <c r="E1229" i="2"/>
  <c r="AN1232" i="1"/>
  <c r="D1229" i="2"/>
  <c r="C1229" i="2"/>
  <c r="B1229" i="2"/>
  <c r="I1228" i="2"/>
  <c r="J1228" i="2"/>
  <c r="L1228" i="2"/>
  <c r="K1228" i="2"/>
  <c r="AP1231" i="1"/>
  <c r="H1228" i="2"/>
  <c r="G1228" i="2"/>
  <c r="AO1231" i="1"/>
  <c r="F1228" i="2"/>
  <c r="E1228" i="2"/>
  <c r="AN1231" i="1"/>
  <c r="D1228" i="2"/>
  <c r="C1228" i="2"/>
  <c r="B1228" i="2"/>
  <c r="I1227" i="2"/>
  <c r="J1227" i="2"/>
  <c r="L1227" i="2"/>
  <c r="K1227" i="2"/>
  <c r="AP1230" i="1"/>
  <c r="H1227" i="2"/>
  <c r="G1227" i="2"/>
  <c r="AO1230" i="1"/>
  <c r="F1227" i="2"/>
  <c r="E1227" i="2"/>
  <c r="AN1230" i="1"/>
  <c r="D1227" i="2"/>
  <c r="C1227" i="2"/>
  <c r="B1227" i="2"/>
  <c r="I1226" i="2"/>
  <c r="J1226" i="2"/>
  <c r="L1226" i="2"/>
  <c r="K1226" i="2"/>
  <c r="AP1229" i="1"/>
  <c r="H1226" i="2"/>
  <c r="G1226" i="2"/>
  <c r="AO1229" i="1"/>
  <c r="F1226" i="2"/>
  <c r="E1226" i="2"/>
  <c r="AN1229" i="1"/>
  <c r="D1226" i="2"/>
  <c r="C1226" i="2"/>
  <c r="B1226" i="2"/>
  <c r="I1225" i="2"/>
  <c r="J1225" i="2"/>
  <c r="L1225" i="2"/>
  <c r="K1225" i="2"/>
  <c r="AP1228" i="1"/>
  <c r="H1225" i="2"/>
  <c r="G1225" i="2"/>
  <c r="AO1228" i="1"/>
  <c r="F1225" i="2"/>
  <c r="E1225" i="2"/>
  <c r="AN1228" i="1"/>
  <c r="D1225" i="2"/>
  <c r="C1225" i="2"/>
  <c r="B1225" i="2"/>
  <c r="I1224" i="2"/>
  <c r="J1224" i="2"/>
  <c r="L1224" i="2"/>
  <c r="K1224" i="2"/>
  <c r="AP1227" i="1"/>
  <c r="H1224" i="2"/>
  <c r="G1224" i="2"/>
  <c r="AO1227" i="1"/>
  <c r="F1224" i="2"/>
  <c r="E1224" i="2"/>
  <c r="AN1227" i="1"/>
  <c r="D1224" i="2"/>
  <c r="C1224" i="2"/>
  <c r="B1224" i="2"/>
  <c r="I1223" i="2"/>
  <c r="J1223" i="2"/>
  <c r="L1223" i="2"/>
  <c r="K1223" i="2"/>
  <c r="AP1226" i="1"/>
  <c r="H1223" i="2"/>
  <c r="G1223" i="2"/>
  <c r="AO1226" i="1"/>
  <c r="F1223" i="2"/>
  <c r="E1223" i="2"/>
  <c r="AN1226" i="1"/>
  <c r="D1223" i="2"/>
  <c r="C1223" i="2"/>
  <c r="B1223" i="2"/>
  <c r="I1222" i="2"/>
  <c r="J1222" i="2"/>
  <c r="L1222" i="2"/>
  <c r="K1222" i="2"/>
  <c r="AP1225" i="1"/>
  <c r="H1222" i="2"/>
  <c r="G1222" i="2"/>
  <c r="AO1225" i="1"/>
  <c r="F1222" i="2"/>
  <c r="E1222" i="2"/>
  <c r="AN1225" i="1"/>
  <c r="D1222" i="2"/>
  <c r="C1222" i="2"/>
  <c r="B1222" i="2"/>
  <c r="I1221" i="2"/>
  <c r="J1221" i="2"/>
  <c r="L1221" i="2"/>
  <c r="K1221" i="2"/>
  <c r="AP1224" i="1"/>
  <c r="H1221" i="2"/>
  <c r="G1221" i="2"/>
  <c r="AO1224" i="1"/>
  <c r="F1221" i="2"/>
  <c r="E1221" i="2"/>
  <c r="AN1224" i="1"/>
  <c r="D1221" i="2"/>
  <c r="C1221" i="2"/>
  <c r="B1221" i="2"/>
  <c r="I1220" i="2"/>
  <c r="J1220" i="2"/>
  <c r="L1220" i="2"/>
  <c r="K1220" i="2"/>
  <c r="AP1223" i="1"/>
  <c r="H1220" i="2"/>
  <c r="G1220" i="2"/>
  <c r="AO1223" i="1"/>
  <c r="F1220" i="2"/>
  <c r="E1220" i="2"/>
  <c r="AN1223" i="1"/>
  <c r="D1220" i="2"/>
  <c r="C1220" i="2"/>
  <c r="B1220" i="2"/>
  <c r="I1219" i="2"/>
  <c r="J1219" i="2"/>
  <c r="L1219" i="2"/>
  <c r="K1219" i="2"/>
  <c r="AP1222" i="1"/>
  <c r="H1219" i="2"/>
  <c r="G1219" i="2"/>
  <c r="AO1222" i="1"/>
  <c r="F1219" i="2"/>
  <c r="E1219" i="2"/>
  <c r="AN1222" i="1"/>
  <c r="D1219" i="2"/>
  <c r="C1219" i="2"/>
  <c r="B1219" i="2"/>
  <c r="I1218" i="2"/>
  <c r="J1218" i="2"/>
  <c r="L1218" i="2"/>
  <c r="K1218" i="2"/>
  <c r="AP1221" i="1"/>
  <c r="H1218" i="2"/>
  <c r="G1218" i="2"/>
  <c r="AO1221" i="1"/>
  <c r="F1218" i="2"/>
  <c r="E1218" i="2"/>
  <c r="AN1221" i="1"/>
  <c r="D1218" i="2"/>
  <c r="C1218" i="2"/>
  <c r="B1218" i="2"/>
  <c r="I1217" i="2"/>
  <c r="J1217" i="2"/>
  <c r="L1217" i="2"/>
  <c r="K1217" i="2"/>
  <c r="AP1220" i="1"/>
  <c r="H1217" i="2"/>
  <c r="G1217" i="2"/>
  <c r="AO1220" i="1"/>
  <c r="F1217" i="2"/>
  <c r="E1217" i="2"/>
  <c r="AN1220" i="1"/>
  <c r="D1217" i="2"/>
  <c r="C1217" i="2"/>
  <c r="B1217" i="2"/>
  <c r="I1216" i="2"/>
  <c r="J1216" i="2"/>
  <c r="L1216" i="2"/>
  <c r="K1216" i="2"/>
  <c r="AP1219" i="1"/>
  <c r="H1216" i="2"/>
  <c r="G1216" i="2"/>
  <c r="AO1219" i="1"/>
  <c r="F1216" i="2"/>
  <c r="E1216" i="2"/>
  <c r="AN1219" i="1"/>
  <c r="D1216" i="2"/>
  <c r="C1216" i="2"/>
  <c r="B1216" i="2"/>
  <c r="I1215" i="2"/>
  <c r="J1215" i="2"/>
  <c r="L1215" i="2"/>
  <c r="K1215" i="2"/>
  <c r="AP1218" i="1"/>
  <c r="H1215" i="2"/>
  <c r="G1215" i="2"/>
  <c r="AO1218" i="1"/>
  <c r="F1215" i="2"/>
  <c r="E1215" i="2"/>
  <c r="AN1218" i="1"/>
  <c r="D1215" i="2"/>
  <c r="C1215" i="2"/>
  <c r="B1215" i="2"/>
  <c r="I1214" i="2"/>
  <c r="J1214" i="2"/>
  <c r="L1214" i="2"/>
  <c r="K1214" i="2"/>
  <c r="AP1217" i="1"/>
  <c r="H1214" i="2"/>
  <c r="G1214" i="2"/>
  <c r="AO1217" i="1"/>
  <c r="F1214" i="2"/>
  <c r="E1214" i="2"/>
  <c r="AN1217" i="1"/>
  <c r="D1214" i="2"/>
  <c r="C1214" i="2"/>
  <c r="B1214" i="2"/>
  <c r="I1213" i="2"/>
  <c r="J1213" i="2"/>
  <c r="L1213" i="2"/>
  <c r="K1213" i="2"/>
  <c r="AP1216" i="1"/>
  <c r="H1213" i="2"/>
  <c r="G1213" i="2"/>
  <c r="AO1216" i="1"/>
  <c r="F1213" i="2"/>
  <c r="E1213" i="2"/>
  <c r="AN1216" i="1"/>
  <c r="D1213" i="2"/>
  <c r="C1213" i="2"/>
  <c r="B1213" i="2"/>
  <c r="I1212" i="2"/>
  <c r="J1212" i="2"/>
  <c r="L1212" i="2"/>
  <c r="K1212" i="2"/>
  <c r="AP1215" i="1"/>
  <c r="H1212" i="2"/>
  <c r="G1212" i="2"/>
  <c r="AO1215" i="1"/>
  <c r="F1212" i="2"/>
  <c r="E1212" i="2"/>
  <c r="AN1215" i="1"/>
  <c r="D1212" i="2"/>
  <c r="C1212" i="2"/>
  <c r="B1212" i="2"/>
  <c r="I1211" i="2"/>
  <c r="J1211" i="2"/>
  <c r="L1211" i="2"/>
  <c r="K1211" i="2"/>
  <c r="AP1214" i="1"/>
  <c r="H1211" i="2"/>
  <c r="G1211" i="2"/>
  <c r="AO1214" i="1"/>
  <c r="F1211" i="2"/>
  <c r="E1211" i="2"/>
  <c r="AN1214" i="1"/>
  <c r="D1211" i="2"/>
  <c r="C1211" i="2"/>
  <c r="B1211" i="2"/>
  <c r="I1210" i="2"/>
  <c r="J1210" i="2"/>
  <c r="L1210" i="2"/>
  <c r="K1210" i="2"/>
  <c r="AP1213" i="1"/>
  <c r="H1210" i="2"/>
  <c r="G1210" i="2"/>
  <c r="AO1213" i="1"/>
  <c r="F1210" i="2"/>
  <c r="E1210" i="2"/>
  <c r="AN1213" i="1"/>
  <c r="D1210" i="2"/>
  <c r="C1210" i="2"/>
  <c r="B1210" i="2"/>
  <c r="I1209" i="2"/>
  <c r="J1209" i="2"/>
  <c r="L1209" i="2"/>
  <c r="K1209" i="2"/>
  <c r="AP1212" i="1"/>
  <c r="H1209" i="2"/>
  <c r="G1209" i="2"/>
  <c r="AO1212" i="1"/>
  <c r="F1209" i="2"/>
  <c r="E1209" i="2"/>
  <c r="AN1212" i="1"/>
  <c r="D1209" i="2"/>
  <c r="C1209" i="2"/>
  <c r="B1209" i="2"/>
  <c r="I1208" i="2"/>
  <c r="J1208" i="2"/>
  <c r="L1208" i="2"/>
  <c r="K1208" i="2"/>
  <c r="AP1211" i="1"/>
  <c r="H1208" i="2"/>
  <c r="G1208" i="2"/>
  <c r="AO1211" i="1"/>
  <c r="F1208" i="2"/>
  <c r="E1208" i="2"/>
  <c r="AN1211" i="1"/>
  <c r="D1208" i="2"/>
  <c r="C1208" i="2"/>
  <c r="B1208" i="2"/>
  <c r="I1207" i="2"/>
  <c r="J1207" i="2"/>
  <c r="L1207" i="2"/>
  <c r="K1207" i="2"/>
  <c r="AP1210" i="1"/>
  <c r="H1207" i="2"/>
  <c r="G1207" i="2"/>
  <c r="AO1210" i="1"/>
  <c r="F1207" i="2"/>
  <c r="E1207" i="2"/>
  <c r="AN1210" i="1"/>
  <c r="D1207" i="2"/>
  <c r="C1207" i="2"/>
  <c r="B1207" i="2"/>
  <c r="I1206" i="2"/>
  <c r="J1206" i="2"/>
  <c r="L1206" i="2"/>
  <c r="K1206" i="2"/>
  <c r="AP1209" i="1"/>
  <c r="H1206" i="2"/>
  <c r="G1206" i="2"/>
  <c r="AO1209" i="1"/>
  <c r="F1206" i="2"/>
  <c r="E1206" i="2"/>
  <c r="AN1209" i="1"/>
  <c r="D1206" i="2"/>
  <c r="C1206" i="2"/>
  <c r="B1206" i="2"/>
  <c r="I1205" i="2"/>
  <c r="J1205" i="2"/>
  <c r="L1205" i="2"/>
  <c r="K1205" i="2"/>
  <c r="AP1208" i="1"/>
  <c r="H1205" i="2"/>
  <c r="G1205" i="2"/>
  <c r="AO1208" i="1"/>
  <c r="F1205" i="2"/>
  <c r="E1205" i="2"/>
  <c r="AN1208" i="1"/>
  <c r="D1205" i="2"/>
  <c r="C1205" i="2"/>
  <c r="B1205" i="2"/>
  <c r="I1204" i="2"/>
  <c r="J1204" i="2"/>
  <c r="L1204" i="2"/>
  <c r="K1204" i="2"/>
  <c r="AP1207" i="1"/>
  <c r="H1204" i="2"/>
  <c r="G1204" i="2"/>
  <c r="AO1207" i="1"/>
  <c r="F1204" i="2"/>
  <c r="E1204" i="2"/>
  <c r="AN1207" i="1"/>
  <c r="D1204" i="2"/>
  <c r="C1204" i="2"/>
  <c r="B1204" i="2"/>
  <c r="I1203" i="2"/>
  <c r="J1203" i="2"/>
  <c r="L1203" i="2"/>
  <c r="K1203" i="2"/>
  <c r="AP1206" i="1"/>
  <c r="H1203" i="2"/>
  <c r="G1203" i="2"/>
  <c r="AO1206" i="1"/>
  <c r="F1203" i="2"/>
  <c r="E1203" i="2"/>
  <c r="AN1206" i="1"/>
  <c r="D1203" i="2"/>
  <c r="C1203" i="2"/>
  <c r="B1203" i="2"/>
  <c r="I1202" i="2"/>
  <c r="J1202" i="2"/>
  <c r="L1202" i="2"/>
  <c r="K1202" i="2"/>
  <c r="AP1205" i="1"/>
  <c r="H1202" i="2"/>
  <c r="G1202" i="2"/>
  <c r="AO1205" i="1"/>
  <c r="F1202" i="2"/>
  <c r="E1202" i="2"/>
  <c r="AN1205" i="1"/>
  <c r="D1202" i="2"/>
  <c r="C1202" i="2"/>
  <c r="B1202" i="2"/>
  <c r="I1201" i="2"/>
  <c r="J1201" i="2"/>
  <c r="L1201" i="2"/>
  <c r="K1201" i="2"/>
  <c r="AP1204" i="1"/>
  <c r="H1201" i="2"/>
  <c r="G1201" i="2"/>
  <c r="AO1204" i="1"/>
  <c r="F1201" i="2"/>
  <c r="E1201" i="2"/>
  <c r="AN1204" i="1"/>
  <c r="D1201" i="2"/>
  <c r="C1201" i="2"/>
  <c r="B1201" i="2"/>
  <c r="I1200" i="2"/>
  <c r="J1200" i="2"/>
  <c r="L1200" i="2"/>
  <c r="K1200" i="2"/>
  <c r="AP1203" i="1"/>
  <c r="H1200" i="2"/>
  <c r="G1200" i="2"/>
  <c r="AO1203" i="1"/>
  <c r="F1200" i="2"/>
  <c r="E1200" i="2"/>
  <c r="AN1203" i="1"/>
  <c r="D1200" i="2"/>
  <c r="C1200" i="2"/>
  <c r="B1200" i="2"/>
  <c r="I1199" i="2"/>
  <c r="J1199" i="2"/>
  <c r="L1199" i="2"/>
  <c r="K1199" i="2"/>
  <c r="AP1202" i="1"/>
  <c r="H1199" i="2"/>
  <c r="G1199" i="2"/>
  <c r="AO1202" i="1"/>
  <c r="F1199" i="2"/>
  <c r="E1199" i="2"/>
  <c r="AN1202" i="1"/>
  <c r="D1199" i="2"/>
  <c r="C1199" i="2"/>
  <c r="B1199" i="2"/>
  <c r="I1198" i="2"/>
  <c r="J1198" i="2"/>
  <c r="L1198" i="2"/>
  <c r="K1198" i="2"/>
  <c r="AP1201" i="1"/>
  <c r="H1198" i="2"/>
  <c r="G1198" i="2"/>
  <c r="AO1201" i="1"/>
  <c r="F1198" i="2"/>
  <c r="E1198" i="2"/>
  <c r="AN1201" i="1"/>
  <c r="D1198" i="2"/>
  <c r="C1198" i="2"/>
  <c r="B1198" i="2"/>
  <c r="I1197" i="2"/>
  <c r="J1197" i="2"/>
  <c r="L1197" i="2"/>
  <c r="K1197" i="2"/>
  <c r="AP1200" i="1"/>
  <c r="H1197" i="2"/>
  <c r="G1197" i="2"/>
  <c r="AO1200" i="1"/>
  <c r="F1197" i="2"/>
  <c r="E1197" i="2"/>
  <c r="AN1200" i="1"/>
  <c r="D1197" i="2"/>
  <c r="C1197" i="2"/>
  <c r="B1197" i="2"/>
  <c r="I1196" i="2"/>
  <c r="J1196" i="2"/>
  <c r="L1196" i="2"/>
  <c r="K1196" i="2"/>
  <c r="AP1199" i="1"/>
  <c r="H1196" i="2"/>
  <c r="G1196" i="2"/>
  <c r="AO1199" i="1"/>
  <c r="F1196" i="2"/>
  <c r="E1196" i="2"/>
  <c r="AN1199" i="1"/>
  <c r="D1196" i="2"/>
  <c r="C1196" i="2"/>
  <c r="B1196" i="2"/>
  <c r="I1195" i="2"/>
  <c r="J1195" i="2"/>
  <c r="L1195" i="2"/>
  <c r="K1195" i="2"/>
  <c r="AP1198" i="1"/>
  <c r="H1195" i="2"/>
  <c r="G1195" i="2"/>
  <c r="AO1198" i="1"/>
  <c r="F1195" i="2"/>
  <c r="E1195" i="2"/>
  <c r="AN1198" i="1"/>
  <c r="D1195" i="2"/>
  <c r="C1195" i="2"/>
  <c r="B1195" i="2"/>
  <c r="I1194" i="2"/>
  <c r="J1194" i="2"/>
  <c r="L1194" i="2"/>
  <c r="K1194" i="2"/>
  <c r="AP1197" i="1"/>
  <c r="H1194" i="2"/>
  <c r="G1194" i="2"/>
  <c r="AO1197" i="1"/>
  <c r="F1194" i="2"/>
  <c r="E1194" i="2"/>
  <c r="AN1197" i="1"/>
  <c r="D1194" i="2"/>
  <c r="C1194" i="2"/>
  <c r="B1194" i="2"/>
  <c r="I1193" i="2"/>
  <c r="J1193" i="2"/>
  <c r="L1193" i="2"/>
  <c r="K1193" i="2"/>
  <c r="AP1196" i="1"/>
  <c r="H1193" i="2"/>
  <c r="G1193" i="2"/>
  <c r="AO1196" i="1"/>
  <c r="F1193" i="2"/>
  <c r="E1193" i="2"/>
  <c r="AN1196" i="1"/>
  <c r="D1193" i="2"/>
  <c r="C1193" i="2"/>
  <c r="B1193" i="2"/>
  <c r="I1192" i="2"/>
  <c r="J1192" i="2"/>
  <c r="L1192" i="2"/>
  <c r="K1192" i="2"/>
  <c r="AP1195" i="1"/>
  <c r="H1192" i="2"/>
  <c r="G1192" i="2"/>
  <c r="AO1195" i="1"/>
  <c r="F1192" i="2"/>
  <c r="E1192" i="2"/>
  <c r="AN1195" i="1"/>
  <c r="D1192" i="2"/>
  <c r="C1192" i="2"/>
  <c r="B1192" i="2"/>
  <c r="I1191" i="2"/>
  <c r="J1191" i="2"/>
  <c r="L1191" i="2"/>
  <c r="K1191" i="2"/>
  <c r="AP1194" i="1"/>
  <c r="H1191" i="2"/>
  <c r="G1191" i="2"/>
  <c r="AO1194" i="1"/>
  <c r="F1191" i="2"/>
  <c r="E1191" i="2"/>
  <c r="AN1194" i="1"/>
  <c r="D1191" i="2"/>
  <c r="C1191" i="2"/>
  <c r="B1191" i="2"/>
  <c r="I1190" i="2"/>
  <c r="J1190" i="2"/>
  <c r="L1190" i="2"/>
  <c r="K1190" i="2"/>
  <c r="AP1193" i="1"/>
  <c r="H1190" i="2"/>
  <c r="G1190" i="2"/>
  <c r="AO1193" i="1"/>
  <c r="F1190" i="2"/>
  <c r="E1190" i="2"/>
  <c r="AN1193" i="1"/>
  <c r="D1190" i="2"/>
  <c r="C1190" i="2"/>
  <c r="B1190" i="2"/>
  <c r="I1189" i="2"/>
  <c r="J1189" i="2"/>
  <c r="L1189" i="2"/>
  <c r="K1189" i="2"/>
  <c r="AP1192" i="1"/>
  <c r="H1189" i="2"/>
  <c r="G1189" i="2"/>
  <c r="AO1192" i="1"/>
  <c r="F1189" i="2"/>
  <c r="E1189" i="2"/>
  <c r="AN1192" i="1"/>
  <c r="D1189" i="2"/>
  <c r="C1189" i="2"/>
  <c r="B1189" i="2"/>
  <c r="I1188" i="2"/>
  <c r="J1188" i="2"/>
  <c r="L1188" i="2"/>
  <c r="K1188" i="2"/>
  <c r="AP1191" i="1"/>
  <c r="H1188" i="2"/>
  <c r="G1188" i="2"/>
  <c r="AO1191" i="1"/>
  <c r="F1188" i="2"/>
  <c r="E1188" i="2"/>
  <c r="AN1191" i="1"/>
  <c r="D1188" i="2"/>
  <c r="C1188" i="2"/>
  <c r="B1188" i="2"/>
  <c r="I1187" i="2"/>
  <c r="J1187" i="2"/>
  <c r="L1187" i="2"/>
  <c r="K1187" i="2"/>
  <c r="AP1190" i="1"/>
  <c r="H1187" i="2"/>
  <c r="G1187" i="2"/>
  <c r="AO1190" i="1"/>
  <c r="F1187" i="2"/>
  <c r="E1187" i="2"/>
  <c r="AN1190" i="1"/>
  <c r="D1187" i="2"/>
  <c r="C1187" i="2"/>
  <c r="B1187" i="2"/>
  <c r="I1186" i="2"/>
  <c r="J1186" i="2"/>
  <c r="L1186" i="2"/>
  <c r="K1186" i="2"/>
  <c r="AP1189" i="1"/>
  <c r="H1186" i="2"/>
  <c r="G1186" i="2"/>
  <c r="AO1189" i="1"/>
  <c r="F1186" i="2"/>
  <c r="E1186" i="2"/>
  <c r="AN1189" i="1"/>
  <c r="D1186" i="2"/>
  <c r="C1186" i="2"/>
  <c r="B1186" i="2"/>
  <c r="I1185" i="2"/>
  <c r="J1185" i="2"/>
  <c r="L1185" i="2"/>
  <c r="K1185" i="2"/>
  <c r="AP1186" i="1"/>
  <c r="H1185" i="2"/>
  <c r="G1185" i="2"/>
  <c r="AO1186" i="1"/>
  <c r="F1185" i="2"/>
  <c r="E1185" i="2"/>
  <c r="AN1186" i="1"/>
  <c r="D1185" i="2"/>
  <c r="C1185" i="2"/>
  <c r="B1185" i="2"/>
  <c r="I1184" i="2"/>
  <c r="J1184" i="2"/>
  <c r="L1184" i="2"/>
  <c r="K1184" i="2"/>
  <c r="AP1185" i="1"/>
  <c r="H1184" i="2"/>
  <c r="G1184" i="2"/>
  <c r="AO1185" i="1"/>
  <c r="F1184" i="2"/>
  <c r="E1184" i="2"/>
  <c r="AN1185" i="1"/>
  <c r="D1184" i="2"/>
  <c r="C1184" i="2"/>
  <c r="B1184" i="2"/>
  <c r="I1183" i="2"/>
  <c r="J1183" i="2"/>
  <c r="L1183" i="2"/>
  <c r="K1183" i="2"/>
  <c r="AP1184" i="1"/>
  <c r="H1183" i="2"/>
  <c r="G1183" i="2"/>
  <c r="AO1184" i="1"/>
  <c r="F1183" i="2"/>
  <c r="E1183" i="2"/>
  <c r="AN1184" i="1"/>
  <c r="D1183" i="2"/>
  <c r="C1183" i="2"/>
  <c r="B1183" i="2"/>
  <c r="I1182" i="2"/>
  <c r="J1182" i="2"/>
  <c r="L1182" i="2"/>
  <c r="K1182" i="2"/>
  <c r="AP1183" i="1"/>
  <c r="H1182" i="2"/>
  <c r="G1182" i="2"/>
  <c r="AO1183" i="1"/>
  <c r="F1182" i="2"/>
  <c r="E1182" i="2"/>
  <c r="AN1183" i="1"/>
  <c r="D1182" i="2"/>
  <c r="C1182" i="2"/>
  <c r="B1182" i="2"/>
  <c r="I1181" i="2"/>
  <c r="J1181" i="2"/>
  <c r="L1181" i="2"/>
  <c r="K1181" i="2"/>
  <c r="AP1182" i="1"/>
  <c r="H1181" i="2"/>
  <c r="G1181" i="2"/>
  <c r="AO1182" i="1"/>
  <c r="F1181" i="2"/>
  <c r="E1181" i="2"/>
  <c r="AN1182" i="1"/>
  <c r="D1181" i="2"/>
  <c r="C1181" i="2"/>
  <c r="B1181" i="2"/>
  <c r="I1180" i="2"/>
  <c r="J1180" i="2"/>
  <c r="L1180" i="2"/>
  <c r="K1180" i="2"/>
  <c r="AP1181" i="1"/>
  <c r="H1180" i="2"/>
  <c r="G1180" i="2"/>
  <c r="AO1181" i="1"/>
  <c r="F1180" i="2"/>
  <c r="E1180" i="2"/>
  <c r="AN1181" i="1"/>
  <c r="D1180" i="2"/>
  <c r="C1180" i="2"/>
  <c r="B1180" i="2"/>
  <c r="I1179" i="2"/>
  <c r="J1179" i="2"/>
  <c r="L1179" i="2"/>
  <c r="K1179" i="2"/>
  <c r="AP1180" i="1"/>
  <c r="H1179" i="2"/>
  <c r="G1179" i="2"/>
  <c r="AO1180" i="1"/>
  <c r="F1179" i="2"/>
  <c r="E1179" i="2"/>
  <c r="AN1180" i="1"/>
  <c r="D1179" i="2"/>
  <c r="C1179" i="2"/>
  <c r="B1179" i="2"/>
  <c r="I1178" i="2"/>
  <c r="J1178" i="2"/>
  <c r="L1178" i="2"/>
  <c r="K1178" i="2"/>
  <c r="AP1179" i="1"/>
  <c r="H1178" i="2"/>
  <c r="G1178" i="2"/>
  <c r="AO1179" i="1"/>
  <c r="F1178" i="2"/>
  <c r="E1178" i="2"/>
  <c r="AN1179" i="1"/>
  <c r="D1178" i="2"/>
  <c r="C1178" i="2"/>
  <c r="B1178" i="2"/>
  <c r="I1177" i="2"/>
  <c r="J1177" i="2"/>
  <c r="L1177" i="2"/>
  <c r="K1177" i="2"/>
  <c r="AP1178" i="1"/>
  <c r="H1177" i="2"/>
  <c r="G1177" i="2"/>
  <c r="AO1178" i="1"/>
  <c r="F1177" i="2"/>
  <c r="E1177" i="2"/>
  <c r="AN1178" i="1"/>
  <c r="D1177" i="2"/>
  <c r="C1177" i="2"/>
  <c r="B1177" i="2"/>
  <c r="I1176" i="2"/>
  <c r="J1176" i="2"/>
  <c r="L1176" i="2"/>
  <c r="K1176" i="2"/>
  <c r="AP1177" i="1"/>
  <c r="H1176" i="2"/>
  <c r="G1176" i="2"/>
  <c r="AO1177" i="1"/>
  <c r="F1176" i="2"/>
  <c r="E1176" i="2"/>
  <c r="AN1177" i="1"/>
  <c r="D1176" i="2"/>
  <c r="C1176" i="2"/>
  <c r="B1176" i="2"/>
  <c r="I1175" i="2"/>
  <c r="J1175" i="2"/>
  <c r="L1175" i="2"/>
  <c r="K1175" i="2"/>
  <c r="AP1176" i="1"/>
  <c r="H1175" i="2"/>
  <c r="G1175" i="2"/>
  <c r="AO1176" i="1"/>
  <c r="F1175" i="2"/>
  <c r="E1175" i="2"/>
  <c r="AN1176" i="1"/>
  <c r="D1175" i="2"/>
  <c r="C1175" i="2"/>
  <c r="B1175" i="2"/>
  <c r="I1174" i="2"/>
  <c r="J1174" i="2"/>
  <c r="L1174" i="2"/>
  <c r="K1174" i="2"/>
  <c r="AP1175" i="1"/>
  <c r="H1174" i="2"/>
  <c r="G1174" i="2"/>
  <c r="AO1175" i="1"/>
  <c r="F1174" i="2"/>
  <c r="E1174" i="2"/>
  <c r="AN1175" i="1"/>
  <c r="D1174" i="2"/>
  <c r="C1174" i="2"/>
  <c r="B1174" i="2"/>
  <c r="I1173" i="2"/>
  <c r="J1173" i="2"/>
  <c r="L1173" i="2"/>
  <c r="K1173" i="2"/>
  <c r="AP1174" i="1"/>
  <c r="H1173" i="2"/>
  <c r="G1173" i="2"/>
  <c r="AO1174" i="1"/>
  <c r="F1173" i="2"/>
  <c r="E1173" i="2"/>
  <c r="AN1174" i="1"/>
  <c r="D1173" i="2"/>
  <c r="C1173" i="2"/>
  <c r="B1173" i="2"/>
  <c r="I1172" i="2"/>
  <c r="J1172" i="2"/>
  <c r="L1172" i="2"/>
  <c r="K1172" i="2"/>
  <c r="AP1173" i="1"/>
  <c r="H1172" i="2"/>
  <c r="G1172" i="2"/>
  <c r="AO1173" i="1"/>
  <c r="F1172" i="2"/>
  <c r="E1172" i="2"/>
  <c r="AN1173" i="1"/>
  <c r="D1172" i="2"/>
  <c r="C1172" i="2"/>
  <c r="B1172" i="2"/>
  <c r="I1171" i="2"/>
  <c r="J1171" i="2"/>
  <c r="L1171" i="2"/>
  <c r="K1171" i="2"/>
  <c r="AP1172" i="1"/>
  <c r="H1171" i="2"/>
  <c r="G1171" i="2"/>
  <c r="AO1172" i="1"/>
  <c r="F1171" i="2"/>
  <c r="E1171" i="2"/>
  <c r="AN1172" i="1"/>
  <c r="D1171" i="2"/>
  <c r="C1171" i="2"/>
  <c r="B1171" i="2"/>
  <c r="I1170" i="2"/>
  <c r="J1170" i="2"/>
  <c r="L1170" i="2"/>
  <c r="K1170" i="2"/>
  <c r="AP1171" i="1"/>
  <c r="H1170" i="2"/>
  <c r="G1170" i="2"/>
  <c r="AO1171" i="1"/>
  <c r="F1170" i="2"/>
  <c r="E1170" i="2"/>
  <c r="AN1171" i="1"/>
  <c r="D1170" i="2"/>
  <c r="C1170" i="2"/>
  <c r="B1170" i="2"/>
  <c r="I1169" i="2"/>
  <c r="J1169" i="2"/>
  <c r="L1169" i="2"/>
  <c r="K1169" i="2"/>
  <c r="AP1170" i="1"/>
  <c r="H1169" i="2"/>
  <c r="G1169" i="2"/>
  <c r="AO1170" i="1"/>
  <c r="F1169" i="2"/>
  <c r="E1169" i="2"/>
  <c r="AN1170" i="1"/>
  <c r="D1169" i="2"/>
  <c r="C1169" i="2"/>
  <c r="B1169" i="2"/>
  <c r="I1168" i="2"/>
  <c r="J1168" i="2"/>
  <c r="L1168" i="2"/>
  <c r="K1168" i="2"/>
  <c r="AP1169" i="1"/>
  <c r="H1168" i="2"/>
  <c r="G1168" i="2"/>
  <c r="AO1169" i="1"/>
  <c r="F1168" i="2"/>
  <c r="E1168" i="2"/>
  <c r="AN1169" i="1"/>
  <c r="D1168" i="2"/>
  <c r="C1168" i="2"/>
  <c r="B1168" i="2"/>
  <c r="I1167" i="2"/>
  <c r="J1167" i="2"/>
  <c r="L1167" i="2"/>
  <c r="K1167" i="2"/>
  <c r="AP1168" i="1"/>
  <c r="H1167" i="2"/>
  <c r="G1167" i="2"/>
  <c r="AO1168" i="1"/>
  <c r="F1167" i="2"/>
  <c r="E1167" i="2"/>
  <c r="AN1168" i="1"/>
  <c r="D1167" i="2"/>
  <c r="C1167" i="2"/>
  <c r="B1167" i="2"/>
  <c r="I1166" i="2"/>
  <c r="J1166" i="2"/>
  <c r="L1166" i="2"/>
  <c r="K1166" i="2"/>
  <c r="AP1167" i="1"/>
  <c r="H1166" i="2"/>
  <c r="G1166" i="2"/>
  <c r="AO1167" i="1"/>
  <c r="F1166" i="2"/>
  <c r="E1166" i="2"/>
  <c r="AN1167" i="1"/>
  <c r="D1166" i="2"/>
  <c r="C1166" i="2"/>
  <c r="B1166" i="2"/>
  <c r="I1165" i="2"/>
  <c r="J1165" i="2"/>
  <c r="L1165" i="2"/>
  <c r="K1165" i="2"/>
  <c r="AP1166" i="1"/>
  <c r="H1165" i="2"/>
  <c r="G1165" i="2"/>
  <c r="AO1166" i="1"/>
  <c r="F1165" i="2"/>
  <c r="E1165" i="2"/>
  <c r="AN1166" i="1"/>
  <c r="D1165" i="2"/>
  <c r="C1165" i="2"/>
  <c r="B1165" i="2"/>
  <c r="I1164" i="2"/>
  <c r="J1164" i="2"/>
  <c r="L1164" i="2"/>
  <c r="K1164" i="2"/>
  <c r="AP1165" i="1"/>
  <c r="H1164" i="2"/>
  <c r="G1164" i="2"/>
  <c r="AO1165" i="1"/>
  <c r="F1164" i="2"/>
  <c r="E1164" i="2"/>
  <c r="AN1165" i="1"/>
  <c r="D1164" i="2"/>
  <c r="C1164" i="2"/>
  <c r="B1164" i="2"/>
  <c r="I1163" i="2"/>
  <c r="J1163" i="2"/>
  <c r="L1163" i="2"/>
  <c r="K1163" i="2"/>
  <c r="AP1164" i="1"/>
  <c r="H1163" i="2"/>
  <c r="G1163" i="2"/>
  <c r="AO1164" i="1"/>
  <c r="F1163" i="2"/>
  <c r="E1163" i="2"/>
  <c r="AN1164" i="1"/>
  <c r="D1163" i="2"/>
  <c r="C1163" i="2"/>
  <c r="B1163" i="2"/>
  <c r="I1162" i="2"/>
  <c r="J1162" i="2"/>
  <c r="L1162" i="2"/>
  <c r="K1162" i="2"/>
  <c r="AP1163" i="1"/>
  <c r="H1162" i="2"/>
  <c r="G1162" i="2"/>
  <c r="AO1163" i="1"/>
  <c r="F1162" i="2"/>
  <c r="E1162" i="2"/>
  <c r="AN1163" i="1"/>
  <c r="D1162" i="2"/>
  <c r="C1162" i="2"/>
  <c r="B1162" i="2"/>
  <c r="I1161" i="2"/>
  <c r="J1161" i="2"/>
  <c r="L1161" i="2"/>
  <c r="K1161" i="2"/>
  <c r="AP1162" i="1"/>
  <c r="H1161" i="2"/>
  <c r="G1161" i="2"/>
  <c r="AO1162" i="1"/>
  <c r="F1161" i="2"/>
  <c r="E1161" i="2"/>
  <c r="AN1162" i="1"/>
  <c r="D1161" i="2"/>
  <c r="C1161" i="2"/>
  <c r="B1161" i="2"/>
  <c r="I1160" i="2"/>
  <c r="J1160" i="2"/>
  <c r="L1160" i="2"/>
  <c r="K1160" i="2"/>
  <c r="AP1161" i="1"/>
  <c r="H1160" i="2"/>
  <c r="G1160" i="2"/>
  <c r="AO1161" i="1"/>
  <c r="F1160" i="2"/>
  <c r="E1160" i="2"/>
  <c r="AN1161" i="1"/>
  <c r="D1160" i="2"/>
  <c r="C1160" i="2"/>
  <c r="B1160" i="2"/>
  <c r="I1159" i="2"/>
  <c r="J1159" i="2"/>
  <c r="L1159" i="2"/>
  <c r="K1159" i="2"/>
  <c r="AP1160" i="1"/>
  <c r="H1159" i="2"/>
  <c r="G1159" i="2"/>
  <c r="AO1160" i="1"/>
  <c r="F1159" i="2"/>
  <c r="E1159" i="2"/>
  <c r="AN1160" i="1"/>
  <c r="D1159" i="2"/>
  <c r="C1159" i="2"/>
  <c r="B1159" i="2"/>
  <c r="I1158" i="2"/>
  <c r="J1158" i="2"/>
  <c r="L1158" i="2"/>
  <c r="K1158" i="2"/>
  <c r="AP1159" i="1"/>
  <c r="H1158" i="2"/>
  <c r="G1158" i="2"/>
  <c r="AO1159" i="1"/>
  <c r="F1158" i="2"/>
  <c r="E1158" i="2"/>
  <c r="AN1159" i="1"/>
  <c r="D1158" i="2"/>
  <c r="C1158" i="2"/>
  <c r="B1158" i="2"/>
  <c r="I1157" i="2"/>
  <c r="J1157" i="2"/>
  <c r="L1157" i="2"/>
  <c r="K1157" i="2"/>
  <c r="AP1158" i="1"/>
  <c r="H1157" i="2"/>
  <c r="G1157" i="2"/>
  <c r="AO1158" i="1"/>
  <c r="F1157" i="2"/>
  <c r="E1157" i="2"/>
  <c r="AN1158" i="1"/>
  <c r="D1157" i="2"/>
  <c r="C1157" i="2"/>
  <c r="B1157" i="2"/>
  <c r="I1156" i="2"/>
  <c r="J1156" i="2"/>
  <c r="L1156" i="2"/>
  <c r="K1156" i="2"/>
  <c r="AP1157" i="1"/>
  <c r="H1156" i="2"/>
  <c r="G1156" i="2"/>
  <c r="AO1157" i="1"/>
  <c r="F1156" i="2"/>
  <c r="E1156" i="2"/>
  <c r="AN1157" i="1"/>
  <c r="D1156" i="2"/>
  <c r="C1156" i="2"/>
  <c r="B1156" i="2"/>
  <c r="I1155" i="2"/>
  <c r="J1155" i="2"/>
  <c r="L1155" i="2"/>
  <c r="K1155" i="2"/>
  <c r="AP1156" i="1"/>
  <c r="H1155" i="2"/>
  <c r="G1155" i="2"/>
  <c r="AO1156" i="1"/>
  <c r="F1155" i="2"/>
  <c r="E1155" i="2"/>
  <c r="AN1156" i="1"/>
  <c r="D1155" i="2"/>
  <c r="C1155" i="2"/>
  <c r="B1155" i="2"/>
  <c r="I1154" i="2"/>
  <c r="J1154" i="2"/>
  <c r="L1154" i="2"/>
  <c r="K1154" i="2"/>
  <c r="AP1155" i="1"/>
  <c r="H1154" i="2"/>
  <c r="G1154" i="2"/>
  <c r="AO1155" i="1"/>
  <c r="F1154" i="2"/>
  <c r="E1154" i="2"/>
  <c r="AN1155" i="1"/>
  <c r="D1154" i="2"/>
  <c r="C1154" i="2"/>
  <c r="B1154" i="2"/>
  <c r="I1153" i="2"/>
  <c r="J1153" i="2"/>
  <c r="L1153" i="2"/>
  <c r="K1153" i="2"/>
  <c r="AP1154" i="1"/>
  <c r="H1153" i="2"/>
  <c r="G1153" i="2"/>
  <c r="AO1154" i="1"/>
  <c r="F1153" i="2"/>
  <c r="E1153" i="2"/>
  <c r="AN1154" i="1"/>
  <c r="D1153" i="2"/>
  <c r="C1153" i="2"/>
  <c r="B1153" i="2"/>
  <c r="I1152" i="2"/>
  <c r="J1152" i="2"/>
  <c r="L1152" i="2"/>
  <c r="K1152" i="2"/>
  <c r="AP1153" i="1"/>
  <c r="H1152" i="2"/>
  <c r="G1152" i="2"/>
  <c r="AO1153" i="1"/>
  <c r="F1152" i="2"/>
  <c r="E1152" i="2"/>
  <c r="AN1153" i="1"/>
  <c r="D1152" i="2"/>
  <c r="C1152" i="2"/>
  <c r="B1152" i="2"/>
  <c r="I1151" i="2"/>
  <c r="J1151" i="2"/>
  <c r="L1151" i="2"/>
  <c r="K1151" i="2"/>
  <c r="AP1152" i="1"/>
  <c r="H1151" i="2"/>
  <c r="G1151" i="2"/>
  <c r="AO1152" i="1"/>
  <c r="F1151" i="2"/>
  <c r="E1151" i="2"/>
  <c r="AN1152" i="1"/>
  <c r="D1151" i="2"/>
  <c r="C1151" i="2"/>
  <c r="B1151" i="2"/>
  <c r="I1150" i="2"/>
  <c r="J1150" i="2"/>
  <c r="L1150" i="2"/>
  <c r="K1150" i="2"/>
  <c r="AP1151" i="1"/>
  <c r="H1150" i="2"/>
  <c r="G1150" i="2"/>
  <c r="AO1151" i="1"/>
  <c r="F1150" i="2"/>
  <c r="E1150" i="2"/>
  <c r="AN1151" i="1"/>
  <c r="D1150" i="2"/>
  <c r="C1150" i="2"/>
  <c r="B1150" i="2"/>
  <c r="I1149" i="2"/>
  <c r="J1149" i="2"/>
  <c r="L1149" i="2"/>
  <c r="K1149" i="2"/>
  <c r="AP1150" i="1"/>
  <c r="H1149" i="2"/>
  <c r="G1149" i="2"/>
  <c r="AO1150" i="1"/>
  <c r="F1149" i="2"/>
  <c r="E1149" i="2"/>
  <c r="AN1150" i="1"/>
  <c r="D1149" i="2"/>
  <c r="C1149" i="2"/>
  <c r="B1149" i="2"/>
  <c r="I1148" i="2"/>
  <c r="J1148" i="2"/>
  <c r="L1148" i="2"/>
  <c r="K1148" i="2"/>
  <c r="AP1149" i="1"/>
  <c r="H1148" i="2"/>
  <c r="G1148" i="2"/>
  <c r="AO1149" i="1"/>
  <c r="F1148" i="2"/>
  <c r="E1148" i="2"/>
  <c r="AN1149" i="1"/>
  <c r="D1148" i="2"/>
  <c r="C1148" i="2"/>
  <c r="B1148" i="2"/>
  <c r="I1147" i="2"/>
  <c r="J1147" i="2"/>
  <c r="L1147" i="2"/>
  <c r="K1147" i="2"/>
  <c r="AP1148" i="1"/>
  <c r="H1147" i="2"/>
  <c r="G1147" i="2"/>
  <c r="AO1148" i="1"/>
  <c r="F1147" i="2"/>
  <c r="E1147" i="2"/>
  <c r="AN1148" i="1"/>
  <c r="D1147" i="2"/>
  <c r="C1147" i="2"/>
  <c r="B1147" i="2"/>
  <c r="I1146" i="2"/>
  <c r="J1146" i="2"/>
  <c r="L1146" i="2"/>
  <c r="K1146" i="2"/>
  <c r="AP1147" i="1"/>
  <c r="H1146" i="2"/>
  <c r="G1146" i="2"/>
  <c r="AO1147" i="1"/>
  <c r="F1146" i="2"/>
  <c r="E1146" i="2"/>
  <c r="AN1147" i="1"/>
  <c r="D1146" i="2"/>
  <c r="C1146" i="2"/>
  <c r="B1146" i="2"/>
  <c r="I1145" i="2"/>
  <c r="J1145" i="2"/>
  <c r="L1145" i="2"/>
  <c r="K1145" i="2"/>
  <c r="AP1146" i="1"/>
  <c r="H1145" i="2"/>
  <c r="G1145" i="2"/>
  <c r="AO1146" i="1"/>
  <c r="F1145" i="2"/>
  <c r="E1145" i="2"/>
  <c r="AN1146" i="1"/>
  <c r="D1145" i="2"/>
  <c r="C1145" i="2"/>
  <c r="B1145" i="2"/>
  <c r="I1144" i="2"/>
  <c r="J1144" i="2"/>
  <c r="L1144" i="2"/>
  <c r="K1144" i="2"/>
  <c r="AP1145" i="1"/>
  <c r="H1144" i="2"/>
  <c r="G1144" i="2"/>
  <c r="AO1145" i="1"/>
  <c r="F1144" i="2"/>
  <c r="E1144" i="2"/>
  <c r="AN1145" i="1"/>
  <c r="D1144" i="2"/>
  <c r="C1144" i="2"/>
  <c r="B1144" i="2"/>
  <c r="I1143" i="2"/>
  <c r="J1143" i="2"/>
  <c r="L1143" i="2"/>
  <c r="K1143" i="2"/>
  <c r="AP1144" i="1"/>
  <c r="H1143" i="2"/>
  <c r="G1143" i="2"/>
  <c r="AO1144" i="1"/>
  <c r="F1143" i="2"/>
  <c r="E1143" i="2"/>
  <c r="AN1144" i="1"/>
  <c r="D1143" i="2"/>
  <c r="C1143" i="2"/>
  <c r="B1143" i="2"/>
  <c r="I1142" i="2"/>
  <c r="J1142" i="2"/>
  <c r="L1142" i="2"/>
  <c r="K1142" i="2"/>
  <c r="AP1143" i="1"/>
  <c r="H1142" i="2"/>
  <c r="G1142" i="2"/>
  <c r="AO1143" i="1"/>
  <c r="F1142" i="2"/>
  <c r="E1142" i="2"/>
  <c r="AN1143" i="1"/>
  <c r="D1142" i="2"/>
  <c r="C1142" i="2"/>
  <c r="B1142" i="2"/>
  <c r="I1141" i="2"/>
  <c r="J1141" i="2"/>
  <c r="L1141" i="2"/>
  <c r="K1141" i="2"/>
  <c r="AP1142" i="1"/>
  <c r="H1141" i="2"/>
  <c r="G1141" i="2"/>
  <c r="AO1142" i="1"/>
  <c r="F1141" i="2"/>
  <c r="E1141" i="2"/>
  <c r="AN1142" i="1"/>
  <c r="D1141" i="2"/>
  <c r="C1141" i="2"/>
  <c r="B1141" i="2"/>
  <c r="I1140" i="2"/>
  <c r="J1140" i="2"/>
  <c r="L1140" i="2"/>
  <c r="K1140" i="2"/>
  <c r="AP1141" i="1"/>
  <c r="H1140" i="2"/>
  <c r="G1140" i="2"/>
  <c r="AO1141" i="1"/>
  <c r="F1140" i="2"/>
  <c r="E1140" i="2"/>
  <c r="AN1141" i="1"/>
  <c r="D1140" i="2"/>
  <c r="C1140" i="2"/>
  <c r="B1140" i="2"/>
  <c r="I1139" i="2"/>
  <c r="J1139" i="2"/>
  <c r="L1139" i="2"/>
  <c r="K1139" i="2"/>
  <c r="AP1140" i="1"/>
  <c r="H1139" i="2"/>
  <c r="G1139" i="2"/>
  <c r="AO1140" i="1"/>
  <c r="F1139" i="2"/>
  <c r="E1139" i="2"/>
  <c r="AN1140" i="1"/>
  <c r="D1139" i="2"/>
  <c r="C1139" i="2"/>
  <c r="B1139" i="2"/>
  <c r="I1138" i="2"/>
  <c r="J1138" i="2"/>
  <c r="L1138" i="2"/>
  <c r="K1138" i="2"/>
  <c r="AP1139" i="1"/>
  <c r="H1138" i="2"/>
  <c r="G1138" i="2"/>
  <c r="AO1139" i="1"/>
  <c r="F1138" i="2"/>
  <c r="E1138" i="2"/>
  <c r="AN1139" i="1"/>
  <c r="D1138" i="2"/>
  <c r="C1138" i="2"/>
  <c r="B1138" i="2"/>
  <c r="I1137" i="2"/>
  <c r="J1137" i="2"/>
  <c r="L1137" i="2"/>
  <c r="K1137" i="2"/>
  <c r="AP1138" i="1"/>
  <c r="H1137" i="2"/>
  <c r="G1137" i="2"/>
  <c r="AO1138" i="1"/>
  <c r="F1137" i="2"/>
  <c r="E1137" i="2"/>
  <c r="AN1138" i="1"/>
  <c r="D1137" i="2"/>
  <c r="C1137" i="2"/>
  <c r="B1137" i="2"/>
  <c r="I1136" i="2"/>
  <c r="J1136" i="2"/>
  <c r="L1136" i="2"/>
  <c r="K1136" i="2"/>
  <c r="AP1137" i="1"/>
  <c r="H1136" i="2"/>
  <c r="G1136" i="2"/>
  <c r="AO1137" i="1"/>
  <c r="F1136" i="2"/>
  <c r="E1136" i="2"/>
  <c r="AN1137" i="1"/>
  <c r="D1136" i="2"/>
  <c r="C1136" i="2"/>
  <c r="B1136" i="2"/>
  <c r="I1135" i="2"/>
  <c r="J1135" i="2"/>
  <c r="L1135" i="2"/>
  <c r="K1135" i="2"/>
  <c r="AP1136" i="1"/>
  <c r="H1135" i="2"/>
  <c r="G1135" i="2"/>
  <c r="AO1136" i="1"/>
  <c r="F1135" i="2"/>
  <c r="E1135" i="2"/>
  <c r="AN1136" i="1"/>
  <c r="D1135" i="2"/>
  <c r="C1135" i="2"/>
  <c r="B1135" i="2"/>
  <c r="I1134" i="2"/>
  <c r="J1134" i="2"/>
  <c r="L1134" i="2"/>
  <c r="K1134" i="2"/>
  <c r="AP1135" i="1"/>
  <c r="H1134" i="2"/>
  <c r="G1134" i="2"/>
  <c r="AO1135" i="1"/>
  <c r="F1134" i="2"/>
  <c r="E1134" i="2"/>
  <c r="AN1135" i="1"/>
  <c r="D1134" i="2"/>
  <c r="C1134" i="2"/>
  <c r="B1134" i="2"/>
  <c r="I1133" i="2"/>
  <c r="J1133" i="2"/>
  <c r="L1133" i="2"/>
  <c r="K1133" i="2"/>
  <c r="AP1134" i="1"/>
  <c r="H1133" i="2"/>
  <c r="G1133" i="2"/>
  <c r="AO1134" i="1"/>
  <c r="F1133" i="2"/>
  <c r="E1133" i="2"/>
  <c r="AN1134" i="1"/>
  <c r="D1133" i="2"/>
  <c r="C1133" i="2"/>
  <c r="B1133" i="2"/>
  <c r="I1132" i="2"/>
  <c r="J1132" i="2"/>
  <c r="L1132" i="2"/>
  <c r="K1132" i="2"/>
  <c r="AP1133" i="1"/>
  <c r="H1132" i="2"/>
  <c r="G1132" i="2"/>
  <c r="AO1133" i="1"/>
  <c r="F1132" i="2"/>
  <c r="E1132" i="2"/>
  <c r="AN1133" i="1"/>
  <c r="D1132" i="2"/>
  <c r="C1132" i="2"/>
  <c r="B1132" i="2"/>
  <c r="I1131" i="2"/>
  <c r="J1131" i="2"/>
  <c r="L1131" i="2"/>
  <c r="K1131" i="2"/>
  <c r="AP1132" i="1"/>
  <c r="H1131" i="2"/>
  <c r="G1131" i="2"/>
  <c r="AO1132" i="1"/>
  <c r="F1131" i="2"/>
  <c r="E1131" i="2"/>
  <c r="AN1132" i="1"/>
  <c r="D1131" i="2"/>
  <c r="C1131" i="2"/>
  <c r="B1131" i="2"/>
  <c r="I1130" i="2"/>
  <c r="J1130" i="2"/>
  <c r="L1130" i="2"/>
  <c r="K1130" i="2"/>
  <c r="AP1131" i="1"/>
  <c r="H1130" i="2"/>
  <c r="G1130" i="2"/>
  <c r="AO1131" i="1"/>
  <c r="F1130" i="2"/>
  <c r="E1130" i="2"/>
  <c r="AN1131" i="1"/>
  <c r="D1130" i="2"/>
  <c r="C1130" i="2"/>
  <c r="B1130" i="2"/>
  <c r="I1129" i="2"/>
  <c r="J1129" i="2"/>
  <c r="L1129" i="2"/>
  <c r="K1129" i="2"/>
  <c r="AP1130" i="1"/>
  <c r="H1129" i="2"/>
  <c r="G1129" i="2"/>
  <c r="AO1130" i="1"/>
  <c r="F1129" i="2"/>
  <c r="E1129" i="2"/>
  <c r="AN1130" i="1"/>
  <c r="D1129" i="2"/>
  <c r="C1129" i="2"/>
  <c r="B1129" i="2"/>
  <c r="I1128" i="2"/>
  <c r="J1128" i="2"/>
  <c r="L1128" i="2"/>
  <c r="K1128" i="2"/>
  <c r="AP1129" i="1"/>
  <c r="H1128" i="2"/>
  <c r="G1128" i="2"/>
  <c r="AO1129" i="1"/>
  <c r="F1128" i="2"/>
  <c r="E1128" i="2"/>
  <c r="AN1129" i="1"/>
  <c r="D1128" i="2"/>
  <c r="C1128" i="2"/>
  <c r="B1128" i="2"/>
  <c r="I1127" i="2"/>
  <c r="J1127" i="2"/>
  <c r="L1127" i="2"/>
  <c r="K1127" i="2"/>
  <c r="AP1128" i="1"/>
  <c r="H1127" i="2"/>
  <c r="G1127" i="2"/>
  <c r="AO1128" i="1"/>
  <c r="F1127" i="2"/>
  <c r="E1127" i="2"/>
  <c r="AN1128" i="1"/>
  <c r="D1127" i="2"/>
  <c r="C1127" i="2"/>
  <c r="B1127" i="2"/>
  <c r="I1126" i="2"/>
  <c r="J1126" i="2"/>
  <c r="L1126" i="2"/>
  <c r="K1126" i="2"/>
  <c r="AP1127" i="1"/>
  <c r="H1126" i="2"/>
  <c r="G1126" i="2"/>
  <c r="AO1127" i="1"/>
  <c r="F1126" i="2"/>
  <c r="E1126" i="2"/>
  <c r="AN1127" i="1"/>
  <c r="D1126" i="2"/>
  <c r="C1126" i="2"/>
  <c r="B1126" i="2"/>
  <c r="I1125" i="2"/>
  <c r="J1125" i="2"/>
  <c r="L1125" i="2"/>
  <c r="K1125" i="2"/>
  <c r="AP1126" i="1"/>
  <c r="H1125" i="2"/>
  <c r="G1125" i="2"/>
  <c r="AO1126" i="1"/>
  <c r="F1125" i="2"/>
  <c r="E1125" i="2"/>
  <c r="AN1126" i="1"/>
  <c r="D1125" i="2"/>
  <c r="C1125" i="2"/>
  <c r="B1125" i="2"/>
  <c r="I1124" i="2"/>
  <c r="J1124" i="2"/>
  <c r="L1124" i="2"/>
  <c r="K1124" i="2"/>
  <c r="AP1125" i="1"/>
  <c r="H1124" i="2"/>
  <c r="G1124" i="2"/>
  <c r="AO1125" i="1"/>
  <c r="F1124" i="2"/>
  <c r="E1124" i="2"/>
  <c r="AN1125" i="1"/>
  <c r="D1124" i="2"/>
  <c r="C1124" i="2"/>
  <c r="B1124" i="2"/>
  <c r="I1123" i="2"/>
  <c r="J1123" i="2"/>
  <c r="L1123" i="2"/>
  <c r="K1123" i="2"/>
  <c r="AP1124" i="1"/>
  <c r="H1123" i="2"/>
  <c r="G1123" i="2"/>
  <c r="AO1124" i="1"/>
  <c r="F1123" i="2"/>
  <c r="E1123" i="2"/>
  <c r="AN1124" i="1"/>
  <c r="D1123" i="2"/>
  <c r="C1123" i="2"/>
  <c r="B1123" i="2"/>
  <c r="I1122" i="2"/>
  <c r="J1122" i="2"/>
  <c r="L1122" i="2"/>
  <c r="K1122" i="2"/>
  <c r="AP1123" i="1"/>
  <c r="H1122" i="2"/>
  <c r="G1122" i="2"/>
  <c r="AO1123" i="1"/>
  <c r="F1122" i="2"/>
  <c r="E1122" i="2"/>
  <c r="AN1123" i="1"/>
  <c r="D1122" i="2"/>
  <c r="C1122" i="2"/>
  <c r="B1122" i="2"/>
  <c r="I1121" i="2"/>
  <c r="J1121" i="2"/>
  <c r="L1121" i="2"/>
  <c r="K1121" i="2"/>
  <c r="AP1122" i="1"/>
  <c r="H1121" i="2"/>
  <c r="G1121" i="2"/>
  <c r="AO1122" i="1"/>
  <c r="F1121" i="2"/>
  <c r="E1121" i="2"/>
  <c r="AN1122" i="1"/>
  <c r="D1121" i="2"/>
  <c r="C1121" i="2"/>
  <c r="B1121" i="2"/>
  <c r="I1120" i="2"/>
  <c r="J1120" i="2"/>
  <c r="L1120" i="2"/>
  <c r="K1120" i="2"/>
  <c r="AP1121" i="1"/>
  <c r="H1120" i="2"/>
  <c r="G1120" i="2"/>
  <c r="AO1121" i="1"/>
  <c r="F1120" i="2"/>
  <c r="E1120" i="2"/>
  <c r="AN1121" i="1"/>
  <c r="D1120" i="2"/>
  <c r="C1120" i="2"/>
  <c r="B1120" i="2"/>
  <c r="I1119" i="2"/>
  <c r="J1119" i="2"/>
  <c r="L1119" i="2"/>
  <c r="K1119" i="2"/>
  <c r="AP1120" i="1"/>
  <c r="H1119" i="2"/>
  <c r="G1119" i="2"/>
  <c r="AO1120" i="1"/>
  <c r="F1119" i="2"/>
  <c r="E1119" i="2"/>
  <c r="AN1120" i="1"/>
  <c r="D1119" i="2"/>
  <c r="C1119" i="2"/>
  <c r="B1119" i="2"/>
  <c r="I1118" i="2"/>
  <c r="J1118" i="2"/>
  <c r="L1118" i="2"/>
  <c r="K1118" i="2"/>
  <c r="AP1119" i="1"/>
  <c r="H1118" i="2"/>
  <c r="G1118" i="2"/>
  <c r="AO1119" i="1"/>
  <c r="F1118" i="2"/>
  <c r="E1118" i="2"/>
  <c r="AN1119" i="1"/>
  <c r="D1118" i="2"/>
  <c r="C1118" i="2"/>
  <c r="B1118" i="2"/>
  <c r="I1117" i="2"/>
  <c r="J1117" i="2"/>
  <c r="L1117" i="2"/>
  <c r="K1117" i="2"/>
  <c r="AP1118" i="1"/>
  <c r="H1117" i="2"/>
  <c r="G1117" i="2"/>
  <c r="AO1118" i="1"/>
  <c r="F1117" i="2"/>
  <c r="E1117" i="2"/>
  <c r="AN1118" i="1"/>
  <c r="D1117" i="2"/>
  <c r="C1117" i="2"/>
  <c r="B1117" i="2"/>
  <c r="I1116" i="2"/>
  <c r="J1116" i="2"/>
  <c r="L1116" i="2"/>
  <c r="K1116" i="2"/>
  <c r="AP1117" i="1"/>
  <c r="H1116" i="2"/>
  <c r="G1116" i="2"/>
  <c r="AO1117" i="1"/>
  <c r="F1116" i="2"/>
  <c r="E1116" i="2"/>
  <c r="AN1117" i="1"/>
  <c r="D1116" i="2"/>
  <c r="C1116" i="2"/>
  <c r="B1116" i="2"/>
  <c r="I1115" i="2"/>
  <c r="J1115" i="2"/>
  <c r="L1115" i="2"/>
  <c r="K1115" i="2"/>
  <c r="AP1116" i="1"/>
  <c r="H1115" i="2"/>
  <c r="G1115" i="2"/>
  <c r="AO1116" i="1"/>
  <c r="F1115" i="2"/>
  <c r="E1115" i="2"/>
  <c r="AN1116" i="1"/>
  <c r="D1115" i="2"/>
  <c r="C1115" i="2"/>
  <c r="B1115" i="2"/>
  <c r="I1114" i="2"/>
  <c r="J1114" i="2"/>
  <c r="L1114" i="2"/>
  <c r="K1114" i="2"/>
  <c r="AP1115" i="1"/>
  <c r="H1114" i="2"/>
  <c r="G1114" i="2"/>
  <c r="AO1115" i="1"/>
  <c r="F1114" i="2"/>
  <c r="E1114" i="2"/>
  <c r="AN1115" i="1"/>
  <c r="D1114" i="2"/>
  <c r="C1114" i="2"/>
  <c r="B1114" i="2"/>
  <c r="I1113" i="2"/>
  <c r="J1113" i="2"/>
  <c r="L1113" i="2"/>
  <c r="K1113" i="2"/>
  <c r="AP1114" i="1"/>
  <c r="H1113" i="2"/>
  <c r="G1113" i="2"/>
  <c r="AO1114" i="1"/>
  <c r="F1113" i="2"/>
  <c r="E1113" i="2"/>
  <c r="AN1114" i="1"/>
  <c r="D1113" i="2"/>
  <c r="C1113" i="2"/>
  <c r="B1113" i="2"/>
  <c r="I1112" i="2"/>
  <c r="J1112" i="2"/>
  <c r="L1112" i="2"/>
  <c r="K1112" i="2"/>
  <c r="AP1113" i="1"/>
  <c r="H1112" i="2"/>
  <c r="G1112" i="2"/>
  <c r="AO1113" i="1"/>
  <c r="F1112" i="2"/>
  <c r="E1112" i="2"/>
  <c r="AN1113" i="1"/>
  <c r="D1112" i="2"/>
  <c r="C1112" i="2"/>
  <c r="B1112" i="2"/>
  <c r="I1111" i="2"/>
  <c r="J1111" i="2"/>
  <c r="L1111" i="2"/>
  <c r="K1111" i="2"/>
  <c r="AP1111" i="1"/>
  <c r="H1111" i="2"/>
  <c r="G1111" i="2"/>
  <c r="AO1111" i="1"/>
  <c r="F1111" i="2"/>
  <c r="E1111" i="2"/>
  <c r="AN1111" i="1"/>
  <c r="D1111" i="2"/>
  <c r="C1111" i="2"/>
  <c r="B1111" i="2"/>
  <c r="I1110" i="2"/>
  <c r="J1110" i="2"/>
  <c r="L1110" i="2"/>
  <c r="K1110" i="2"/>
  <c r="AP1110" i="1"/>
  <c r="H1110" i="2"/>
  <c r="G1110" i="2"/>
  <c r="AO1110" i="1"/>
  <c r="F1110" i="2"/>
  <c r="E1110" i="2"/>
  <c r="AN1110" i="1"/>
  <c r="D1110" i="2"/>
  <c r="C1110" i="2"/>
  <c r="B1110" i="2"/>
  <c r="I1109" i="2"/>
  <c r="J1109" i="2"/>
  <c r="L1109" i="2"/>
  <c r="K1109" i="2"/>
  <c r="AP1109" i="1"/>
  <c r="H1109" i="2"/>
  <c r="G1109" i="2"/>
  <c r="AO1109" i="1"/>
  <c r="F1109" i="2"/>
  <c r="E1109" i="2"/>
  <c r="AN1109" i="1"/>
  <c r="D1109" i="2"/>
  <c r="C1109" i="2"/>
  <c r="B1109" i="2"/>
  <c r="I1108" i="2"/>
  <c r="J1108" i="2"/>
  <c r="L1108" i="2"/>
  <c r="K1108" i="2"/>
  <c r="AP1108" i="1"/>
  <c r="H1108" i="2"/>
  <c r="G1108" i="2"/>
  <c r="AO1108" i="1"/>
  <c r="F1108" i="2"/>
  <c r="E1108" i="2"/>
  <c r="AN1108" i="1"/>
  <c r="D1108" i="2"/>
  <c r="C1108" i="2"/>
  <c r="B1108" i="2"/>
  <c r="I1107" i="2"/>
  <c r="J1107" i="2"/>
  <c r="L1107" i="2"/>
  <c r="K1107" i="2"/>
  <c r="AP1107" i="1"/>
  <c r="H1107" i="2"/>
  <c r="G1107" i="2"/>
  <c r="AO1107" i="1"/>
  <c r="F1107" i="2"/>
  <c r="E1107" i="2"/>
  <c r="AN1107" i="1"/>
  <c r="D1107" i="2"/>
  <c r="C1107" i="2"/>
  <c r="B1107" i="2"/>
  <c r="I1106" i="2"/>
  <c r="J1106" i="2"/>
  <c r="L1106" i="2"/>
  <c r="K1106" i="2"/>
  <c r="AP1106" i="1"/>
  <c r="H1106" i="2"/>
  <c r="G1106" i="2"/>
  <c r="AO1106" i="1"/>
  <c r="F1106" i="2"/>
  <c r="E1106" i="2"/>
  <c r="AN1106" i="1"/>
  <c r="D1106" i="2"/>
  <c r="C1106" i="2"/>
  <c r="B1106" i="2"/>
  <c r="I1105" i="2"/>
  <c r="J1105" i="2"/>
  <c r="L1105" i="2"/>
  <c r="K1105" i="2"/>
  <c r="AP1105" i="1"/>
  <c r="H1105" i="2"/>
  <c r="G1105" i="2"/>
  <c r="AO1105" i="1"/>
  <c r="F1105" i="2"/>
  <c r="E1105" i="2"/>
  <c r="AN1105" i="1"/>
  <c r="D1105" i="2"/>
  <c r="C1105" i="2"/>
  <c r="B1105" i="2"/>
  <c r="I1104" i="2"/>
  <c r="J1104" i="2"/>
  <c r="L1104" i="2"/>
  <c r="K1104" i="2"/>
  <c r="AP1104" i="1"/>
  <c r="H1104" i="2"/>
  <c r="G1104" i="2"/>
  <c r="AO1104" i="1"/>
  <c r="F1104" i="2"/>
  <c r="E1104" i="2"/>
  <c r="AN1104" i="1"/>
  <c r="D1104" i="2"/>
  <c r="C1104" i="2"/>
  <c r="B1104" i="2"/>
  <c r="I1103" i="2"/>
  <c r="J1103" i="2"/>
  <c r="L1103" i="2"/>
  <c r="K1103" i="2"/>
  <c r="AP1103" i="1"/>
  <c r="H1103" i="2"/>
  <c r="G1103" i="2"/>
  <c r="AO1103" i="1"/>
  <c r="F1103" i="2"/>
  <c r="E1103" i="2"/>
  <c r="AN1103" i="1"/>
  <c r="D1103" i="2"/>
  <c r="C1103" i="2"/>
  <c r="B1103" i="2"/>
  <c r="I1102" i="2"/>
  <c r="J1102" i="2"/>
  <c r="L1102" i="2"/>
  <c r="K1102" i="2"/>
  <c r="AP1102" i="1"/>
  <c r="H1102" i="2"/>
  <c r="G1102" i="2"/>
  <c r="AO1102" i="1"/>
  <c r="F1102" i="2"/>
  <c r="E1102" i="2"/>
  <c r="AN1102" i="1"/>
  <c r="D1102" i="2"/>
  <c r="C1102" i="2"/>
  <c r="B1102" i="2"/>
  <c r="I1101" i="2"/>
  <c r="J1101" i="2"/>
  <c r="L1101" i="2"/>
  <c r="K1101" i="2"/>
  <c r="AP1101" i="1"/>
  <c r="H1101" i="2"/>
  <c r="G1101" i="2"/>
  <c r="AO1101" i="1"/>
  <c r="F1101" i="2"/>
  <c r="E1101" i="2"/>
  <c r="AN1101" i="1"/>
  <c r="D1101" i="2"/>
  <c r="C1101" i="2"/>
  <c r="B1101" i="2"/>
  <c r="I1100" i="2"/>
  <c r="J1100" i="2"/>
  <c r="L1100" i="2"/>
  <c r="K1100" i="2"/>
  <c r="AP1100" i="1"/>
  <c r="H1100" i="2"/>
  <c r="G1100" i="2"/>
  <c r="AO1100" i="1"/>
  <c r="F1100" i="2"/>
  <c r="E1100" i="2"/>
  <c r="AN1100" i="1"/>
  <c r="D1100" i="2"/>
  <c r="C1100" i="2"/>
  <c r="B1100" i="2"/>
  <c r="I1099" i="2"/>
  <c r="J1099" i="2"/>
  <c r="L1099" i="2"/>
  <c r="K1099" i="2"/>
  <c r="AP1099" i="1"/>
  <c r="H1099" i="2"/>
  <c r="G1099" i="2"/>
  <c r="AO1099" i="1"/>
  <c r="F1099" i="2"/>
  <c r="E1099" i="2"/>
  <c r="AN1099" i="1"/>
  <c r="D1099" i="2"/>
  <c r="C1099" i="2"/>
  <c r="B1099" i="2"/>
  <c r="I1098" i="2"/>
  <c r="J1098" i="2"/>
  <c r="L1098" i="2"/>
  <c r="K1098" i="2"/>
  <c r="AP1098" i="1"/>
  <c r="H1098" i="2"/>
  <c r="G1098" i="2"/>
  <c r="AO1098" i="1"/>
  <c r="F1098" i="2"/>
  <c r="E1098" i="2"/>
  <c r="AN1098" i="1"/>
  <c r="D1098" i="2"/>
  <c r="C1098" i="2"/>
  <c r="B1098" i="2"/>
  <c r="I1097" i="2"/>
  <c r="J1097" i="2"/>
  <c r="L1097" i="2"/>
  <c r="K1097" i="2"/>
  <c r="AP1097" i="1"/>
  <c r="H1097" i="2"/>
  <c r="G1097" i="2"/>
  <c r="AO1097" i="1"/>
  <c r="F1097" i="2"/>
  <c r="E1097" i="2"/>
  <c r="AN1097" i="1"/>
  <c r="D1097" i="2"/>
  <c r="C1097" i="2"/>
  <c r="B1097" i="2"/>
  <c r="I1096" i="2"/>
  <c r="J1096" i="2"/>
  <c r="L1096" i="2"/>
  <c r="K1096" i="2"/>
  <c r="AP1096" i="1"/>
  <c r="H1096" i="2"/>
  <c r="G1096" i="2"/>
  <c r="AO1096" i="1"/>
  <c r="F1096" i="2"/>
  <c r="E1096" i="2"/>
  <c r="AN1096" i="1"/>
  <c r="D1096" i="2"/>
  <c r="C1096" i="2"/>
  <c r="B1096" i="2"/>
  <c r="I1095" i="2"/>
  <c r="J1095" i="2"/>
  <c r="L1095" i="2"/>
  <c r="K1095" i="2"/>
  <c r="AP1095" i="1"/>
  <c r="H1095" i="2"/>
  <c r="G1095" i="2"/>
  <c r="AO1095" i="1"/>
  <c r="F1095" i="2"/>
  <c r="E1095" i="2"/>
  <c r="AN1095" i="1"/>
  <c r="D1095" i="2"/>
  <c r="C1095" i="2"/>
  <c r="B1095" i="2"/>
  <c r="I1094" i="2"/>
  <c r="J1094" i="2"/>
  <c r="L1094" i="2"/>
  <c r="K1094" i="2"/>
  <c r="AP1094" i="1"/>
  <c r="H1094" i="2"/>
  <c r="G1094" i="2"/>
  <c r="AO1094" i="1"/>
  <c r="F1094" i="2"/>
  <c r="E1094" i="2"/>
  <c r="AN1094" i="1"/>
  <c r="D1094" i="2"/>
  <c r="C1094" i="2"/>
  <c r="B1094" i="2"/>
  <c r="I1093" i="2"/>
  <c r="J1093" i="2"/>
  <c r="L1093" i="2"/>
  <c r="K1093" i="2"/>
  <c r="AP1093" i="1"/>
  <c r="H1093" i="2"/>
  <c r="G1093" i="2"/>
  <c r="AO1093" i="1"/>
  <c r="F1093" i="2"/>
  <c r="E1093" i="2"/>
  <c r="AN1093" i="1"/>
  <c r="D1093" i="2"/>
  <c r="C1093" i="2"/>
  <c r="B1093" i="2"/>
  <c r="I1092" i="2"/>
  <c r="J1092" i="2"/>
  <c r="L1092" i="2"/>
  <c r="K1092" i="2"/>
  <c r="AP1092" i="1"/>
  <c r="H1092" i="2"/>
  <c r="G1092" i="2"/>
  <c r="AO1092" i="1"/>
  <c r="F1092" i="2"/>
  <c r="E1092" i="2"/>
  <c r="AN1092" i="1"/>
  <c r="D1092" i="2"/>
  <c r="C1092" i="2"/>
  <c r="B1092" i="2"/>
  <c r="I1091" i="2"/>
  <c r="J1091" i="2"/>
  <c r="L1091" i="2"/>
  <c r="K1091" i="2"/>
  <c r="AP1091" i="1"/>
  <c r="H1091" i="2"/>
  <c r="G1091" i="2"/>
  <c r="AO1091" i="1"/>
  <c r="F1091" i="2"/>
  <c r="E1091" i="2"/>
  <c r="AN1091" i="1"/>
  <c r="D1091" i="2"/>
  <c r="C1091" i="2"/>
  <c r="B1091" i="2"/>
  <c r="I1090" i="2"/>
  <c r="J1090" i="2"/>
  <c r="L1090" i="2"/>
  <c r="K1090" i="2"/>
  <c r="AP1090" i="1"/>
  <c r="H1090" i="2"/>
  <c r="G1090" i="2"/>
  <c r="AO1090" i="1"/>
  <c r="F1090" i="2"/>
  <c r="E1090" i="2"/>
  <c r="AN1090" i="1"/>
  <c r="D1090" i="2"/>
  <c r="C1090" i="2"/>
  <c r="B1090" i="2"/>
  <c r="I1089" i="2"/>
  <c r="J1089" i="2"/>
  <c r="L1089" i="2"/>
  <c r="K1089" i="2"/>
  <c r="AP1089" i="1"/>
  <c r="H1089" i="2"/>
  <c r="G1089" i="2"/>
  <c r="AO1089" i="1"/>
  <c r="F1089" i="2"/>
  <c r="E1089" i="2"/>
  <c r="AN1089" i="1"/>
  <c r="D1089" i="2"/>
  <c r="C1089" i="2"/>
  <c r="B1089" i="2"/>
  <c r="I1088" i="2"/>
  <c r="J1088" i="2"/>
  <c r="L1088" i="2"/>
  <c r="K1088" i="2"/>
  <c r="AP1088" i="1"/>
  <c r="H1088" i="2"/>
  <c r="G1088" i="2"/>
  <c r="AO1088" i="1"/>
  <c r="F1088" i="2"/>
  <c r="E1088" i="2"/>
  <c r="AN1088" i="1"/>
  <c r="D1088" i="2"/>
  <c r="C1088" i="2"/>
  <c r="B1088" i="2"/>
  <c r="I1087" i="2"/>
  <c r="J1087" i="2"/>
  <c r="L1087" i="2"/>
  <c r="K1087" i="2"/>
  <c r="AP1087" i="1"/>
  <c r="H1087" i="2"/>
  <c r="G1087" i="2"/>
  <c r="AO1087" i="1"/>
  <c r="F1087" i="2"/>
  <c r="E1087" i="2"/>
  <c r="AN1087" i="1"/>
  <c r="D1087" i="2"/>
  <c r="C1087" i="2"/>
  <c r="B1087" i="2"/>
  <c r="I1086" i="2"/>
  <c r="J1086" i="2"/>
  <c r="L1086" i="2"/>
  <c r="K1086" i="2"/>
  <c r="AP1086" i="1"/>
  <c r="H1086" i="2"/>
  <c r="G1086" i="2"/>
  <c r="AO1086" i="1"/>
  <c r="F1086" i="2"/>
  <c r="E1086" i="2"/>
  <c r="AN1086" i="1"/>
  <c r="D1086" i="2"/>
  <c r="C1086" i="2"/>
  <c r="B1086" i="2"/>
  <c r="I1085" i="2"/>
  <c r="J1085" i="2"/>
  <c r="L1085" i="2"/>
  <c r="K1085" i="2"/>
  <c r="AP1085" i="1"/>
  <c r="H1085" i="2"/>
  <c r="G1085" i="2"/>
  <c r="AO1085" i="1"/>
  <c r="F1085" i="2"/>
  <c r="E1085" i="2"/>
  <c r="AN1085" i="1"/>
  <c r="D1085" i="2"/>
  <c r="C1085" i="2"/>
  <c r="B1085" i="2"/>
  <c r="I1084" i="2"/>
  <c r="J1084" i="2"/>
  <c r="L1084" i="2"/>
  <c r="K1084" i="2"/>
  <c r="AP1084" i="1"/>
  <c r="H1084" i="2"/>
  <c r="G1084" i="2"/>
  <c r="AO1084" i="1"/>
  <c r="F1084" i="2"/>
  <c r="E1084" i="2"/>
  <c r="AN1084" i="1"/>
  <c r="D1084" i="2"/>
  <c r="C1084" i="2"/>
  <c r="B1084" i="2"/>
  <c r="I1083" i="2"/>
  <c r="J1083" i="2"/>
  <c r="L1083" i="2"/>
  <c r="K1083" i="2"/>
  <c r="AP1083" i="1"/>
  <c r="H1083" i="2"/>
  <c r="G1083" i="2"/>
  <c r="AO1083" i="1"/>
  <c r="F1083" i="2"/>
  <c r="E1083" i="2"/>
  <c r="AN1083" i="1"/>
  <c r="D1083" i="2"/>
  <c r="C1083" i="2"/>
  <c r="B1083" i="2"/>
  <c r="I1082" i="2"/>
  <c r="J1082" i="2"/>
  <c r="L1082" i="2"/>
  <c r="K1082" i="2"/>
  <c r="AP1082" i="1"/>
  <c r="H1082" i="2"/>
  <c r="G1082" i="2"/>
  <c r="AO1082" i="1"/>
  <c r="F1082" i="2"/>
  <c r="E1082" i="2"/>
  <c r="AN1082" i="1"/>
  <c r="D1082" i="2"/>
  <c r="C1082" i="2"/>
  <c r="B1082" i="2"/>
  <c r="I1081" i="2"/>
  <c r="J1081" i="2"/>
  <c r="L1081" i="2"/>
  <c r="K1081" i="2"/>
  <c r="AP1081" i="1"/>
  <c r="H1081" i="2"/>
  <c r="G1081" i="2"/>
  <c r="AO1081" i="1"/>
  <c r="F1081" i="2"/>
  <c r="E1081" i="2"/>
  <c r="AN1081" i="1"/>
  <c r="D1081" i="2"/>
  <c r="C1081" i="2"/>
  <c r="B1081" i="2"/>
  <c r="I1080" i="2"/>
  <c r="J1080" i="2"/>
  <c r="L1080" i="2"/>
  <c r="K1080" i="2"/>
  <c r="AP1080" i="1"/>
  <c r="H1080" i="2"/>
  <c r="G1080" i="2"/>
  <c r="AO1080" i="1"/>
  <c r="F1080" i="2"/>
  <c r="E1080" i="2"/>
  <c r="AN1080" i="1"/>
  <c r="D1080" i="2"/>
  <c r="C1080" i="2"/>
  <c r="B1080" i="2"/>
  <c r="I1079" i="2"/>
  <c r="J1079" i="2"/>
  <c r="L1079" i="2"/>
  <c r="K1079" i="2"/>
  <c r="AP1079" i="1"/>
  <c r="H1079" i="2"/>
  <c r="G1079" i="2"/>
  <c r="AO1079" i="1"/>
  <c r="F1079" i="2"/>
  <c r="E1079" i="2"/>
  <c r="AN1079" i="1"/>
  <c r="D1079" i="2"/>
  <c r="C1079" i="2"/>
  <c r="B1079" i="2"/>
  <c r="I1078" i="2"/>
  <c r="J1078" i="2"/>
  <c r="L1078" i="2"/>
  <c r="K1078" i="2"/>
  <c r="AP1078" i="1"/>
  <c r="H1078" i="2"/>
  <c r="G1078" i="2"/>
  <c r="AO1078" i="1"/>
  <c r="F1078" i="2"/>
  <c r="E1078" i="2"/>
  <c r="AN1078" i="1"/>
  <c r="D1078" i="2"/>
  <c r="C1078" i="2"/>
  <c r="B1078" i="2"/>
  <c r="I1077" i="2"/>
  <c r="J1077" i="2"/>
  <c r="L1077" i="2"/>
  <c r="K1077" i="2"/>
  <c r="AP1077" i="1"/>
  <c r="H1077" i="2"/>
  <c r="G1077" i="2"/>
  <c r="AO1077" i="1"/>
  <c r="F1077" i="2"/>
  <c r="E1077" i="2"/>
  <c r="AN1077" i="1"/>
  <c r="D1077" i="2"/>
  <c r="C1077" i="2"/>
  <c r="B1077" i="2"/>
  <c r="I1076" i="2"/>
  <c r="J1076" i="2"/>
  <c r="L1076" i="2"/>
  <c r="K1076" i="2"/>
  <c r="AP1076" i="1"/>
  <c r="H1076" i="2"/>
  <c r="G1076" i="2"/>
  <c r="AO1076" i="1"/>
  <c r="F1076" i="2"/>
  <c r="E1076" i="2"/>
  <c r="AN1076" i="1"/>
  <c r="D1076" i="2"/>
  <c r="C1076" i="2"/>
  <c r="B1076" i="2"/>
  <c r="I1075" i="2"/>
  <c r="J1075" i="2"/>
  <c r="L1075" i="2"/>
  <c r="K1075" i="2"/>
  <c r="AP1075" i="1"/>
  <c r="H1075" i="2"/>
  <c r="G1075" i="2"/>
  <c r="AO1075" i="1"/>
  <c r="F1075" i="2"/>
  <c r="E1075" i="2"/>
  <c r="AN1075" i="1"/>
  <c r="D1075" i="2"/>
  <c r="C1075" i="2"/>
  <c r="B1075" i="2"/>
  <c r="I1074" i="2"/>
  <c r="J1074" i="2"/>
  <c r="L1074" i="2"/>
  <c r="K1074" i="2"/>
  <c r="AP1074" i="1"/>
  <c r="H1074" i="2"/>
  <c r="G1074" i="2"/>
  <c r="AO1074" i="1"/>
  <c r="F1074" i="2"/>
  <c r="E1074" i="2"/>
  <c r="AN1074" i="1"/>
  <c r="D1074" i="2"/>
  <c r="C1074" i="2"/>
  <c r="B1074" i="2"/>
  <c r="I1073" i="2"/>
  <c r="J1073" i="2"/>
  <c r="L1073" i="2"/>
  <c r="K1073" i="2"/>
  <c r="AP1073" i="1"/>
  <c r="H1073" i="2"/>
  <c r="G1073" i="2"/>
  <c r="AO1073" i="1"/>
  <c r="F1073" i="2"/>
  <c r="E1073" i="2"/>
  <c r="AN1073" i="1"/>
  <c r="D1073" i="2"/>
  <c r="C1073" i="2"/>
  <c r="B1073" i="2"/>
  <c r="I1072" i="2"/>
  <c r="J1072" i="2"/>
  <c r="L1072" i="2"/>
  <c r="K1072" i="2"/>
  <c r="AP1072" i="1"/>
  <c r="H1072" i="2"/>
  <c r="G1072" i="2"/>
  <c r="AO1072" i="1"/>
  <c r="F1072" i="2"/>
  <c r="E1072" i="2"/>
  <c r="AN1072" i="1"/>
  <c r="D1072" i="2"/>
  <c r="C1072" i="2"/>
  <c r="B1072" i="2"/>
  <c r="I1071" i="2"/>
  <c r="J1071" i="2"/>
  <c r="L1071" i="2"/>
  <c r="K1071" i="2"/>
  <c r="AP1071" i="1"/>
  <c r="H1071" i="2"/>
  <c r="G1071" i="2"/>
  <c r="AO1071" i="1"/>
  <c r="F1071" i="2"/>
  <c r="E1071" i="2"/>
  <c r="AN1071" i="1"/>
  <c r="D1071" i="2"/>
  <c r="C1071" i="2"/>
  <c r="B1071" i="2"/>
  <c r="I1070" i="2"/>
  <c r="J1070" i="2"/>
  <c r="L1070" i="2"/>
  <c r="K1070" i="2"/>
  <c r="AP1070" i="1"/>
  <c r="H1070" i="2"/>
  <c r="G1070" i="2"/>
  <c r="AO1070" i="1"/>
  <c r="F1070" i="2"/>
  <c r="E1070" i="2"/>
  <c r="AN1070" i="1"/>
  <c r="D1070" i="2"/>
  <c r="C1070" i="2"/>
  <c r="B1070" i="2"/>
  <c r="I1069" i="2"/>
  <c r="J1069" i="2"/>
  <c r="L1069" i="2"/>
  <c r="K1069" i="2"/>
  <c r="AP1069" i="1"/>
  <c r="H1069" i="2"/>
  <c r="G1069" i="2"/>
  <c r="AO1069" i="1"/>
  <c r="F1069" i="2"/>
  <c r="E1069" i="2"/>
  <c r="AN1069" i="1"/>
  <c r="D1069" i="2"/>
  <c r="C1069" i="2"/>
  <c r="B1069" i="2"/>
  <c r="I1068" i="2"/>
  <c r="J1068" i="2"/>
  <c r="L1068" i="2"/>
  <c r="K1068" i="2"/>
  <c r="AP1068" i="1"/>
  <c r="H1068" i="2"/>
  <c r="G1068" i="2"/>
  <c r="AO1068" i="1"/>
  <c r="F1068" i="2"/>
  <c r="E1068" i="2"/>
  <c r="AN1068" i="1"/>
  <c r="D1068" i="2"/>
  <c r="C1068" i="2"/>
  <c r="B1068" i="2"/>
  <c r="I1067" i="2"/>
  <c r="J1067" i="2"/>
  <c r="L1067" i="2"/>
  <c r="K1067" i="2"/>
  <c r="AP1067" i="1"/>
  <c r="H1067" i="2"/>
  <c r="G1067" i="2"/>
  <c r="AO1067" i="1"/>
  <c r="F1067" i="2"/>
  <c r="E1067" i="2"/>
  <c r="AN1067" i="1"/>
  <c r="D1067" i="2"/>
  <c r="C1067" i="2"/>
  <c r="B1067" i="2"/>
  <c r="I1066" i="2"/>
  <c r="J1066" i="2"/>
  <c r="L1066" i="2"/>
  <c r="K1066" i="2"/>
  <c r="AP1066" i="1"/>
  <c r="H1066" i="2"/>
  <c r="G1066" i="2"/>
  <c r="AO1066" i="1"/>
  <c r="F1066" i="2"/>
  <c r="E1066" i="2"/>
  <c r="AN1066" i="1"/>
  <c r="D1066" i="2"/>
  <c r="C1066" i="2"/>
  <c r="B1066" i="2"/>
  <c r="I1065" i="2"/>
  <c r="J1065" i="2"/>
  <c r="L1065" i="2"/>
  <c r="K1065" i="2"/>
  <c r="AP1065" i="1"/>
  <c r="H1065" i="2"/>
  <c r="G1065" i="2"/>
  <c r="AO1065" i="1"/>
  <c r="F1065" i="2"/>
  <c r="E1065" i="2"/>
  <c r="AN1065" i="1"/>
  <c r="D1065" i="2"/>
  <c r="C1065" i="2"/>
  <c r="B1065" i="2"/>
  <c r="I1064" i="2"/>
  <c r="J1064" i="2"/>
  <c r="L1064" i="2"/>
  <c r="K1064" i="2"/>
  <c r="AP1064" i="1"/>
  <c r="H1064" i="2"/>
  <c r="G1064" i="2"/>
  <c r="AO1064" i="1"/>
  <c r="F1064" i="2"/>
  <c r="E1064" i="2"/>
  <c r="AN1064" i="1"/>
  <c r="D1064" i="2"/>
  <c r="C1064" i="2"/>
  <c r="B1064" i="2"/>
  <c r="I1063" i="2"/>
  <c r="J1063" i="2"/>
  <c r="L1063" i="2"/>
  <c r="K1063" i="2"/>
  <c r="AP1063" i="1"/>
  <c r="H1063" i="2"/>
  <c r="G1063" i="2"/>
  <c r="AO1063" i="1"/>
  <c r="F1063" i="2"/>
  <c r="E1063" i="2"/>
  <c r="AN1063" i="1"/>
  <c r="D1063" i="2"/>
  <c r="C1063" i="2"/>
  <c r="B1063" i="2"/>
  <c r="I1062" i="2"/>
  <c r="J1062" i="2"/>
  <c r="L1062" i="2"/>
  <c r="K1062" i="2"/>
  <c r="AP1062" i="1"/>
  <c r="H1062" i="2"/>
  <c r="G1062" i="2"/>
  <c r="AO1062" i="1"/>
  <c r="F1062" i="2"/>
  <c r="E1062" i="2"/>
  <c r="AN1062" i="1"/>
  <c r="D1062" i="2"/>
  <c r="C1062" i="2"/>
  <c r="B1062" i="2"/>
  <c r="I1061" i="2"/>
  <c r="J1061" i="2"/>
  <c r="L1061" i="2"/>
  <c r="K1061" i="2"/>
  <c r="AP1061" i="1"/>
  <c r="H1061" i="2"/>
  <c r="G1061" i="2"/>
  <c r="AO1061" i="1"/>
  <c r="F1061" i="2"/>
  <c r="E1061" i="2"/>
  <c r="AN1061" i="1"/>
  <c r="D1061" i="2"/>
  <c r="C1061" i="2"/>
  <c r="B1061" i="2"/>
  <c r="I1060" i="2"/>
  <c r="J1060" i="2"/>
  <c r="L1060" i="2"/>
  <c r="K1060" i="2"/>
  <c r="AP1060" i="1"/>
  <c r="H1060" i="2"/>
  <c r="G1060" i="2"/>
  <c r="AO1060" i="1"/>
  <c r="F1060" i="2"/>
  <c r="E1060" i="2"/>
  <c r="AN1060" i="1"/>
  <c r="D1060" i="2"/>
  <c r="C1060" i="2"/>
  <c r="B1060" i="2"/>
  <c r="I1059" i="2"/>
  <c r="J1059" i="2"/>
  <c r="L1059" i="2"/>
  <c r="K1059" i="2"/>
  <c r="AP1059" i="1"/>
  <c r="H1059" i="2"/>
  <c r="G1059" i="2"/>
  <c r="AO1059" i="1"/>
  <c r="F1059" i="2"/>
  <c r="E1059" i="2"/>
  <c r="AN1059" i="1"/>
  <c r="D1059" i="2"/>
  <c r="C1059" i="2"/>
  <c r="B1059" i="2"/>
  <c r="I1058" i="2"/>
  <c r="J1058" i="2"/>
  <c r="L1058" i="2"/>
  <c r="K1058" i="2"/>
  <c r="AP1058" i="1"/>
  <c r="H1058" i="2"/>
  <c r="G1058" i="2"/>
  <c r="AO1058" i="1"/>
  <c r="F1058" i="2"/>
  <c r="E1058" i="2"/>
  <c r="AN1058" i="1"/>
  <c r="D1058" i="2"/>
  <c r="C1058" i="2"/>
  <c r="B1058" i="2"/>
  <c r="I1057" i="2"/>
  <c r="J1057" i="2"/>
  <c r="L1057" i="2"/>
  <c r="K1057" i="2"/>
  <c r="AP1057" i="1"/>
  <c r="H1057" i="2"/>
  <c r="G1057" i="2"/>
  <c r="AO1057" i="1"/>
  <c r="F1057" i="2"/>
  <c r="E1057" i="2"/>
  <c r="AN1057" i="1"/>
  <c r="D1057" i="2"/>
  <c r="C1057" i="2"/>
  <c r="B1057" i="2"/>
  <c r="I1056" i="2"/>
  <c r="J1056" i="2"/>
  <c r="L1056" i="2"/>
  <c r="K1056" i="2"/>
  <c r="AP1056" i="1"/>
  <c r="H1056" i="2"/>
  <c r="G1056" i="2"/>
  <c r="AO1056" i="1"/>
  <c r="F1056" i="2"/>
  <c r="E1056" i="2"/>
  <c r="AN1056" i="1"/>
  <c r="D1056" i="2"/>
  <c r="C1056" i="2"/>
  <c r="B1056" i="2"/>
  <c r="I1055" i="2"/>
  <c r="J1055" i="2"/>
  <c r="L1055" i="2"/>
  <c r="K1055" i="2"/>
  <c r="AP1055" i="1"/>
  <c r="H1055" i="2"/>
  <c r="G1055" i="2"/>
  <c r="AO1055" i="1"/>
  <c r="F1055" i="2"/>
  <c r="E1055" i="2"/>
  <c r="AN1055" i="1"/>
  <c r="D1055" i="2"/>
  <c r="C1055" i="2"/>
  <c r="B1055" i="2"/>
  <c r="I1054" i="2"/>
  <c r="J1054" i="2"/>
  <c r="L1054" i="2"/>
  <c r="K1054" i="2"/>
  <c r="AP1054" i="1"/>
  <c r="H1054" i="2"/>
  <c r="G1054" i="2"/>
  <c r="AO1054" i="1"/>
  <c r="F1054" i="2"/>
  <c r="E1054" i="2"/>
  <c r="AN1054" i="1"/>
  <c r="D1054" i="2"/>
  <c r="C1054" i="2"/>
  <c r="B1054" i="2"/>
  <c r="I1053" i="2"/>
  <c r="J1053" i="2"/>
  <c r="L1053" i="2"/>
  <c r="K1053" i="2"/>
  <c r="AP1053" i="1"/>
  <c r="H1053" i="2"/>
  <c r="G1053" i="2"/>
  <c r="AO1053" i="1"/>
  <c r="F1053" i="2"/>
  <c r="E1053" i="2"/>
  <c r="AN1053" i="1"/>
  <c r="D1053" i="2"/>
  <c r="C1053" i="2"/>
  <c r="B1053" i="2"/>
  <c r="I1052" i="2"/>
  <c r="J1052" i="2"/>
  <c r="L1052" i="2"/>
  <c r="K1052" i="2"/>
  <c r="AP1052" i="1"/>
  <c r="H1052" i="2"/>
  <c r="G1052" i="2"/>
  <c r="AO1052" i="1"/>
  <c r="F1052" i="2"/>
  <c r="E1052" i="2"/>
  <c r="AN1052" i="1"/>
  <c r="D1052" i="2"/>
  <c r="C1052" i="2"/>
  <c r="B1052" i="2"/>
  <c r="I1051" i="2"/>
  <c r="J1051" i="2"/>
  <c r="L1051" i="2"/>
  <c r="K1051" i="2"/>
  <c r="AP1051" i="1"/>
  <c r="H1051" i="2"/>
  <c r="G1051" i="2"/>
  <c r="AO1051" i="1"/>
  <c r="F1051" i="2"/>
  <c r="E1051" i="2"/>
  <c r="AN1051" i="1"/>
  <c r="D1051" i="2"/>
  <c r="C1051" i="2"/>
  <c r="B1051" i="2"/>
  <c r="I1050" i="2"/>
  <c r="J1050" i="2"/>
  <c r="L1050" i="2"/>
  <c r="K1050" i="2"/>
  <c r="AP1050" i="1"/>
  <c r="H1050" i="2"/>
  <c r="G1050" i="2"/>
  <c r="AO1050" i="1"/>
  <c r="F1050" i="2"/>
  <c r="E1050" i="2"/>
  <c r="AN1050" i="1"/>
  <c r="D1050" i="2"/>
  <c r="C1050" i="2"/>
  <c r="B1050" i="2"/>
  <c r="I1049" i="2"/>
  <c r="J1049" i="2"/>
  <c r="L1049" i="2"/>
  <c r="K1049" i="2"/>
  <c r="AP1049" i="1"/>
  <c r="H1049" i="2"/>
  <c r="G1049" i="2"/>
  <c r="AO1049" i="1"/>
  <c r="F1049" i="2"/>
  <c r="E1049" i="2"/>
  <c r="AN1049" i="1"/>
  <c r="D1049" i="2"/>
  <c r="C1049" i="2"/>
  <c r="B1049" i="2"/>
  <c r="I1048" i="2"/>
  <c r="J1048" i="2"/>
  <c r="L1048" i="2"/>
  <c r="K1048" i="2"/>
  <c r="AP1048" i="1"/>
  <c r="H1048" i="2"/>
  <c r="G1048" i="2"/>
  <c r="AO1048" i="1"/>
  <c r="F1048" i="2"/>
  <c r="E1048" i="2"/>
  <c r="AN1048" i="1"/>
  <c r="D1048" i="2"/>
  <c r="C1048" i="2"/>
  <c r="B1048" i="2"/>
  <c r="I1047" i="2"/>
  <c r="J1047" i="2"/>
  <c r="L1047" i="2"/>
  <c r="K1047" i="2"/>
  <c r="AP1047" i="1"/>
  <c r="H1047" i="2"/>
  <c r="G1047" i="2"/>
  <c r="AO1047" i="1"/>
  <c r="F1047" i="2"/>
  <c r="E1047" i="2"/>
  <c r="AN1047" i="1"/>
  <c r="D1047" i="2"/>
  <c r="C1047" i="2"/>
  <c r="B1047" i="2"/>
  <c r="I1046" i="2"/>
  <c r="J1046" i="2"/>
  <c r="L1046" i="2"/>
  <c r="K1046" i="2"/>
  <c r="AP1046" i="1"/>
  <c r="H1046" i="2"/>
  <c r="G1046" i="2"/>
  <c r="AO1046" i="1"/>
  <c r="F1046" i="2"/>
  <c r="E1046" i="2"/>
  <c r="AN1046" i="1"/>
  <c r="D1046" i="2"/>
  <c r="C1046" i="2"/>
  <c r="B1046" i="2"/>
  <c r="I1045" i="2"/>
  <c r="J1045" i="2"/>
  <c r="L1045" i="2"/>
  <c r="K1045" i="2"/>
  <c r="AP1045" i="1"/>
  <c r="H1045" i="2"/>
  <c r="G1045" i="2"/>
  <c r="AO1045" i="1"/>
  <c r="F1045" i="2"/>
  <c r="E1045" i="2"/>
  <c r="AN1045" i="1"/>
  <c r="D1045" i="2"/>
  <c r="C1045" i="2"/>
  <c r="B1045" i="2"/>
  <c r="I1044" i="2"/>
  <c r="J1044" i="2"/>
  <c r="L1044" i="2"/>
  <c r="K1044" i="2"/>
  <c r="AP1044" i="1"/>
  <c r="H1044" i="2"/>
  <c r="G1044" i="2"/>
  <c r="AO1044" i="1"/>
  <c r="F1044" i="2"/>
  <c r="E1044" i="2"/>
  <c r="AN1044" i="1"/>
  <c r="D1044" i="2"/>
  <c r="C1044" i="2"/>
  <c r="B1044" i="2"/>
  <c r="I1043" i="2"/>
  <c r="J1043" i="2"/>
  <c r="L1043" i="2"/>
  <c r="K1043" i="2"/>
  <c r="AP1043" i="1"/>
  <c r="H1043" i="2"/>
  <c r="G1043" i="2"/>
  <c r="AO1043" i="1"/>
  <c r="F1043" i="2"/>
  <c r="E1043" i="2"/>
  <c r="AN1043" i="1"/>
  <c r="D1043" i="2"/>
  <c r="C1043" i="2"/>
  <c r="B1043" i="2"/>
  <c r="I1042" i="2"/>
  <c r="J1042" i="2"/>
  <c r="L1042" i="2"/>
  <c r="K1042" i="2"/>
  <c r="AP1042" i="1"/>
  <c r="H1042" i="2"/>
  <c r="G1042" i="2"/>
  <c r="AO1042" i="1"/>
  <c r="F1042" i="2"/>
  <c r="E1042" i="2"/>
  <c r="AN1042" i="1"/>
  <c r="D1042" i="2"/>
  <c r="C1042" i="2"/>
  <c r="B1042" i="2"/>
  <c r="I1041" i="2"/>
  <c r="J1041" i="2"/>
  <c r="L1041" i="2"/>
  <c r="K1041" i="2"/>
  <c r="AP1041" i="1"/>
  <c r="H1041" i="2"/>
  <c r="G1041" i="2"/>
  <c r="AO1041" i="1"/>
  <c r="F1041" i="2"/>
  <c r="E1041" i="2"/>
  <c r="AN1041" i="1"/>
  <c r="D1041" i="2"/>
  <c r="C1041" i="2"/>
  <c r="B1041" i="2"/>
  <c r="I1040" i="2"/>
  <c r="J1040" i="2"/>
  <c r="L1040" i="2"/>
  <c r="K1040" i="2"/>
  <c r="AP1040" i="1"/>
  <c r="H1040" i="2"/>
  <c r="G1040" i="2"/>
  <c r="AO1040" i="1"/>
  <c r="F1040" i="2"/>
  <c r="E1040" i="2"/>
  <c r="AN1040" i="1"/>
  <c r="D1040" i="2"/>
  <c r="C1040" i="2"/>
  <c r="B1040" i="2"/>
  <c r="I1039" i="2"/>
  <c r="J1039" i="2"/>
  <c r="L1039" i="2"/>
  <c r="K1039" i="2"/>
  <c r="AP1039" i="1"/>
  <c r="H1039" i="2"/>
  <c r="G1039" i="2"/>
  <c r="AO1039" i="1"/>
  <c r="F1039" i="2"/>
  <c r="E1039" i="2"/>
  <c r="AN1039" i="1"/>
  <c r="D1039" i="2"/>
  <c r="C1039" i="2"/>
  <c r="B1039" i="2"/>
  <c r="I1038" i="2"/>
  <c r="J1038" i="2"/>
  <c r="L1038" i="2"/>
  <c r="K1038" i="2"/>
  <c r="AP1038" i="1"/>
  <c r="H1038" i="2"/>
  <c r="G1038" i="2"/>
  <c r="AO1038" i="1"/>
  <c r="F1038" i="2"/>
  <c r="E1038" i="2"/>
  <c r="AN1038" i="1"/>
  <c r="D1038" i="2"/>
  <c r="C1038" i="2"/>
  <c r="B1038" i="2"/>
  <c r="I1037" i="2"/>
  <c r="J1037" i="2"/>
  <c r="L1037" i="2"/>
  <c r="K1037" i="2"/>
  <c r="AP1037" i="1"/>
  <c r="H1037" i="2"/>
  <c r="G1037" i="2"/>
  <c r="AO1037" i="1"/>
  <c r="F1037" i="2"/>
  <c r="E1037" i="2"/>
  <c r="AN1037" i="1"/>
  <c r="D1037" i="2"/>
  <c r="C1037" i="2"/>
  <c r="B1037" i="2"/>
  <c r="I1036" i="2"/>
  <c r="J1036" i="2"/>
  <c r="L1036" i="2"/>
  <c r="K1036" i="2"/>
  <c r="AP1036" i="1"/>
  <c r="H1036" i="2"/>
  <c r="G1036" i="2"/>
  <c r="AO1036" i="1"/>
  <c r="F1036" i="2"/>
  <c r="E1036" i="2"/>
  <c r="AN1036" i="1"/>
  <c r="D1036" i="2"/>
  <c r="C1036" i="2"/>
  <c r="B1036" i="2"/>
  <c r="I1035" i="2"/>
  <c r="J1035" i="2"/>
  <c r="L1035" i="2"/>
  <c r="K1035" i="2"/>
  <c r="AP1035" i="1"/>
  <c r="H1035" i="2"/>
  <c r="G1035" i="2"/>
  <c r="AO1035" i="1"/>
  <c r="F1035" i="2"/>
  <c r="E1035" i="2"/>
  <c r="AN1035" i="1"/>
  <c r="D1035" i="2"/>
  <c r="C1035" i="2"/>
  <c r="B1035" i="2"/>
  <c r="I1034" i="2"/>
  <c r="J1034" i="2"/>
  <c r="L1034" i="2"/>
  <c r="K1034" i="2"/>
  <c r="AP1034" i="1"/>
  <c r="H1034" i="2"/>
  <c r="G1034" i="2"/>
  <c r="AO1034" i="1"/>
  <c r="F1034" i="2"/>
  <c r="E1034" i="2"/>
  <c r="AN1034" i="1"/>
  <c r="D1034" i="2"/>
  <c r="C1034" i="2"/>
  <c r="B1034" i="2"/>
  <c r="I1033" i="2"/>
  <c r="J1033" i="2"/>
  <c r="L1033" i="2"/>
  <c r="K1033" i="2"/>
  <c r="AP1033" i="1"/>
  <c r="H1033" i="2"/>
  <c r="G1033" i="2"/>
  <c r="AO1033" i="1"/>
  <c r="F1033" i="2"/>
  <c r="E1033" i="2"/>
  <c r="AN1033" i="1"/>
  <c r="D1033" i="2"/>
  <c r="C1033" i="2"/>
  <c r="B1033" i="2"/>
  <c r="I1032" i="2"/>
  <c r="J1032" i="2"/>
  <c r="L1032" i="2"/>
  <c r="K1032" i="2"/>
  <c r="AP1032" i="1"/>
  <c r="H1032" i="2"/>
  <c r="G1032" i="2"/>
  <c r="AO1032" i="1"/>
  <c r="F1032" i="2"/>
  <c r="E1032" i="2"/>
  <c r="AN1032" i="1"/>
  <c r="D1032" i="2"/>
  <c r="C1032" i="2"/>
  <c r="B1032" i="2"/>
  <c r="I1031" i="2"/>
  <c r="J1031" i="2"/>
  <c r="L1031" i="2"/>
  <c r="K1031" i="2"/>
  <c r="AP1031" i="1"/>
  <c r="H1031" i="2"/>
  <c r="G1031" i="2"/>
  <c r="AO1031" i="1"/>
  <c r="F1031" i="2"/>
  <c r="E1031" i="2"/>
  <c r="AN1031" i="1"/>
  <c r="D1031" i="2"/>
  <c r="C1031" i="2"/>
  <c r="B1031" i="2"/>
  <c r="I1030" i="2"/>
  <c r="J1030" i="2"/>
  <c r="L1030" i="2"/>
  <c r="K1030" i="2"/>
  <c r="AP1030" i="1"/>
  <c r="H1030" i="2"/>
  <c r="G1030" i="2"/>
  <c r="AO1030" i="1"/>
  <c r="F1030" i="2"/>
  <c r="E1030" i="2"/>
  <c r="AN1030" i="1"/>
  <c r="D1030" i="2"/>
  <c r="C1030" i="2"/>
  <c r="B1030" i="2"/>
  <c r="I1029" i="2"/>
  <c r="J1029" i="2"/>
  <c r="L1029" i="2"/>
  <c r="K1029" i="2"/>
  <c r="AP1029" i="1"/>
  <c r="H1029" i="2"/>
  <c r="G1029" i="2"/>
  <c r="AO1029" i="1"/>
  <c r="F1029" i="2"/>
  <c r="E1029" i="2"/>
  <c r="AN1029" i="1"/>
  <c r="D1029" i="2"/>
  <c r="C1029" i="2"/>
  <c r="B1029" i="2"/>
  <c r="I1028" i="2"/>
  <c r="J1028" i="2"/>
  <c r="L1028" i="2"/>
  <c r="K1028" i="2"/>
  <c r="AP1028" i="1"/>
  <c r="H1028" i="2"/>
  <c r="G1028" i="2"/>
  <c r="AO1028" i="1"/>
  <c r="F1028" i="2"/>
  <c r="E1028" i="2"/>
  <c r="AN1028" i="1"/>
  <c r="D1028" i="2"/>
  <c r="C1028" i="2"/>
  <c r="B1028" i="2"/>
  <c r="I1027" i="2"/>
  <c r="J1027" i="2"/>
  <c r="L1027" i="2"/>
  <c r="K1027" i="2"/>
  <c r="AP1027" i="1"/>
  <c r="H1027" i="2"/>
  <c r="G1027" i="2"/>
  <c r="AO1027" i="1"/>
  <c r="F1027" i="2"/>
  <c r="E1027" i="2"/>
  <c r="AN1027" i="1"/>
  <c r="D1027" i="2"/>
  <c r="C1027" i="2"/>
  <c r="B1027" i="2"/>
  <c r="I1026" i="2"/>
  <c r="J1026" i="2"/>
  <c r="L1026" i="2"/>
  <c r="K1026" i="2"/>
  <c r="AP1026" i="1"/>
  <c r="H1026" i="2"/>
  <c r="G1026" i="2"/>
  <c r="AO1026" i="1"/>
  <c r="F1026" i="2"/>
  <c r="E1026" i="2"/>
  <c r="AN1026" i="1"/>
  <c r="D1026" i="2"/>
  <c r="C1026" i="2"/>
  <c r="B1026" i="2"/>
  <c r="I1025" i="2"/>
  <c r="J1025" i="2"/>
  <c r="L1025" i="2"/>
  <c r="K1025" i="2"/>
  <c r="AP1025" i="1"/>
  <c r="H1025" i="2"/>
  <c r="G1025" i="2"/>
  <c r="AO1025" i="1"/>
  <c r="F1025" i="2"/>
  <c r="E1025" i="2"/>
  <c r="AN1025" i="1"/>
  <c r="D1025" i="2"/>
  <c r="C1025" i="2"/>
  <c r="B1025" i="2"/>
  <c r="I1024" i="2"/>
  <c r="J1024" i="2"/>
  <c r="L1024" i="2"/>
  <c r="K1024" i="2"/>
  <c r="AP1024" i="1"/>
  <c r="H1024" i="2"/>
  <c r="G1024" i="2"/>
  <c r="AO1024" i="1"/>
  <c r="F1024" i="2"/>
  <c r="E1024" i="2"/>
  <c r="AN1024" i="1"/>
  <c r="D1024" i="2"/>
  <c r="C1024" i="2"/>
  <c r="B1024" i="2"/>
  <c r="I1023" i="2"/>
  <c r="J1023" i="2"/>
  <c r="L1023" i="2"/>
  <c r="K1023" i="2"/>
  <c r="AP1023" i="1"/>
  <c r="H1023" i="2"/>
  <c r="G1023" i="2"/>
  <c r="AO1023" i="1"/>
  <c r="F1023" i="2"/>
  <c r="E1023" i="2"/>
  <c r="AN1023" i="1"/>
  <c r="D1023" i="2"/>
  <c r="C1023" i="2"/>
  <c r="B1023" i="2"/>
  <c r="I1022" i="2"/>
  <c r="J1022" i="2"/>
  <c r="L1022" i="2"/>
  <c r="K1022" i="2"/>
  <c r="AP1022" i="1"/>
  <c r="H1022" i="2"/>
  <c r="G1022" i="2"/>
  <c r="AO1022" i="1"/>
  <c r="F1022" i="2"/>
  <c r="E1022" i="2"/>
  <c r="AN1022" i="1"/>
  <c r="D1022" i="2"/>
  <c r="C1022" i="2"/>
  <c r="B1022" i="2"/>
  <c r="I1021" i="2"/>
  <c r="J1021" i="2"/>
  <c r="L1021" i="2"/>
  <c r="K1021" i="2"/>
  <c r="AP1021" i="1"/>
  <c r="H1021" i="2"/>
  <c r="G1021" i="2"/>
  <c r="AO1021" i="1"/>
  <c r="F1021" i="2"/>
  <c r="E1021" i="2"/>
  <c r="AN1021" i="1"/>
  <c r="D1021" i="2"/>
  <c r="C1021" i="2"/>
  <c r="B1021" i="2"/>
  <c r="I1020" i="2"/>
  <c r="J1020" i="2"/>
  <c r="L1020" i="2"/>
  <c r="K1020" i="2"/>
  <c r="AP1020" i="1"/>
  <c r="H1020" i="2"/>
  <c r="G1020" i="2"/>
  <c r="AO1020" i="1"/>
  <c r="F1020" i="2"/>
  <c r="E1020" i="2"/>
  <c r="AN1020" i="1"/>
  <c r="D1020" i="2"/>
  <c r="C1020" i="2"/>
  <c r="B1020" i="2"/>
  <c r="I1019" i="2"/>
  <c r="J1019" i="2"/>
  <c r="L1019" i="2"/>
  <c r="K1019" i="2"/>
  <c r="AP1019" i="1"/>
  <c r="H1019" i="2"/>
  <c r="G1019" i="2"/>
  <c r="AO1019" i="1"/>
  <c r="F1019" i="2"/>
  <c r="E1019" i="2"/>
  <c r="AN1019" i="1"/>
  <c r="D1019" i="2"/>
  <c r="C1019" i="2"/>
  <c r="B1019" i="2"/>
  <c r="I1018" i="2"/>
  <c r="J1018" i="2"/>
  <c r="L1018" i="2"/>
  <c r="K1018" i="2"/>
  <c r="AP1018" i="1"/>
  <c r="H1018" i="2"/>
  <c r="G1018" i="2"/>
  <c r="AO1018" i="1"/>
  <c r="F1018" i="2"/>
  <c r="E1018" i="2"/>
  <c r="AN1018" i="1"/>
  <c r="D1018" i="2"/>
  <c r="C1018" i="2"/>
  <c r="B1018" i="2"/>
  <c r="I1017" i="2"/>
  <c r="J1017" i="2"/>
  <c r="L1017" i="2"/>
  <c r="K1017" i="2"/>
  <c r="AP1017" i="1"/>
  <c r="H1017" i="2"/>
  <c r="G1017" i="2"/>
  <c r="AO1017" i="1"/>
  <c r="F1017" i="2"/>
  <c r="E1017" i="2"/>
  <c r="AN1017" i="1"/>
  <c r="D1017" i="2"/>
  <c r="C1017" i="2"/>
  <c r="B1017" i="2"/>
  <c r="I1016" i="2"/>
  <c r="J1016" i="2"/>
  <c r="L1016" i="2"/>
  <c r="K1016" i="2"/>
  <c r="AP1016" i="1"/>
  <c r="H1016" i="2"/>
  <c r="G1016" i="2"/>
  <c r="AO1016" i="1"/>
  <c r="F1016" i="2"/>
  <c r="E1016" i="2"/>
  <c r="AN1016" i="1"/>
  <c r="D1016" i="2"/>
  <c r="C1016" i="2"/>
  <c r="B1016" i="2"/>
  <c r="I1015" i="2"/>
  <c r="J1015" i="2"/>
  <c r="L1015" i="2"/>
  <c r="K1015" i="2"/>
  <c r="AP1015" i="1"/>
  <c r="H1015" i="2"/>
  <c r="G1015" i="2"/>
  <c r="AO1015" i="1"/>
  <c r="F1015" i="2"/>
  <c r="E1015" i="2"/>
  <c r="AN1015" i="1"/>
  <c r="D1015" i="2"/>
  <c r="C1015" i="2"/>
  <c r="B1015" i="2"/>
  <c r="I1014" i="2"/>
  <c r="J1014" i="2"/>
  <c r="L1014" i="2"/>
  <c r="K1014" i="2"/>
  <c r="AP1014" i="1"/>
  <c r="H1014" i="2"/>
  <c r="G1014" i="2"/>
  <c r="AO1014" i="1"/>
  <c r="F1014" i="2"/>
  <c r="E1014" i="2"/>
  <c r="AN1014" i="1"/>
  <c r="D1014" i="2"/>
  <c r="C1014" i="2"/>
  <c r="B1014" i="2"/>
  <c r="I1013" i="2"/>
  <c r="J1013" i="2"/>
  <c r="L1013" i="2"/>
  <c r="K1013" i="2"/>
  <c r="AP1013" i="1"/>
  <c r="H1013" i="2"/>
  <c r="G1013" i="2"/>
  <c r="AO1013" i="1"/>
  <c r="F1013" i="2"/>
  <c r="E1013" i="2"/>
  <c r="AN1013" i="1"/>
  <c r="D1013" i="2"/>
  <c r="C1013" i="2"/>
  <c r="B1013" i="2"/>
  <c r="I1012" i="2"/>
  <c r="J1012" i="2"/>
  <c r="L1012" i="2"/>
  <c r="K1012" i="2"/>
  <c r="AP1012" i="1"/>
  <c r="H1012" i="2"/>
  <c r="G1012" i="2"/>
  <c r="AO1012" i="1"/>
  <c r="F1012" i="2"/>
  <c r="E1012" i="2"/>
  <c r="AN1012" i="1"/>
  <c r="D1012" i="2"/>
  <c r="C1012" i="2"/>
  <c r="B1012" i="2"/>
  <c r="I1011" i="2"/>
  <c r="J1011" i="2"/>
  <c r="L1011" i="2"/>
  <c r="K1011" i="2"/>
  <c r="AP1011" i="1"/>
  <c r="H1011" i="2"/>
  <c r="G1011" i="2"/>
  <c r="AO1011" i="1"/>
  <c r="F1011" i="2"/>
  <c r="E1011" i="2"/>
  <c r="AN1011" i="1"/>
  <c r="D1011" i="2"/>
  <c r="C1011" i="2"/>
  <c r="B1011" i="2"/>
  <c r="I1010" i="2"/>
  <c r="J1010" i="2"/>
  <c r="L1010" i="2"/>
  <c r="K1010" i="2"/>
  <c r="AP1010" i="1"/>
  <c r="H1010" i="2"/>
  <c r="G1010" i="2"/>
  <c r="AO1010" i="1"/>
  <c r="F1010" i="2"/>
  <c r="E1010" i="2"/>
  <c r="AN1010" i="1"/>
  <c r="D1010" i="2"/>
  <c r="C1010" i="2"/>
  <c r="B1010" i="2"/>
  <c r="I1009" i="2"/>
  <c r="J1009" i="2"/>
  <c r="L1009" i="2"/>
  <c r="K1009" i="2"/>
  <c r="AP1009" i="1"/>
  <c r="H1009" i="2"/>
  <c r="G1009" i="2"/>
  <c r="AO1009" i="1"/>
  <c r="F1009" i="2"/>
  <c r="E1009" i="2"/>
  <c r="AN1009" i="1"/>
  <c r="D1009" i="2"/>
  <c r="C1009" i="2"/>
  <c r="B1009" i="2"/>
  <c r="I1008" i="2"/>
  <c r="J1008" i="2"/>
  <c r="L1008" i="2"/>
  <c r="K1008" i="2"/>
  <c r="AP1008" i="1"/>
  <c r="H1008" i="2"/>
  <c r="G1008" i="2"/>
  <c r="AO1008" i="1"/>
  <c r="F1008" i="2"/>
  <c r="E1008" i="2"/>
  <c r="AN1008" i="1"/>
  <c r="D1008" i="2"/>
  <c r="C1008" i="2"/>
  <c r="B1008" i="2"/>
  <c r="I1007" i="2"/>
  <c r="J1007" i="2"/>
  <c r="L1007" i="2"/>
  <c r="K1007" i="2"/>
  <c r="AP1007" i="1"/>
  <c r="H1007" i="2"/>
  <c r="G1007" i="2"/>
  <c r="AO1007" i="1"/>
  <c r="F1007" i="2"/>
  <c r="E1007" i="2"/>
  <c r="AN1007" i="1"/>
  <c r="D1007" i="2"/>
  <c r="C1007" i="2"/>
  <c r="B1007" i="2"/>
  <c r="I1006" i="2"/>
  <c r="J1006" i="2"/>
  <c r="L1006" i="2"/>
  <c r="K1006" i="2"/>
  <c r="AP1006" i="1"/>
  <c r="H1006" i="2"/>
  <c r="G1006" i="2"/>
  <c r="AO1006" i="1"/>
  <c r="F1006" i="2"/>
  <c r="E1006" i="2"/>
  <c r="AN1006" i="1"/>
  <c r="D1006" i="2"/>
  <c r="C1006" i="2"/>
  <c r="B1006" i="2"/>
  <c r="I1005" i="2"/>
  <c r="J1005" i="2"/>
  <c r="L1005" i="2"/>
  <c r="K1005" i="2"/>
  <c r="AP1005" i="1"/>
  <c r="H1005" i="2"/>
  <c r="G1005" i="2"/>
  <c r="AO1005" i="1"/>
  <c r="F1005" i="2"/>
  <c r="E1005" i="2"/>
  <c r="AN1005" i="1"/>
  <c r="D1005" i="2"/>
  <c r="C1005" i="2"/>
  <c r="B1005" i="2"/>
  <c r="I1004" i="2"/>
  <c r="J1004" i="2"/>
  <c r="L1004" i="2"/>
  <c r="K1004" i="2"/>
  <c r="AP1004" i="1"/>
  <c r="H1004" i="2"/>
  <c r="G1004" i="2"/>
  <c r="AO1004" i="1"/>
  <c r="F1004" i="2"/>
  <c r="E1004" i="2"/>
  <c r="AN1004" i="1"/>
  <c r="D1004" i="2"/>
  <c r="C1004" i="2"/>
  <c r="B1004" i="2"/>
  <c r="I1003" i="2"/>
  <c r="J1003" i="2"/>
  <c r="L1003" i="2"/>
  <c r="K1003" i="2"/>
  <c r="AP1003" i="1"/>
  <c r="H1003" i="2"/>
  <c r="G1003" i="2"/>
  <c r="AO1003" i="1"/>
  <c r="F1003" i="2"/>
  <c r="E1003" i="2"/>
  <c r="AN1003" i="1"/>
  <c r="D1003" i="2"/>
  <c r="C1003" i="2"/>
  <c r="B1003" i="2"/>
  <c r="I1002" i="2"/>
  <c r="J1002" i="2"/>
  <c r="L1002" i="2"/>
  <c r="K1002" i="2"/>
  <c r="AP1002" i="1"/>
  <c r="H1002" i="2"/>
  <c r="G1002" i="2"/>
  <c r="AO1002" i="1"/>
  <c r="F1002" i="2"/>
  <c r="E1002" i="2"/>
  <c r="AN1002" i="1"/>
  <c r="D1002" i="2"/>
  <c r="C1002" i="2"/>
  <c r="B1002" i="2"/>
  <c r="I1001" i="2"/>
  <c r="J1001" i="2"/>
  <c r="L1001" i="2"/>
  <c r="K1001" i="2"/>
  <c r="AP1001" i="1"/>
  <c r="H1001" i="2"/>
  <c r="G1001" i="2"/>
  <c r="AO1001" i="1"/>
  <c r="F1001" i="2"/>
  <c r="E1001" i="2"/>
  <c r="AN1001" i="1"/>
  <c r="D1001" i="2"/>
  <c r="C1001" i="2"/>
  <c r="B1001" i="2"/>
  <c r="I1000" i="2"/>
  <c r="J1000" i="2"/>
  <c r="L1000" i="2"/>
  <c r="K1000" i="2"/>
  <c r="AP1000" i="1"/>
  <c r="H1000" i="2"/>
  <c r="G1000" i="2"/>
  <c r="AO1000" i="1"/>
  <c r="F1000" i="2"/>
  <c r="E1000" i="2"/>
  <c r="AN1000" i="1"/>
  <c r="D1000" i="2"/>
  <c r="C1000" i="2"/>
  <c r="B1000" i="2"/>
  <c r="I999" i="2"/>
  <c r="J999" i="2"/>
  <c r="L999" i="2"/>
  <c r="K999" i="2"/>
  <c r="AP999" i="1"/>
  <c r="H999" i="2"/>
  <c r="G999" i="2"/>
  <c r="AO999" i="1"/>
  <c r="F999" i="2"/>
  <c r="E999" i="2"/>
  <c r="AN999" i="1"/>
  <c r="D999" i="2"/>
  <c r="C999" i="2"/>
  <c r="B999" i="2"/>
  <c r="I998" i="2"/>
  <c r="J998" i="2"/>
  <c r="L998" i="2"/>
  <c r="K998" i="2"/>
  <c r="AP998" i="1"/>
  <c r="H998" i="2"/>
  <c r="G998" i="2"/>
  <c r="AO998" i="1"/>
  <c r="F998" i="2"/>
  <c r="E998" i="2"/>
  <c r="AN998" i="1"/>
  <c r="D998" i="2"/>
  <c r="C998" i="2"/>
  <c r="B998" i="2"/>
  <c r="I997" i="2"/>
  <c r="J997" i="2"/>
  <c r="L997" i="2"/>
  <c r="K997" i="2"/>
  <c r="AP997" i="1"/>
  <c r="H997" i="2"/>
  <c r="G997" i="2"/>
  <c r="AO997" i="1"/>
  <c r="F997" i="2"/>
  <c r="E997" i="2"/>
  <c r="AN997" i="1"/>
  <c r="D997" i="2"/>
  <c r="C997" i="2"/>
  <c r="B997" i="2"/>
  <c r="I996" i="2"/>
  <c r="J996" i="2"/>
  <c r="L996" i="2"/>
  <c r="K996" i="2"/>
  <c r="AP996" i="1"/>
  <c r="H996" i="2"/>
  <c r="G996" i="2"/>
  <c r="AO996" i="1"/>
  <c r="F996" i="2"/>
  <c r="E996" i="2"/>
  <c r="AN996" i="1"/>
  <c r="D996" i="2"/>
  <c r="C996" i="2"/>
  <c r="B996" i="2"/>
  <c r="I995" i="2"/>
  <c r="J995" i="2"/>
  <c r="L995" i="2"/>
  <c r="K995" i="2"/>
  <c r="AP995" i="1"/>
  <c r="H995" i="2"/>
  <c r="G995" i="2"/>
  <c r="AO995" i="1"/>
  <c r="F995" i="2"/>
  <c r="E995" i="2"/>
  <c r="AN995" i="1"/>
  <c r="D995" i="2"/>
  <c r="C995" i="2"/>
  <c r="B995" i="2"/>
  <c r="I994" i="2"/>
  <c r="J994" i="2"/>
  <c r="L994" i="2"/>
  <c r="K994" i="2"/>
  <c r="AP994" i="1"/>
  <c r="H994" i="2"/>
  <c r="G994" i="2"/>
  <c r="AO994" i="1"/>
  <c r="F994" i="2"/>
  <c r="E994" i="2"/>
  <c r="AN994" i="1"/>
  <c r="D994" i="2"/>
  <c r="C994" i="2"/>
  <c r="B994" i="2"/>
  <c r="I993" i="2"/>
  <c r="J993" i="2"/>
  <c r="L993" i="2"/>
  <c r="K993" i="2"/>
  <c r="AP993" i="1"/>
  <c r="H993" i="2"/>
  <c r="G993" i="2"/>
  <c r="AO993" i="1"/>
  <c r="F993" i="2"/>
  <c r="E993" i="2"/>
  <c r="AN993" i="1"/>
  <c r="D993" i="2"/>
  <c r="C993" i="2"/>
  <c r="B993" i="2"/>
  <c r="I992" i="2"/>
  <c r="J992" i="2"/>
  <c r="L992" i="2"/>
  <c r="K992" i="2"/>
  <c r="AP992" i="1"/>
  <c r="H992" i="2"/>
  <c r="G992" i="2"/>
  <c r="AO992" i="1"/>
  <c r="F992" i="2"/>
  <c r="E992" i="2"/>
  <c r="AN992" i="1"/>
  <c r="D992" i="2"/>
  <c r="C992" i="2"/>
  <c r="B992" i="2"/>
  <c r="I991" i="2"/>
  <c r="J991" i="2"/>
  <c r="L991" i="2"/>
  <c r="K991" i="2"/>
  <c r="AP991" i="1"/>
  <c r="H991" i="2"/>
  <c r="G991" i="2"/>
  <c r="AO991" i="1"/>
  <c r="F991" i="2"/>
  <c r="E991" i="2"/>
  <c r="AN991" i="1"/>
  <c r="D991" i="2"/>
  <c r="C991" i="2"/>
  <c r="B991" i="2"/>
  <c r="I990" i="2"/>
  <c r="J990" i="2"/>
  <c r="L990" i="2"/>
  <c r="K990" i="2"/>
  <c r="AP990" i="1"/>
  <c r="H990" i="2"/>
  <c r="G990" i="2"/>
  <c r="AO990" i="1"/>
  <c r="F990" i="2"/>
  <c r="E990" i="2"/>
  <c r="AN990" i="1"/>
  <c r="D990" i="2"/>
  <c r="C990" i="2"/>
  <c r="B990" i="2"/>
  <c r="I989" i="2"/>
  <c r="J989" i="2"/>
  <c r="L989" i="2"/>
  <c r="K989" i="2"/>
  <c r="AP989" i="1"/>
  <c r="H989" i="2"/>
  <c r="G989" i="2"/>
  <c r="AO989" i="1"/>
  <c r="F989" i="2"/>
  <c r="E989" i="2"/>
  <c r="AN989" i="1"/>
  <c r="D989" i="2"/>
  <c r="C989" i="2"/>
  <c r="B989" i="2"/>
  <c r="I988" i="2"/>
  <c r="J988" i="2"/>
  <c r="L988" i="2"/>
  <c r="K988" i="2"/>
  <c r="AP988" i="1"/>
  <c r="H988" i="2"/>
  <c r="G988" i="2"/>
  <c r="AO988" i="1"/>
  <c r="F988" i="2"/>
  <c r="E988" i="2"/>
  <c r="AN988" i="1"/>
  <c r="D988" i="2"/>
  <c r="C988" i="2"/>
  <c r="B988" i="2"/>
  <c r="I987" i="2"/>
  <c r="J987" i="2"/>
  <c r="L987" i="2"/>
  <c r="K987" i="2"/>
  <c r="AP987" i="1"/>
  <c r="H987" i="2"/>
  <c r="G987" i="2"/>
  <c r="AO987" i="1"/>
  <c r="F987" i="2"/>
  <c r="E987" i="2"/>
  <c r="AN987" i="1"/>
  <c r="D987" i="2"/>
  <c r="C987" i="2"/>
  <c r="B987" i="2"/>
  <c r="I986" i="2"/>
  <c r="J986" i="2"/>
  <c r="L986" i="2"/>
  <c r="K986" i="2"/>
  <c r="AP986" i="1"/>
  <c r="H986" i="2"/>
  <c r="G986" i="2"/>
  <c r="AO986" i="1"/>
  <c r="F986" i="2"/>
  <c r="E986" i="2"/>
  <c r="AN986" i="1"/>
  <c r="D986" i="2"/>
  <c r="C986" i="2"/>
  <c r="B986" i="2"/>
  <c r="I985" i="2"/>
  <c r="J985" i="2"/>
  <c r="L985" i="2"/>
  <c r="K985" i="2"/>
  <c r="AP985" i="1"/>
  <c r="H985" i="2"/>
  <c r="G985" i="2"/>
  <c r="AO985" i="1"/>
  <c r="F985" i="2"/>
  <c r="E985" i="2"/>
  <c r="AN985" i="1"/>
  <c r="D985" i="2"/>
  <c r="C985" i="2"/>
  <c r="B985" i="2"/>
  <c r="I984" i="2"/>
  <c r="J984" i="2"/>
  <c r="L984" i="2"/>
  <c r="K984" i="2"/>
  <c r="AP984" i="1"/>
  <c r="H984" i="2"/>
  <c r="G984" i="2"/>
  <c r="AO984" i="1"/>
  <c r="F984" i="2"/>
  <c r="E984" i="2"/>
  <c r="AN984" i="1"/>
  <c r="D984" i="2"/>
  <c r="C984" i="2"/>
  <c r="B984" i="2"/>
  <c r="I983" i="2"/>
  <c r="J983" i="2"/>
  <c r="L983" i="2"/>
  <c r="K983" i="2"/>
  <c r="AP983" i="1"/>
  <c r="H983" i="2"/>
  <c r="G983" i="2"/>
  <c r="AO983" i="1"/>
  <c r="F983" i="2"/>
  <c r="E983" i="2"/>
  <c r="AN983" i="1"/>
  <c r="D983" i="2"/>
  <c r="C983" i="2"/>
  <c r="B983" i="2"/>
  <c r="I982" i="2"/>
  <c r="J982" i="2"/>
  <c r="L982" i="2"/>
  <c r="K982" i="2"/>
  <c r="AP982" i="1"/>
  <c r="H982" i="2"/>
  <c r="G982" i="2"/>
  <c r="AO982" i="1"/>
  <c r="F982" i="2"/>
  <c r="E982" i="2"/>
  <c r="AN982" i="1"/>
  <c r="D982" i="2"/>
  <c r="C982" i="2"/>
  <c r="B982" i="2"/>
  <c r="I981" i="2"/>
  <c r="J981" i="2"/>
  <c r="L981" i="2"/>
  <c r="K981" i="2"/>
  <c r="AP981" i="1"/>
  <c r="H981" i="2"/>
  <c r="G981" i="2"/>
  <c r="AO981" i="1"/>
  <c r="F981" i="2"/>
  <c r="E981" i="2"/>
  <c r="AN981" i="1"/>
  <c r="D981" i="2"/>
  <c r="C981" i="2"/>
  <c r="B981" i="2"/>
  <c r="I980" i="2"/>
  <c r="J980" i="2"/>
  <c r="L980" i="2"/>
  <c r="K980" i="2"/>
  <c r="AP980" i="1"/>
  <c r="H980" i="2"/>
  <c r="G980" i="2"/>
  <c r="AO980" i="1"/>
  <c r="F980" i="2"/>
  <c r="E980" i="2"/>
  <c r="AN980" i="1"/>
  <c r="D980" i="2"/>
  <c r="C980" i="2"/>
  <c r="B980" i="2"/>
  <c r="I979" i="2"/>
  <c r="J979" i="2"/>
  <c r="L979" i="2"/>
  <c r="K979" i="2"/>
  <c r="AP979" i="1"/>
  <c r="H979" i="2"/>
  <c r="G979" i="2"/>
  <c r="AO979" i="1"/>
  <c r="F979" i="2"/>
  <c r="E979" i="2"/>
  <c r="AN979" i="1"/>
  <c r="D979" i="2"/>
  <c r="C979" i="2"/>
  <c r="B979" i="2"/>
  <c r="I978" i="2"/>
  <c r="J978" i="2"/>
  <c r="L978" i="2"/>
  <c r="K978" i="2"/>
  <c r="AP978" i="1"/>
  <c r="H978" i="2"/>
  <c r="G978" i="2"/>
  <c r="AO978" i="1"/>
  <c r="F978" i="2"/>
  <c r="E978" i="2"/>
  <c r="AN978" i="1"/>
  <c r="D978" i="2"/>
  <c r="C978" i="2"/>
  <c r="B978" i="2"/>
  <c r="I977" i="2"/>
  <c r="J977" i="2"/>
  <c r="L977" i="2"/>
  <c r="K977" i="2"/>
  <c r="AP977" i="1"/>
  <c r="H977" i="2"/>
  <c r="G977" i="2"/>
  <c r="AO977" i="1"/>
  <c r="F977" i="2"/>
  <c r="E977" i="2"/>
  <c r="AN977" i="1"/>
  <c r="D977" i="2"/>
  <c r="C977" i="2"/>
  <c r="B977" i="2"/>
  <c r="I976" i="2"/>
  <c r="J976" i="2"/>
  <c r="L976" i="2"/>
  <c r="K976" i="2"/>
  <c r="AP976" i="1"/>
  <c r="H976" i="2"/>
  <c r="G976" i="2"/>
  <c r="AO976" i="1"/>
  <c r="F976" i="2"/>
  <c r="E976" i="2"/>
  <c r="AN976" i="1"/>
  <c r="D976" i="2"/>
  <c r="C976" i="2"/>
  <c r="B976" i="2"/>
  <c r="I975" i="2"/>
  <c r="J975" i="2"/>
  <c r="L975" i="2"/>
  <c r="K975" i="2"/>
  <c r="AP975" i="1"/>
  <c r="H975" i="2"/>
  <c r="G975" i="2"/>
  <c r="AO975" i="1"/>
  <c r="F975" i="2"/>
  <c r="E975" i="2"/>
  <c r="AN975" i="1"/>
  <c r="D975" i="2"/>
  <c r="C975" i="2"/>
  <c r="B975" i="2"/>
  <c r="I974" i="2"/>
  <c r="J974" i="2"/>
  <c r="L974" i="2"/>
  <c r="K974" i="2"/>
  <c r="AP974" i="1"/>
  <c r="H974" i="2"/>
  <c r="G974" i="2"/>
  <c r="AO974" i="1"/>
  <c r="F974" i="2"/>
  <c r="E974" i="2"/>
  <c r="AN974" i="1"/>
  <c r="D974" i="2"/>
  <c r="C974" i="2"/>
  <c r="B974" i="2"/>
  <c r="I973" i="2"/>
  <c r="J973" i="2"/>
  <c r="L973" i="2"/>
  <c r="K973" i="2"/>
  <c r="AP973" i="1"/>
  <c r="H973" i="2"/>
  <c r="G973" i="2"/>
  <c r="AO973" i="1"/>
  <c r="F973" i="2"/>
  <c r="E973" i="2"/>
  <c r="AN973" i="1"/>
  <c r="D973" i="2"/>
  <c r="C973" i="2"/>
  <c r="B973" i="2"/>
  <c r="I972" i="2"/>
  <c r="J972" i="2"/>
  <c r="L972" i="2"/>
  <c r="K972" i="2"/>
  <c r="AP972" i="1"/>
  <c r="H972" i="2"/>
  <c r="G972" i="2"/>
  <c r="AO972" i="1"/>
  <c r="F972" i="2"/>
  <c r="E972" i="2"/>
  <c r="AN972" i="1"/>
  <c r="D972" i="2"/>
  <c r="C972" i="2"/>
  <c r="B972" i="2"/>
  <c r="I971" i="2"/>
  <c r="J971" i="2"/>
  <c r="L971" i="2"/>
  <c r="K971" i="2"/>
  <c r="AP971" i="1"/>
  <c r="H971" i="2"/>
  <c r="G971" i="2"/>
  <c r="AO971" i="1"/>
  <c r="F971" i="2"/>
  <c r="E971" i="2"/>
  <c r="AN971" i="1"/>
  <c r="D971" i="2"/>
  <c r="C971" i="2"/>
  <c r="B971" i="2"/>
  <c r="I970" i="2"/>
  <c r="J970" i="2"/>
  <c r="L970" i="2"/>
  <c r="K970" i="2"/>
  <c r="AP970" i="1"/>
  <c r="H970" i="2"/>
  <c r="G970" i="2"/>
  <c r="AO970" i="1"/>
  <c r="F970" i="2"/>
  <c r="E970" i="2"/>
  <c r="AN970" i="1"/>
  <c r="D970" i="2"/>
  <c r="C970" i="2"/>
  <c r="B970" i="2"/>
  <c r="I969" i="2"/>
  <c r="J969" i="2"/>
  <c r="L969" i="2"/>
  <c r="K969" i="2"/>
  <c r="AP969" i="1"/>
  <c r="H969" i="2"/>
  <c r="G969" i="2"/>
  <c r="AO969" i="1"/>
  <c r="F969" i="2"/>
  <c r="E969" i="2"/>
  <c r="AN969" i="1"/>
  <c r="D969" i="2"/>
  <c r="C969" i="2"/>
  <c r="B969" i="2"/>
  <c r="I968" i="2"/>
  <c r="J968" i="2"/>
  <c r="L968" i="2"/>
  <c r="K968" i="2"/>
  <c r="AP968" i="1"/>
  <c r="H968" i="2"/>
  <c r="G968" i="2"/>
  <c r="AO968" i="1"/>
  <c r="F968" i="2"/>
  <c r="E968" i="2"/>
  <c r="AN968" i="1"/>
  <c r="D968" i="2"/>
  <c r="C968" i="2"/>
  <c r="B968" i="2"/>
  <c r="I967" i="2"/>
  <c r="J967" i="2"/>
  <c r="L967" i="2"/>
  <c r="K967" i="2"/>
  <c r="AP967" i="1"/>
  <c r="H967" i="2"/>
  <c r="G967" i="2"/>
  <c r="AO967" i="1"/>
  <c r="F967" i="2"/>
  <c r="E967" i="2"/>
  <c r="AN967" i="1"/>
  <c r="D967" i="2"/>
  <c r="C967" i="2"/>
  <c r="B967" i="2"/>
  <c r="I966" i="2"/>
  <c r="J966" i="2"/>
  <c r="L966" i="2"/>
  <c r="K966" i="2"/>
  <c r="AP966" i="1"/>
  <c r="H966" i="2"/>
  <c r="G966" i="2"/>
  <c r="AO966" i="1"/>
  <c r="F966" i="2"/>
  <c r="E966" i="2"/>
  <c r="AN966" i="1"/>
  <c r="D966" i="2"/>
  <c r="C966" i="2"/>
  <c r="B966" i="2"/>
  <c r="I965" i="2"/>
  <c r="J965" i="2"/>
  <c r="L965" i="2"/>
  <c r="K965" i="2"/>
  <c r="AP965" i="1"/>
  <c r="H965" i="2"/>
  <c r="G965" i="2"/>
  <c r="AO965" i="1"/>
  <c r="F965" i="2"/>
  <c r="E965" i="2"/>
  <c r="AN965" i="1"/>
  <c r="D965" i="2"/>
  <c r="C965" i="2"/>
  <c r="B965" i="2"/>
  <c r="I964" i="2"/>
  <c r="J964" i="2"/>
  <c r="L964" i="2"/>
  <c r="K964" i="2"/>
  <c r="AP964" i="1"/>
  <c r="H964" i="2"/>
  <c r="G964" i="2"/>
  <c r="AO964" i="1"/>
  <c r="F964" i="2"/>
  <c r="E964" i="2"/>
  <c r="AN964" i="1"/>
  <c r="D964" i="2"/>
  <c r="C964" i="2"/>
  <c r="B964" i="2"/>
  <c r="I963" i="2"/>
  <c r="J963" i="2"/>
  <c r="L963" i="2"/>
  <c r="K963" i="2"/>
  <c r="AP963" i="1"/>
  <c r="H963" i="2"/>
  <c r="G963" i="2"/>
  <c r="AO963" i="1"/>
  <c r="F963" i="2"/>
  <c r="E963" i="2"/>
  <c r="AN963" i="1"/>
  <c r="D963" i="2"/>
  <c r="C963" i="2"/>
  <c r="B963" i="2"/>
  <c r="I962" i="2"/>
  <c r="J962" i="2"/>
  <c r="L962" i="2"/>
  <c r="K962" i="2"/>
  <c r="AP962" i="1"/>
  <c r="H962" i="2"/>
  <c r="G962" i="2"/>
  <c r="AO962" i="1"/>
  <c r="F962" i="2"/>
  <c r="E962" i="2"/>
  <c r="AN962" i="1"/>
  <c r="D962" i="2"/>
  <c r="C962" i="2"/>
  <c r="B962" i="2"/>
  <c r="I961" i="2"/>
  <c r="J961" i="2"/>
  <c r="L961" i="2"/>
  <c r="K961" i="2"/>
  <c r="AP961" i="1"/>
  <c r="H961" i="2"/>
  <c r="G961" i="2"/>
  <c r="AO961" i="1"/>
  <c r="F961" i="2"/>
  <c r="E961" i="2"/>
  <c r="AN961" i="1"/>
  <c r="D961" i="2"/>
  <c r="C961" i="2"/>
  <c r="B961" i="2"/>
  <c r="I960" i="2"/>
  <c r="J960" i="2"/>
  <c r="L960" i="2"/>
  <c r="K960" i="2"/>
  <c r="AP960" i="1"/>
  <c r="H960" i="2"/>
  <c r="G960" i="2"/>
  <c r="AO960" i="1"/>
  <c r="F960" i="2"/>
  <c r="E960" i="2"/>
  <c r="AN960" i="1"/>
  <c r="D960" i="2"/>
  <c r="C960" i="2"/>
  <c r="B960" i="2"/>
  <c r="I959" i="2"/>
  <c r="J959" i="2"/>
  <c r="L959" i="2"/>
  <c r="K959" i="2"/>
  <c r="AP959" i="1"/>
  <c r="H959" i="2"/>
  <c r="G959" i="2"/>
  <c r="AO959" i="1"/>
  <c r="F959" i="2"/>
  <c r="E959" i="2"/>
  <c r="AN959" i="1"/>
  <c r="D959" i="2"/>
  <c r="C959" i="2"/>
  <c r="B959" i="2"/>
  <c r="I958" i="2"/>
  <c r="J958" i="2"/>
  <c r="L958" i="2"/>
  <c r="K958" i="2"/>
  <c r="AP958" i="1"/>
  <c r="H958" i="2"/>
  <c r="G958" i="2"/>
  <c r="AO958" i="1"/>
  <c r="F958" i="2"/>
  <c r="E958" i="2"/>
  <c r="AN958" i="1"/>
  <c r="D958" i="2"/>
  <c r="C958" i="2"/>
  <c r="B958" i="2"/>
  <c r="I957" i="2"/>
  <c r="J957" i="2"/>
  <c r="L957" i="2"/>
  <c r="K957" i="2"/>
  <c r="AP957" i="1"/>
  <c r="H957" i="2"/>
  <c r="G957" i="2"/>
  <c r="AO957" i="1"/>
  <c r="F957" i="2"/>
  <c r="E957" i="2"/>
  <c r="AN957" i="1"/>
  <c r="D957" i="2"/>
  <c r="C957" i="2"/>
  <c r="B957" i="2"/>
  <c r="I956" i="2"/>
  <c r="J956" i="2"/>
  <c r="L956" i="2"/>
  <c r="K956" i="2"/>
  <c r="AP956" i="1"/>
  <c r="H956" i="2"/>
  <c r="G956" i="2"/>
  <c r="AO956" i="1"/>
  <c r="F956" i="2"/>
  <c r="E956" i="2"/>
  <c r="AN956" i="1"/>
  <c r="D956" i="2"/>
  <c r="C956" i="2"/>
  <c r="B956" i="2"/>
  <c r="I955" i="2"/>
  <c r="J955" i="2"/>
  <c r="L955" i="2"/>
  <c r="K955" i="2"/>
  <c r="AP955" i="1"/>
  <c r="H955" i="2"/>
  <c r="G955" i="2"/>
  <c r="AO955" i="1"/>
  <c r="F955" i="2"/>
  <c r="E955" i="2"/>
  <c r="AN955" i="1"/>
  <c r="D955" i="2"/>
  <c r="C955" i="2"/>
  <c r="B955" i="2"/>
  <c r="I954" i="2"/>
  <c r="J954" i="2"/>
  <c r="L954" i="2"/>
  <c r="K954" i="2"/>
  <c r="AP954" i="1"/>
  <c r="H954" i="2"/>
  <c r="G954" i="2"/>
  <c r="AO954" i="1"/>
  <c r="F954" i="2"/>
  <c r="E954" i="2"/>
  <c r="AN954" i="1"/>
  <c r="D954" i="2"/>
  <c r="C954" i="2"/>
  <c r="B954" i="2"/>
  <c r="I953" i="2"/>
  <c r="J953" i="2"/>
  <c r="L953" i="2"/>
  <c r="K953" i="2"/>
  <c r="AP953" i="1"/>
  <c r="H953" i="2"/>
  <c r="G953" i="2"/>
  <c r="AO953" i="1"/>
  <c r="F953" i="2"/>
  <c r="E953" i="2"/>
  <c r="AN953" i="1"/>
  <c r="D953" i="2"/>
  <c r="C953" i="2"/>
  <c r="B953" i="2"/>
  <c r="I952" i="2"/>
  <c r="J952" i="2"/>
  <c r="L952" i="2"/>
  <c r="K952" i="2"/>
  <c r="AP952" i="1"/>
  <c r="H952" i="2"/>
  <c r="G952" i="2"/>
  <c r="AO952" i="1"/>
  <c r="F952" i="2"/>
  <c r="E952" i="2"/>
  <c r="AN952" i="1"/>
  <c r="D952" i="2"/>
  <c r="C952" i="2"/>
  <c r="B952" i="2"/>
  <c r="I951" i="2"/>
  <c r="J951" i="2"/>
  <c r="L951" i="2"/>
  <c r="K951" i="2"/>
  <c r="AP951" i="1"/>
  <c r="H951" i="2"/>
  <c r="G951" i="2"/>
  <c r="AO951" i="1"/>
  <c r="F951" i="2"/>
  <c r="E951" i="2"/>
  <c r="AN951" i="1"/>
  <c r="D951" i="2"/>
  <c r="C951" i="2"/>
  <c r="B951" i="2"/>
  <c r="I950" i="2"/>
  <c r="J950" i="2"/>
  <c r="L950" i="2"/>
  <c r="K950" i="2"/>
  <c r="AP950" i="1"/>
  <c r="H950" i="2"/>
  <c r="G950" i="2"/>
  <c r="AO950" i="1"/>
  <c r="F950" i="2"/>
  <c r="E950" i="2"/>
  <c r="AN950" i="1"/>
  <c r="D950" i="2"/>
  <c r="C950" i="2"/>
  <c r="B950" i="2"/>
  <c r="I949" i="2"/>
  <c r="J949" i="2"/>
  <c r="L949" i="2"/>
  <c r="K949" i="2"/>
  <c r="AP949" i="1"/>
  <c r="H949" i="2"/>
  <c r="G949" i="2"/>
  <c r="AO949" i="1"/>
  <c r="F949" i="2"/>
  <c r="E949" i="2"/>
  <c r="AN949" i="1"/>
  <c r="D949" i="2"/>
  <c r="C949" i="2"/>
  <c r="B949" i="2"/>
  <c r="I948" i="2"/>
  <c r="J948" i="2"/>
  <c r="L948" i="2"/>
  <c r="K948" i="2"/>
  <c r="AP948" i="1"/>
  <c r="H948" i="2"/>
  <c r="G948" i="2"/>
  <c r="AO948" i="1"/>
  <c r="F948" i="2"/>
  <c r="E948" i="2"/>
  <c r="AN948" i="1"/>
  <c r="D948" i="2"/>
  <c r="C948" i="2"/>
  <c r="B948" i="2"/>
  <c r="I947" i="2"/>
  <c r="J947" i="2"/>
  <c r="L947" i="2"/>
  <c r="K947" i="2"/>
  <c r="AP947" i="1"/>
  <c r="H947" i="2"/>
  <c r="G947" i="2"/>
  <c r="AO947" i="1"/>
  <c r="F947" i="2"/>
  <c r="E947" i="2"/>
  <c r="AN947" i="1"/>
  <c r="D947" i="2"/>
  <c r="C947" i="2"/>
  <c r="B947" i="2"/>
  <c r="I946" i="2"/>
  <c r="J946" i="2"/>
  <c r="L946" i="2"/>
  <c r="K946" i="2"/>
  <c r="AP946" i="1"/>
  <c r="H946" i="2"/>
  <c r="G946" i="2"/>
  <c r="AO946" i="1"/>
  <c r="F946" i="2"/>
  <c r="E946" i="2"/>
  <c r="AN946" i="1"/>
  <c r="D946" i="2"/>
  <c r="C946" i="2"/>
  <c r="B946" i="2"/>
  <c r="I945" i="2"/>
  <c r="J945" i="2"/>
  <c r="L945" i="2"/>
  <c r="K945" i="2"/>
  <c r="AP945" i="1"/>
  <c r="H945" i="2"/>
  <c r="G945" i="2"/>
  <c r="AO945" i="1"/>
  <c r="F945" i="2"/>
  <c r="E945" i="2"/>
  <c r="AN945" i="1"/>
  <c r="D945" i="2"/>
  <c r="C945" i="2"/>
  <c r="B945" i="2"/>
  <c r="I944" i="2"/>
  <c r="J944" i="2"/>
  <c r="L944" i="2"/>
  <c r="K944" i="2"/>
  <c r="AP944" i="1"/>
  <c r="H944" i="2"/>
  <c r="G944" i="2"/>
  <c r="AO944" i="1"/>
  <c r="F944" i="2"/>
  <c r="E944" i="2"/>
  <c r="AN944" i="1"/>
  <c r="D944" i="2"/>
  <c r="C944" i="2"/>
  <c r="B944" i="2"/>
  <c r="I943" i="2"/>
  <c r="J943" i="2"/>
  <c r="L943" i="2"/>
  <c r="K943" i="2"/>
  <c r="AP943" i="1"/>
  <c r="H943" i="2"/>
  <c r="G943" i="2"/>
  <c r="AO943" i="1"/>
  <c r="F943" i="2"/>
  <c r="E943" i="2"/>
  <c r="AN943" i="1"/>
  <c r="D943" i="2"/>
  <c r="C943" i="2"/>
  <c r="B943" i="2"/>
  <c r="I942" i="2"/>
  <c r="J942" i="2"/>
  <c r="L942" i="2"/>
  <c r="K942" i="2"/>
  <c r="AP942" i="1"/>
  <c r="H942" i="2"/>
  <c r="G942" i="2"/>
  <c r="AO942" i="1"/>
  <c r="F942" i="2"/>
  <c r="E942" i="2"/>
  <c r="AN942" i="1"/>
  <c r="D942" i="2"/>
  <c r="C942" i="2"/>
  <c r="B942" i="2"/>
  <c r="I941" i="2"/>
  <c r="J941" i="2"/>
  <c r="L941" i="2"/>
  <c r="K941" i="2"/>
  <c r="AP941" i="1"/>
  <c r="H941" i="2"/>
  <c r="G941" i="2"/>
  <c r="AO941" i="1"/>
  <c r="F941" i="2"/>
  <c r="E941" i="2"/>
  <c r="AN941" i="1"/>
  <c r="D941" i="2"/>
  <c r="C941" i="2"/>
  <c r="B941" i="2"/>
  <c r="I940" i="2"/>
  <c r="J940" i="2"/>
  <c r="L940" i="2"/>
  <c r="K940" i="2"/>
  <c r="AP940" i="1"/>
  <c r="H940" i="2"/>
  <c r="G940" i="2"/>
  <c r="AO940" i="1"/>
  <c r="F940" i="2"/>
  <c r="E940" i="2"/>
  <c r="AN940" i="1"/>
  <c r="D940" i="2"/>
  <c r="C940" i="2"/>
  <c r="B940" i="2"/>
  <c r="I939" i="2"/>
  <c r="J939" i="2"/>
  <c r="L939" i="2"/>
  <c r="K939" i="2"/>
  <c r="AP939" i="1"/>
  <c r="H939" i="2"/>
  <c r="G939" i="2"/>
  <c r="AO939" i="1"/>
  <c r="F939" i="2"/>
  <c r="E939" i="2"/>
  <c r="AN939" i="1"/>
  <c r="D939" i="2"/>
  <c r="C939" i="2"/>
  <c r="B939" i="2"/>
  <c r="I938" i="2"/>
  <c r="J938" i="2"/>
  <c r="L938" i="2"/>
  <c r="K938" i="2"/>
  <c r="AP938" i="1"/>
  <c r="H938" i="2"/>
  <c r="G938" i="2"/>
  <c r="AO938" i="1"/>
  <c r="F938" i="2"/>
  <c r="E938" i="2"/>
  <c r="AN938" i="1"/>
  <c r="D938" i="2"/>
  <c r="C938" i="2"/>
  <c r="B938" i="2"/>
  <c r="I937" i="2"/>
  <c r="J937" i="2"/>
  <c r="L937" i="2"/>
  <c r="K937" i="2"/>
  <c r="AP937" i="1"/>
  <c r="H937" i="2"/>
  <c r="G937" i="2"/>
  <c r="AO937" i="1"/>
  <c r="F937" i="2"/>
  <c r="E937" i="2"/>
  <c r="AN937" i="1"/>
  <c r="D937" i="2"/>
  <c r="C937" i="2"/>
  <c r="B937" i="2"/>
  <c r="I936" i="2"/>
  <c r="J936" i="2"/>
  <c r="L936" i="2"/>
  <c r="K936" i="2"/>
  <c r="AP936" i="1"/>
  <c r="H936" i="2"/>
  <c r="G936" i="2"/>
  <c r="AO936" i="1"/>
  <c r="F936" i="2"/>
  <c r="E936" i="2"/>
  <c r="AN936" i="1"/>
  <c r="D936" i="2"/>
  <c r="C936" i="2"/>
  <c r="B936" i="2"/>
  <c r="I935" i="2"/>
  <c r="J935" i="2"/>
  <c r="L935" i="2"/>
  <c r="K935" i="2"/>
  <c r="AP935" i="1"/>
  <c r="H935" i="2"/>
  <c r="G935" i="2"/>
  <c r="AO935" i="1"/>
  <c r="F935" i="2"/>
  <c r="E935" i="2"/>
  <c r="AN935" i="1"/>
  <c r="D935" i="2"/>
  <c r="C935" i="2"/>
  <c r="B935" i="2"/>
  <c r="I934" i="2"/>
  <c r="J934" i="2"/>
  <c r="L934" i="2"/>
  <c r="K934" i="2"/>
  <c r="AP934" i="1"/>
  <c r="H934" i="2"/>
  <c r="G934" i="2"/>
  <c r="AO934" i="1"/>
  <c r="F934" i="2"/>
  <c r="E934" i="2"/>
  <c r="AN934" i="1"/>
  <c r="D934" i="2"/>
  <c r="C934" i="2"/>
  <c r="B934" i="2"/>
  <c r="I933" i="2"/>
  <c r="J933" i="2"/>
  <c r="L933" i="2"/>
  <c r="K933" i="2"/>
  <c r="AP933" i="1"/>
  <c r="H933" i="2"/>
  <c r="G933" i="2"/>
  <c r="AO933" i="1"/>
  <c r="F933" i="2"/>
  <c r="E933" i="2"/>
  <c r="AN933" i="1"/>
  <c r="D933" i="2"/>
  <c r="C933" i="2"/>
  <c r="B933" i="2"/>
  <c r="I932" i="2"/>
  <c r="J932" i="2"/>
  <c r="L932" i="2"/>
  <c r="K932" i="2"/>
  <c r="AP932" i="1"/>
  <c r="H932" i="2"/>
  <c r="G932" i="2"/>
  <c r="AO932" i="1"/>
  <c r="F932" i="2"/>
  <c r="E932" i="2"/>
  <c r="AN932" i="1"/>
  <c r="D932" i="2"/>
  <c r="C932" i="2"/>
  <c r="B932" i="2"/>
  <c r="I931" i="2"/>
  <c r="J931" i="2"/>
  <c r="L931" i="2"/>
  <c r="K931" i="2"/>
  <c r="AP931" i="1"/>
  <c r="H931" i="2"/>
  <c r="G931" i="2"/>
  <c r="AO931" i="1"/>
  <c r="F931" i="2"/>
  <c r="E931" i="2"/>
  <c r="AN931" i="1"/>
  <c r="D931" i="2"/>
  <c r="C931" i="2"/>
  <c r="B931" i="2"/>
  <c r="I930" i="2"/>
  <c r="J930" i="2"/>
  <c r="L930" i="2"/>
  <c r="K930" i="2"/>
  <c r="AP930" i="1"/>
  <c r="H930" i="2"/>
  <c r="G930" i="2"/>
  <c r="AO930" i="1"/>
  <c r="F930" i="2"/>
  <c r="E930" i="2"/>
  <c r="AN930" i="1"/>
  <c r="D930" i="2"/>
  <c r="C930" i="2"/>
  <c r="B930" i="2"/>
  <c r="I929" i="2"/>
  <c r="J929" i="2"/>
  <c r="L929" i="2"/>
  <c r="K929" i="2"/>
  <c r="AP929" i="1"/>
  <c r="H929" i="2"/>
  <c r="G929" i="2"/>
  <c r="AO929" i="1"/>
  <c r="F929" i="2"/>
  <c r="E929" i="2"/>
  <c r="AN929" i="1"/>
  <c r="D929" i="2"/>
  <c r="C929" i="2"/>
  <c r="B929" i="2"/>
  <c r="I928" i="2"/>
  <c r="J928" i="2"/>
  <c r="L928" i="2"/>
  <c r="K928" i="2"/>
  <c r="AP928" i="1"/>
  <c r="H928" i="2"/>
  <c r="G928" i="2"/>
  <c r="AO928" i="1"/>
  <c r="F928" i="2"/>
  <c r="E928" i="2"/>
  <c r="AN928" i="1"/>
  <c r="D928" i="2"/>
  <c r="C928" i="2"/>
  <c r="B928" i="2"/>
  <c r="I927" i="2"/>
  <c r="J927" i="2"/>
  <c r="L927" i="2"/>
  <c r="K927" i="2"/>
  <c r="AP927" i="1"/>
  <c r="H927" i="2"/>
  <c r="G927" i="2"/>
  <c r="AO927" i="1"/>
  <c r="F927" i="2"/>
  <c r="E927" i="2"/>
  <c r="AN927" i="1"/>
  <c r="D927" i="2"/>
  <c r="C927" i="2"/>
  <c r="B927" i="2"/>
  <c r="I926" i="2"/>
  <c r="J926" i="2"/>
  <c r="L926" i="2"/>
  <c r="K926" i="2"/>
  <c r="AP926" i="1"/>
  <c r="H926" i="2"/>
  <c r="G926" i="2"/>
  <c r="AO926" i="1"/>
  <c r="F926" i="2"/>
  <c r="E926" i="2"/>
  <c r="AN926" i="1"/>
  <c r="D926" i="2"/>
  <c r="C926" i="2"/>
  <c r="B926" i="2"/>
  <c r="I925" i="2"/>
  <c r="J925" i="2"/>
  <c r="L925" i="2"/>
  <c r="K925" i="2"/>
  <c r="AP925" i="1"/>
  <c r="H925" i="2"/>
  <c r="G925" i="2"/>
  <c r="AO925" i="1"/>
  <c r="F925" i="2"/>
  <c r="E925" i="2"/>
  <c r="AN925" i="1"/>
  <c r="D925" i="2"/>
  <c r="C925" i="2"/>
  <c r="B925" i="2"/>
  <c r="I924" i="2"/>
  <c r="J924" i="2"/>
  <c r="L924" i="2"/>
  <c r="K924" i="2"/>
  <c r="AP924" i="1"/>
  <c r="H924" i="2"/>
  <c r="G924" i="2"/>
  <c r="AO924" i="1"/>
  <c r="F924" i="2"/>
  <c r="E924" i="2"/>
  <c r="AN924" i="1"/>
  <c r="D924" i="2"/>
  <c r="C924" i="2"/>
  <c r="B924" i="2"/>
  <c r="I923" i="2"/>
  <c r="J923" i="2"/>
  <c r="L923" i="2"/>
  <c r="K923" i="2"/>
  <c r="AP923" i="1"/>
  <c r="H923" i="2"/>
  <c r="G923" i="2"/>
  <c r="AO923" i="1"/>
  <c r="F923" i="2"/>
  <c r="E923" i="2"/>
  <c r="AN923" i="1"/>
  <c r="D923" i="2"/>
  <c r="C923" i="2"/>
  <c r="B923" i="2"/>
  <c r="I922" i="2"/>
  <c r="J922" i="2"/>
  <c r="L922" i="2"/>
  <c r="K922" i="2"/>
  <c r="AP922" i="1"/>
  <c r="H922" i="2"/>
  <c r="G922" i="2"/>
  <c r="AO922" i="1"/>
  <c r="F922" i="2"/>
  <c r="E922" i="2"/>
  <c r="AN922" i="1"/>
  <c r="D922" i="2"/>
  <c r="C922" i="2"/>
  <c r="B922" i="2"/>
  <c r="I921" i="2"/>
  <c r="J921" i="2"/>
  <c r="L921" i="2"/>
  <c r="K921" i="2"/>
  <c r="AP921" i="1"/>
  <c r="H921" i="2"/>
  <c r="G921" i="2"/>
  <c r="AO921" i="1"/>
  <c r="F921" i="2"/>
  <c r="E921" i="2"/>
  <c r="AN921" i="1"/>
  <c r="D921" i="2"/>
  <c r="C921" i="2"/>
  <c r="B921" i="2"/>
  <c r="I920" i="2"/>
  <c r="J920" i="2"/>
  <c r="L920" i="2"/>
  <c r="K920" i="2"/>
  <c r="AP920" i="1"/>
  <c r="H920" i="2"/>
  <c r="G920" i="2"/>
  <c r="AO920" i="1"/>
  <c r="F920" i="2"/>
  <c r="E920" i="2"/>
  <c r="AN920" i="1"/>
  <c r="D920" i="2"/>
  <c r="C920" i="2"/>
  <c r="B920" i="2"/>
  <c r="I919" i="2"/>
  <c r="J919" i="2"/>
  <c r="L919" i="2"/>
  <c r="K919" i="2"/>
  <c r="AP919" i="1"/>
  <c r="H919" i="2"/>
  <c r="G919" i="2"/>
  <c r="AO919" i="1"/>
  <c r="F919" i="2"/>
  <c r="E919" i="2"/>
  <c r="AN919" i="1"/>
  <c r="D919" i="2"/>
  <c r="C919" i="2"/>
  <c r="B919" i="2"/>
  <c r="I918" i="2"/>
  <c r="J918" i="2"/>
  <c r="L918" i="2"/>
  <c r="K918" i="2"/>
  <c r="AP918" i="1"/>
  <c r="H918" i="2"/>
  <c r="G918" i="2"/>
  <c r="AO918" i="1"/>
  <c r="F918" i="2"/>
  <c r="E918" i="2"/>
  <c r="AN918" i="1"/>
  <c r="D918" i="2"/>
  <c r="C918" i="2"/>
  <c r="B918" i="2"/>
  <c r="I917" i="2"/>
  <c r="J917" i="2"/>
  <c r="L917" i="2"/>
  <c r="K917" i="2"/>
  <c r="AP917" i="1"/>
  <c r="H917" i="2"/>
  <c r="G917" i="2"/>
  <c r="AO917" i="1"/>
  <c r="F917" i="2"/>
  <c r="E917" i="2"/>
  <c r="AN917" i="1"/>
  <c r="D917" i="2"/>
  <c r="C917" i="2"/>
  <c r="B917" i="2"/>
  <c r="I916" i="2"/>
  <c r="J916" i="2"/>
  <c r="L916" i="2"/>
  <c r="K916" i="2"/>
  <c r="AP916" i="1"/>
  <c r="H916" i="2"/>
  <c r="G916" i="2"/>
  <c r="AO916" i="1"/>
  <c r="F916" i="2"/>
  <c r="E916" i="2"/>
  <c r="AN916" i="1"/>
  <c r="D916" i="2"/>
  <c r="C916" i="2"/>
  <c r="B916" i="2"/>
  <c r="I915" i="2"/>
  <c r="J915" i="2"/>
  <c r="L915" i="2"/>
  <c r="K915" i="2"/>
  <c r="AP915" i="1"/>
  <c r="H915" i="2"/>
  <c r="G915" i="2"/>
  <c r="AO915" i="1"/>
  <c r="F915" i="2"/>
  <c r="E915" i="2"/>
  <c r="AN915" i="1"/>
  <c r="D915" i="2"/>
  <c r="C915" i="2"/>
  <c r="B915" i="2"/>
  <c r="I914" i="2"/>
  <c r="J914" i="2"/>
  <c r="L914" i="2"/>
  <c r="K914" i="2"/>
  <c r="AP914" i="1"/>
  <c r="H914" i="2"/>
  <c r="G914" i="2"/>
  <c r="AO914" i="1"/>
  <c r="F914" i="2"/>
  <c r="E914" i="2"/>
  <c r="AN914" i="1"/>
  <c r="D914" i="2"/>
  <c r="C914" i="2"/>
  <c r="B914" i="2"/>
  <c r="I913" i="2"/>
  <c r="J913" i="2"/>
  <c r="L913" i="2"/>
  <c r="K913" i="2"/>
  <c r="AP913" i="1"/>
  <c r="H913" i="2"/>
  <c r="G913" i="2"/>
  <c r="AO913" i="1"/>
  <c r="F913" i="2"/>
  <c r="E913" i="2"/>
  <c r="AN913" i="1"/>
  <c r="D913" i="2"/>
  <c r="C913" i="2"/>
  <c r="B913" i="2"/>
  <c r="I912" i="2"/>
  <c r="J912" i="2"/>
  <c r="L912" i="2"/>
  <c r="K912" i="2"/>
  <c r="AP912" i="1"/>
  <c r="H912" i="2"/>
  <c r="G912" i="2"/>
  <c r="AO912" i="1"/>
  <c r="F912" i="2"/>
  <c r="E912" i="2"/>
  <c r="AN912" i="1"/>
  <c r="D912" i="2"/>
  <c r="C912" i="2"/>
  <c r="B912" i="2"/>
  <c r="I911" i="2"/>
  <c r="J911" i="2"/>
  <c r="L911" i="2"/>
  <c r="K911" i="2"/>
  <c r="AP911" i="1"/>
  <c r="H911" i="2"/>
  <c r="G911" i="2"/>
  <c r="AO911" i="1"/>
  <c r="F911" i="2"/>
  <c r="E911" i="2"/>
  <c r="AN911" i="1"/>
  <c r="D911" i="2"/>
  <c r="C911" i="2"/>
  <c r="B911" i="2"/>
  <c r="I910" i="2"/>
  <c r="J910" i="2"/>
  <c r="L910" i="2"/>
  <c r="K910" i="2"/>
  <c r="AP910" i="1"/>
  <c r="H910" i="2"/>
  <c r="G910" i="2"/>
  <c r="AO910" i="1"/>
  <c r="F910" i="2"/>
  <c r="E910" i="2"/>
  <c r="AN910" i="1"/>
  <c r="D910" i="2"/>
  <c r="C910" i="2"/>
  <c r="B910" i="2"/>
  <c r="I909" i="2"/>
  <c r="J909" i="2"/>
  <c r="L909" i="2"/>
  <c r="K909" i="2"/>
  <c r="AP909" i="1"/>
  <c r="H909" i="2"/>
  <c r="G909" i="2"/>
  <c r="AO909" i="1"/>
  <c r="F909" i="2"/>
  <c r="E909" i="2"/>
  <c r="AN909" i="1"/>
  <c r="D909" i="2"/>
  <c r="C909" i="2"/>
  <c r="B909" i="2"/>
  <c r="I908" i="2"/>
  <c r="J908" i="2"/>
  <c r="L908" i="2"/>
  <c r="K908" i="2"/>
  <c r="AP908" i="1"/>
  <c r="H908" i="2"/>
  <c r="G908" i="2"/>
  <c r="AO908" i="1"/>
  <c r="F908" i="2"/>
  <c r="E908" i="2"/>
  <c r="AN908" i="1"/>
  <c r="D908" i="2"/>
  <c r="C908" i="2"/>
  <c r="B908" i="2"/>
  <c r="I907" i="2"/>
  <c r="J907" i="2"/>
  <c r="L907" i="2"/>
  <c r="K907" i="2"/>
  <c r="AP907" i="1"/>
  <c r="H907" i="2"/>
  <c r="G907" i="2"/>
  <c r="AO907" i="1"/>
  <c r="F907" i="2"/>
  <c r="E907" i="2"/>
  <c r="AN907" i="1"/>
  <c r="D907" i="2"/>
  <c r="C907" i="2"/>
  <c r="B907" i="2"/>
  <c r="I906" i="2"/>
  <c r="J906" i="2"/>
  <c r="L906" i="2"/>
  <c r="K906" i="2"/>
  <c r="AP906" i="1"/>
  <c r="H906" i="2"/>
  <c r="G906" i="2"/>
  <c r="AO906" i="1"/>
  <c r="F906" i="2"/>
  <c r="E906" i="2"/>
  <c r="AN906" i="1"/>
  <c r="D906" i="2"/>
  <c r="C906" i="2"/>
  <c r="B906" i="2"/>
  <c r="I905" i="2"/>
  <c r="J905" i="2"/>
  <c r="L905" i="2"/>
  <c r="K905" i="2"/>
  <c r="AP905" i="1"/>
  <c r="H905" i="2"/>
  <c r="G905" i="2"/>
  <c r="AO905" i="1"/>
  <c r="F905" i="2"/>
  <c r="E905" i="2"/>
  <c r="AN905" i="1"/>
  <c r="D905" i="2"/>
  <c r="C905" i="2"/>
  <c r="B905" i="2"/>
  <c r="I904" i="2"/>
  <c r="J904" i="2"/>
  <c r="L904" i="2"/>
  <c r="K904" i="2"/>
  <c r="AP904" i="1"/>
  <c r="H904" i="2"/>
  <c r="G904" i="2"/>
  <c r="AO904" i="1"/>
  <c r="F904" i="2"/>
  <c r="E904" i="2"/>
  <c r="AN904" i="1"/>
  <c r="D904" i="2"/>
  <c r="C904" i="2"/>
  <c r="B904" i="2"/>
  <c r="I903" i="2"/>
  <c r="J903" i="2"/>
  <c r="L903" i="2"/>
  <c r="K903" i="2"/>
  <c r="AP903" i="1"/>
  <c r="H903" i="2"/>
  <c r="G903" i="2"/>
  <c r="AO903" i="1"/>
  <c r="F903" i="2"/>
  <c r="E903" i="2"/>
  <c r="AN903" i="1"/>
  <c r="D903" i="2"/>
  <c r="C903" i="2"/>
  <c r="B903" i="2"/>
  <c r="I902" i="2"/>
  <c r="J902" i="2"/>
  <c r="L902" i="2"/>
  <c r="K902" i="2"/>
  <c r="AP902" i="1"/>
  <c r="H902" i="2"/>
  <c r="G902" i="2"/>
  <c r="AO902" i="1"/>
  <c r="F902" i="2"/>
  <c r="E902" i="2"/>
  <c r="AN902" i="1"/>
  <c r="D902" i="2"/>
  <c r="C902" i="2"/>
  <c r="B902" i="2"/>
  <c r="I901" i="2"/>
  <c r="J901" i="2"/>
  <c r="L901" i="2"/>
  <c r="K901" i="2"/>
  <c r="AP901" i="1"/>
  <c r="H901" i="2"/>
  <c r="G901" i="2"/>
  <c r="AO901" i="1"/>
  <c r="F901" i="2"/>
  <c r="E901" i="2"/>
  <c r="AN901" i="1"/>
  <c r="D901" i="2"/>
  <c r="C901" i="2"/>
  <c r="B901" i="2"/>
  <c r="I900" i="2"/>
  <c r="J900" i="2"/>
  <c r="L900" i="2"/>
  <c r="K900" i="2"/>
  <c r="AP900" i="1"/>
  <c r="H900" i="2"/>
  <c r="G900" i="2"/>
  <c r="AO900" i="1"/>
  <c r="F900" i="2"/>
  <c r="E900" i="2"/>
  <c r="AN900" i="1"/>
  <c r="D900" i="2"/>
  <c r="C900" i="2"/>
  <c r="B900" i="2"/>
  <c r="I899" i="2"/>
  <c r="J899" i="2"/>
  <c r="L899" i="2"/>
  <c r="K899" i="2"/>
  <c r="AP899" i="1"/>
  <c r="H899" i="2"/>
  <c r="G899" i="2"/>
  <c r="AO899" i="1"/>
  <c r="F899" i="2"/>
  <c r="E899" i="2"/>
  <c r="AN899" i="1"/>
  <c r="D899" i="2"/>
  <c r="C899" i="2"/>
  <c r="B899" i="2"/>
  <c r="I898" i="2"/>
  <c r="J898" i="2"/>
  <c r="L898" i="2"/>
  <c r="K898" i="2"/>
  <c r="AP898" i="1"/>
  <c r="H898" i="2"/>
  <c r="G898" i="2"/>
  <c r="AO898" i="1"/>
  <c r="F898" i="2"/>
  <c r="E898" i="2"/>
  <c r="AN898" i="1"/>
  <c r="D898" i="2"/>
  <c r="C898" i="2"/>
  <c r="B898" i="2"/>
  <c r="I897" i="2"/>
  <c r="J897" i="2"/>
  <c r="L897" i="2"/>
  <c r="K897" i="2"/>
  <c r="AP897" i="1"/>
  <c r="H897" i="2"/>
  <c r="G897" i="2"/>
  <c r="AO897" i="1"/>
  <c r="F897" i="2"/>
  <c r="E897" i="2"/>
  <c r="AN897" i="1"/>
  <c r="D897" i="2"/>
  <c r="C897" i="2"/>
  <c r="B897" i="2"/>
  <c r="I896" i="2"/>
  <c r="J896" i="2"/>
  <c r="L896" i="2"/>
  <c r="K896" i="2"/>
  <c r="AP896" i="1"/>
  <c r="H896" i="2"/>
  <c r="G896" i="2"/>
  <c r="AO896" i="1"/>
  <c r="F896" i="2"/>
  <c r="E896" i="2"/>
  <c r="AN896" i="1"/>
  <c r="D896" i="2"/>
  <c r="C896" i="2"/>
  <c r="B896" i="2"/>
  <c r="I895" i="2"/>
  <c r="J895" i="2"/>
  <c r="L895" i="2"/>
  <c r="K895" i="2"/>
  <c r="AP895" i="1"/>
  <c r="H895" i="2"/>
  <c r="G895" i="2"/>
  <c r="AO895" i="1"/>
  <c r="F895" i="2"/>
  <c r="E895" i="2"/>
  <c r="AN895" i="1"/>
  <c r="D895" i="2"/>
  <c r="C895" i="2"/>
  <c r="B895" i="2"/>
  <c r="I894" i="2"/>
  <c r="J894" i="2"/>
  <c r="L894" i="2"/>
  <c r="K894" i="2"/>
  <c r="AP894" i="1"/>
  <c r="H894" i="2"/>
  <c r="G894" i="2"/>
  <c r="AO894" i="1"/>
  <c r="F894" i="2"/>
  <c r="E894" i="2"/>
  <c r="AN894" i="1"/>
  <c r="D894" i="2"/>
  <c r="C894" i="2"/>
  <c r="B894" i="2"/>
  <c r="I893" i="2"/>
  <c r="J893" i="2"/>
  <c r="L893" i="2"/>
  <c r="K893" i="2"/>
  <c r="AP893" i="1"/>
  <c r="H893" i="2"/>
  <c r="G893" i="2"/>
  <c r="AO893" i="1"/>
  <c r="F893" i="2"/>
  <c r="E893" i="2"/>
  <c r="AN893" i="1"/>
  <c r="D893" i="2"/>
  <c r="C893" i="2"/>
  <c r="B893" i="2"/>
  <c r="I892" i="2"/>
  <c r="J892" i="2"/>
  <c r="L892" i="2"/>
  <c r="K892" i="2"/>
  <c r="H892" i="2"/>
  <c r="G892" i="2"/>
  <c r="F892" i="2"/>
  <c r="E892" i="2"/>
  <c r="D892" i="2"/>
  <c r="C892" i="2"/>
  <c r="B892" i="2"/>
  <c r="I891" i="2"/>
  <c r="J891" i="2"/>
  <c r="L891" i="2"/>
  <c r="K891" i="2"/>
  <c r="AP892" i="1"/>
  <c r="H891" i="2"/>
  <c r="G891" i="2"/>
  <c r="AO892" i="1"/>
  <c r="F891" i="2"/>
  <c r="E891" i="2"/>
  <c r="AN892" i="1"/>
  <c r="D891" i="2"/>
  <c r="C891" i="2"/>
  <c r="B891" i="2"/>
  <c r="I890" i="2"/>
  <c r="J890" i="2"/>
  <c r="L890" i="2"/>
  <c r="K890" i="2"/>
  <c r="AP891" i="1"/>
  <c r="H890" i="2"/>
  <c r="G890" i="2"/>
  <c r="AO891" i="1"/>
  <c r="F890" i="2"/>
  <c r="E890" i="2"/>
  <c r="AN891" i="1"/>
  <c r="D890" i="2"/>
  <c r="C890" i="2"/>
  <c r="B890" i="2"/>
  <c r="I889" i="2"/>
  <c r="J889" i="2"/>
  <c r="L889" i="2"/>
  <c r="K889" i="2"/>
  <c r="AP890" i="1"/>
  <c r="H889" i="2"/>
  <c r="G889" i="2"/>
  <c r="AO890" i="1"/>
  <c r="F889" i="2"/>
  <c r="E889" i="2"/>
  <c r="AN890" i="1"/>
  <c r="D889" i="2"/>
  <c r="C889" i="2"/>
  <c r="B889" i="2"/>
  <c r="I888" i="2"/>
  <c r="J888" i="2"/>
  <c r="L888" i="2"/>
  <c r="K888" i="2"/>
  <c r="AP889" i="1"/>
  <c r="H888" i="2"/>
  <c r="G888" i="2"/>
  <c r="AO889" i="1"/>
  <c r="F888" i="2"/>
  <c r="E888" i="2"/>
  <c r="AN889" i="1"/>
  <c r="D888" i="2"/>
  <c r="C888" i="2"/>
  <c r="B888" i="2"/>
  <c r="I887" i="2"/>
  <c r="J887" i="2"/>
  <c r="L887" i="2"/>
  <c r="K887" i="2"/>
  <c r="AP888" i="1"/>
  <c r="H887" i="2"/>
  <c r="G887" i="2"/>
  <c r="AO888" i="1"/>
  <c r="F887" i="2"/>
  <c r="E887" i="2"/>
  <c r="AN888" i="1"/>
  <c r="D887" i="2"/>
  <c r="C887" i="2"/>
  <c r="B887" i="2"/>
  <c r="I886" i="2"/>
  <c r="J886" i="2"/>
  <c r="L886" i="2"/>
  <c r="K886" i="2"/>
  <c r="AP887" i="1"/>
  <c r="H886" i="2"/>
  <c r="G886" i="2"/>
  <c r="AO887" i="1"/>
  <c r="F886" i="2"/>
  <c r="E886" i="2"/>
  <c r="AN887" i="1"/>
  <c r="D886" i="2"/>
  <c r="C886" i="2"/>
  <c r="B886" i="2"/>
  <c r="I885" i="2"/>
  <c r="J885" i="2"/>
  <c r="L885" i="2"/>
  <c r="K885" i="2"/>
  <c r="AP886" i="1"/>
  <c r="H885" i="2"/>
  <c r="G885" i="2"/>
  <c r="AO886" i="1"/>
  <c r="F885" i="2"/>
  <c r="E885" i="2"/>
  <c r="AN886" i="1"/>
  <c r="D885" i="2"/>
  <c r="C885" i="2"/>
  <c r="B885" i="2"/>
  <c r="I884" i="2"/>
  <c r="J884" i="2"/>
  <c r="L884" i="2"/>
  <c r="K884" i="2"/>
  <c r="AP885" i="1"/>
  <c r="H884" i="2"/>
  <c r="G884" i="2"/>
  <c r="AO885" i="1"/>
  <c r="F884" i="2"/>
  <c r="E884" i="2"/>
  <c r="AN885" i="1"/>
  <c r="D884" i="2"/>
  <c r="C884" i="2"/>
  <c r="B884" i="2"/>
  <c r="I883" i="2"/>
  <c r="J883" i="2"/>
  <c r="L883" i="2"/>
  <c r="K883" i="2"/>
  <c r="AP884" i="1"/>
  <c r="H883" i="2"/>
  <c r="G883" i="2"/>
  <c r="AO884" i="1"/>
  <c r="F883" i="2"/>
  <c r="E883" i="2"/>
  <c r="AN884" i="1"/>
  <c r="D883" i="2"/>
  <c r="C883" i="2"/>
  <c r="B883" i="2"/>
  <c r="I882" i="2"/>
  <c r="J882" i="2"/>
  <c r="L882" i="2"/>
  <c r="K882" i="2"/>
  <c r="AP883" i="1"/>
  <c r="H882" i="2"/>
  <c r="G882" i="2"/>
  <c r="AO883" i="1"/>
  <c r="F882" i="2"/>
  <c r="E882" i="2"/>
  <c r="AN883" i="1"/>
  <c r="D882" i="2"/>
  <c r="C882" i="2"/>
  <c r="B882" i="2"/>
  <c r="I881" i="2"/>
  <c r="J881" i="2"/>
  <c r="L881" i="2"/>
  <c r="K881" i="2"/>
  <c r="AP882" i="1"/>
  <c r="H881" i="2"/>
  <c r="G881" i="2"/>
  <c r="AO882" i="1"/>
  <c r="F881" i="2"/>
  <c r="E881" i="2"/>
  <c r="AN882" i="1"/>
  <c r="D881" i="2"/>
  <c r="C881" i="2"/>
  <c r="B881" i="2"/>
  <c r="I880" i="2"/>
  <c r="J880" i="2"/>
  <c r="L880" i="2"/>
  <c r="K880" i="2"/>
  <c r="AP881" i="1"/>
  <c r="H880" i="2"/>
  <c r="G880" i="2"/>
  <c r="AO881" i="1"/>
  <c r="F880" i="2"/>
  <c r="E880" i="2"/>
  <c r="AN881" i="1"/>
  <c r="D880" i="2"/>
  <c r="C880" i="2"/>
  <c r="B880" i="2"/>
  <c r="I879" i="2"/>
  <c r="J879" i="2"/>
  <c r="L879" i="2"/>
  <c r="K879" i="2"/>
  <c r="AP880" i="1"/>
  <c r="H879" i="2"/>
  <c r="G879" i="2"/>
  <c r="AO880" i="1"/>
  <c r="F879" i="2"/>
  <c r="E879" i="2"/>
  <c r="AN880" i="1"/>
  <c r="D879" i="2"/>
  <c r="C879" i="2"/>
  <c r="B879" i="2"/>
  <c r="I878" i="2"/>
  <c r="J878" i="2"/>
  <c r="L878" i="2"/>
  <c r="K878" i="2"/>
  <c r="AP879" i="1"/>
  <c r="H878" i="2"/>
  <c r="G878" i="2"/>
  <c r="AO879" i="1"/>
  <c r="F878" i="2"/>
  <c r="E878" i="2"/>
  <c r="AN879" i="1"/>
  <c r="D878" i="2"/>
  <c r="C878" i="2"/>
  <c r="B878" i="2"/>
  <c r="I877" i="2"/>
  <c r="J877" i="2"/>
  <c r="L877" i="2"/>
  <c r="K877" i="2"/>
  <c r="AP878" i="1"/>
  <c r="H877" i="2"/>
  <c r="G877" i="2"/>
  <c r="AO878" i="1"/>
  <c r="F877" i="2"/>
  <c r="E877" i="2"/>
  <c r="AN878" i="1"/>
  <c r="D877" i="2"/>
  <c r="C877" i="2"/>
  <c r="B877" i="2"/>
  <c r="I876" i="2"/>
  <c r="J876" i="2"/>
  <c r="L876" i="2"/>
  <c r="K876" i="2"/>
  <c r="AP877" i="1"/>
  <c r="H876" i="2"/>
  <c r="G876" i="2"/>
  <c r="AO877" i="1"/>
  <c r="F876" i="2"/>
  <c r="E876" i="2"/>
  <c r="AN877" i="1"/>
  <c r="D876" i="2"/>
  <c r="C876" i="2"/>
  <c r="B876" i="2"/>
  <c r="I875" i="2"/>
  <c r="J875" i="2"/>
  <c r="L875" i="2"/>
  <c r="K875" i="2"/>
  <c r="AP876" i="1"/>
  <c r="H875" i="2"/>
  <c r="G875" i="2"/>
  <c r="AO876" i="1"/>
  <c r="F875" i="2"/>
  <c r="E875" i="2"/>
  <c r="AN876" i="1"/>
  <c r="D875" i="2"/>
  <c r="C875" i="2"/>
  <c r="B875" i="2"/>
  <c r="I874" i="2"/>
  <c r="J874" i="2"/>
  <c r="L874" i="2"/>
  <c r="K874" i="2"/>
  <c r="AP875" i="1"/>
  <c r="H874" i="2"/>
  <c r="G874" i="2"/>
  <c r="AO875" i="1"/>
  <c r="F874" i="2"/>
  <c r="E874" i="2"/>
  <c r="AN875" i="1"/>
  <c r="D874" i="2"/>
  <c r="C874" i="2"/>
  <c r="B874" i="2"/>
  <c r="I873" i="2"/>
  <c r="J873" i="2"/>
  <c r="L873" i="2"/>
  <c r="K873" i="2"/>
  <c r="AP874" i="1"/>
  <c r="H873" i="2"/>
  <c r="G873" i="2"/>
  <c r="AO874" i="1"/>
  <c r="F873" i="2"/>
  <c r="E873" i="2"/>
  <c r="AN874" i="1"/>
  <c r="D873" i="2"/>
  <c r="C873" i="2"/>
  <c r="B873" i="2"/>
  <c r="I872" i="2"/>
  <c r="J872" i="2"/>
  <c r="L872" i="2"/>
  <c r="K872" i="2"/>
  <c r="AP873" i="1"/>
  <c r="H872" i="2"/>
  <c r="G872" i="2"/>
  <c r="AO873" i="1"/>
  <c r="F872" i="2"/>
  <c r="E872" i="2"/>
  <c r="AN873" i="1"/>
  <c r="D872" i="2"/>
  <c r="C872" i="2"/>
  <c r="B872" i="2"/>
  <c r="I871" i="2"/>
  <c r="J871" i="2"/>
  <c r="L871" i="2"/>
  <c r="K871" i="2"/>
  <c r="AP872" i="1"/>
  <c r="H871" i="2"/>
  <c r="G871" i="2"/>
  <c r="AO872" i="1"/>
  <c r="F871" i="2"/>
  <c r="E871" i="2"/>
  <c r="AN872" i="1"/>
  <c r="D871" i="2"/>
  <c r="C871" i="2"/>
  <c r="B871" i="2"/>
  <c r="I870" i="2"/>
  <c r="J870" i="2"/>
  <c r="L870" i="2"/>
  <c r="K870" i="2"/>
  <c r="AP871" i="1"/>
  <c r="H870" i="2"/>
  <c r="G870" i="2"/>
  <c r="AO871" i="1"/>
  <c r="F870" i="2"/>
  <c r="E870" i="2"/>
  <c r="AN871" i="1"/>
  <c r="D870" i="2"/>
  <c r="C870" i="2"/>
  <c r="B870" i="2"/>
  <c r="I869" i="2"/>
  <c r="J869" i="2"/>
  <c r="L869" i="2"/>
  <c r="K869" i="2"/>
  <c r="AP870" i="1"/>
  <c r="H869" i="2"/>
  <c r="G869" i="2"/>
  <c r="AO870" i="1"/>
  <c r="F869" i="2"/>
  <c r="E869" i="2"/>
  <c r="AN870" i="1"/>
  <c r="D869" i="2"/>
  <c r="C869" i="2"/>
  <c r="B869" i="2"/>
  <c r="I868" i="2"/>
  <c r="J868" i="2"/>
  <c r="L868" i="2"/>
  <c r="K868" i="2"/>
  <c r="AP869" i="1"/>
  <c r="H868" i="2"/>
  <c r="G868" i="2"/>
  <c r="AO869" i="1"/>
  <c r="F868" i="2"/>
  <c r="E868" i="2"/>
  <c r="AN869" i="1"/>
  <c r="D868" i="2"/>
  <c r="C868" i="2"/>
  <c r="B868" i="2"/>
  <c r="I867" i="2"/>
  <c r="J867" i="2"/>
  <c r="L867" i="2"/>
  <c r="K867" i="2"/>
  <c r="AP868" i="1"/>
  <c r="H867" i="2"/>
  <c r="G867" i="2"/>
  <c r="AO868" i="1"/>
  <c r="F867" i="2"/>
  <c r="E867" i="2"/>
  <c r="AN868" i="1"/>
  <c r="D867" i="2"/>
  <c r="C867" i="2"/>
  <c r="B867" i="2"/>
  <c r="I866" i="2"/>
  <c r="J866" i="2"/>
  <c r="L866" i="2"/>
  <c r="K866" i="2"/>
  <c r="AP867" i="1"/>
  <c r="H866" i="2"/>
  <c r="G866" i="2"/>
  <c r="AO867" i="1"/>
  <c r="F866" i="2"/>
  <c r="E866" i="2"/>
  <c r="AN867" i="1"/>
  <c r="D866" i="2"/>
  <c r="C866" i="2"/>
  <c r="B866" i="2"/>
  <c r="I865" i="2"/>
  <c r="J865" i="2"/>
  <c r="L865" i="2"/>
  <c r="K865" i="2"/>
  <c r="AP866" i="1"/>
  <c r="H865" i="2"/>
  <c r="G865" i="2"/>
  <c r="AO866" i="1"/>
  <c r="F865" i="2"/>
  <c r="E865" i="2"/>
  <c r="AN866" i="1"/>
  <c r="D865" i="2"/>
  <c r="C865" i="2"/>
  <c r="B865" i="2"/>
  <c r="I864" i="2"/>
  <c r="J864" i="2"/>
  <c r="L864" i="2"/>
  <c r="K864" i="2"/>
  <c r="AP865" i="1"/>
  <c r="H864" i="2"/>
  <c r="G864" i="2"/>
  <c r="AO865" i="1"/>
  <c r="F864" i="2"/>
  <c r="E864" i="2"/>
  <c r="AN865" i="1"/>
  <c r="D864" i="2"/>
  <c r="C864" i="2"/>
  <c r="B864" i="2"/>
  <c r="I863" i="2"/>
  <c r="J863" i="2"/>
  <c r="L863" i="2"/>
  <c r="K863" i="2"/>
  <c r="AP864" i="1"/>
  <c r="H863" i="2"/>
  <c r="G863" i="2"/>
  <c r="AO864" i="1"/>
  <c r="F863" i="2"/>
  <c r="E863" i="2"/>
  <c r="AN864" i="1"/>
  <c r="D863" i="2"/>
  <c r="C863" i="2"/>
  <c r="B863" i="2"/>
  <c r="I862" i="2"/>
  <c r="J862" i="2"/>
  <c r="L862" i="2"/>
  <c r="K862" i="2"/>
  <c r="AP863" i="1"/>
  <c r="H862" i="2"/>
  <c r="G862" i="2"/>
  <c r="AO863" i="1"/>
  <c r="F862" i="2"/>
  <c r="E862" i="2"/>
  <c r="AN863" i="1"/>
  <c r="D862" i="2"/>
  <c r="C862" i="2"/>
  <c r="B862" i="2"/>
  <c r="I861" i="2"/>
  <c r="J861" i="2"/>
  <c r="L861" i="2"/>
  <c r="K861" i="2"/>
  <c r="AP862" i="1"/>
  <c r="H861" i="2"/>
  <c r="G861" i="2"/>
  <c r="AO862" i="1"/>
  <c r="F861" i="2"/>
  <c r="E861" i="2"/>
  <c r="AN862" i="1"/>
  <c r="D861" i="2"/>
  <c r="C861" i="2"/>
  <c r="B861" i="2"/>
  <c r="I860" i="2"/>
  <c r="J860" i="2"/>
  <c r="L860" i="2"/>
  <c r="K860" i="2"/>
  <c r="AP861" i="1"/>
  <c r="H860" i="2"/>
  <c r="G860" i="2"/>
  <c r="AO861" i="1"/>
  <c r="F860" i="2"/>
  <c r="E860" i="2"/>
  <c r="AN861" i="1"/>
  <c r="D860" i="2"/>
  <c r="C860" i="2"/>
  <c r="B860" i="2"/>
  <c r="I859" i="2"/>
  <c r="J859" i="2"/>
  <c r="L859" i="2"/>
  <c r="K859" i="2"/>
  <c r="AP860" i="1"/>
  <c r="H859" i="2"/>
  <c r="G859" i="2"/>
  <c r="AO860" i="1"/>
  <c r="F859" i="2"/>
  <c r="E859" i="2"/>
  <c r="AN860" i="1"/>
  <c r="D859" i="2"/>
  <c r="C859" i="2"/>
  <c r="B859" i="2"/>
  <c r="I858" i="2"/>
  <c r="J858" i="2"/>
  <c r="L858" i="2"/>
  <c r="K858" i="2"/>
  <c r="AP859" i="1"/>
  <c r="H858" i="2"/>
  <c r="G858" i="2"/>
  <c r="AO859" i="1"/>
  <c r="F858" i="2"/>
  <c r="E858" i="2"/>
  <c r="AN859" i="1"/>
  <c r="D858" i="2"/>
  <c r="C858" i="2"/>
  <c r="B858" i="2"/>
  <c r="I857" i="2"/>
  <c r="J857" i="2"/>
  <c r="L857" i="2"/>
  <c r="K857" i="2"/>
  <c r="AP858" i="1"/>
  <c r="H857" i="2"/>
  <c r="G857" i="2"/>
  <c r="AO858" i="1"/>
  <c r="F857" i="2"/>
  <c r="E857" i="2"/>
  <c r="AN858" i="1"/>
  <c r="D857" i="2"/>
  <c r="C857" i="2"/>
  <c r="B857" i="2"/>
  <c r="I856" i="2"/>
  <c r="J856" i="2"/>
  <c r="L856" i="2"/>
  <c r="K856" i="2"/>
  <c r="AP857" i="1"/>
  <c r="H856" i="2"/>
  <c r="G856" i="2"/>
  <c r="AO857" i="1"/>
  <c r="F856" i="2"/>
  <c r="E856" i="2"/>
  <c r="AN857" i="1"/>
  <c r="D856" i="2"/>
  <c r="C856" i="2"/>
  <c r="B856" i="2"/>
  <c r="I855" i="2"/>
  <c r="J855" i="2"/>
  <c r="L855" i="2"/>
  <c r="K855" i="2"/>
  <c r="AP856" i="1"/>
  <c r="H855" i="2"/>
  <c r="G855" i="2"/>
  <c r="AO856" i="1"/>
  <c r="F855" i="2"/>
  <c r="E855" i="2"/>
  <c r="AN856" i="1"/>
  <c r="D855" i="2"/>
  <c r="C855" i="2"/>
  <c r="B855" i="2"/>
  <c r="I854" i="2"/>
  <c r="J854" i="2"/>
  <c r="L854" i="2"/>
  <c r="K854" i="2"/>
  <c r="AP855" i="1"/>
  <c r="H854" i="2"/>
  <c r="G854" i="2"/>
  <c r="AO855" i="1"/>
  <c r="F854" i="2"/>
  <c r="E854" i="2"/>
  <c r="AN855" i="1"/>
  <c r="D854" i="2"/>
  <c r="C854" i="2"/>
  <c r="B854" i="2"/>
  <c r="I853" i="2"/>
  <c r="J853" i="2"/>
  <c r="L853" i="2"/>
  <c r="K853" i="2"/>
  <c r="AP854" i="1"/>
  <c r="H853" i="2"/>
  <c r="G853" i="2"/>
  <c r="AO854" i="1"/>
  <c r="F853" i="2"/>
  <c r="E853" i="2"/>
  <c r="AN854" i="1"/>
  <c r="D853" i="2"/>
  <c r="C853" i="2"/>
  <c r="B853" i="2"/>
  <c r="I852" i="2"/>
  <c r="J852" i="2"/>
  <c r="L852" i="2"/>
  <c r="K852" i="2"/>
  <c r="AP853" i="1"/>
  <c r="H852" i="2"/>
  <c r="G852" i="2"/>
  <c r="AO853" i="1"/>
  <c r="F852" i="2"/>
  <c r="E852" i="2"/>
  <c r="AN853" i="1"/>
  <c r="D852" i="2"/>
  <c r="C852" i="2"/>
  <c r="B852" i="2"/>
  <c r="I851" i="2"/>
  <c r="J851" i="2"/>
  <c r="L851" i="2"/>
  <c r="K851" i="2"/>
  <c r="AP852" i="1"/>
  <c r="H851" i="2"/>
  <c r="G851" i="2"/>
  <c r="AO852" i="1"/>
  <c r="F851" i="2"/>
  <c r="E851" i="2"/>
  <c r="AN852" i="1"/>
  <c r="D851" i="2"/>
  <c r="C851" i="2"/>
  <c r="B851" i="2"/>
  <c r="I850" i="2"/>
  <c r="J850" i="2"/>
  <c r="L850" i="2"/>
  <c r="K850" i="2"/>
  <c r="AP851" i="1"/>
  <c r="H850" i="2"/>
  <c r="G850" i="2"/>
  <c r="AO851" i="1"/>
  <c r="F850" i="2"/>
  <c r="E850" i="2"/>
  <c r="AN851" i="1"/>
  <c r="D850" i="2"/>
  <c r="C850" i="2"/>
  <c r="B850" i="2"/>
  <c r="I849" i="2"/>
  <c r="J849" i="2"/>
  <c r="L849" i="2"/>
  <c r="K849" i="2"/>
  <c r="AP850" i="1"/>
  <c r="H849" i="2"/>
  <c r="G849" i="2"/>
  <c r="AO850" i="1"/>
  <c r="F849" i="2"/>
  <c r="E849" i="2"/>
  <c r="AN850" i="1"/>
  <c r="D849" i="2"/>
  <c r="C849" i="2"/>
  <c r="B849" i="2"/>
  <c r="I848" i="2"/>
  <c r="J848" i="2"/>
  <c r="L848" i="2"/>
  <c r="K848" i="2"/>
  <c r="AP849" i="1"/>
  <c r="H848" i="2"/>
  <c r="G848" i="2"/>
  <c r="AO849" i="1"/>
  <c r="F848" i="2"/>
  <c r="E848" i="2"/>
  <c r="AN849" i="1"/>
  <c r="D848" i="2"/>
  <c r="C848" i="2"/>
  <c r="B848" i="2"/>
  <c r="I847" i="2"/>
  <c r="J847" i="2"/>
  <c r="L847" i="2"/>
  <c r="K847" i="2"/>
  <c r="AP848" i="1"/>
  <c r="H847" i="2"/>
  <c r="G847" i="2"/>
  <c r="AO848" i="1"/>
  <c r="F847" i="2"/>
  <c r="E847" i="2"/>
  <c r="AN848" i="1"/>
  <c r="D847" i="2"/>
  <c r="C847" i="2"/>
  <c r="B847" i="2"/>
  <c r="I846" i="2"/>
  <c r="J846" i="2"/>
  <c r="L846" i="2"/>
  <c r="K846" i="2"/>
  <c r="AP847" i="1"/>
  <c r="H846" i="2"/>
  <c r="G846" i="2"/>
  <c r="AO847" i="1"/>
  <c r="F846" i="2"/>
  <c r="E846" i="2"/>
  <c r="AN847" i="1"/>
  <c r="D846" i="2"/>
  <c r="C846" i="2"/>
  <c r="B846" i="2"/>
  <c r="I845" i="2"/>
  <c r="J845" i="2"/>
  <c r="L845" i="2"/>
  <c r="K845" i="2"/>
  <c r="AP846" i="1"/>
  <c r="H845" i="2"/>
  <c r="G845" i="2"/>
  <c r="AO846" i="1"/>
  <c r="F845" i="2"/>
  <c r="E845" i="2"/>
  <c r="AN846" i="1"/>
  <c r="D845" i="2"/>
  <c r="C845" i="2"/>
  <c r="B845" i="2"/>
  <c r="I844" i="2"/>
  <c r="J844" i="2"/>
  <c r="L844" i="2"/>
  <c r="K844" i="2"/>
  <c r="AP845" i="1"/>
  <c r="H844" i="2"/>
  <c r="G844" i="2"/>
  <c r="AO845" i="1"/>
  <c r="F844" i="2"/>
  <c r="E844" i="2"/>
  <c r="AN845" i="1"/>
  <c r="D844" i="2"/>
  <c r="C844" i="2"/>
  <c r="B844" i="2"/>
  <c r="I843" i="2"/>
  <c r="J843" i="2"/>
  <c r="L843" i="2"/>
  <c r="K843" i="2"/>
  <c r="AP844" i="1"/>
  <c r="H843" i="2"/>
  <c r="G843" i="2"/>
  <c r="AO844" i="1"/>
  <c r="F843" i="2"/>
  <c r="E843" i="2"/>
  <c r="AN844" i="1"/>
  <c r="D843" i="2"/>
  <c r="C843" i="2"/>
  <c r="B843" i="2"/>
  <c r="I842" i="2"/>
  <c r="J842" i="2"/>
  <c r="L842" i="2"/>
  <c r="K842" i="2"/>
  <c r="AP843" i="1"/>
  <c r="H842" i="2"/>
  <c r="G842" i="2"/>
  <c r="AO843" i="1"/>
  <c r="F842" i="2"/>
  <c r="E842" i="2"/>
  <c r="AN843" i="1"/>
  <c r="D842" i="2"/>
  <c r="C842" i="2"/>
  <c r="B842" i="2"/>
  <c r="I841" i="2"/>
  <c r="J841" i="2"/>
  <c r="L841" i="2"/>
  <c r="K841" i="2"/>
  <c r="AP842" i="1"/>
  <c r="H841" i="2"/>
  <c r="G841" i="2"/>
  <c r="AO842" i="1"/>
  <c r="F841" i="2"/>
  <c r="E841" i="2"/>
  <c r="AN842" i="1"/>
  <c r="D841" i="2"/>
  <c r="C841" i="2"/>
  <c r="B841" i="2"/>
  <c r="I840" i="2"/>
  <c r="J840" i="2"/>
  <c r="L840" i="2"/>
  <c r="K840" i="2"/>
  <c r="AP841" i="1"/>
  <c r="H840" i="2"/>
  <c r="G840" i="2"/>
  <c r="AO841" i="1"/>
  <c r="F840" i="2"/>
  <c r="E840" i="2"/>
  <c r="AN841" i="1"/>
  <c r="D840" i="2"/>
  <c r="C840" i="2"/>
  <c r="B840" i="2"/>
  <c r="I839" i="2"/>
  <c r="J839" i="2"/>
  <c r="L839" i="2"/>
  <c r="K839" i="2"/>
  <c r="AP840" i="1"/>
  <c r="H839" i="2"/>
  <c r="G839" i="2"/>
  <c r="AO840" i="1"/>
  <c r="F839" i="2"/>
  <c r="E839" i="2"/>
  <c r="AN840" i="1"/>
  <c r="D839" i="2"/>
  <c r="C839" i="2"/>
  <c r="B839" i="2"/>
  <c r="I838" i="2"/>
  <c r="J838" i="2"/>
  <c r="L838" i="2"/>
  <c r="K838" i="2"/>
  <c r="AP839" i="1"/>
  <c r="H838" i="2"/>
  <c r="G838" i="2"/>
  <c r="AO839" i="1"/>
  <c r="F838" i="2"/>
  <c r="E838" i="2"/>
  <c r="AN839" i="1"/>
  <c r="D838" i="2"/>
  <c r="C838" i="2"/>
  <c r="B838" i="2"/>
  <c r="I837" i="2"/>
  <c r="J837" i="2"/>
  <c r="L837" i="2"/>
  <c r="K837" i="2"/>
  <c r="AP838" i="1"/>
  <c r="H837" i="2"/>
  <c r="G837" i="2"/>
  <c r="AO838" i="1"/>
  <c r="F837" i="2"/>
  <c r="E837" i="2"/>
  <c r="AN838" i="1"/>
  <c r="D837" i="2"/>
  <c r="C837" i="2"/>
  <c r="B837" i="2"/>
  <c r="I836" i="2"/>
  <c r="J836" i="2"/>
  <c r="L836" i="2"/>
  <c r="K836" i="2"/>
  <c r="AP837" i="1"/>
  <c r="H836" i="2"/>
  <c r="G836" i="2"/>
  <c r="AO837" i="1"/>
  <c r="F836" i="2"/>
  <c r="E836" i="2"/>
  <c r="AN837" i="1"/>
  <c r="D836" i="2"/>
  <c r="C836" i="2"/>
  <c r="B836" i="2"/>
  <c r="I835" i="2"/>
  <c r="J835" i="2"/>
  <c r="L835" i="2"/>
  <c r="K835" i="2"/>
  <c r="AP836" i="1"/>
  <c r="H835" i="2"/>
  <c r="G835" i="2"/>
  <c r="AO836" i="1"/>
  <c r="F835" i="2"/>
  <c r="E835" i="2"/>
  <c r="AN836" i="1"/>
  <c r="D835" i="2"/>
  <c r="C835" i="2"/>
  <c r="B835" i="2"/>
  <c r="I834" i="2"/>
  <c r="J834" i="2"/>
  <c r="L834" i="2"/>
  <c r="K834" i="2"/>
  <c r="AP835" i="1"/>
  <c r="H834" i="2"/>
  <c r="G834" i="2"/>
  <c r="AO835" i="1"/>
  <c r="F834" i="2"/>
  <c r="E834" i="2"/>
  <c r="AN835" i="1"/>
  <c r="D834" i="2"/>
  <c r="C834" i="2"/>
  <c r="B834" i="2"/>
  <c r="I833" i="2"/>
  <c r="J833" i="2"/>
  <c r="L833" i="2"/>
  <c r="K833" i="2"/>
  <c r="AP834" i="1"/>
  <c r="H833" i="2"/>
  <c r="G833" i="2"/>
  <c r="AO834" i="1"/>
  <c r="F833" i="2"/>
  <c r="E833" i="2"/>
  <c r="AN834" i="1"/>
  <c r="D833" i="2"/>
  <c r="C833" i="2"/>
  <c r="B833" i="2"/>
  <c r="I832" i="2"/>
  <c r="J832" i="2"/>
  <c r="L832" i="2"/>
  <c r="K832" i="2"/>
  <c r="AP833" i="1"/>
  <c r="H832" i="2"/>
  <c r="G832" i="2"/>
  <c r="AO833" i="1"/>
  <c r="F832" i="2"/>
  <c r="E832" i="2"/>
  <c r="AN833" i="1"/>
  <c r="D832" i="2"/>
  <c r="C832" i="2"/>
  <c r="B832" i="2"/>
  <c r="I831" i="2"/>
  <c r="J831" i="2"/>
  <c r="L831" i="2"/>
  <c r="K831" i="2"/>
  <c r="AP832" i="1"/>
  <c r="H831" i="2"/>
  <c r="G831" i="2"/>
  <c r="AO832" i="1"/>
  <c r="F831" i="2"/>
  <c r="E831" i="2"/>
  <c r="AN832" i="1"/>
  <c r="D831" i="2"/>
  <c r="C831" i="2"/>
  <c r="B831" i="2"/>
  <c r="I830" i="2"/>
  <c r="J830" i="2"/>
  <c r="L830" i="2"/>
  <c r="K830" i="2"/>
  <c r="AP831" i="1"/>
  <c r="H830" i="2"/>
  <c r="G830" i="2"/>
  <c r="AO831" i="1"/>
  <c r="F830" i="2"/>
  <c r="E830" i="2"/>
  <c r="AN831" i="1"/>
  <c r="D830" i="2"/>
  <c r="C830" i="2"/>
  <c r="B830" i="2"/>
  <c r="I829" i="2"/>
  <c r="J829" i="2"/>
  <c r="L829" i="2"/>
  <c r="K829" i="2"/>
  <c r="AP830" i="1"/>
  <c r="H829" i="2"/>
  <c r="G829" i="2"/>
  <c r="AO830" i="1"/>
  <c r="F829" i="2"/>
  <c r="E829" i="2"/>
  <c r="AN830" i="1"/>
  <c r="D829" i="2"/>
  <c r="C829" i="2"/>
  <c r="B829" i="2"/>
  <c r="I828" i="2"/>
  <c r="J828" i="2"/>
  <c r="L828" i="2"/>
  <c r="K828" i="2"/>
  <c r="AP829" i="1"/>
  <c r="H828" i="2"/>
  <c r="G828" i="2"/>
  <c r="AO829" i="1"/>
  <c r="F828" i="2"/>
  <c r="E828" i="2"/>
  <c r="AN829" i="1"/>
  <c r="D828" i="2"/>
  <c r="C828" i="2"/>
  <c r="B828" i="2"/>
  <c r="I827" i="2"/>
  <c r="J827" i="2"/>
  <c r="L827" i="2"/>
  <c r="K827" i="2"/>
  <c r="AP828" i="1"/>
  <c r="H827" i="2"/>
  <c r="G827" i="2"/>
  <c r="AO828" i="1"/>
  <c r="F827" i="2"/>
  <c r="E827" i="2"/>
  <c r="AN828" i="1"/>
  <c r="D827" i="2"/>
  <c r="C827" i="2"/>
  <c r="B827" i="2"/>
  <c r="I826" i="2"/>
  <c r="J826" i="2"/>
  <c r="L826" i="2"/>
  <c r="K826" i="2"/>
  <c r="AP827" i="1"/>
  <c r="H826" i="2"/>
  <c r="G826" i="2"/>
  <c r="AO827" i="1"/>
  <c r="F826" i="2"/>
  <c r="E826" i="2"/>
  <c r="AN827" i="1"/>
  <c r="D826" i="2"/>
  <c r="C826" i="2"/>
  <c r="B826" i="2"/>
  <c r="I825" i="2"/>
  <c r="J825" i="2"/>
  <c r="L825" i="2"/>
  <c r="K825" i="2"/>
  <c r="AP826" i="1"/>
  <c r="H825" i="2"/>
  <c r="G825" i="2"/>
  <c r="AO826" i="1"/>
  <c r="F825" i="2"/>
  <c r="E825" i="2"/>
  <c r="AN826" i="1"/>
  <c r="D825" i="2"/>
  <c r="C825" i="2"/>
  <c r="B825" i="2"/>
  <c r="I824" i="2"/>
  <c r="J824" i="2"/>
  <c r="L824" i="2"/>
  <c r="K824" i="2"/>
  <c r="AP825" i="1"/>
  <c r="H824" i="2"/>
  <c r="G824" i="2"/>
  <c r="AO825" i="1"/>
  <c r="F824" i="2"/>
  <c r="E824" i="2"/>
  <c r="AN825" i="1"/>
  <c r="D824" i="2"/>
  <c r="C824" i="2"/>
  <c r="B824" i="2"/>
  <c r="I823" i="2"/>
  <c r="J823" i="2"/>
  <c r="L823" i="2"/>
  <c r="K823" i="2"/>
  <c r="AP824" i="1"/>
  <c r="H823" i="2"/>
  <c r="G823" i="2"/>
  <c r="AO824" i="1"/>
  <c r="F823" i="2"/>
  <c r="E823" i="2"/>
  <c r="AN824" i="1"/>
  <c r="D823" i="2"/>
  <c r="C823" i="2"/>
  <c r="B823" i="2"/>
  <c r="I822" i="2"/>
  <c r="J822" i="2"/>
  <c r="L822" i="2"/>
  <c r="K822" i="2"/>
  <c r="AP823" i="1"/>
  <c r="H822" i="2"/>
  <c r="G822" i="2"/>
  <c r="AO823" i="1"/>
  <c r="F822" i="2"/>
  <c r="E822" i="2"/>
  <c r="AN823" i="1"/>
  <c r="D822" i="2"/>
  <c r="C822" i="2"/>
  <c r="B822" i="2"/>
  <c r="I821" i="2"/>
  <c r="J821" i="2"/>
  <c r="L821" i="2"/>
  <c r="K821" i="2"/>
  <c r="AP822" i="1"/>
  <c r="H821" i="2"/>
  <c r="G821" i="2"/>
  <c r="AO822" i="1"/>
  <c r="F821" i="2"/>
  <c r="E821" i="2"/>
  <c r="AN822" i="1"/>
  <c r="D821" i="2"/>
  <c r="C821" i="2"/>
  <c r="B821" i="2"/>
  <c r="I820" i="2"/>
  <c r="J820" i="2"/>
  <c r="L820" i="2"/>
  <c r="K820" i="2"/>
  <c r="AP821" i="1"/>
  <c r="H820" i="2"/>
  <c r="G820" i="2"/>
  <c r="AO821" i="1"/>
  <c r="F820" i="2"/>
  <c r="E820" i="2"/>
  <c r="AN821" i="1"/>
  <c r="D820" i="2"/>
  <c r="C820" i="2"/>
  <c r="B820" i="2"/>
  <c r="I819" i="2"/>
  <c r="J819" i="2"/>
  <c r="L819" i="2"/>
  <c r="K819" i="2"/>
  <c r="AP820" i="1"/>
  <c r="H819" i="2"/>
  <c r="G819" i="2"/>
  <c r="AO820" i="1"/>
  <c r="F819" i="2"/>
  <c r="E819" i="2"/>
  <c r="AN820" i="1"/>
  <c r="D819" i="2"/>
  <c r="C819" i="2"/>
  <c r="B819" i="2"/>
  <c r="I818" i="2"/>
  <c r="J818" i="2"/>
  <c r="L818" i="2"/>
  <c r="K818" i="2"/>
  <c r="AP819" i="1"/>
  <c r="H818" i="2"/>
  <c r="G818" i="2"/>
  <c r="AO819" i="1"/>
  <c r="F818" i="2"/>
  <c r="E818" i="2"/>
  <c r="AN819" i="1"/>
  <c r="D818" i="2"/>
  <c r="C818" i="2"/>
  <c r="B818" i="2"/>
  <c r="I817" i="2"/>
  <c r="J817" i="2"/>
  <c r="L817" i="2"/>
  <c r="K817" i="2"/>
  <c r="AP818" i="1"/>
  <c r="H817" i="2"/>
  <c r="G817" i="2"/>
  <c r="AO818" i="1"/>
  <c r="F817" i="2"/>
  <c r="E817" i="2"/>
  <c r="AN818" i="1"/>
  <c r="D817" i="2"/>
  <c r="C817" i="2"/>
  <c r="B817" i="2"/>
  <c r="I816" i="2"/>
  <c r="J816" i="2"/>
  <c r="L816" i="2"/>
  <c r="K816" i="2"/>
  <c r="AP817" i="1"/>
  <c r="H816" i="2"/>
  <c r="G816" i="2"/>
  <c r="AO817" i="1"/>
  <c r="F816" i="2"/>
  <c r="E816" i="2"/>
  <c r="AN817" i="1"/>
  <c r="D816" i="2"/>
  <c r="C816" i="2"/>
  <c r="B816" i="2"/>
  <c r="I815" i="2"/>
  <c r="J815" i="2"/>
  <c r="L815" i="2"/>
  <c r="K815" i="2"/>
  <c r="AP816" i="1"/>
  <c r="H815" i="2"/>
  <c r="G815" i="2"/>
  <c r="AO816" i="1"/>
  <c r="F815" i="2"/>
  <c r="E815" i="2"/>
  <c r="AN816" i="1"/>
  <c r="D815" i="2"/>
  <c r="C815" i="2"/>
  <c r="B815" i="2"/>
  <c r="I814" i="2"/>
  <c r="J814" i="2"/>
  <c r="L814" i="2"/>
  <c r="K814" i="2"/>
  <c r="AP815" i="1"/>
  <c r="H814" i="2"/>
  <c r="G814" i="2"/>
  <c r="AO815" i="1"/>
  <c r="F814" i="2"/>
  <c r="E814" i="2"/>
  <c r="AN815" i="1"/>
  <c r="D814" i="2"/>
  <c r="C814" i="2"/>
  <c r="B814" i="2"/>
  <c r="I813" i="2"/>
  <c r="J813" i="2"/>
  <c r="L813" i="2"/>
  <c r="K813" i="2"/>
  <c r="AP814" i="1"/>
  <c r="H813" i="2"/>
  <c r="G813" i="2"/>
  <c r="AO814" i="1"/>
  <c r="F813" i="2"/>
  <c r="E813" i="2"/>
  <c r="AN814" i="1"/>
  <c r="D813" i="2"/>
  <c r="C813" i="2"/>
  <c r="B813" i="2"/>
  <c r="I812" i="2"/>
  <c r="J812" i="2"/>
  <c r="L812" i="2"/>
  <c r="K812" i="2"/>
  <c r="AP813" i="1"/>
  <c r="H812" i="2"/>
  <c r="G812" i="2"/>
  <c r="AO813" i="1"/>
  <c r="F812" i="2"/>
  <c r="E812" i="2"/>
  <c r="AN813" i="1"/>
  <c r="D812" i="2"/>
  <c r="C812" i="2"/>
  <c r="B812" i="2"/>
  <c r="I811" i="2"/>
  <c r="J811" i="2"/>
  <c r="L811" i="2"/>
  <c r="K811" i="2"/>
  <c r="AP812" i="1"/>
  <c r="H811" i="2"/>
  <c r="G811" i="2"/>
  <c r="AO812" i="1"/>
  <c r="F811" i="2"/>
  <c r="E811" i="2"/>
  <c r="AN812" i="1"/>
  <c r="D811" i="2"/>
  <c r="C811" i="2"/>
  <c r="B811" i="2"/>
  <c r="I810" i="2"/>
  <c r="J810" i="2"/>
  <c r="L810" i="2"/>
  <c r="K810" i="2"/>
  <c r="AP811" i="1"/>
  <c r="H810" i="2"/>
  <c r="G810" i="2"/>
  <c r="AO811" i="1"/>
  <c r="F810" i="2"/>
  <c r="E810" i="2"/>
  <c r="AN811" i="1"/>
  <c r="D810" i="2"/>
  <c r="C810" i="2"/>
  <c r="B810" i="2"/>
  <c r="I809" i="2"/>
  <c r="J809" i="2"/>
  <c r="L809" i="2"/>
  <c r="K809" i="2"/>
  <c r="AP810" i="1"/>
  <c r="H809" i="2"/>
  <c r="G809" i="2"/>
  <c r="AO810" i="1"/>
  <c r="F809" i="2"/>
  <c r="E809" i="2"/>
  <c r="AN810" i="1"/>
  <c r="D809" i="2"/>
  <c r="C809" i="2"/>
  <c r="B809" i="2"/>
  <c r="I808" i="2"/>
  <c r="J808" i="2"/>
  <c r="L808" i="2"/>
  <c r="K808" i="2"/>
  <c r="AP809" i="1"/>
  <c r="H808" i="2"/>
  <c r="G808" i="2"/>
  <c r="AO809" i="1"/>
  <c r="F808" i="2"/>
  <c r="E808" i="2"/>
  <c r="AN809" i="1"/>
  <c r="D808" i="2"/>
  <c r="C808" i="2"/>
  <c r="B808" i="2"/>
  <c r="I807" i="2"/>
  <c r="J807" i="2"/>
  <c r="L807" i="2"/>
  <c r="K807" i="2"/>
  <c r="AP808" i="1"/>
  <c r="H807" i="2"/>
  <c r="G807" i="2"/>
  <c r="AO808" i="1"/>
  <c r="F807" i="2"/>
  <c r="E807" i="2"/>
  <c r="AN808" i="1"/>
  <c r="D807" i="2"/>
  <c r="C807" i="2"/>
  <c r="B807" i="2"/>
  <c r="I806" i="2"/>
  <c r="J806" i="2"/>
  <c r="L806" i="2"/>
  <c r="K806" i="2"/>
  <c r="AP807" i="1"/>
  <c r="H806" i="2"/>
  <c r="G806" i="2"/>
  <c r="AO807" i="1"/>
  <c r="F806" i="2"/>
  <c r="E806" i="2"/>
  <c r="AN807" i="1"/>
  <c r="D806" i="2"/>
  <c r="C806" i="2"/>
  <c r="B806" i="2"/>
  <c r="I805" i="2"/>
  <c r="J805" i="2"/>
  <c r="L805" i="2"/>
  <c r="K805" i="2"/>
  <c r="AP806" i="1"/>
  <c r="H805" i="2"/>
  <c r="G805" i="2"/>
  <c r="AO806" i="1"/>
  <c r="F805" i="2"/>
  <c r="E805" i="2"/>
  <c r="AN806" i="1"/>
  <c r="D805" i="2"/>
  <c r="C805" i="2"/>
  <c r="B805" i="2"/>
  <c r="I804" i="2"/>
  <c r="J804" i="2"/>
  <c r="L804" i="2"/>
  <c r="K804" i="2"/>
  <c r="AP805" i="1"/>
  <c r="H804" i="2"/>
  <c r="G804" i="2"/>
  <c r="AO805" i="1"/>
  <c r="F804" i="2"/>
  <c r="E804" i="2"/>
  <c r="AN805" i="1"/>
  <c r="D804" i="2"/>
  <c r="C804" i="2"/>
  <c r="B804" i="2"/>
  <c r="I803" i="2"/>
  <c r="J803" i="2"/>
  <c r="L803" i="2"/>
  <c r="K803" i="2"/>
  <c r="AP804" i="1"/>
  <c r="H803" i="2"/>
  <c r="G803" i="2"/>
  <c r="AO804" i="1"/>
  <c r="F803" i="2"/>
  <c r="E803" i="2"/>
  <c r="AN804" i="1"/>
  <c r="D803" i="2"/>
  <c r="C803" i="2"/>
  <c r="B803" i="2"/>
  <c r="I802" i="2"/>
  <c r="J802" i="2"/>
  <c r="L802" i="2"/>
  <c r="K802" i="2"/>
  <c r="AP803" i="1"/>
  <c r="H802" i="2"/>
  <c r="G802" i="2"/>
  <c r="AO803" i="1"/>
  <c r="F802" i="2"/>
  <c r="E802" i="2"/>
  <c r="AN803" i="1"/>
  <c r="D802" i="2"/>
  <c r="C802" i="2"/>
  <c r="B802" i="2"/>
  <c r="I801" i="2"/>
  <c r="J801" i="2"/>
  <c r="L801" i="2"/>
  <c r="K801" i="2"/>
  <c r="AP802" i="1"/>
  <c r="H801" i="2"/>
  <c r="G801" i="2"/>
  <c r="AO802" i="1"/>
  <c r="F801" i="2"/>
  <c r="E801" i="2"/>
  <c r="AN802" i="1"/>
  <c r="D801" i="2"/>
  <c r="C801" i="2"/>
  <c r="B801" i="2"/>
  <c r="I800" i="2"/>
  <c r="J800" i="2"/>
  <c r="L800" i="2"/>
  <c r="K800" i="2"/>
  <c r="AP801" i="1"/>
  <c r="H800" i="2"/>
  <c r="G800" i="2"/>
  <c r="AO801" i="1"/>
  <c r="F800" i="2"/>
  <c r="E800" i="2"/>
  <c r="AN801" i="1"/>
  <c r="D800" i="2"/>
  <c r="C800" i="2"/>
  <c r="B800" i="2"/>
  <c r="I799" i="2"/>
  <c r="J799" i="2"/>
  <c r="L799" i="2"/>
  <c r="K799" i="2"/>
  <c r="AP800" i="1"/>
  <c r="H799" i="2"/>
  <c r="G799" i="2"/>
  <c r="AO800" i="1"/>
  <c r="F799" i="2"/>
  <c r="E799" i="2"/>
  <c r="AN800" i="1"/>
  <c r="D799" i="2"/>
  <c r="C799" i="2"/>
  <c r="B799" i="2"/>
  <c r="I798" i="2"/>
  <c r="J798" i="2"/>
  <c r="L798" i="2"/>
  <c r="K798" i="2"/>
  <c r="AP799" i="1"/>
  <c r="H798" i="2"/>
  <c r="G798" i="2"/>
  <c r="AO799" i="1"/>
  <c r="F798" i="2"/>
  <c r="E798" i="2"/>
  <c r="AN799" i="1"/>
  <c r="D798" i="2"/>
  <c r="C798" i="2"/>
  <c r="B798" i="2"/>
  <c r="I797" i="2"/>
  <c r="J797" i="2"/>
  <c r="L797" i="2"/>
  <c r="K797" i="2"/>
  <c r="AP798" i="1"/>
  <c r="H797" i="2"/>
  <c r="G797" i="2"/>
  <c r="AO798" i="1"/>
  <c r="F797" i="2"/>
  <c r="E797" i="2"/>
  <c r="AN798" i="1"/>
  <c r="D797" i="2"/>
  <c r="C797" i="2"/>
  <c r="B797" i="2"/>
  <c r="I796" i="2"/>
  <c r="J796" i="2"/>
  <c r="L796" i="2"/>
  <c r="K796" i="2"/>
  <c r="AP797" i="1"/>
  <c r="H796" i="2"/>
  <c r="G796" i="2"/>
  <c r="AO797" i="1"/>
  <c r="F796" i="2"/>
  <c r="E796" i="2"/>
  <c r="AN797" i="1"/>
  <c r="D796" i="2"/>
  <c r="C796" i="2"/>
  <c r="B796" i="2"/>
  <c r="I795" i="2"/>
  <c r="J795" i="2"/>
  <c r="L795" i="2"/>
  <c r="K795" i="2"/>
  <c r="AP796" i="1"/>
  <c r="H795" i="2"/>
  <c r="G795" i="2"/>
  <c r="AO796" i="1"/>
  <c r="F795" i="2"/>
  <c r="E795" i="2"/>
  <c r="AN796" i="1"/>
  <c r="D795" i="2"/>
  <c r="C795" i="2"/>
  <c r="B795" i="2"/>
  <c r="I794" i="2"/>
  <c r="J794" i="2"/>
  <c r="L794" i="2"/>
  <c r="K794" i="2"/>
  <c r="AP795" i="1"/>
  <c r="H794" i="2"/>
  <c r="G794" i="2"/>
  <c r="AO795" i="1"/>
  <c r="F794" i="2"/>
  <c r="E794" i="2"/>
  <c r="AN795" i="1"/>
  <c r="D794" i="2"/>
  <c r="C794" i="2"/>
  <c r="B794" i="2"/>
  <c r="I793" i="2"/>
  <c r="J793" i="2"/>
  <c r="L793" i="2"/>
  <c r="K793" i="2"/>
  <c r="AP794" i="1"/>
  <c r="H793" i="2"/>
  <c r="G793" i="2"/>
  <c r="AO794" i="1"/>
  <c r="F793" i="2"/>
  <c r="E793" i="2"/>
  <c r="AN794" i="1"/>
  <c r="D793" i="2"/>
  <c r="C793" i="2"/>
  <c r="B793" i="2"/>
  <c r="I792" i="2"/>
  <c r="J792" i="2"/>
  <c r="L792" i="2"/>
  <c r="K792" i="2"/>
  <c r="AP793" i="1"/>
  <c r="H792" i="2"/>
  <c r="G792" i="2"/>
  <c r="AO793" i="1"/>
  <c r="F792" i="2"/>
  <c r="E792" i="2"/>
  <c r="AN793" i="1"/>
  <c r="D792" i="2"/>
  <c r="C792" i="2"/>
  <c r="B792" i="2"/>
  <c r="I791" i="2"/>
  <c r="J791" i="2"/>
  <c r="L791" i="2"/>
  <c r="K791" i="2"/>
  <c r="AP792" i="1"/>
  <c r="H791" i="2"/>
  <c r="G791" i="2"/>
  <c r="AO792" i="1"/>
  <c r="F791" i="2"/>
  <c r="E791" i="2"/>
  <c r="AN792" i="1"/>
  <c r="D791" i="2"/>
  <c r="C791" i="2"/>
  <c r="B791" i="2"/>
  <c r="I790" i="2"/>
  <c r="J790" i="2"/>
  <c r="L790" i="2"/>
  <c r="K790" i="2"/>
  <c r="AP791" i="1"/>
  <c r="H790" i="2"/>
  <c r="G790" i="2"/>
  <c r="AO791" i="1"/>
  <c r="F790" i="2"/>
  <c r="E790" i="2"/>
  <c r="AN791" i="1"/>
  <c r="D790" i="2"/>
  <c r="C790" i="2"/>
  <c r="B790" i="2"/>
  <c r="I789" i="2"/>
  <c r="J789" i="2"/>
  <c r="L789" i="2"/>
  <c r="K789" i="2"/>
  <c r="AP790" i="1"/>
  <c r="H789" i="2"/>
  <c r="G789" i="2"/>
  <c r="AO790" i="1"/>
  <c r="F789" i="2"/>
  <c r="E789" i="2"/>
  <c r="AN790" i="1"/>
  <c r="D789" i="2"/>
  <c r="C789" i="2"/>
  <c r="B789" i="2"/>
  <c r="I788" i="2"/>
  <c r="J788" i="2"/>
  <c r="L788" i="2"/>
  <c r="K788" i="2"/>
  <c r="AP789" i="1"/>
  <c r="H788" i="2"/>
  <c r="G788" i="2"/>
  <c r="AO789" i="1"/>
  <c r="F788" i="2"/>
  <c r="E788" i="2"/>
  <c r="AN789" i="1"/>
  <c r="D788" i="2"/>
  <c r="C788" i="2"/>
  <c r="B788" i="2"/>
  <c r="I787" i="2"/>
  <c r="J787" i="2"/>
  <c r="L787" i="2"/>
  <c r="K787" i="2"/>
  <c r="AP788" i="1"/>
  <c r="H787" i="2"/>
  <c r="G787" i="2"/>
  <c r="AO788" i="1"/>
  <c r="F787" i="2"/>
  <c r="E787" i="2"/>
  <c r="AN788" i="1"/>
  <c r="D787" i="2"/>
  <c r="C787" i="2"/>
  <c r="B787" i="2"/>
  <c r="I786" i="2"/>
  <c r="J786" i="2"/>
  <c r="L786" i="2"/>
  <c r="K786" i="2"/>
  <c r="AP787" i="1"/>
  <c r="H786" i="2"/>
  <c r="G786" i="2"/>
  <c r="AO787" i="1"/>
  <c r="F786" i="2"/>
  <c r="E786" i="2"/>
  <c r="AN787" i="1"/>
  <c r="D786" i="2"/>
  <c r="C786" i="2"/>
  <c r="B786" i="2"/>
  <c r="I785" i="2"/>
  <c r="J785" i="2"/>
  <c r="L785" i="2"/>
  <c r="K785" i="2"/>
  <c r="AP786" i="1"/>
  <c r="H785" i="2"/>
  <c r="G785" i="2"/>
  <c r="AO786" i="1"/>
  <c r="F785" i="2"/>
  <c r="E785" i="2"/>
  <c r="AN786" i="1"/>
  <c r="D785" i="2"/>
  <c r="C785" i="2"/>
  <c r="B785" i="2"/>
  <c r="I784" i="2"/>
  <c r="J784" i="2"/>
  <c r="L784" i="2"/>
  <c r="K784" i="2"/>
  <c r="AP785" i="1"/>
  <c r="H784" i="2"/>
  <c r="G784" i="2"/>
  <c r="AO785" i="1"/>
  <c r="F784" i="2"/>
  <c r="E784" i="2"/>
  <c r="AN785" i="1"/>
  <c r="D784" i="2"/>
  <c r="C784" i="2"/>
  <c r="B784" i="2"/>
  <c r="I783" i="2"/>
  <c r="J783" i="2"/>
  <c r="L783" i="2"/>
  <c r="K783" i="2"/>
  <c r="AP784" i="1"/>
  <c r="H783" i="2"/>
  <c r="G783" i="2"/>
  <c r="AO784" i="1"/>
  <c r="F783" i="2"/>
  <c r="E783" i="2"/>
  <c r="AN784" i="1"/>
  <c r="D783" i="2"/>
  <c r="C783" i="2"/>
  <c r="B783" i="2"/>
  <c r="I782" i="2"/>
  <c r="J782" i="2"/>
  <c r="L782" i="2"/>
  <c r="K782" i="2"/>
  <c r="AP783" i="1"/>
  <c r="H782" i="2"/>
  <c r="G782" i="2"/>
  <c r="AO783" i="1"/>
  <c r="F782" i="2"/>
  <c r="E782" i="2"/>
  <c r="AN783" i="1"/>
  <c r="D782" i="2"/>
  <c r="C782" i="2"/>
  <c r="B782" i="2"/>
  <c r="I781" i="2"/>
  <c r="J781" i="2"/>
  <c r="L781" i="2"/>
  <c r="K781" i="2"/>
  <c r="AP782" i="1"/>
  <c r="H781" i="2"/>
  <c r="G781" i="2"/>
  <c r="AO782" i="1"/>
  <c r="F781" i="2"/>
  <c r="E781" i="2"/>
  <c r="AN782" i="1"/>
  <c r="D781" i="2"/>
  <c r="C781" i="2"/>
  <c r="B781" i="2"/>
  <c r="I780" i="2"/>
  <c r="J780" i="2"/>
  <c r="L780" i="2"/>
  <c r="K780" i="2"/>
  <c r="AP781" i="1"/>
  <c r="H780" i="2"/>
  <c r="G780" i="2"/>
  <c r="AO781" i="1"/>
  <c r="F780" i="2"/>
  <c r="E780" i="2"/>
  <c r="AN781" i="1"/>
  <c r="D780" i="2"/>
  <c r="C780" i="2"/>
  <c r="B780" i="2"/>
  <c r="I779" i="2"/>
  <c r="J779" i="2"/>
  <c r="L779" i="2"/>
  <c r="K779" i="2"/>
  <c r="AP780" i="1"/>
  <c r="H779" i="2"/>
  <c r="G779" i="2"/>
  <c r="AO780" i="1"/>
  <c r="F779" i="2"/>
  <c r="E779" i="2"/>
  <c r="AN780" i="1"/>
  <c r="D779" i="2"/>
  <c r="C779" i="2"/>
  <c r="B779" i="2"/>
  <c r="I778" i="2"/>
  <c r="J778" i="2"/>
  <c r="L778" i="2"/>
  <c r="K778" i="2"/>
  <c r="AP779" i="1"/>
  <c r="H778" i="2"/>
  <c r="G778" i="2"/>
  <c r="AO779" i="1"/>
  <c r="F778" i="2"/>
  <c r="E778" i="2"/>
  <c r="AN779" i="1"/>
  <c r="D778" i="2"/>
  <c r="C778" i="2"/>
  <c r="B778" i="2"/>
  <c r="I777" i="2"/>
  <c r="J777" i="2"/>
  <c r="L777" i="2"/>
  <c r="K777" i="2"/>
  <c r="AP778" i="1"/>
  <c r="H777" i="2"/>
  <c r="G777" i="2"/>
  <c r="AO778" i="1"/>
  <c r="F777" i="2"/>
  <c r="E777" i="2"/>
  <c r="AN778" i="1"/>
  <c r="D777" i="2"/>
  <c r="C777" i="2"/>
  <c r="B777" i="2"/>
  <c r="I776" i="2"/>
  <c r="J776" i="2"/>
  <c r="L776" i="2"/>
  <c r="K776" i="2"/>
  <c r="AP777" i="1"/>
  <c r="H776" i="2"/>
  <c r="G776" i="2"/>
  <c r="AO777" i="1"/>
  <c r="F776" i="2"/>
  <c r="E776" i="2"/>
  <c r="AN777" i="1"/>
  <c r="D776" i="2"/>
  <c r="C776" i="2"/>
  <c r="B776" i="2"/>
  <c r="I775" i="2"/>
  <c r="J775" i="2"/>
  <c r="L775" i="2"/>
  <c r="K775" i="2"/>
  <c r="AP776" i="1"/>
  <c r="H775" i="2"/>
  <c r="G775" i="2"/>
  <c r="AO776" i="1"/>
  <c r="F775" i="2"/>
  <c r="E775" i="2"/>
  <c r="AN776" i="1"/>
  <c r="D775" i="2"/>
  <c r="C775" i="2"/>
  <c r="B775" i="2"/>
  <c r="I774" i="2"/>
  <c r="J774" i="2"/>
  <c r="L774" i="2"/>
  <c r="K774" i="2"/>
  <c r="AP775" i="1"/>
  <c r="H774" i="2"/>
  <c r="G774" i="2"/>
  <c r="AO775" i="1"/>
  <c r="F774" i="2"/>
  <c r="E774" i="2"/>
  <c r="AN775" i="1"/>
  <c r="D774" i="2"/>
  <c r="C774" i="2"/>
  <c r="B774" i="2"/>
  <c r="I773" i="2"/>
  <c r="J773" i="2"/>
  <c r="L773" i="2"/>
  <c r="K773" i="2"/>
  <c r="AP774" i="1"/>
  <c r="H773" i="2"/>
  <c r="G773" i="2"/>
  <c r="AO774" i="1"/>
  <c r="F773" i="2"/>
  <c r="E773" i="2"/>
  <c r="AN774" i="1"/>
  <c r="D773" i="2"/>
  <c r="C773" i="2"/>
  <c r="B773" i="2"/>
  <c r="I772" i="2"/>
  <c r="J772" i="2"/>
  <c r="L772" i="2"/>
  <c r="K772" i="2"/>
  <c r="AP773" i="1"/>
  <c r="H772" i="2"/>
  <c r="G772" i="2"/>
  <c r="AO773" i="1"/>
  <c r="F772" i="2"/>
  <c r="E772" i="2"/>
  <c r="AN773" i="1"/>
  <c r="D772" i="2"/>
  <c r="C772" i="2"/>
  <c r="B772" i="2"/>
  <c r="I771" i="2"/>
  <c r="J771" i="2"/>
  <c r="L771" i="2"/>
  <c r="K771" i="2"/>
  <c r="AP772" i="1"/>
  <c r="H771" i="2"/>
  <c r="G771" i="2"/>
  <c r="AO772" i="1"/>
  <c r="F771" i="2"/>
  <c r="E771" i="2"/>
  <c r="AN772" i="1"/>
  <c r="D771" i="2"/>
  <c r="C771" i="2"/>
  <c r="B771" i="2"/>
  <c r="I770" i="2"/>
  <c r="J770" i="2"/>
  <c r="L770" i="2"/>
  <c r="K770" i="2"/>
  <c r="AP771" i="1"/>
  <c r="H770" i="2"/>
  <c r="G770" i="2"/>
  <c r="AO771" i="1"/>
  <c r="F770" i="2"/>
  <c r="E770" i="2"/>
  <c r="AN771" i="1"/>
  <c r="D770" i="2"/>
  <c r="C770" i="2"/>
  <c r="B770" i="2"/>
  <c r="I769" i="2"/>
  <c r="J769" i="2"/>
  <c r="L769" i="2"/>
  <c r="K769" i="2"/>
  <c r="AP770" i="1"/>
  <c r="H769" i="2"/>
  <c r="G769" i="2"/>
  <c r="AO770" i="1"/>
  <c r="F769" i="2"/>
  <c r="E769" i="2"/>
  <c r="AN770" i="1"/>
  <c r="D769" i="2"/>
  <c r="C769" i="2"/>
  <c r="B769" i="2"/>
  <c r="I768" i="2"/>
  <c r="J768" i="2"/>
  <c r="L768" i="2"/>
  <c r="K768" i="2"/>
  <c r="AP769" i="1"/>
  <c r="H768" i="2"/>
  <c r="G768" i="2"/>
  <c r="AO769" i="1"/>
  <c r="F768" i="2"/>
  <c r="E768" i="2"/>
  <c r="AN769" i="1"/>
  <c r="D768" i="2"/>
  <c r="C768" i="2"/>
  <c r="B768" i="2"/>
  <c r="I767" i="2"/>
  <c r="J767" i="2"/>
  <c r="L767" i="2"/>
  <c r="K767" i="2"/>
  <c r="AP768" i="1"/>
  <c r="H767" i="2"/>
  <c r="G767" i="2"/>
  <c r="AO768" i="1"/>
  <c r="F767" i="2"/>
  <c r="E767" i="2"/>
  <c r="AN768" i="1"/>
  <c r="D767" i="2"/>
  <c r="C767" i="2"/>
  <c r="B767" i="2"/>
  <c r="I766" i="2"/>
  <c r="J766" i="2"/>
  <c r="L766" i="2"/>
  <c r="K766" i="2"/>
  <c r="AP767" i="1"/>
  <c r="H766" i="2"/>
  <c r="G766" i="2"/>
  <c r="AO767" i="1"/>
  <c r="F766" i="2"/>
  <c r="E766" i="2"/>
  <c r="AN767" i="1"/>
  <c r="D766" i="2"/>
  <c r="C766" i="2"/>
  <c r="B766" i="2"/>
  <c r="I765" i="2"/>
  <c r="J765" i="2"/>
  <c r="L765" i="2"/>
  <c r="K765" i="2"/>
  <c r="AP766" i="1"/>
  <c r="H765" i="2"/>
  <c r="G765" i="2"/>
  <c r="AO766" i="1"/>
  <c r="F765" i="2"/>
  <c r="E765" i="2"/>
  <c r="AN766" i="1"/>
  <c r="D765" i="2"/>
  <c r="C765" i="2"/>
  <c r="B765" i="2"/>
  <c r="I764" i="2"/>
  <c r="J764" i="2"/>
  <c r="L764" i="2"/>
  <c r="K764" i="2"/>
  <c r="AP765" i="1"/>
  <c r="H764" i="2"/>
  <c r="G764" i="2"/>
  <c r="AO765" i="1"/>
  <c r="F764" i="2"/>
  <c r="E764" i="2"/>
  <c r="AN765" i="1"/>
  <c r="D764" i="2"/>
  <c r="C764" i="2"/>
  <c r="B764" i="2"/>
  <c r="I763" i="2"/>
  <c r="J763" i="2"/>
  <c r="L763" i="2"/>
  <c r="K763" i="2"/>
  <c r="AP764" i="1"/>
  <c r="H763" i="2"/>
  <c r="G763" i="2"/>
  <c r="AO764" i="1"/>
  <c r="F763" i="2"/>
  <c r="E763" i="2"/>
  <c r="AN764" i="1"/>
  <c r="D763" i="2"/>
  <c r="C763" i="2"/>
  <c r="B763" i="2"/>
  <c r="I762" i="2"/>
  <c r="J762" i="2"/>
  <c r="L762" i="2"/>
  <c r="K762" i="2"/>
  <c r="AP763" i="1"/>
  <c r="H762" i="2"/>
  <c r="G762" i="2"/>
  <c r="AO763" i="1"/>
  <c r="F762" i="2"/>
  <c r="E762" i="2"/>
  <c r="AN763" i="1"/>
  <c r="D762" i="2"/>
  <c r="C762" i="2"/>
  <c r="B762" i="2"/>
  <c r="I761" i="2"/>
  <c r="J761" i="2"/>
  <c r="L761" i="2"/>
  <c r="K761" i="2"/>
  <c r="AP762" i="1"/>
  <c r="H761" i="2"/>
  <c r="G761" i="2"/>
  <c r="AO762" i="1"/>
  <c r="F761" i="2"/>
  <c r="E761" i="2"/>
  <c r="AN762" i="1"/>
  <c r="D761" i="2"/>
  <c r="C761" i="2"/>
  <c r="B761" i="2"/>
  <c r="I760" i="2"/>
  <c r="J760" i="2"/>
  <c r="L760" i="2"/>
  <c r="K760" i="2"/>
  <c r="AP761" i="1"/>
  <c r="H760" i="2"/>
  <c r="G760" i="2"/>
  <c r="AO761" i="1"/>
  <c r="F760" i="2"/>
  <c r="E760" i="2"/>
  <c r="AN761" i="1"/>
  <c r="D760" i="2"/>
  <c r="C760" i="2"/>
  <c r="B760" i="2"/>
  <c r="I759" i="2"/>
  <c r="J759" i="2"/>
  <c r="L759" i="2"/>
  <c r="K759" i="2"/>
  <c r="AP760" i="1"/>
  <c r="H759" i="2"/>
  <c r="G759" i="2"/>
  <c r="AO760" i="1"/>
  <c r="F759" i="2"/>
  <c r="E759" i="2"/>
  <c r="AN760" i="1"/>
  <c r="D759" i="2"/>
  <c r="C759" i="2"/>
  <c r="B759" i="2"/>
  <c r="I758" i="2"/>
  <c r="J758" i="2"/>
  <c r="L758" i="2"/>
  <c r="K758" i="2"/>
  <c r="AP759" i="1"/>
  <c r="H758" i="2"/>
  <c r="G758" i="2"/>
  <c r="AO759" i="1"/>
  <c r="F758" i="2"/>
  <c r="E758" i="2"/>
  <c r="AN759" i="1"/>
  <c r="D758" i="2"/>
  <c r="C758" i="2"/>
  <c r="B758" i="2"/>
  <c r="I757" i="2"/>
  <c r="J757" i="2"/>
  <c r="L757" i="2"/>
  <c r="K757" i="2"/>
  <c r="AP758" i="1"/>
  <c r="H757" i="2"/>
  <c r="G757" i="2"/>
  <c r="AO758" i="1"/>
  <c r="F757" i="2"/>
  <c r="E757" i="2"/>
  <c r="AN758" i="1"/>
  <c r="D757" i="2"/>
  <c r="C757" i="2"/>
  <c r="B757" i="2"/>
  <c r="I756" i="2"/>
  <c r="J756" i="2"/>
  <c r="L756" i="2"/>
  <c r="K756" i="2"/>
  <c r="AP757" i="1"/>
  <c r="H756" i="2"/>
  <c r="G756" i="2"/>
  <c r="AO757" i="1"/>
  <c r="F756" i="2"/>
  <c r="E756" i="2"/>
  <c r="AN757" i="1"/>
  <c r="D756" i="2"/>
  <c r="C756" i="2"/>
  <c r="B756" i="2"/>
  <c r="I755" i="2"/>
  <c r="J755" i="2"/>
  <c r="L755" i="2"/>
  <c r="K755" i="2"/>
  <c r="AP756" i="1"/>
  <c r="H755" i="2"/>
  <c r="G755" i="2"/>
  <c r="AO756" i="1"/>
  <c r="F755" i="2"/>
  <c r="E755" i="2"/>
  <c r="AN756" i="1"/>
  <c r="D755" i="2"/>
  <c r="C755" i="2"/>
  <c r="B755" i="2"/>
  <c r="I754" i="2"/>
  <c r="J754" i="2"/>
  <c r="L754" i="2"/>
  <c r="K754" i="2"/>
  <c r="AP755" i="1"/>
  <c r="H754" i="2"/>
  <c r="G754" i="2"/>
  <c r="AO755" i="1"/>
  <c r="F754" i="2"/>
  <c r="E754" i="2"/>
  <c r="AN755" i="1"/>
  <c r="D754" i="2"/>
  <c r="C754" i="2"/>
  <c r="B754" i="2"/>
  <c r="I753" i="2"/>
  <c r="J753" i="2"/>
  <c r="L753" i="2"/>
  <c r="K753" i="2"/>
  <c r="AP754" i="1"/>
  <c r="H753" i="2"/>
  <c r="G753" i="2"/>
  <c r="AO754" i="1"/>
  <c r="F753" i="2"/>
  <c r="E753" i="2"/>
  <c r="AN754" i="1"/>
  <c r="D753" i="2"/>
  <c r="C753" i="2"/>
  <c r="B753" i="2"/>
  <c r="I752" i="2"/>
  <c r="J752" i="2"/>
  <c r="L752" i="2"/>
  <c r="K752" i="2"/>
  <c r="AP753" i="1"/>
  <c r="H752" i="2"/>
  <c r="G752" i="2"/>
  <c r="AO753" i="1"/>
  <c r="F752" i="2"/>
  <c r="E752" i="2"/>
  <c r="AN753" i="1"/>
  <c r="D752" i="2"/>
  <c r="C752" i="2"/>
  <c r="B752" i="2"/>
  <c r="I751" i="2"/>
  <c r="J751" i="2"/>
  <c r="L751" i="2"/>
  <c r="K751" i="2"/>
  <c r="AP752" i="1"/>
  <c r="H751" i="2"/>
  <c r="G751" i="2"/>
  <c r="AO752" i="1"/>
  <c r="F751" i="2"/>
  <c r="E751" i="2"/>
  <c r="AN752" i="1"/>
  <c r="D751" i="2"/>
  <c r="C751" i="2"/>
  <c r="B751" i="2"/>
  <c r="I750" i="2"/>
  <c r="J750" i="2"/>
  <c r="L750" i="2"/>
  <c r="K750" i="2"/>
  <c r="AP751" i="1"/>
  <c r="H750" i="2"/>
  <c r="G750" i="2"/>
  <c r="AO751" i="1"/>
  <c r="F750" i="2"/>
  <c r="E750" i="2"/>
  <c r="AN751" i="1"/>
  <c r="D750" i="2"/>
  <c r="C750" i="2"/>
  <c r="B750" i="2"/>
  <c r="I749" i="2"/>
  <c r="J749" i="2"/>
  <c r="L749" i="2"/>
  <c r="K749" i="2"/>
  <c r="AP750" i="1"/>
  <c r="H749" i="2"/>
  <c r="G749" i="2"/>
  <c r="AO750" i="1"/>
  <c r="F749" i="2"/>
  <c r="E749" i="2"/>
  <c r="AN750" i="1"/>
  <c r="D749" i="2"/>
  <c r="C749" i="2"/>
  <c r="B749" i="2"/>
  <c r="I748" i="2"/>
  <c r="J748" i="2"/>
  <c r="L748" i="2"/>
  <c r="K748" i="2"/>
  <c r="AP749" i="1"/>
  <c r="H748" i="2"/>
  <c r="G748" i="2"/>
  <c r="AO749" i="1"/>
  <c r="F748" i="2"/>
  <c r="E748" i="2"/>
  <c r="AN749" i="1"/>
  <c r="D748" i="2"/>
  <c r="C748" i="2"/>
  <c r="B748" i="2"/>
  <c r="I747" i="2"/>
  <c r="J747" i="2"/>
  <c r="L747" i="2"/>
  <c r="K747" i="2"/>
  <c r="AP748" i="1"/>
  <c r="H747" i="2"/>
  <c r="G747" i="2"/>
  <c r="AO748" i="1"/>
  <c r="F747" i="2"/>
  <c r="E747" i="2"/>
  <c r="AN748" i="1"/>
  <c r="D747" i="2"/>
  <c r="C747" i="2"/>
  <c r="B747" i="2"/>
  <c r="I746" i="2"/>
  <c r="J746" i="2"/>
  <c r="L746" i="2"/>
  <c r="K746" i="2"/>
  <c r="AP747" i="1"/>
  <c r="H746" i="2"/>
  <c r="G746" i="2"/>
  <c r="AO747" i="1"/>
  <c r="F746" i="2"/>
  <c r="E746" i="2"/>
  <c r="AN747" i="1"/>
  <c r="D746" i="2"/>
  <c r="C746" i="2"/>
  <c r="B746" i="2"/>
  <c r="I745" i="2"/>
  <c r="J745" i="2"/>
  <c r="L745" i="2"/>
  <c r="K745" i="2"/>
  <c r="AP746" i="1"/>
  <c r="H745" i="2"/>
  <c r="G745" i="2"/>
  <c r="AO746" i="1"/>
  <c r="F745" i="2"/>
  <c r="E745" i="2"/>
  <c r="AN746" i="1"/>
  <c r="D745" i="2"/>
  <c r="C745" i="2"/>
  <c r="B745" i="2"/>
  <c r="I744" i="2"/>
  <c r="J744" i="2"/>
  <c r="L744" i="2"/>
  <c r="K744" i="2"/>
  <c r="AP745" i="1"/>
  <c r="H744" i="2"/>
  <c r="G744" i="2"/>
  <c r="AO745" i="1"/>
  <c r="F744" i="2"/>
  <c r="E744" i="2"/>
  <c r="AN745" i="1"/>
  <c r="D744" i="2"/>
  <c r="C744" i="2"/>
  <c r="B744" i="2"/>
  <c r="I743" i="2"/>
  <c r="J743" i="2"/>
  <c r="L743" i="2"/>
  <c r="K743" i="2"/>
  <c r="AP744" i="1"/>
  <c r="H743" i="2"/>
  <c r="G743" i="2"/>
  <c r="AO744" i="1"/>
  <c r="F743" i="2"/>
  <c r="E743" i="2"/>
  <c r="AN744" i="1"/>
  <c r="D743" i="2"/>
  <c r="C743" i="2"/>
  <c r="B743" i="2"/>
  <c r="I742" i="2"/>
  <c r="J742" i="2"/>
  <c r="L742" i="2"/>
  <c r="K742" i="2"/>
  <c r="AP743" i="1"/>
  <c r="H742" i="2"/>
  <c r="G742" i="2"/>
  <c r="AO743" i="1"/>
  <c r="F742" i="2"/>
  <c r="E742" i="2"/>
  <c r="AN743" i="1"/>
  <c r="D742" i="2"/>
  <c r="C742" i="2"/>
  <c r="B742" i="2"/>
  <c r="I741" i="2"/>
  <c r="J741" i="2"/>
  <c r="L741" i="2"/>
  <c r="K741" i="2"/>
  <c r="AP742" i="1"/>
  <c r="H741" i="2"/>
  <c r="G741" i="2"/>
  <c r="AO742" i="1"/>
  <c r="F741" i="2"/>
  <c r="E741" i="2"/>
  <c r="AN742" i="1"/>
  <c r="D741" i="2"/>
  <c r="C741" i="2"/>
  <c r="B741" i="2"/>
  <c r="I740" i="2"/>
  <c r="J740" i="2"/>
  <c r="L740" i="2"/>
  <c r="K740" i="2"/>
  <c r="AP741" i="1"/>
  <c r="H740" i="2"/>
  <c r="G740" i="2"/>
  <c r="AO741" i="1"/>
  <c r="F740" i="2"/>
  <c r="E740" i="2"/>
  <c r="AN741" i="1"/>
  <c r="D740" i="2"/>
  <c r="C740" i="2"/>
  <c r="B740" i="2"/>
  <c r="I739" i="2"/>
  <c r="J739" i="2"/>
  <c r="L739" i="2"/>
  <c r="K739" i="2"/>
  <c r="AP740" i="1"/>
  <c r="H739" i="2"/>
  <c r="G739" i="2"/>
  <c r="AO740" i="1"/>
  <c r="F739" i="2"/>
  <c r="E739" i="2"/>
  <c r="AN740" i="1"/>
  <c r="D739" i="2"/>
  <c r="C739" i="2"/>
  <c r="B739" i="2"/>
  <c r="I738" i="2"/>
  <c r="J738" i="2"/>
  <c r="L738" i="2"/>
  <c r="K738" i="2"/>
  <c r="AP739" i="1"/>
  <c r="H738" i="2"/>
  <c r="G738" i="2"/>
  <c r="AO739" i="1"/>
  <c r="F738" i="2"/>
  <c r="E738" i="2"/>
  <c r="AN739" i="1"/>
  <c r="D738" i="2"/>
  <c r="C738" i="2"/>
  <c r="B738" i="2"/>
  <c r="I737" i="2"/>
  <c r="J737" i="2"/>
  <c r="L737" i="2"/>
  <c r="K737" i="2"/>
  <c r="AP738" i="1"/>
  <c r="H737" i="2"/>
  <c r="G737" i="2"/>
  <c r="AO738" i="1"/>
  <c r="F737" i="2"/>
  <c r="E737" i="2"/>
  <c r="AN738" i="1"/>
  <c r="D737" i="2"/>
  <c r="C737" i="2"/>
  <c r="B737" i="2"/>
  <c r="I736" i="2"/>
  <c r="J736" i="2"/>
  <c r="L736" i="2"/>
  <c r="K736" i="2"/>
  <c r="AP737" i="1"/>
  <c r="H736" i="2"/>
  <c r="G736" i="2"/>
  <c r="AO737" i="1"/>
  <c r="F736" i="2"/>
  <c r="E736" i="2"/>
  <c r="AN737" i="1"/>
  <c r="D736" i="2"/>
  <c r="C736" i="2"/>
  <c r="B736" i="2"/>
  <c r="I735" i="2"/>
  <c r="J735" i="2"/>
  <c r="L735" i="2"/>
  <c r="K735" i="2"/>
  <c r="AP736" i="1"/>
  <c r="H735" i="2"/>
  <c r="G735" i="2"/>
  <c r="AO736" i="1"/>
  <c r="F735" i="2"/>
  <c r="E735" i="2"/>
  <c r="AN736" i="1"/>
  <c r="D735" i="2"/>
  <c r="C735" i="2"/>
  <c r="B735" i="2"/>
  <c r="I734" i="2"/>
  <c r="J734" i="2"/>
  <c r="L734" i="2"/>
  <c r="K734" i="2"/>
  <c r="AP735" i="1"/>
  <c r="H734" i="2"/>
  <c r="G734" i="2"/>
  <c r="AO735" i="1"/>
  <c r="F734" i="2"/>
  <c r="E734" i="2"/>
  <c r="AN735" i="1"/>
  <c r="D734" i="2"/>
  <c r="C734" i="2"/>
  <c r="B734" i="2"/>
  <c r="I733" i="2"/>
  <c r="J733" i="2"/>
  <c r="L733" i="2"/>
  <c r="K733" i="2"/>
  <c r="AP734" i="1"/>
  <c r="H733" i="2"/>
  <c r="G733" i="2"/>
  <c r="AO734" i="1"/>
  <c r="F733" i="2"/>
  <c r="E733" i="2"/>
  <c r="AN734" i="1"/>
  <c r="D733" i="2"/>
  <c r="C733" i="2"/>
  <c r="B733" i="2"/>
  <c r="I732" i="2"/>
  <c r="J732" i="2"/>
  <c r="L732" i="2"/>
  <c r="K732" i="2"/>
  <c r="AP733" i="1"/>
  <c r="H732" i="2"/>
  <c r="G732" i="2"/>
  <c r="AO733" i="1"/>
  <c r="F732" i="2"/>
  <c r="E732" i="2"/>
  <c r="AN733" i="1"/>
  <c r="D732" i="2"/>
  <c r="C732" i="2"/>
  <c r="B732" i="2"/>
  <c r="I731" i="2"/>
  <c r="J731" i="2"/>
  <c r="L731" i="2"/>
  <c r="K731" i="2"/>
  <c r="AP732" i="1"/>
  <c r="H731" i="2"/>
  <c r="G731" i="2"/>
  <c r="AO732" i="1"/>
  <c r="F731" i="2"/>
  <c r="E731" i="2"/>
  <c r="AN732" i="1"/>
  <c r="D731" i="2"/>
  <c r="C731" i="2"/>
  <c r="B731" i="2"/>
  <c r="I730" i="2"/>
  <c r="J730" i="2"/>
  <c r="L730" i="2"/>
  <c r="K730" i="2"/>
  <c r="AP731" i="1"/>
  <c r="H730" i="2"/>
  <c r="G730" i="2"/>
  <c r="AO731" i="1"/>
  <c r="F730" i="2"/>
  <c r="E730" i="2"/>
  <c r="AN731" i="1"/>
  <c r="D730" i="2"/>
  <c r="C730" i="2"/>
  <c r="B730" i="2"/>
  <c r="I729" i="2"/>
  <c r="J729" i="2"/>
  <c r="L729" i="2"/>
  <c r="K729" i="2"/>
  <c r="AP730" i="1"/>
  <c r="H729" i="2"/>
  <c r="G729" i="2"/>
  <c r="AO730" i="1"/>
  <c r="F729" i="2"/>
  <c r="E729" i="2"/>
  <c r="AN730" i="1"/>
  <c r="D729" i="2"/>
  <c r="C729" i="2"/>
  <c r="B729" i="2"/>
  <c r="I728" i="2"/>
  <c r="J728" i="2"/>
  <c r="L728" i="2"/>
  <c r="K728" i="2"/>
  <c r="AP729" i="1"/>
  <c r="H728" i="2"/>
  <c r="G728" i="2"/>
  <c r="AO729" i="1"/>
  <c r="F728" i="2"/>
  <c r="E728" i="2"/>
  <c r="AN729" i="1"/>
  <c r="D728" i="2"/>
  <c r="C728" i="2"/>
  <c r="B728" i="2"/>
  <c r="I727" i="2"/>
  <c r="J727" i="2"/>
  <c r="L727" i="2"/>
  <c r="K727" i="2"/>
  <c r="AP728" i="1"/>
  <c r="H727" i="2"/>
  <c r="G727" i="2"/>
  <c r="AO728" i="1"/>
  <c r="F727" i="2"/>
  <c r="E727" i="2"/>
  <c r="AN728" i="1"/>
  <c r="D727" i="2"/>
  <c r="C727" i="2"/>
  <c r="B727" i="2"/>
  <c r="I726" i="2"/>
  <c r="J726" i="2"/>
  <c r="L726" i="2"/>
  <c r="K726" i="2"/>
  <c r="AP727" i="1"/>
  <c r="H726" i="2"/>
  <c r="G726" i="2"/>
  <c r="AO727" i="1"/>
  <c r="F726" i="2"/>
  <c r="E726" i="2"/>
  <c r="AN727" i="1"/>
  <c r="D726" i="2"/>
  <c r="C726" i="2"/>
  <c r="B726" i="2"/>
  <c r="I725" i="2"/>
  <c r="J725" i="2"/>
  <c r="L725" i="2"/>
  <c r="K725" i="2"/>
  <c r="AP726" i="1"/>
  <c r="H725" i="2"/>
  <c r="G725" i="2"/>
  <c r="AO726" i="1"/>
  <c r="F725" i="2"/>
  <c r="E725" i="2"/>
  <c r="AN726" i="1"/>
  <c r="D725" i="2"/>
  <c r="C725" i="2"/>
  <c r="B725" i="2"/>
  <c r="I724" i="2"/>
  <c r="J724" i="2"/>
  <c r="L724" i="2"/>
  <c r="K724" i="2"/>
  <c r="AP725" i="1"/>
  <c r="H724" i="2"/>
  <c r="G724" i="2"/>
  <c r="AO725" i="1"/>
  <c r="F724" i="2"/>
  <c r="E724" i="2"/>
  <c r="AN725" i="1"/>
  <c r="D724" i="2"/>
  <c r="C724" i="2"/>
  <c r="B724" i="2"/>
  <c r="I723" i="2"/>
  <c r="J723" i="2"/>
  <c r="L723" i="2"/>
  <c r="K723" i="2"/>
  <c r="AP724" i="1"/>
  <c r="H723" i="2"/>
  <c r="G723" i="2"/>
  <c r="AO724" i="1"/>
  <c r="F723" i="2"/>
  <c r="E723" i="2"/>
  <c r="AN724" i="1"/>
  <c r="D723" i="2"/>
  <c r="C723" i="2"/>
  <c r="B723" i="2"/>
  <c r="I722" i="2"/>
  <c r="J722" i="2"/>
  <c r="L722" i="2"/>
  <c r="K722" i="2"/>
  <c r="AP723" i="1"/>
  <c r="H722" i="2"/>
  <c r="G722" i="2"/>
  <c r="AO723" i="1"/>
  <c r="F722" i="2"/>
  <c r="E722" i="2"/>
  <c r="AN723" i="1"/>
  <c r="D722" i="2"/>
  <c r="C722" i="2"/>
  <c r="B722" i="2"/>
  <c r="I721" i="2"/>
  <c r="J721" i="2"/>
  <c r="L721" i="2"/>
  <c r="K721" i="2"/>
  <c r="AP722" i="1"/>
  <c r="H721" i="2"/>
  <c r="G721" i="2"/>
  <c r="AO722" i="1"/>
  <c r="F721" i="2"/>
  <c r="E721" i="2"/>
  <c r="AN722" i="1"/>
  <c r="D721" i="2"/>
  <c r="C721" i="2"/>
  <c r="B721" i="2"/>
  <c r="I720" i="2"/>
  <c r="J720" i="2"/>
  <c r="L720" i="2"/>
  <c r="K720" i="2"/>
  <c r="AP721" i="1"/>
  <c r="H720" i="2"/>
  <c r="G720" i="2"/>
  <c r="AO721" i="1"/>
  <c r="F720" i="2"/>
  <c r="E720" i="2"/>
  <c r="AN721" i="1"/>
  <c r="D720" i="2"/>
  <c r="C720" i="2"/>
  <c r="B720" i="2"/>
  <c r="I719" i="2"/>
  <c r="J719" i="2"/>
  <c r="L719" i="2"/>
  <c r="K719" i="2"/>
  <c r="AP720" i="1"/>
  <c r="H719" i="2"/>
  <c r="G719" i="2"/>
  <c r="AO720" i="1"/>
  <c r="F719" i="2"/>
  <c r="E719" i="2"/>
  <c r="AN720" i="1"/>
  <c r="D719" i="2"/>
  <c r="C719" i="2"/>
  <c r="B719" i="2"/>
  <c r="I718" i="2"/>
  <c r="J718" i="2"/>
  <c r="L718" i="2"/>
  <c r="K718" i="2"/>
  <c r="AP719" i="1"/>
  <c r="H718" i="2"/>
  <c r="G718" i="2"/>
  <c r="AO719" i="1"/>
  <c r="F718" i="2"/>
  <c r="E718" i="2"/>
  <c r="AN719" i="1"/>
  <c r="D718" i="2"/>
  <c r="C718" i="2"/>
  <c r="B718" i="2"/>
  <c r="I717" i="2"/>
  <c r="J717" i="2"/>
  <c r="L717" i="2"/>
  <c r="K717" i="2"/>
  <c r="AP718" i="1"/>
  <c r="H717" i="2"/>
  <c r="G717" i="2"/>
  <c r="AO718" i="1"/>
  <c r="F717" i="2"/>
  <c r="E717" i="2"/>
  <c r="AN718" i="1"/>
  <c r="D717" i="2"/>
  <c r="C717" i="2"/>
  <c r="B717" i="2"/>
  <c r="I716" i="2"/>
  <c r="J716" i="2"/>
  <c r="L716" i="2"/>
  <c r="K716" i="2"/>
  <c r="AP717" i="1"/>
  <c r="H716" i="2"/>
  <c r="G716" i="2"/>
  <c r="AO717" i="1"/>
  <c r="F716" i="2"/>
  <c r="E716" i="2"/>
  <c r="AN717" i="1"/>
  <c r="D716" i="2"/>
  <c r="C716" i="2"/>
  <c r="B716" i="2"/>
  <c r="I715" i="2"/>
  <c r="J715" i="2"/>
  <c r="L715" i="2"/>
  <c r="K715" i="2"/>
  <c r="AP716" i="1"/>
  <c r="H715" i="2"/>
  <c r="G715" i="2"/>
  <c r="AO716" i="1"/>
  <c r="F715" i="2"/>
  <c r="E715" i="2"/>
  <c r="AN716" i="1"/>
  <c r="D715" i="2"/>
  <c r="C715" i="2"/>
  <c r="B715" i="2"/>
  <c r="I714" i="2"/>
  <c r="J714" i="2"/>
  <c r="L714" i="2"/>
  <c r="K714" i="2"/>
  <c r="AP715" i="1"/>
  <c r="H714" i="2"/>
  <c r="G714" i="2"/>
  <c r="AO715" i="1"/>
  <c r="F714" i="2"/>
  <c r="E714" i="2"/>
  <c r="AN715" i="1"/>
  <c r="D714" i="2"/>
  <c r="C714" i="2"/>
  <c r="B714" i="2"/>
  <c r="I713" i="2"/>
  <c r="J713" i="2"/>
  <c r="L713" i="2"/>
  <c r="K713" i="2"/>
  <c r="AP714" i="1"/>
  <c r="H713" i="2"/>
  <c r="G713" i="2"/>
  <c r="AO714" i="1"/>
  <c r="F713" i="2"/>
  <c r="E713" i="2"/>
  <c r="AN714" i="1"/>
  <c r="D713" i="2"/>
  <c r="C713" i="2"/>
  <c r="B713" i="2"/>
  <c r="I712" i="2"/>
  <c r="J712" i="2"/>
  <c r="L712" i="2"/>
  <c r="K712" i="2"/>
  <c r="AP713" i="1"/>
  <c r="H712" i="2"/>
  <c r="G712" i="2"/>
  <c r="AO713" i="1"/>
  <c r="F712" i="2"/>
  <c r="E712" i="2"/>
  <c r="AN713" i="1"/>
  <c r="D712" i="2"/>
  <c r="C712" i="2"/>
  <c r="B712" i="2"/>
  <c r="I711" i="2"/>
  <c r="J711" i="2"/>
  <c r="L711" i="2"/>
  <c r="K711" i="2"/>
  <c r="AP712" i="1"/>
  <c r="H711" i="2"/>
  <c r="G711" i="2"/>
  <c r="AO712" i="1"/>
  <c r="F711" i="2"/>
  <c r="E711" i="2"/>
  <c r="AN712" i="1"/>
  <c r="D711" i="2"/>
  <c r="C711" i="2"/>
  <c r="B711" i="2"/>
  <c r="I710" i="2"/>
  <c r="J710" i="2"/>
  <c r="L710" i="2"/>
  <c r="K710" i="2"/>
  <c r="AP711" i="1"/>
  <c r="H710" i="2"/>
  <c r="G710" i="2"/>
  <c r="AO711" i="1"/>
  <c r="F710" i="2"/>
  <c r="E710" i="2"/>
  <c r="AN711" i="1"/>
  <c r="D710" i="2"/>
  <c r="C710" i="2"/>
  <c r="B710" i="2"/>
  <c r="I709" i="2"/>
  <c r="J709" i="2"/>
  <c r="L709" i="2"/>
  <c r="K709" i="2"/>
  <c r="AP710" i="1"/>
  <c r="H709" i="2"/>
  <c r="G709" i="2"/>
  <c r="AO710" i="1"/>
  <c r="F709" i="2"/>
  <c r="E709" i="2"/>
  <c r="AN710" i="1"/>
  <c r="D709" i="2"/>
  <c r="C709" i="2"/>
  <c r="B709" i="2"/>
  <c r="I708" i="2"/>
  <c r="J708" i="2"/>
  <c r="L708" i="2"/>
  <c r="K708" i="2"/>
  <c r="AP709" i="1"/>
  <c r="H708" i="2"/>
  <c r="G708" i="2"/>
  <c r="AO709" i="1"/>
  <c r="F708" i="2"/>
  <c r="E708" i="2"/>
  <c r="AN709" i="1"/>
  <c r="D708" i="2"/>
  <c r="C708" i="2"/>
  <c r="B708" i="2"/>
  <c r="I707" i="2"/>
  <c r="J707" i="2"/>
  <c r="L707" i="2"/>
  <c r="K707" i="2"/>
  <c r="AP708" i="1"/>
  <c r="H707" i="2"/>
  <c r="G707" i="2"/>
  <c r="AO708" i="1"/>
  <c r="F707" i="2"/>
  <c r="E707" i="2"/>
  <c r="AN708" i="1"/>
  <c r="D707" i="2"/>
  <c r="C707" i="2"/>
  <c r="B707" i="2"/>
  <c r="I706" i="2"/>
  <c r="J706" i="2"/>
  <c r="L706" i="2"/>
  <c r="K706" i="2"/>
  <c r="AP707" i="1"/>
  <c r="H706" i="2"/>
  <c r="G706" i="2"/>
  <c r="AO707" i="1"/>
  <c r="F706" i="2"/>
  <c r="E706" i="2"/>
  <c r="AN707" i="1"/>
  <c r="D706" i="2"/>
  <c r="C706" i="2"/>
  <c r="B706" i="2"/>
  <c r="I705" i="2"/>
  <c r="J705" i="2"/>
  <c r="L705" i="2"/>
  <c r="K705" i="2"/>
  <c r="AP706" i="1"/>
  <c r="H705" i="2"/>
  <c r="G705" i="2"/>
  <c r="AO706" i="1"/>
  <c r="F705" i="2"/>
  <c r="E705" i="2"/>
  <c r="AN706" i="1"/>
  <c r="D705" i="2"/>
  <c r="C705" i="2"/>
  <c r="B705" i="2"/>
  <c r="I704" i="2"/>
  <c r="J704" i="2"/>
  <c r="L704" i="2"/>
  <c r="K704" i="2"/>
  <c r="AP705" i="1"/>
  <c r="H704" i="2"/>
  <c r="G704" i="2"/>
  <c r="AO705" i="1"/>
  <c r="F704" i="2"/>
  <c r="E704" i="2"/>
  <c r="AN705" i="1"/>
  <c r="D704" i="2"/>
  <c r="C704" i="2"/>
  <c r="B704" i="2"/>
  <c r="I703" i="2"/>
  <c r="J703" i="2"/>
  <c r="L703" i="2"/>
  <c r="K703" i="2"/>
  <c r="AP704" i="1"/>
  <c r="H703" i="2"/>
  <c r="G703" i="2"/>
  <c r="AO704" i="1"/>
  <c r="F703" i="2"/>
  <c r="E703" i="2"/>
  <c r="AN704" i="1"/>
  <c r="D703" i="2"/>
  <c r="C703" i="2"/>
  <c r="B703" i="2"/>
  <c r="I702" i="2"/>
  <c r="J702" i="2"/>
  <c r="L702" i="2"/>
  <c r="K702" i="2"/>
  <c r="AP703" i="1"/>
  <c r="H702" i="2"/>
  <c r="G702" i="2"/>
  <c r="AO703" i="1"/>
  <c r="F702" i="2"/>
  <c r="E702" i="2"/>
  <c r="AN703" i="1"/>
  <c r="D702" i="2"/>
  <c r="C702" i="2"/>
  <c r="B702" i="2"/>
  <c r="I701" i="2"/>
  <c r="J701" i="2"/>
  <c r="L701" i="2"/>
  <c r="K701" i="2"/>
  <c r="AP702" i="1"/>
  <c r="H701" i="2"/>
  <c r="G701" i="2"/>
  <c r="AO702" i="1"/>
  <c r="F701" i="2"/>
  <c r="E701" i="2"/>
  <c r="AN702" i="1"/>
  <c r="D701" i="2"/>
  <c r="C701" i="2"/>
  <c r="B701" i="2"/>
  <c r="I700" i="2"/>
  <c r="J700" i="2"/>
  <c r="L700" i="2"/>
  <c r="K700" i="2"/>
  <c r="AP701" i="1"/>
  <c r="H700" i="2"/>
  <c r="G700" i="2"/>
  <c r="AO701" i="1"/>
  <c r="F700" i="2"/>
  <c r="E700" i="2"/>
  <c r="AN701" i="1"/>
  <c r="D700" i="2"/>
  <c r="C700" i="2"/>
  <c r="B700" i="2"/>
  <c r="I699" i="2"/>
  <c r="J699" i="2"/>
  <c r="L699" i="2"/>
  <c r="K699" i="2"/>
  <c r="AP700" i="1"/>
  <c r="H699" i="2"/>
  <c r="G699" i="2"/>
  <c r="AO700" i="1"/>
  <c r="F699" i="2"/>
  <c r="E699" i="2"/>
  <c r="AN700" i="1"/>
  <c r="D699" i="2"/>
  <c r="C699" i="2"/>
  <c r="B699" i="2"/>
  <c r="I698" i="2"/>
  <c r="J698" i="2"/>
  <c r="L698" i="2"/>
  <c r="K698" i="2"/>
  <c r="AP699" i="1"/>
  <c r="H698" i="2"/>
  <c r="G698" i="2"/>
  <c r="AO699" i="1"/>
  <c r="F698" i="2"/>
  <c r="E698" i="2"/>
  <c r="AN699" i="1"/>
  <c r="D698" i="2"/>
  <c r="C698" i="2"/>
  <c r="B698" i="2"/>
  <c r="I697" i="2"/>
  <c r="J697" i="2"/>
  <c r="L697" i="2"/>
  <c r="K697" i="2"/>
  <c r="AP698" i="1"/>
  <c r="H697" i="2"/>
  <c r="G697" i="2"/>
  <c r="AO698" i="1"/>
  <c r="F697" i="2"/>
  <c r="E697" i="2"/>
  <c r="AN698" i="1"/>
  <c r="D697" i="2"/>
  <c r="C697" i="2"/>
  <c r="B697" i="2"/>
  <c r="I696" i="2"/>
  <c r="J696" i="2"/>
  <c r="L696" i="2"/>
  <c r="K696" i="2"/>
  <c r="AP697" i="1"/>
  <c r="H696" i="2"/>
  <c r="G696" i="2"/>
  <c r="AO697" i="1"/>
  <c r="F696" i="2"/>
  <c r="E696" i="2"/>
  <c r="AN697" i="1"/>
  <c r="D696" i="2"/>
  <c r="C696" i="2"/>
  <c r="B696" i="2"/>
  <c r="I695" i="2"/>
  <c r="J695" i="2"/>
  <c r="L695" i="2"/>
  <c r="K695" i="2"/>
  <c r="AP696" i="1"/>
  <c r="H695" i="2"/>
  <c r="G695" i="2"/>
  <c r="AO696" i="1"/>
  <c r="F695" i="2"/>
  <c r="E695" i="2"/>
  <c r="AN696" i="1"/>
  <c r="D695" i="2"/>
  <c r="C695" i="2"/>
  <c r="B695" i="2"/>
  <c r="I694" i="2"/>
  <c r="J694" i="2"/>
  <c r="L694" i="2"/>
  <c r="K694" i="2"/>
  <c r="AP695" i="1"/>
  <c r="H694" i="2"/>
  <c r="G694" i="2"/>
  <c r="AO695" i="1"/>
  <c r="F694" i="2"/>
  <c r="E694" i="2"/>
  <c r="AN695" i="1"/>
  <c r="D694" i="2"/>
  <c r="C694" i="2"/>
  <c r="B694" i="2"/>
  <c r="I693" i="2"/>
  <c r="J693" i="2"/>
  <c r="L693" i="2"/>
  <c r="K693" i="2"/>
  <c r="AP694" i="1"/>
  <c r="H693" i="2"/>
  <c r="G693" i="2"/>
  <c r="AO694" i="1"/>
  <c r="F693" i="2"/>
  <c r="E693" i="2"/>
  <c r="AN694" i="1"/>
  <c r="D693" i="2"/>
  <c r="C693" i="2"/>
  <c r="B693" i="2"/>
  <c r="I692" i="2"/>
  <c r="J692" i="2"/>
  <c r="L692" i="2"/>
  <c r="K692" i="2"/>
  <c r="AP693" i="1"/>
  <c r="H692" i="2"/>
  <c r="G692" i="2"/>
  <c r="AO693" i="1"/>
  <c r="F692" i="2"/>
  <c r="E692" i="2"/>
  <c r="AN693" i="1"/>
  <c r="D692" i="2"/>
  <c r="C692" i="2"/>
  <c r="B692" i="2"/>
  <c r="I691" i="2"/>
  <c r="J691" i="2"/>
  <c r="L691" i="2"/>
  <c r="K691" i="2"/>
  <c r="AP692" i="1"/>
  <c r="H691" i="2"/>
  <c r="G691" i="2"/>
  <c r="AO692" i="1"/>
  <c r="F691" i="2"/>
  <c r="E691" i="2"/>
  <c r="AN692" i="1"/>
  <c r="D691" i="2"/>
  <c r="C691" i="2"/>
  <c r="B691" i="2"/>
  <c r="I690" i="2"/>
  <c r="J690" i="2"/>
  <c r="L690" i="2"/>
  <c r="K690" i="2"/>
  <c r="AP691" i="1"/>
  <c r="H690" i="2"/>
  <c r="G690" i="2"/>
  <c r="AO691" i="1"/>
  <c r="F690" i="2"/>
  <c r="E690" i="2"/>
  <c r="AN691" i="1"/>
  <c r="D690" i="2"/>
  <c r="C690" i="2"/>
  <c r="B690" i="2"/>
  <c r="I689" i="2"/>
  <c r="J689" i="2"/>
  <c r="L689" i="2"/>
  <c r="K689" i="2"/>
  <c r="AP690" i="1"/>
  <c r="H689" i="2"/>
  <c r="G689" i="2"/>
  <c r="AO690" i="1"/>
  <c r="F689" i="2"/>
  <c r="E689" i="2"/>
  <c r="AN690" i="1"/>
  <c r="D689" i="2"/>
  <c r="C689" i="2"/>
  <c r="B689" i="2"/>
  <c r="I688" i="2"/>
  <c r="J688" i="2"/>
  <c r="L688" i="2"/>
  <c r="K688" i="2"/>
  <c r="AP689" i="1"/>
  <c r="H688" i="2"/>
  <c r="G688" i="2"/>
  <c r="AO689" i="1"/>
  <c r="F688" i="2"/>
  <c r="E688" i="2"/>
  <c r="AN689" i="1"/>
  <c r="D688" i="2"/>
  <c r="C688" i="2"/>
  <c r="B688" i="2"/>
  <c r="I687" i="2"/>
  <c r="J687" i="2"/>
  <c r="L687" i="2"/>
  <c r="K687" i="2"/>
  <c r="AP688" i="1"/>
  <c r="H687" i="2"/>
  <c r="G687" i="2"/>
  <c r="AO688" i="1"/>
  <c r="F687" i="2"/>
  <c r="E687" i="2"/>
  <c r="AN688" i="1"/>
  <c r="D687" i="2"/>
  <c r="C687" i="2"/>
  <c r="B687" i="2"/>
  <c r="I686" i="2"/>
  <c r="J686" i="2"/>
  <c r="L686" i="2"/>
  <c r="K686" i="2"/>
  <c r="AP687" i="1"/>
  <c r="H686" i="2"/>
  <c r="G686" i="2"/>
  <c r="AO687" i="1"/>
  <c r="F686" i="2"/>
  <c r="E686" i="2"/>
  <c r="AN687" i="1"/>
  <c r="D686" i="2"/>
  <c r="C686" i="2"/>
  <c r="B686" i="2"/>
  <c r="I685" i="2"/>
  <c r="J685" i="2"/>
  <c r="L685" i="2"/>
  <c r="K685" i="2"/>
  <c r="AP686" i="1"/>
  <c r="H685" i="2"/>
  <c r="G685" i="2"/>
  <c r="AO686" i="1"/>
  <c r="F685" i="2"/>
  <c r="E685" i="2"/>
  <c r="AN686" i="1"/>
  <c r="D685" i="2"/>
  <c r="C685" i="2"/>
  <c r="B685" i="2"/>
  <c r="I684" i="2"/>
  <c r="J684" i="2"/>
  <c r="L684" i="2"/>
  <c r="K684" i="2"/>
  <c r="AP685" i="1"/>
  <c r="H684" i="2"/>
  <c r="G684" i="2"/>
  <c r="AO685" i="1"/>
  <c r="F684" i="2"/>
  <c r="E684" i="2"/>
  <c r="AN685" i="1"/>
  <c r="D684" i="2"/>
  <c r="C684" i="2"/>
  <c r="B684" i="2"/>
  <c r="I683" i="2"/>
  <c r="J683" i="2"/>
  <c r="L683" i="2"/>
  <c r="K683" i="2"/>
  <c r="AP684" i="1"/>
  <c r="H683" i="2"/>
  <c r="G683" i="2"/>
  <c r="AO684" i="1"/>
  <c r="F683" i="2"/>
  <c r="E683" i="2"/>
  <c r="AN684" i="1"/>
  <c r="D683" i="2"/>
  <c r="C683" i="2"/>
  <c r="B683" i="2"/>
  <c r="I682" i="2"/>
  <c r="J682" i="2"/>
  <c r="L682" i="2"/>
  <c r="K682" i="2"/>
  <c r="AP683" i="1"/>
  <c r="H682" i="2"/>
  <c r="G682" i="2"/>
  <c r="AO683" i="1"/>
  <c r="F682" i="2"/>
  <c r="E682" i="2"/>
  <c r="AN683" i="1"/>
  <c r="D682" i="2"/>
  <c r="C682" i="2"/>
  <c r="B682" i="2"/>
  <c r="I681" i="2"/>
  <c r="J681" i="2"/>
  <c r="L681" i="2"/>
  <c r="K681" i="2"/>
  <c r="AP682" i="1"/>
  <c r="H681" i="2"/>
  <c r="G681" i="2"/>
  <c r="AO682" i="1"/>
  <c r="F681" i="2"/>
  <c r="E681" i="2"/>
  <c r="AN682" i="1"/>
  <c r="D681" i="2"/>
  <c r="C681" i="2"/>
  <c r="B681" i="2"/>
  <c r="I680" i="2"/>
  <c r="J680" i="2"/>
  <c r="L680" i="2"/>
  <c r="K680" i="2"/>
  <c r="AP681" i="1"/>
  <c r="H680" i="2"/>
  <c r="G680" i="2"/>
  <c r="AO681" i="1"/>
  <c r="F680" i="2"/>
  <c r="E680" i="2"/>
  <c r="AN681" i="1"/>
  <c r="D680" i="2"/>
  <c r="C680" i="2"/>
  <c r="B680" i="2"/>
  <c r="I679" i="2"/>
  <c r="J679" i="2"/>
  <c r="L679" i="2"/>
  <c r="K679" i="2"/>
  <c r="AP680" i="1"/>
  <c r="H679" i="2"/>
  <c r="G679" i="2"/>
  <c r="AO680" i="1"/>
  <c r="F679" i="2"/>
  <c r="E679" i="2"/>
  <c r="AN680" i="1"/>
  <c r="D679" i="2"/>
  <c r="C679" i="2"/>
  <c r="B679" i="2"/>
  <c r="I678" i="2"/>
  <c r="J678" i="2"/>
  <c r="L678" i="2"/>
  <c r="K678" i="2"/>
  <c r="AP679" i="1"/>
  <c r="H678" i="2"/>
  <c r="G678" i="2"/>
  <c r="AO679" i="1"/>
  <c r="F678" i="2"/>
  <c r="E678" i="2"/>
  <c r="AN679" i="1"/>
  <c r="D678" i="2"/>
  <c r="C678" i="2"/>
  <c r="B678" i="2"/>
  <c r="I677" i="2"/>
  <c r="J677" i="2"/>
  <c r="L677" i="2"/>
  <c r="K677" i="2"/>
  <c r="AP678" i="1"/>
  <c r="H677" i="2"/>
  <c r="G677" i="2"/>
  <c r="AO678" i="1"/>
  <c r="F677" i="2"/>
  <c r="E677" i="2"/>
  <c r="AN678" i="1"/>
  <c r="D677" i="2"/>
  <c r="C677" i="2"/>
  <c r="B677" i="2"/>
  <c r="I676" i="2"/>
  <c r="J676" i="2"/>
  <c r="L676" i="2"/>
  <c r="K676" i="2"/>
  <c r="AP677" i="1"/>
  <c r="H676" i="2"/>
  <c r="G676" i="2"/>
  <c r="AO677" i="1"/>
  <c r="F676" i="2"/>
  <c r="E676" i="2"/>
  <c r="AN677" i="1"/>
  <c r="D676" i="2"/>
  <c r="C676" i="2"/>
  <c r="B676" i="2"/>
  <c r="I675" i="2"/>
  <c r="J675" i="2"/>
  <c r="L675" i="2"/>
  <c r="K675" i="2"/>
  <c r="AP676" i="1"/>
  <c r="H675" i="2"/>
  <c r="G675" i="2"/>
  <c r="AO676" i="1"/>
  <c r="F675" i="2"/>
  <c r="E675" i="2"/>
  <c r="AN676" i="1"/>
  <c r="D675" i="2"/>
  <c r="C675" i="2"/>
  <c r="B675" i="2"/>
  <c r="I674" i="2"/>
  <c r="J674" i="2"/>
  <c r="L674" i="2"/>
  <c r="K674" i="2"/>
  <c r="AP675" i="1"/>
  <c r="H674" i="2"/>
  <c r="G674" i="2"/>
  <c r="AO675" i="1"/>
  <c r="F674" i="2"/>
  <c r="E674" i="2"/>
  <c r="AN675" i="1"/>
  <c r="D674" i="2"/>
  <c r="C674" i="2"/>
  <c r="B674" i="2"/>
  <c r="I673" i="2"/>
  <c r="J673" i="2"/>
  <c r="L673" i="2"/>
  <c r="K673" i="2"/>
  <c r="AP674" i="1"/>
  <c r="H673" i="2"/>
  <c r="G673" i="2"/>
  <c r="AO674" i="1"/>
  <c r="F673" i="2"/>
  <c r="E673" i="2"/>
  <c r="AN674" i="1"/>
  <c r="D673" i="2"/>
  <c r="C673" i="2"/>
  <c r="B673" i="2"/>
  <c r="I672" i="2"/>
  <c r="J672" i="2"/>
  <c r="L672" i="2"/>
  <c r="K672" i="2"/>
  <c r="AP673" i="1"/>
  <c r="H672" i="2"/>
  <c r="G672" i="2"/>
  <c r="AO673" i="1"/>
  <c r="F672" i="2"/>
  <c r="E672" i="2"/>
  <c r="AN673" i="1"/>
  <c r="D672" i="2"/>
  <c r="C672" i="2"/>
  <c r="B672" i="2"/>
  <c r="I671" i="2"/>
  <c r="J671" i="2"/>
  <c r="L671" i="2"/>
  <c r="K671" i="2"/>
  <c r="AP672" i="1"/>
  <c r="H671" i="2"/>
  <c r="G671" i="2"/>
  <c r="AO672" i="1"/>
  <c r="F671" i="2"/>
  <c r="E671" i="2"/>
  <c r="AN672" i="1"/>
  <c r="D671" i="2"/>
  <c r="C671" i="2"/>
  <c r="B671" i="2"/>
  <c r="I670" i="2"/>
  <c r="J670" i="2"/>
  <c r="L670" i="2"/>
  <c r="K670" i="2"/>
  <c r="AP671" i="1"/>
  <c r="H670" i="2"/>
  <c r="G670" i="2"/>
  <c r="AO671" i="1"/>
  <c r="F670" i="2"/>
  <c r="E670" i="2"/>
  <c r="AN671" i="1"/>
  <c r="D670" i="2"/>
  <c r="C670" i="2"/>
  <c r="B670" i="2"/>
  <c r="I669" i="2"/>
  <c r="J669" i="2"/>
  <c r="L669" i="2"/>
  <c r="K669" i="2"/>
  <c r="AP670" i="1"/>
  <c r="H669" i="2"/>
  <c r="G669" i="2"/>
  <c r="AO670" i="1"/>
  <c r="F669" i="2"/>
  <c r="E669" i="2"/>
  <c r="AN670" i="1"/>
  <c r="D669" i="2"/>
  <c r="C669" i="2"/>
  <c r="B669" i="2"/>
  <c r="I668" i="2"/>
  <c r="J668" i="2"/>
  <c r="L668" i="2"/>
  <c r="K668" i="2"/>
  <c r="AP669" i="1"/>
  <c r="H668" i="2"/>
  <c r="G668" i="2"/>
  <c r="AO669" i="1"/>
  <c r="F668" i="2"/>
  <c r="E668" i="2"/>
  <c r="AN669" i="1"/>
  <c r="D668" i="2"/>
  <c r="C668" i="2"/>
  <c r="B668" i="2"/>
  <c r="I667" i="2"/>
  <c r="J667" i="2"/>
  <c r="L667" i="2"/>
  <c r="K667" i="2"/>
  <c r="AP668" i="1"/>
  <c r="H667" i="2"/>
  <c r="G667" i="2"/>
  <c r="AO668" i="1"/>
  <c r="F667" i="2"/>
  <c r="E667" i="2"/>
  <c r="AN668" i="1"/>
  <c r="D667" i="2"/>
  <c r="C667" i="2"/>
  <c r="B667" i="2"/>
  <c r="I666" i="2"/>
  <c r="J666" i="2"/>
  <c r="L666" i="2"/>
  <c r="K666" i="2"/>
  <c r="AP667" i="1"/>
  <c r="H666" i="2"/>
  <c r="G666" i="2"/>
  <c r="AO667" i="1"/>
  <c r="F666" i="2"/>
  <c r="E666" i="2"/>
  <c r="AN667" i="1"/>
  <c r="D666" i="2"/>
  <c r="C666" i="2"/>
  <c r="B666" i="2"/>
  <c r="I665" i="2"/>
  <c r="J665" i="2"/>
  <c r="L665" i="2"/>
  <c r="K665" i="2"/>
  <c r="AP666" i="1"/>
  <c r="H665" i="2"/>
  <c r="G665" i="2"/>
  <c r="AO666" i="1"/>
  <c r="F665" i="2"/>
  <c r="E665" i="2"/>
  <c r="AN666" i="1"/>
  <c r="D665" i="2"/>
  <c r="C665" i="2"/>
  <c r="B665" i="2"/>
  <c r="I664" i="2"/>
  <c r="J664" i="2"/>
  <c r="L664" i="2"/>
  <c r="K664" i="2"/>
  <c r="AP665" i="1"/>
  <c r="H664" i="2"/>
  <c r="G664" i="2"/>
  <c r="AO665" i="1"/>
  <c r="F664" i="2"/>
  <c r="E664" i="2"/>
  <c r="AN665" i="1"/>
  <c r="D664" i="2"/>
  <c r="C664" i="2"/>
  <c r="B664" i="2"/>
  <c r="I663" i="2"/>
  <c r="J663" i="2"/>
  <c r="L663" i="2"/>
  <c r="K663" i="2"/>
  <c r="AP664" i="1"/>
  <c r="H663" i="2"/>
  <c r="G663" i="2"/>
  <c r="AO664" i="1"/>
  <c r="F663" i="2"/>
  <c r="E663" i="2"/>
  <c r="AN664" i="1"/>
  <c r="D663" i="2"/>
  <c r="C663" i="2"/>
  <c r="B663" i="2"/>
  <c r="I662" i="2"/>
  <c r="J662" i="2"/>
  <c r="L662" i="2"/>
  <c r="K662" i="2"/>
  <c r="AP663" i="1"/>
  <c r="H662" i="2"/>
  <c r="G662" i="2"/>
  <c r="AO663" i="1"/>
  <c r="F662" i="2"/>
  <c r="E662" i="2"/>
  <c r="AN663" i="1"/>
  <c r="D662" i="2"/>
  <c r="C662" i="2"/>
  <c r="B662" i="2"/>
  <c r="I661" i="2"/>
  <c r="J661" i="2"/>
  <c r="L661" i="2"/>
  <c r="K661" i="2"/>
  <c r="AP662" i="1"/>
  <c r="H661" i="2"/>
  <c r="G661" i="2"/>
  <c r="AO662" i="1"/>
  <c r="F661" i="2"/>
  <c r="E661" i="2"/>
  <c r="AN662" i="1"/>
  <c r="D661" i="2"/>
  <c r="C661" i="2"/>
  <c r="B661" i="2"/>
  <c r="I660" i="2"/>
  <c r="J660" i="2"/>
  <c r="L660" i="2"/>
  <c r="K660" i="2"/>
  <c r="AP661" i="1"/>
  <c r="H660" i="2"/>
  <c r="G660" i="2"/>
  <c r="AO661" i="1"/>
  <c r="F660" i="2"/>
  <c r="E660" i="2"/>
  <c r="AN661" i="1"/>
  <c r="D660" i="2"/>
  <c r="C660" i="2"/>
  <c r="B660" i="2"/>
  <c r="I659" i="2"/>
  <c r="J659" i="2"/>
  <c r="L659" i="2"/>
  <c r="K659" i="2"/>
  <c r="AP660" i="1"/>
  <c r="H659" i="2"/>
  <c r="G659" i="2"/>
  <c r="AO660" i="1"/>
  <c r="F659" i="2"/>
  <c r="E659" i="2"/>
  <c r="AN660" i="1"/>
  <c r="D659" i="2"/>
  <c r="C659" i="2"/>
  <c r="B659" i="2"/>
  <c r="I658" i="2"/>
  <c r="J658" i="2"/>
  <c r="L658" i="2"/>
  <c r="K658" i="2"/>
  <c r="AP659" i="1"/>
  <c r="H658" i="2"/>
  <c r="G658" i="2"/>
  <c r="AO659" i="1"/>
  <c r="F658" i="2"/>
  <c r="E658" i="2"/>
  <c r="AN659" i="1"/>
  <c r="D658" i="2"/>
  <c r="C658" i="2"/>
  <c r="B658" i="2"/>
  <c r="I657" i="2"/>
  <c r="J657" i="2"/>
  <c r="L657" i="2"/>
  <c r="K657" i="2"/>
  <c r="AP658" i="1"/>
  <c r="H657" i="2"/>
  <c r="G657" i="2"/>
  <c r="AO658" i="1"/>
  <c r="F657" i="2"/>
  <c r="E657" i="2"/>
  <c r="AN658" i="1"/>
  <c r="D657" i="2"/>
  <c r="C657" i="2"/>
  <c r="B657" i="2"/>
  <c r="I656" i="2"/>
  <c r="J656" i="2"/>
  <c r="L656" i="2"/>
  <c r="K656" i="2"/>
  <c r="AP657" i="1"/>
  <c r="H656" i="2"/>
  <c r="G656" i="2"/>
  <c r="AO657" i="1"/>
  <c r="F656" i="2"/>
  <c r="E656" i="2"/>
  <c r="AN657" i="1"/>
  <c r="D656" i="2"/>
  <c r="C656" i="2"/>
  <c r="B656" i="2"/>
  <c r="I655" i="2"/>
  <c r="J655" i="2"/>
  <c r="L655" i="2"/>
  <c r="K655" i="2"/>
  <c r="AP656" i="1"/>
  <c r="H655" i="2"/>
  <c r="G655" i="2"/>
  <c r="AO656" i="1"/>
  <c r="F655" i="2"/>
  <c r="E655" i="2"/>
  <c r="AN656" i="1"/>
  <c r="D655" i="2"/>
  <c r="C655" i="2"/>
  <c r="B655" i="2"/>
  <c r="I654" i="2"/>
  <c r="J654" i="2"/>
  <c r="L654" i="2"/>
  <c r="K654" i="2"/>
  <c r="AP655" i="1"/>
  <c r="H654" i="2"/>
  <c r="G654" i="2"/>
  <c r="AO655" i="1"/>
  <c r="F654" i="2"/>
  <c r="E654" i="2"/>
  <c r="AN655" i="1"/>
  <c r="D654" i="2"/>
  <c r="C654" i="2"/>
  <c r="B654" i="2"/>
  <c r="I653" i="2"/>
  <c r="J653" i="2"/>
  <c r="L653" i="2"/>
  <c r="K653" i="2"/>
  <c r="AP654" i="1"/>
  <c r="H653" i="2"/>
  <c r="G653" i="2"/>
  <c r="AO654" i="1"/>
  <c r="F653" i="2"/>
  <c r="E653" i="2"/>
  <c r="AN654" i="1"/>
  <c r="D653" i="2"/>
  <c r="C653" i="2"/>
  <c r="B653" i="2"/>
  <c r="I652" i="2"/>
  <c r="J652" i="2"/>
  <c r="L652" i="2"/>
  <c r="K652" i="2"/>
  <c r="AP653" i="1"/>
  <c r="H652" i="2"/>
  <c r="G652" i="2"/>
  <c r="AO653" i="1"/>
  <c r="F652" i="2"/>
  <c r="E652" i="2"/>
  <c r="AN653" i="1"/>
  <c r="D652" i="2"/>
  <c r="C652" i="2"/>
  <c r="B652" i="2"/>
  <c r="I651" i="2"/>
  <c r="J651" i="2"/>
  <c r="L651" i="2"/>
  <c r="K651" i="2"/>
  <c r="AP652" i="1"/>
  <c r="H651" i="2"/>
  <c r="G651" i="2"/>
  <c r="AO652" i="1"/>
  <c r="F651" i="2"/>
  <c r="E651" i="2"/>
  <c r="AN652" i="1"/>
  <c r="D651" i="2"/>
  <c r="C651" i="2"/>
  <c r="B651" i="2"/>
  <c r="I650" i="2"/>
  <c r="J650" i="2"/>
  <c r="L650" i="2"/>
  <c r="K650" i="2"/>
  <c r="AP651" i="1"/>
  <c r="H650" i="2"/>
  <c r="G650" i="2"/>
  <c r="AO651" i="1"/>
  <c r="F650" i="2"/>
  <c r="E650" i="2"/>
  <c r="AN651" i="1"/>
  <c r="D650" i="2"/>
  <c r="C650" i="2"/>
  <c r="B650" i="2"/>
  <c r="I649" i="2"/>
  <c r="J649" i="2"/>
  <c r="L649" i="2"/>
  <c r="K649" i="2"/>
  <c r="AP650" i="1"/>
  <c r="H649" i="2"/>
  <c r="G649" i="2"/>
  <c r="AO650" i="1"/>
  <c r="F649" i="2"/>
  <c r="E649" i="2"/>
  <c r="AN650" i="1"/>
  <c r="D649" i="2"/>
  <c r="C649" i="2"/>
  <c r="B649" i="2"/>
  <c r="I648" i="2"/>
  <c r="J648" i="2"/>
  <c r="L648" i="2"/>
  <c r="K648" i="2"/>
  <c r="AP649" i="1"/>
  <c r="H648" i="2"/>
  <c r="G648" i="2"/>
  <c r="AO649" i="1"/>
  <c r="F648" i="2"/>
  <c r="E648" i="2"/>
  <c r="AN649" i="1"/>
  <c r="D648" i="2"/>
  <c r="C648" i="2"/>
  <c r="B648" i="2"/>
  <c r="I647" i="2"/>
  <c r="J647" i="2"/>
  <c r="L647" i="2"/>
  <c r="K647" i="2"/>
  <c r="AP648" i="1"/>
  <c r="H647" i="2"/>
  <c r="G647" i="2"/>
  <c r="AO648" i="1"/>
  <c r="F647" i="2"/>
  <c r="E647" i="2"/>
  <c r="AN648" i="1"/>
  <c r="D647" i="2"/>
  <c r="C647" i="2"/>
  <c r="B647" i="2"/>
  <c r="I646" i="2"/>
  <c r="J646" i="2"/>
  <c r="L646" i="2"/>
  <c r="K646" i="2"/>
  <c r="AP647" i="1"/>
  <c r="H646" i="2"/>
  <c r="G646" i="2"/>
  <c r="AO647" i="1"/>
  <c r="F646" i="2"/>
  <c r="E646" i="2"/>
  <c r="AN647" i="1"/>
  <c r="D646" i="2"/>
  <c r="C646" i="2"/>
  <c r="B646" i="2"/>
  <c r="I645" i="2"/>
  <c r="J645" i="2"/>
  <c r="L645" i="2"/>
  <c r="K645" i="2"/>
  <c r="AP646" i="1"/>
  <c r="H645" i="2"/>
  <c r="G645" i="2"/>
  <c r="AO646" i="1"/>
  <c r="F645" i="2"/>
  <c r="E645" i="2"/>
  <c r="AN646" i="1"/>
  <c r="D645" i="2"/>
  <c r="C645" i="2"/>
  <c r="B645" i="2"/>
  <c r="I644" i="2"/>
  <c r="J644" i="2"/>
  <c r="L644" i="2"/>
  <c r="K644" i="2"/>
  <c r="AP645" i="1"/>
  <c r="H644" i="2"/>
  <c r="G644" i="2"/>
  <c r="AO645" i="1"/>
  <c r="F644" i="2"/>
  <c r="E644" i="2"/>
  <c r="AN645" i="1"/>
  <c r="D644" i="2"/>
  <c r="C644" i="2"/>
  <c r="B644" i="2"/>
  <c r="I643" i="2"/>
  <c r="J643" i="2"/>
  <c r="L643" i="2"/>
  <c r="K643" i="2"/>
  <c r="AP644" i="1"/>
  <c r="H643" i="2"/>
  <c r="G643" i="2"/>
  <c r="AO644" i="1"/>
  <c r="F643" i="2"/>
  <c r="E643" i="2"/>
  <c r="AN644" i="1"/>
  <c r="D643" i="2"/>
  <c r="C643" i="2"/>
  <c r="B643" i="2"/>
  <c r="I642" i="2"/>
  <c r="J642" i="2"/>
  <c r="L642" i="2"/>
  <c r="K642" i="2"/>
  <c r="AP643" i="1"/>
  <c r="H642" i="2"/>
  <c r="G642" i="2"/>
  <c r="AO643" i="1"/>
  <c r="F642" i="2"/>
  <c r="E642" i="2"/>
  <c r="AN643" i="1"/>
  <c r="D642" i="2"/>
  <c r="C642" i="2"/>
  <c r="B642" i="2"/>
  <c r="I641" i="2"/>
  <c r="J641" i="2"/>
  <c r="L641" i="2"/>
  <c r="K641" i="2"/>
  <c r="AP642" i="1"/>
  <c r="H641" i="2"/>
  <c r="G641" i="2"/>
  <c r="AO642" i="1"/>
  <c r="F641" i="2"/>
  <c r="E641" i="2"/>
  <c r="AN642" i="1"/>
  <c r="D641" i="2"/>
  <c r="C641" i="2"/>
  <c r="B641" i="2"/>
  <c r="I640" i="2"/>
  <c r="J640" i="2"/>
  <c r="L640" i="2"/>
  <c r="K640" i="2"/>
  <c r="AP641" i="1"/>
  <c r="H640" i="2"/>
  <c r="G640" i="2"/>
  <c r="AO641" i="1"/>
  <c r="F640" i="2"/>
  <c r="E640" i="2"/>
  <c r="AN641" i="1"/>
  <c r="D640" i="2"/>
  <c r="C640" i="2"/>
  <c r="B640" i="2"/>
  <c r="I639" i="2"/>
  <c r="J639" i="2"/>
  <c r="L639" i="2"/>
  <c r="K639" i="2"/>
  <c r="AP640" i="1"/>
  <c r="H639" i="2"/>
  <c r="G639" i="2"/>
  <c r="AO640" i="1"/>
  <c r="F639" i="2"/>
  <c r="E639" i="2"/>
  <c r="AN640" i="1"/>
  <c r="D639" i="2"/>
  <c r="C639" i="2"/>
  <c r="B639" i="2"/>
  <c r="I638" i="2"/>
  <c r="J638" i="2"/>
  <c r="L638" i="2"/>
  <c r="K638" i="2"/>
  <c r="AP639" i="1"/>
  <c r="H638" i="2"/>
  <c r="G638" i="2"/>
  <c r="AO639" i="1"/>
  <c r="F638" i="2"/>
  <c r="E638" i="2"/>
  <c r="AN639" i="1"/>
  <c r="D638" i="2"/>
  <c r="C638" i="2"/>
  <c r="B638" i="2"/>
  <c r="I637" i="2"/>
  <c r="J637" i="2"/>
  <c r="L637" i="2"/>
  <c r="K637" i="2"/>
  <c r="AP638" i="1"/>
  <c r="H637" i="2"/>
  <c r="G637" i="2"/>
  <c r="AO638" i="1"/>
  <c r="F637" i="2"/>
  <c r="E637" i="2"/>
  <c r="AN638" i="1"/>
  <c r="D637" i="2"/>
  <c r="C637" i="2"/>
  <c r="B637" i="2"/>
  <c r="I636" i="2"/>
  <c r="J636" i="2"/>
  <c r="L636" i="2"/>
  <c r="K636" i="2"/>
  <c r="AP637" i="1"/>
  <c r="H636" i="2"/>
  <c r="G636" i="2"/>
  <c r="AO637" i="1"/>
  <c r="F636" i="2"/>
  <c r="E636" i="2"/>
  <c r="AN637" i="1"/>
  <c r="D636" i="2"/>
  <c r="C636" i="2"/>
  <c r="B636" i="2"/>
  <c r="I635" i="2"/>
  <c r="J635" i="2"/>
  <c r="L635" i="2"/>
  <c r="K635" i="2"/>
  <c r="AP636" i="1"/>
  <c r="H635" i="2"/>
  <c r="G635" i="2"/>
  <c r="AO636" i="1"/>
  <c r="F635" i="2"/>
  <c r="E635" i="2"/>
  <c r="AN636" i="1"/>
  <c r="D635" i="2"/>
  <c r="C635" i="2"/>
  <c r="B635" i="2"/>
  <c r="I634" i="2"/>
  <c r="J634" i="2"/>
  <c r="L634" i="2"/>
  <c r="K634" i="2"/>
  <c r="AP635" i="1"/>
  <c r="H634" i="2"/>
  <c r="G634" i="2"/>
  <c r="AO635" i="1"/>
  <c r="F634" i="2"/>
  <c r="E634" i="2"/>
  <c r="AN635" i="1"/>
  <c r="D634" i="2"/>
  <c r="C634" i="2"/>
  <c r="B634" i="2"/>
  <c r="I633" i="2"/>
  <c r="J633" i="2"/>
  <c r="L633" i="2"/>
  <c r="K633" i="2"/>
  <c r="AP634" i="1"/>
  <c r="H633" i="2"/>
  <c r="G633" i="2"/>
  <c r="AO634" i="1"/>
  <c r="F633" i="2"/>
  <c r="E633" i="2"/>
  <c r="AN634" i="1"/>
  <c r="D633" i="2"/>
  <c r="C633" i="2"/>
  <c r="B633" i="2"/>
  <c r="I632" i="2"/>
  <c r="J632" i="2"/>
  <c r="L632" i="2"/>
  <c r="K632" i="2"/>
  <c r="AP633" i="1"/>
  <c r="H632" i="2"/>
  <c r="G632" i="2"/>
  <c r="AO633" i="1"/>
  <c r="F632" i="2"/>
  <c r="E632" i="2"/>
  <c r="AN633" i="1"/>
  <c r="D632" i="2"/>
  <c r="C632" i="2"/>
  <c r="B632" i="2"/>
  <c r="I631" i="2"/>
  <c r="J631" i="2"/>
  <c r="L631" i="2"/>
  <c r="K631" i="2"/>
  <c r="AP632" i="1"/>
  <c r="H631" i="2"/>
  <c r="G631" i="2"/>
  <c r="AO632" i="1"/>
  <c r="F631" i="2"/>
  <c r="E631" i="2"/>
  <c r="AN632" i="1"/>
  <c r="D631" i="2"/>
  <c r="C631" i="2"/>
  <c r="B631" i="2"/>
  <c r="I630" i="2"/>
  <c r="J630" i="2"/>
  <c r="L630" i="2"/>
  <c r="K630" i="2"/>
  <c r="AP631" i="1"/>
  <c r="H630" i="2"/>
  <c r="G630" i="2"/>
  <c r="AO631" i="1"/>
  <c r="F630" i="2"/>
  <c r="E630" i="2"/>
  <c r="AN631" i="1"/>
  <c r="D630" i="2"/>
  <c r="C630" i="2"/>
  <c r="B630" i="2"/>
  <c r="I629" i="2"/>
  <c r="J629" i="2"/>
  <c r="L629" i="2"/>
  <c r="K629" i="2"/>
  <c r="AP630" i="1"/>
  <c r="H629" i="2"/>
  <c r="G629" i="2"/>
  <c r="AO630" i="1"/>
  <c r="F629" i="2"/>
  <c r="E629" i="2"/>
  <c r="AN630" i="1"/>
  <c r="D629" i="2"/>
  <c r="C629" i="2"/>
  <c r="B629" i="2"/>
  <c r="I628" i="2"/>
  <c r="J628" i="2"/>
  <c r="L628" i="2"/>
  <c r="K628" i="2"/>
  <c r="AP629" i="1"/>
  <c r="H628" i="2"/>
  <c r="G628" i="2"/>
  <c r="AO629" i="1"/>
  <c r="F628" i="2"/>
  <c r="E628" i="2"/>
  <c r="AN629" i="1"/>
  <c r="D628" i="2"/>
  <c r="C628" i="2"/>
  <c r="B628" i="2"/>
  <c r="I627" i="2"/>
  <c r="J627" i="2"/>
  <c r="L627" i="2"/>
  <c r="K627" i="2"/>
  <c r="AP628" i="1"/>
  <c r="H627" i="2"/>
  <c r="G627" i="2"/>
  <c r="AO628" i="1"/>
  <c r="F627" i="2"/>
  <c r="E627" i="2"/>
  <c r="AN628" i="1"/>
  <c r="D627" i="2"/>
  <c r="C627" i="2"/>
  <c r="B627" i="2"/>
  <c r="I626" i="2"/>
  <c r="J626" i="2"/>
  <c r="L626" i="2"/>
  <c r="K626" i="2"/>
  <c r="AP627" i="1"/>
  <c r="H626" i="2"/>
  <c r="G626" i="2"/>
  <c r="AO627" i="1"/>
  <c r="F626" i="2"/>
  <c r="E626" i="2"/>
  <c r="AN627" i="1"/>
  <c r="D626" i="2"/>
  <c r="C626" i="2"/>
  <c r="B626" i="2"/>
  <c r="I625" i="2"/>
  <c r="J625" i="2"/>
  <c r="L625" i="2"/>
  <c r="K625" i="2"/>
  <c r="AP626" i="1"/>
  <c r="H625" i="2"/>
  <c r="G625" i="2"/>
  <c r="AO626" i="1"/>
  <c r="F625" i="2"/>
  <c r="E625" i="2"/>
  <c r="AN626" i="1"/>
  <c r="D625" i="2"/>
  <c r="C625" i="2"/>
  <c r="B625" i="2"/>
  <c r="I624" i="2"/>
  <c r="J624" i="2"/>
  <c r="L624" i="2"/>
  <c r="K624" i="2"/>
  <c r="AP625" i="1"/>
  <c r="H624" i="2"/>
  <c r="G624" i="2"/>
  <c r="AO625" i="1"/>
  <c r="F624" i="2"/>
  <c r="E624" i="2"/>
  <c r="AN625" i="1"/>
  <c r="D624" i="2"/>
  <c r="C624" i="2"/>
  <c r="B624" i="2"/>
  <c r="I623" i="2"/>
  <c r="J623" i="2"/>
  <c r="L623" i="2"/>
  <c r="K623" i="2"/>
  <c r="AP624" i="1"/>
  <c r="H623" i="2"/>
  <c r="G623" i="2"/>
  <c r="AO624" i="1"/>
  <c r="F623" i="2"/>
  <c r="E623" i="2"/>
  <c r="AN624" i="1"/>
  <c r="D623" i="2"/>
  <c r="C623" i="2"/>
  <c r="B623" i="2"/>
  <c r="I622" i="2"/>
  <c r="J622" i="2"/>
  <c r="L622" i="2"/>
  <c r="K622" i="2"/>
  <c r="AP623" i="1"/>
  <c r="H622" i="2"/>
  <c r="G622" i="2"/>
  <c r="AO623" i="1"/>
  <c r="F622" i="2"/>
  <c r="E622" i="2"/>
  <c r="AN623" i="1"/>
  <c r="D622" i="2"/>
  <c r="C622" i="2"/>
  <c r="B622" i="2"/>
  <c r="I621" i="2"/>
  <c r="J621" i="2"/>
  <c r="L621" i="2"/>
  <c r="K621" i="2"/>
  <c r="AP622" i="1"/>
  <c r="H621" i="2"/>
  <c r="G621" i="2"/>
  <c r="AO622" i="1"/>
  <c r="F621" i="2"/>
  <c r="E621" i="2"/>
  <c r="AN622" i="1"/>
  <c r="D621" i="2"/>
  <c r="C621" i="2"/>
  <c r="B621" i="2"/>
  <c r="I620" i="2"/>
  <c r="J620" i="2"/>
  <c r="L620" i="2"/>
  <c r="K620" i="2"/>
  <c r="AP621" i="1"/>
  <c r="H620" i="2"/>
  <c r="G620" i="2"/>
  <c r="AO621" i="1"/>
  <c r="F620" i="2"/>
  <c r="E620" i="2"/>
  <c r="AN621" i="1"/>
  <c r="D620" i="2"/>
  <c r="C620" i="2"/>
  <c r="B620" i="2"/>
  <c r="I619" i="2"/>
  <c r="J619" i="2"/>
  <c r="L619" i="2"/>
  <c r="K619" i="2"/>
  <c r="AP620" i="1"/>
  <c r="H619" i="2"/>
  <c r="G619" i="2"/>
  <c r="AO620" i="1"/>
  <c r="F619" i="2"/>
  <c r="E619" i="2"/>
  <c r="AN620" i="1"/>
  <c r="D619" i="2"/>
  <c r="C619" i="2"/>
  <c r="B619" i="2"/>
  <c r="I618" i="2"/>
  <c r="J618" i="2"/>
  <c r="L618" i="2"/>
  <c r="K618" i="2"/>
  <c r="AP619" i="1"/>
  <c r="H618" i="2"/>
  <c r="G618" i="2"/>
  <c r="AO619" i="1"/>
  <c r="F618" i="2"/>
  <c r="E618" i="2"/>
  <c r="AN619" i="1"/>
  <c r="D618" i="2"/>
  <c r="C618" i="2"/>
  <c r="B618" i="2"/>
  <c r="I617" i="2"/>
  <c r="J617" i="2"/>
  <c r="L617" i="2"/>
  <c r="K617" i="2"/>
  <c r="AP618" i="1"/>
  <c r="H617" i="2"/>
  <c r="G617" i="2"/>
  <c r="AO618" i="1"/>
  <c r="F617" i="2"/>
  <c r="E617" i="2"/>
  <c r="AN618" i="1"/>
  <c r="D617" i="2"/>
  <c r="C617" i="2"/>
  <c r="B617" i="2"/>
  <c r="I616" i="2"/>
  <c r="J616" i="2"/>
  <c r="L616" i="2"/>
  <c r="K616" i="2"/>
  <c r="AP617" i="1"/>
  <c r="H616" i="2"/>
  <c r="G616" i="2"/>
  <c r="AO617" i="1"/>
  <c r="F616" i="2"/>
  <c r="E616" i="2"/>
  <c r="AN617" i="1"/>
  <c r="D616" i="2"/>
  <c r="C616" i="2"/>
  <c r="B616" i="2"/>
  <c r="I615" i="2"/>
  <c r="J615" i="2"/>
  <c r="L615" i="2"/>
  <c r="K615" i="2"/>
  <c r="AP616" i="1"/>
  <c r="H615" i="2"/>
  <c r="G615" i="2"/>
  <c r="AO616" i="1"/>
  <c r="F615" i="2"/>
  <c r="E615" i="2"/>
  <c r="AN616" i="1"/>
  <c r="D615" i="2"/>
  <c r="C615" i="2"/>
  <c r="B615" i="2"/>
  <c r="I614" i="2"/>
  <c r="J614" i="2"/>
  <c r="L614" i="2"/>
  <c r="K614" i="2"/>
  <c r="AP615" i="1"/>
  <c r="H614" i="2"/>
  <c r="G614" i="2"/>
  <c r="AO615" i="1"/>
  <c r="F614" i="2"/>
  <c r="E614" i="2"/>
  <c r="AN615" i="1"/>
  <c r="D614" i="2"/>
  <c r="C614" i="2"/>
  <c r="B614" i="2"/>
  <c r="I613" i="2"/>
  <c r="J613" i="2"/>
  <c r="L613" i="2"/>
  <c r="K613" i="2"/>
  <c r="AP614" i="1"/>
  <c r="H613" i="2"/>
  <c r="G613" i="2"/>
  <c r="AO614" i="1"/>
  <c r="F613" i="2"/>
  <c r="E613" i="2"/>
  <c r="AN614" i="1"/>
  <c r="D613" i="2"/>
  <c r="C613" i="2"/>
  <c r="B613" i="2"/>
  <c r="I612" i="2"/>
  <c r="J612" i="2"/>
  <c r="L612" i="2"/>
  <c r="K612" i="2"/>
  <c r="AP613" i="1"/>
  <c r="H612" i="2"/>
  <c r="G612" i="2"/>
  <c r="AO613" i="1"/>
  <c r="F612" i="2"/>
  <c r="E612" i="2"/>
  <c r="AN613" i="1"/>
  <c r="D612" i="2"/>
  <c r="C612" i="2"/>
  <c r="B612" i="2"/>
  <c r="I611" i="2"/>
  <c r="J611" i="2"/>
  <c r="L611" i="2"/>
  <c r="K611" i="2"/>
  <c r="AP612" i="1"/>
  <c r="H611" i="2"/>
  <c r="G611" i="2"/>
  <c r="AO612" i="1"/>
  <c r="F611" i="2"/>
  <c r="E611" i="2"/>
  <c r="AN612" i="1"/>
  <c r="D611" i="2"/>
  <c r="C611" i="2"/>
  <c r="B611" i="2"/>
  <c r="I610" i="2"/>
  <c r="J610" i="2"/>
  <c r="L610" i="2"/>
  <c r="K610" i="2"/>
  <c r="AP611" i="1"/>
  <c r="H610" i="2"/>
  <c r="G610" i="2"/>
  <c r="AO611" i="1"/>
  <c r="F610" i="2"/>
  <c r="E610" i="2"/>
  <c r="AN611" i="1"/>
  <c r="D610" i="2"/>
  <c r="C610" i="2"/>
  <c r="B610" i="2"/>
  <c r="I609" i="2"/>
  <c r="J609" i="2"/>
  <c r="L609" i="2"/>
  <c r="K609" i="2"/>
  <c r="AP610" i="1"/>
  <c r="H609" i="2"/>
  <c r="G609" i="2"/>
  <c r="AO610" i="1"/>
  <c r="F609" i="2"/>
  <c r="E609" i="2"/>
  <c r="AN610" i="1"/>
  <c r="D609" i="2"/>
  <c r="C609" i="2"/>
  <c r="B609" i="2"/>
  <c r="I608" i="2"/>
  <c r="J608" i="2"/>
  <c r="L608" i="2"/>
  <c r="K608" i="2"/>
  <c r="AP609" i="1"/>
  <c r="H608" i="2"/>
  <c r="G608" i="2"/>
  <c r="AO609" i="1"/>
  <c r="F608" i="2"/>
  <c r="E608" i="2"/>
  <c r="AN609" i="1"/>
  <c r="D608" i="2"/>
  <c r="C608" i="2"/>
  <c r="B608" i="2"/>
  <c r="I607" i="2"/>
  <c r="J607" i="2"/>
  <c r="L607" i="2"/>
  <c r="K607" i="2"/>
  <c r="AP608" i="1"/>
  <c r="H607" i="2"/>
  <c r="G607" i="2"/>
  <c r="AO608" i="1"/>
  <c r="F607" i="2"/>
  <c r="E607" i="2"/>
  <c r="AN608" i="1"/>
  <c r="D607" i="2"/>
  <c r="C607" i="2"/>
  <c r="B607" i="2"/>
  <c r="I606" i="2"/>
  <c r="J606" i="2"/>
  <c r="L606" i="2"/>
  <c r="K606" i="2"/>
  <c r="AP607" i="1"/>
  <c r="H606" i="2"/>
  <c r="G606" i="2"/>
  <c r="AO607" i="1"/>
  <c r="F606" i="2"/>
  <c r="E606" i="2"/>
  <c r="AN607" i="1"/>
  <c r="D606" i="2"/>
  <c r="C606" i="2"/>
  <c r="B606" i="2"/>
  <c r="I605" i="2"/>
  <c r="J605" i="2"/>
  <c r="L605" i="2"/>
  <c r="K605" i="2"/>
  <c r="AP606" i="1"/>
  <c r="H605" i="2"/>
  <c r="G605" i="2"/>
  <c r="AO606" i="1"/>
  <c r="F605" i="2"/>
  <c r="E605" i="2"/>
  <c r="AN606" i="1"/>
  <c r="D605" i="2"/>
  <c r="C605" i="2"/>
  <c r="B605" i="2"/>
  <c r="I604" i="2"/>
  <c r="J604" i="2"/>
  <c r="L604" i="2"/>
  <c r="K604" i="2"/>
  <c r="AP605" i="1"/>
  <c r="H604" i="2"/>
  <c r="G604" i="2"/>
  <c r="AO605" i="1"/>
  <c r="F604" i="2"/>
  <c r="E604" i="2"/>
  <c r="AN605" i="1"/>
  <c r="D604" i="2"/>
  <c r="C604" i="2"/>
  <c r="B604" i="2"/>
  <c r="I603" i="2"/>
  <c r="J603" i="2"/>
  <c r="L603" i="2"/>
  <c r="K603" i="2"/>
  <c r="AP604" i="1"/>
  <c r="H603" i="2"/>
  <c r="G603" i="2"/>
  <c r="AO604" i="1"/>
  <c r="F603" i="2"/>
  <c r="E603" i="2"/>
  <c r="AN604" i="1"/>
  <c r="D603" i="2"/>
  <c r="C603" i="2"/>
  <c r="B603" i="2"/>
  <c r="I602" i="2"/>
  <c r="J602" i="2"/>
  <c r="L602" i="2"/>
  <c r="K602" i="2"/>
  <c r="AP603" i="1"/>
  <c r="H602" i="2"/>
  <c r="G602" i="2"/>
  <c r="AO603" i="1"/>
  <c r="F602" i="2"/>
  <c r="E602" i="2"/>
  <c r="AN603" i="1"/>
  <c r="D602" i="2"/>
  <c r="C602" i="2"/>
  <c r="B602" i="2"/>
  <c r="I601" i="2"/>
  <c r="J601" i="2"/>
  <c r="L601" i="2"/>
  <c r="K601" i="2"/>
  <c r="AP602" i="1"/>
  <c r="H601" i="2"/>
  <c r="G601" i="2"/>
  <c r="AO602" i="1"/>
  <c r="F601" i="2"/>
  <c r="E601" i="2"/>
  <c r="AN602" i="1"/>
  <c r="D601" i="2"/>
  <c r="C601" i="2"/>
  <c r="B601" i="2"/>
  <c r="I600" i="2"/>
  <c r="J600" i="2"/>
  <c r="L600" i="2"/>
  <c r="K600" i="2"/>
  <c r="AP601" i="1"/>
  <c r="H600" i="2"/>
  <c r="G600" i="2"/>
  <c r="AO601" i="1"/>
  <c r="F600" i="2"/>
  <c r="E600" i="2"/>
  <c r="AN601" i="1"/>
  <c r="D600" i="2"/>
  <c r="C600" i="2"/>
  <c r="B600" i="2"/>
  <c r="I599" i="2"/>
  <c r="J599" i="2"/>
  <c r="L599" i="2"/>
  <c r="K599" i="2"/>
  <c r="AP600" i="1"/>
  <c r="H599" i="2"/>
  <c r="G599" i="2"/>
  <c r="AO600" i="1"/>
  <c r="F599" i="2"/>
  <c r="E599" i="2"/>
  <c r="AN600" i="1"/>
  <c r="D599" i="2"/>
  <c r="C599" i="2"/>
  <c r="B599" i="2"/>
  <c r="I598" i="2"/>
  <c r="J598" i="2"/>
  <c r="L598" i="2"/>
  <c r="K598" i="2"/>
  <c r="AP599" i="1"/>
  <c r="H598" i="2"/>
  <c r="G598" i="2"/>
  <c r="AO599" i="1"/>
  <c r="F598" i="2"/>
  <c r="E598" i="2"/>
  <c r="AN599" i="1"/>
  <c r="D598" i="2"/>
  <c r="C598" i="2"/>
  <c r="B598" i="2"/>
  <c r="I597" i="2"/>
  <c r="J597" i="2"/>
  <c r="L597" i="2"/>
  <c r="K597" i="2"/>
  <c r="AP598" i="1"/>
  <c r="H597" i="2"/>
  <c r="G597" i="2"/>
  <c r="AO598" i="1"/>
  <c r="F597" i="2"/>
  <c r="E597" i="2"/>
  <c r="AN598" i="1"/>
  <c r="D597" i="2"/>
  <c r="C597" i="2"/>
  <c r="B597" i="2"/>
  <c r="I596" i="2"/>
  <c r="J596" i="2"/>
  <c r="L596" i="2"/>
  <c r="K596" i="2"/>
  <c r="AP597" i="1"/>
  <c r="H596" i="2"/>
  <c r="G596" i="2"/>
  <c r="AO597" i="1"/>
  <c r="F596" i="2"/>
  <c r="E596" i="2"/>
  <c r="AN597" i="1"/>
  <c r="D596" i="2"/>
  <c r="C596" i="2"/>
  <c r="B596" i="2"/>
  <c r="I595" i="2"/>
  <c r="J595" i="2"/>
  <c r="L595" i="2"/>
  <c r="K595" i="2"/>
  <c r="AP596" i="1"/>
  <c r="H595" i="2"/>
  <c r="G595" i="2"/>
  <c r="AO596" i="1"/>
  <c r="F595" i="2"/>
  <c r="E595" i="2"/>
  <c r="AN596" i="1"/>
  <c r="D595" i="2"/>
  <c r="C595" i="2"/>
  <c r="B595" i="2"/>
  <c r="I594" i="2"/>
  <c r="J594" i="2"/>
  <c r="L594" i="2"/>
  <c r="K594" i="2"/>
  <c r="AP595" i="1"/>
  <c r="H594" i="2"/>
  <c r="G594" i="2"/>
  <c r="AO595" i="1"/>
  <c r="F594" i="2"/>
  <c r="E594" i="2"/>
  <c r="AN595" i="1"/>
  <c r="D594" i="2"/>
  <c r="C594" i="2"/>
  <c r="B594" i="2"/>
  <c r="I593" i="2"/>
  <c r="J593" i="2"/>
  <c r="L593" i="2"/>
  <c r="K593" i="2"/>
  <c r="AP594" i="1"/>
  <c r="H593" i="2"/>
  <c r="G593" i="2"/>
  <c r="AO594" i="1"/>
  <c r="F593" i="2"/>
  <c r="E593" i="2"/>
  <c r="AN594" i="1"/>
  <c r="D593" i="2"/>
  <c r="C593" i="2"/>
  <c r="B593" i="2"/>
  <c r="I592" i="2"/>
  <c r="J592" i="2"/>
  <c r="L592" i="2"/>
  <c r="K592" i="2"/>
  <c r="AP593" i="1"/>
  <c r="H592" i="2"/>
  <c r="G592" i="2"/>
  <c r="AO593" i="1"/>
  <c r="F592" i="2"/>
  <c r="E592" i="2"/>
  <c r="AN593" i="1"/>
  <c r="D592" i="2"/>
  <c r="C592" i="2"/>
  <c r="B592" i="2"/>
  <c r="I591" i="2"/>
  <c r="J591" i="2"/>
  <c r="L591" i="2"/>
  <c r="K591" i="2"/>
  <c r="AP592" i="1"/>
  <c r="H591" i="2"/>
  <c r="G591" i="2"/>
  <c r="AO592" i="1"/>
  <c r="F591" i="2"/>
  <c r="E591" i="2"/>
  <c r="AN592" i="1"/>
  <c r="D591" i="2"/>
  <c r="C591" i="2"/>
  <c r="B591" i="2"/>
  <c r="I590" i="2"/>
  <c r="J590" i="2"/>
  <c r="L590" i="2"/>
  <c r="K590" i="2"/>
  <c r="AP591" i="1"/>
  <c r="H590" i="2"/>
  <c r="G590" i="2"/>
  <c r="AO591" i="1"/>
  <c r="F590" i="2"/>
  <c r="E590" i="2"/>
  <c r="AN591" i="1"/>
  <c r="D590" i="2"/>
  <c r="C590" i="2"/>
  <c r="B590" i="2"/>
  <c r="I589" i="2"/>
  <c r="J589" i="2"/>
  <c r="L589" i="2"/>
  <c r="K589" i="2"/>
  <c r="AP590" i="1"/>
  <c r="H589" i="2"/>
  <c r="G589" i="2"/>
  <c r="AO590" i="1"/>
  <c r="F589" i="2"/>
  <c r="E589" i="2"/>
  <c r="AN590" i="1"/>
  <c r="D589" i="2"/>
  <c r="C589" i="2"/>
  <c r="B589" i="2"/>
  <c r="I588" i="2"/>
  <c r="J588" i="2"/>
  <c r="L588" i="2"/>
  <c r="K588" i="2"/>
  <c r="AP589" i="1"/>
  <c r="H588" i="2"/>
  <c r="G588" i="2"/>
  <c r="AO589" i="1"/>
  <c r="F588" i="2"/>
  <c r="E588" i="2"/>
  <c r="AN589" i="1"/>
  <c r="D588" i="2"/>
  <c r="C588" i="2"/>
  <c r="B588" i="2"/>
  <c r="I587" i="2"/>
  <c r="J587" i="2"/>
  <c r="L587" i="2"/>
  <c r="K587" i="2"/>
  <c r="AP588" i="1"/>
  <c r="H587" i="2"/>
  <c r="G587" i="2"/>
  <c r="AO588" i="1"/>
  <c r="F587" i="2"/>
  <c r="E587" i="2"/>
  <c r="AN588" i="1"/>
  <c r="D587" i="2"/>
  <c r="C587" i="2"/>
  <c r="B587" i="2"/>
  <c r="I586" i="2"/>
  <c r="J586" i="2"/>
  <c r="L586" i="2"/>
  <c r="K586" i="2"/>
  <c r="AP587" i="1"/>
  <c r="H586" i="2"/>
  <c r="G586" i="2"/>
  <c r="AO587" i="1"/>
  <c r="F586" i="2"/>
  <c r="E586" i="2"/>
  <c r="AN587" i="1"/>
  <c r="D586" i="2"/>
  <c r="C586" i="2"/>
  <c r="B586" i="2"/>
  <c r="I585" i="2"/>
  <c r="J585" i="2"/>
  <c r="L585" i="2"/>
  <c r="K585" i="2"/>
  <c r="AP586" i="1"/>
  <c r="H585" i="2"/>
  <c r="G585" i="2"/>
  <c r="AO586" i="1"/>
  <c r="F585" i="2"/>
  <c r="E585" i="2"/>
  <c r="AN586" i="1"/>
  <c r="D585" i="2"/>
  <c r="C585" i="2"/>
  <c r="B585" i="2"/>
  <c r="I584" i="2"/>
  <c r="J584" i="2"/>
  <c r="L584" i="2"/>
  <c r="K584" i="2"/>
  <c r="AP585" i="1"/>
  <c r="H584" i="2"/>
  <c r="G584" i="2"/>
  <c r="AO585" i="1"/>
  <c r="F584" i="2"/>
  <c r="E584" i="2"/>
  <c r="AN585" i="1"/>
  <c r="D584" i="2"/>
  <c r="C584" i="2"/>
  <c r="B584" i="2"/>
  <c r="I583" i="2"/>
  <c r="J583" i="2"/>
  <c r="L583" i="2"/>
  <c r="K583" i="2"/>
  <c r="AP584" i="1"/>
  <c r="H583" i="2"/>
  <c r="G583" i="2"/>
  <c r="AO584" i="1"/>
  <c r="F583" i="2"/>
  <c r="E583" i="2"/>
  <c r="AN584" i="1"/>
  <c r="D583" i="2"/>
  <c r="C583" i="2"/>
  <c r="B583" i="2"/>
  <c r="I582" i="2"/>
  <c r="J582" i="2"/>
  <c r="L582" i="2"/>
  <c r="K582" i="2"/>
  <c r="AP583" i="1"/>
  <c r="H582" i="2"/>
  <c r="G582" i="2"/>
  <c r="AO583" i="1"/>
  <c r="F582" i="2"/>
  <c r="E582" i="2"/>
  <c r="AN583" i="1"/>
  <c r="D582" i="2"/>
  <c r="C582" i="2"/>
  <c r="B582" i="2"/>
  <c r="I581" i="2"/>
  <c r="J581" i="2"/>
  <c r="L581" i="2"/>
  <c r="K581" i="2"/>
  <c r="AP582" i="1"/>
  <c r="H581" i="2"/>
  <c r="G581" i="2"/>
  <c r="AO582" i="1"/>
  <c r="F581" i="2"/>
  <c r="E581" i="2"/>
  <c r="AN582" i="1"/>
  <c r="D581" i="2"/>
  <c r="C581" i="2"/>
  <c r="B581" i="2"/>
  <c r="I580" i="2"/>
  <c r="J580" i="2"/>
  <c r="L580" i="2"/>
  <c r="K580" i="2"/>
  <c r="AP581" i="1"/>
  <c r="H580" i="2"/>
  <c r="G580" i="2"/>
  <c r="AO581" i="1"/>
  <c r="F580" i="2"/>
  <c r="E580" i="2"/>
  <c r="AN581" i="1"/>
  <c r="D580" i="2"/>
  <c r="C580" i="2"/>
  <c r="B580" i="2"/>
  <c r="I579" i="2"/>
  <c r="J579" i="2"/>
  <c r="L579" i="2"/>
  <c r="K579" i="2"/>
  <c r="AP580" i="1"/>
  <c r="H579" i="2"/>
  <c r="G579" i="2"/>
  <c r="AO580" i="1"/>
  <c r="F579" i="2"/>
  <c r="E579" i="2"/>
  <c r="AN580" i="1"/>
  <c r="D579" i="2"/>
  <c r="C579" i="2"/>
  <c r="B579" i="2"/>
  <c r="I578" i="2"/>
  <c r="J578" i="2"/>
  <c r="L578" i="2"/>
  <c r="K578" i="2"/>
  <c r="AP579" i="1"/>
  <c r="H578" i="2"/>
  <c r="G578" i="2"/>
  <c r="AO579" i="1"/>
  <c r="F578" i="2"/>
  <c r="E578" i="2"/>
  <c r="AN579" i="1"/>
  <c r="D578" i="2"/>
  <c r="C578" i="2"/>
  <c r="B578" i="2"/>
  <c r="I577" i="2"/>
  <c r="J577" i="2"/>
  <c r="L577" i="2"/>
  <c r="K577" i="2"/>
  <c r="AP578" i="1"/>
  <c r="H577" i="2"/>
  <c r="G577" i="2"/>
  <c r="AO578" i="1"/>
  <c r="F577" i="2"/>
  <c r="E577" i="2"/>
  <c r="AN578" i="1"/>
  <c r="D577" i="2"/>
  <c r="C577" i="2"/>
  <c r="B577" i="2"/>
  <c r="I576" i="2"/>
  <c r="J576" i="2"/>
  <c r="L576" i="2"/>
  <c r="K576" i="2"/>
  <c r="AP577" i="1"/>
  <c r="H576" i="2"/>
  <c r="G576" i="2"/>
  <c r="AO577" i="1"/>
  <c r="F576" i="2"/>
  <c r="E576" i="2"/>
  <c r="AN577" i="1"/>
  <c r="D576" i="2"/>
  <c r="C576" i="2"/>
  <c r="B576" i="2"/>
  <c r="I575" i="2"/>
  <c r="J575" i="2"/>
  <c r="L575" i="2"/>
  <c r="K575" i="2"/>
  <c r="AP576" i="1"/>
  <c r="H575" i="2"/>
  <c r="G575" i="2"/>
  <c r="AO576" i="1"/>
  <c r="F575" i="2"/>
  <c r="E575" i="2"/>
  <c r="AN576" i="1"/>
  <c r="D575" i="2"/>
  <c r="C575" i="2"/>
  <c r="B575" i="2"/>
  <c r="I574" i="2"/>
  <c r="J574" i="2"/>
  <c r="L574" i="2"/>
  <c r="K574" i="2"/>
  <c r="AP575" i="1"/>
  <c r="H574" i="2"/>
  <c r="G574" i="2"/>
  <c r="AO575" i="1"/>
  <c r="F574" i="2"/>
  <c r="E574" i="2"/>
  <c r="AN575" i="1"/>
  <c r="D574" i="2"/>
  <c r="C574" i="2"/>
  <c r="B574" i="2"/>
  <c r="I573" i="2"/>
  <c r="J573" i="2"/>
  <c r="L573" i="2"/>
  <c r="K573" i="2"/>
  <c r="AP574" i="1"/>
  <c r="H573" i="2"/>
  <c r="G573" i="2"/>
  <c r="AO574" i="1"/>
  <c r="F573" i="2"/>
  <c r="E573" i="2"/>
  <c r="AN574" i="1"/>
  <c r="D573" i="2"/>
  <c r="C573" i="2"/>
  <c r="B573" i="2"/>
  <c r="I572" i="2"/>
  <c r="J572" i="2"/>
  <c r="L572" i="2"/>
  <c r="K572" i="2"/>
  <c r="AP573" i="1"/>
  <c r="H572" i="2"/>
  <c r="G572" i="2"/>
  <c r="AO573" i="1"/>
  <c r="F572" i="2"/>
  <c r="E572" i="2"/>
  <c r="AN573" i="1"/>
  <c r="D572" i="2"/>
  <c r="C572" i="2"/>
  <c r="B572" i="2"/>
  <c r="I571" i="2"/>
  <c r="J571" i="2"/>
  <c r="L571" i="2"/>
  <c r="K571" i="2"/>
  <c r="AP572" i="1"/>
  <c r="H571" i="2"/>
  <c r="G571" i="2"/>
  <c r="AO572" i="1"/>
  <c r="F571" i="2"/>
  <c r="E571" i="2"/>
  <c r="AN572" i="1"/>
  <c r="D571" i="2"/>
  <c r="C571" i="2"/>
  <c r="B571" i="2"/>
  <c r="I570" i="2"/>
  <c r="J570" i="2"/>
  <c r="L570" i="2"/>
  <c r="K570" i="2"/>
  <c r="AP571" i="1"/>
  <c r="H570" i="2"/>
  <c r="G570" i="2"/>
  <c r="AO571" i="1"/>
  <c r="F570" i="2"/>
  <c r="E570" i="2"/>
  <c r="AN571" i="1"/>
  <c r="D570" i="2"/>
  <c r="C570" i="2"/>
  <c r="B570" i="2"/>
  <c r="I569" i="2"/>
  <c r="J569" i="2"/>
  <c r="L569" i="2"/>
  <c r="K569" i="2"/>
  <c r="AP570" i="1"/>
  <c r="H569" i="2"/>
  <c r="G569" i="2"/>
  <c r="AO570" i="1"/>
  <c r="F569" i="2"/>
  <c r="E569" i="2"/>
  <c r="AN570" i="1"/>
  <c r="D569" i="2"/>
  <c r="C569" i="2"/>
  <c r="B569" i="2"/>
  <c r="I568" i="2"/>
  <c r="J568" i="2"/>
  <c r="L568" i="2"/>
  <c r="K568" i="2"/>
  <c r="AP569" i="1"/>
  <c r="H568" i="2"/>
  <c r="G568" i="2"/>
  <c r="AO569" i="1"/>
  <c r="F568" i="2"/>
  <c r="E568" i="2"/>
  <c r="AN569" i="1"/>
  <c r="D568" i="2"/>
  <c r="C568" i="2"/>
  <c r="B568" i="2"/>
  <c r="I567" i="2"/>
  <c r="J567" i="2"/>
  <c r="L567" i="2"/>
  <c r="K567" i="2"/>
  <c r="AP568" i="1"/>
  <c r="H567" i="2"/>
  <c r="G567" i="2"/>
  <c r="AO568" i="1"/>
  <c r="F567" i="2"/>
  <c r="E567" i="2"/>
  <c r="AN568" i="1"/>
  <c r="D567" i="2"/>
  <c r="C567" i="2"/>
  <c r="B567" i="2"/>
  <c r="I566" i="2"/>
  <c r="J566" i="2"/>
  <c r="L566" i="2"/>
  <c r="K566" i="2"/>
  <c r="AP567" i="1"/>
  <c r="H566" i="2"/>
  <c r="G566" i="2"/>
  <c r="AO567" i="1"/>
  <c r="F566" i="2"/>
  <c r="E566" i="2"/>
  <c r="AN567" i="1"/>
  <c r="D566" i="2"/>
  <c r="C566" i="2"/>
  <c r="B566" i="2"/>
  <c r="I565" i="2"/>
  <c r="J565" i="2"/>
  <c r="L565" i="2"/>
  <c r="K565" i="2"/>
  <c r="AP566" i="1"/>
  <c r="H565" i="2"/>
  <c r="G565" i="2"/>
  <c r="AO566" i="1"/>
  <c r="F565" i="2"/>
  <c r="E565" i="2"/>
  <c r="AN566" i="1"/>
  <c r="D565" i="2"/>
  <c r="C565" i="2"/>
  <c r="B565" i="2"/>
  <c r="I564" i="2"/>
  <c r="J564" i="2"/>
  <c r="L564" i="2"/>
  <c r="K564" i="2"/>
  <c r="AP565" i="1"/>
  <c r="H564" i="2"/>
  <c r="G564" i="2"/>
  <c r="AO565" i="1"/>
  <c r="F564" i="2"/>
  <c r="E564" i="2"/>
  <c r="AN565" i="1"/>
  <c r="D564" i="2"/>
  <c r="C564" i="2"/>
  <c r="B564" i="2"/>
  <c r="I563" i="2"/>
  <c r="J563" i="2"/>
  <c r="L563" i="2"/>
  <c r="K563" i="2"/>
  <c r="AP564" i="1"/>
  <c r="H563" i="2"/>
  <c r="G563" i="2"/>
  <c r="AO564" i="1"/>
  <c r="F563" i="2"/>
  <c r="E563" i="2"/>
  <c r="AN564" i="1"/>
  <c r="D563" i="2"/>
  <c r="C563" i="2"/>
  <c r="B563" i="2"/>
  <c r="I562" i="2"/>
  <c r="J562" i="2"/>
  <c r="L562" i="2"/>
  <c r="K562" i="2"/>
  <c r="AP563" i="1"/>
  <c r="H562" i="2"/>
  <c r="G562" i="2"/>
  <c r="AO563" i="1"/>
  <c r="F562" i="2"/>
  <c r="E562" i="2"/>
  <c r="AN563" i="1"/>
  <c r="D562" i="2"/>
  <c r="C562" i="2"/>
  <c r="B562" i="2"/>
  <c r="I561" i="2"/>
  <c r="J561" i="2"/>
  <c r="L561" i="2"/>
  <c r="K561" i="2"/>
  <c r="AP562" i="1"/>
  <c r="H561" i="2"/>
  <c r="G561" i="2"/>
  <c r="AO562" i="1"/>
  <c r="F561" i="2"/>
  <c r="E561" i="2"/>
  <c r="AN562" i="1"/>
  <c r="D561" i="2"/>
  <c r="C561" i="2"/>
  <c r="B561" i="2"/>
  <c r="I560" i="2"/>
  <c r="J560" i="2"/>
  <c r="L560" i="2"/>
  <c r="K560" i="2"/>
  <c r="AP561" i="1"/>
  <c r="H560" i="2"/>
  <c r="G560" i="2"/>
  <c r="AO561" i="1"/>
  <c r="F560" i="2"/>
  <c r="E560" i="2"/>
  <c r="AN561" i="1"/>
  <c r="D560" i="2"/>
  <c r="C560" i="2"/>
  <c r="B560" i="2"/>
  <c r="I559" i="2"/>
  <c r="J559" i="2"/>
  <c r="L559" i="2"/>
  <c r="K559" i="2"/>
  <c r="AP560" i="1"/>
  <c r="H559" i="2"/>
  <c r="G559" i="2"/>
  <c r="AO560" i="1"/>
  <c r="F559" i="2"/>
  <c r="E559" i="2"/>
  <c r="AN560" i="1"/>
  <c r="D559" i="2"/>
  <c r="C559" i="2"/>
  <c r="B559" i="2"/>
  <c r="I558" i="2"/>
  <c r="J558" i="2"/>
  <c r="L558" i="2"/>
  <c r="K558" i="2"/>
  <c r="AP559" i="1"/>
  <c r="H558" i="2"/>
  <c r="G558" i="2"/>
  <c r="AO559" i="1"/>
  <c r="F558" i="2"/>
  <c r="E558" i="2"/>
  <c r="AN559" i="1"/>
  <c r="D558" i="2"/>
  <c r="C558" i="2"/>
  <c r="B558" i="2"/>
  <c r="I557" i="2"/>
  <c r="J557" i="2"/>
  <c r="L557" i="2"/>
  <c r="K557" i="2"/>
  <c r="AP558" i="1"/>
  <c r="H557" i="2"/>
  <c r="G557" i="2"/>
  <c r="AO558" i="1"/>
  <c r="F557" i="2"/>
  <c r="E557" i="2"/>
  <c r="AN558" i="1"/>
  <c r="D557" i="2"/>
  <c r="C557" i="2"/>
  <c r="B557" i="2"/>
  <c r="I556" i="2"/>
  <c r="J556" i="2"/>
  <c r="L556" i="2"/>
  <c r="K556" i="2"/>
  <c r="AP557" i="1"/>
  <c r="H556" i="2"/>
  <c r="G556" i="2"/>
  <c r="AO557" i="1"/>
  <c r="F556" i="2"/>
  <c r="E556" i="2"/>
  <c r="AN557" i="1"/>
  <c r="D556" i="2"/>
  <c r="C556" i="2"/>
  <c r="B556" i="2"/>
  <c r="I555" i="2"/>
  <c r="J555" i="2"/>
  <c r="L555" i="2"/>
  <c r="K555" i="2"/>
  <c r="AP556" i="1"/>
  <c r="H555" i="2"/>
  <c r="G555" i="2"/>
  <c r="AO556" i="1"/>
  <c r="F555" i="2"/>
  <c r="E555" i="2"/>
  <c r="AN556" i="1"/>
  <c r="D555" i="2"/>
  <c r="C555" i="2"/>
  <c r="B555" i="2"/>
  <c r="I554" i="2"/>
  <c r="J554" i="2"/>
  <c r="L554" i="2"/>
  <c r="K554" i="2"/>
  <c r="AP555" i="1"/>
  <c r="H554" i="2"/>
  <c r="G554" i="2"/>
  <c r="AO555" i="1"/>
  <c r="F554" i="2"/>
  <c r="E554" i="2"/>
  <c r="AN555" i="1"/>
  <c r="D554" i="2"/>
  <c r="C554" i="2"/>
  <c r="B554" i="2"/>
  <c r="I553" i="2"/>
  <c r="J553" i="2"/>
  <c r="L553" i="2"/>
  <c r="K553" i="2"/>
  <c r="AP554" i="1"/>
  <c r="H553" i="2"/>
  <c r="G553" i="2"/>
  <c r="AO554" i="1"/>
  <c r="F553" i="2"/>
  <c r="E553" i="2"/>
  <c r="AN554" i="1"/>
  <c r="D553" i="2"/>
  <c r="C553" i="2"/>
  <c r="B553" i="2"/>
  <c r="I552" i="2"/>
  <c r="J552" i="2"/>
  <c r="L552" i="2"/>
  <c r="K552" i="2"/>
  <c r="AP553" i="1"/>
  <c r="H552" i="2"/>
  <c r="G552" i="2"/>
  <c r="AO553" i="1"/>
  <c r="F552" i="2"/>
  <c r="E552" i="2"/>
  <c r="AN553" i="1"/>
  <c r="D552" i="2"/>
  <c r="C552" i="2"/>
  <c r="B552" i="2"/>
  <c r="I551" i="2"/>
  <c r="J551" i="2"/>
  <c r="L551" i="2"/>
  <c r="K551" i="2"/>
  <c r="AP552" i="1"/>
  <c r="H551" i="2"/>
  <c r="G551" i="2"/>
  <c r="AO552" i="1"/>
  <c r="F551" i="2"/>
  <c r="E551" i="2"/>
  <c r="AN552" i="1"/>
  <c r="D551" i="2"/>
  <c r="C551" i="2"/>
  <c r="B551" i="2"/>
  <c r="I550" i="2"/>
  <c r="J550" i="2"/>
  <c r="L550" i="2"/>
  <c r="K550" i="2"/>
  <c r="AP551" i="1"/>
  <c r="H550" i="2"/>
  <c r="G550" i="2"/>
  <c r="AO551" i="1"/>
  <c r="F550" i="2"/>
  <c r="E550" i="2"/>
  <c r="AN551" i="1"/>
  <c r="D550" i="2"/>
  <c r="C550" i="2"/>
  <c r="B550" i="2"/>
  <c r="I549" i="2"/>
  <c r="J549" i="2"/>
  <c r="L549" i="2"/>
  <c r="K549" i="2"/>
  <c r="AP550" i="1"/>
  <c r="H549" i="2"/>
  <c r="G549" i="2"/>
  <c r="AO550" i="1"/>
  <c r="F549" i="2"/>
  <c r="E549" i="2"/>
  <c r="AN550" i="1"/>
  <c r="D549" i="2"/>
  <c r="C549" i="2"/>
  <c r="B549" i="2"/>
  <c r="I548" i="2"/>
  <c r="J548" i="2"/>
  <c r="L548" i="2"/>
  <c r="K548" i="2"/>
  <c r="AP549" i="1"/>
  <c r="H548" i="2"/>
  <c r="G548" i="2"/>
  <c r="AO549" i="1"/>
  <c r="F548" i="2"/>
  <c r="E548" i="2"/>
  <c r="AN549" i="1"/>
  <c r="D548" i="2"/>
  <c r="C548" i="2"/>
  <c r="B548" i="2"/>
  <c r="I547" i="2"/>
  <c r="J547" i="2"/>
  <c r="L547" i="2"/>
  <c r="K547" i="2"/>
  <c r="AP548" i="1"/>
  <c r="H547" i="2"/>
  <c r="G547" i="2"/>
  <c r="AO548" i="1"/>
  <c r="F547" i="2"/>
  <c r="E547" i="2"/>
  <c r="AN548" i="1"/>
  <c r="D547" i="2"/>
  <c r="C547" i="2"/>
  <c r="B547" i="2"/>
  <c r="I546" i="2"/>
  <c r="J546" i="2"/>
  <c r="L546" i="2"/>
  <c r="K546" i="2"/>
  <c r="AP547" i="1"/>
  <c r="H546" i="2"/>
  <c r="G546" i="2"/>
  <c r="AO547" i="1"/>
  <c r="F546" i="2"/>
  <c r="E546" i="2"/>
  <c r="AN547" i="1"/>
  <c r="D546" i="2"/>
  <c r="C546" i="2"/>
  <c r="B546" i="2"/>
  <c r="I545" i="2"/>
  <c r="J545" i="2"/>
  <c r="L545" i="2"/>
  <c r="K545" i="2"/>
  <c r="AP546" i="1"/>
  <c r="H545" i="2"/>
  <c r="G545" i="2"/>
  <c r="AO546" i="1"/>
  <c r="F545" i="2"/>
  <c r="E545" i="2"/>
  <c r="AN546" i="1"/>
  <c r="D545" i="2"/>
  <c r="C545" i="2"/>
  <c r="B545" i="2"/>
  <c r="I544" i="2"/>
  <c r="J544" i="2"/>
  <c r="L544" i="2"/>
  <c r="K544" i="2"/>
  <c r="AP545" i="1"/>
  <c r="H544" i="2"/>
  <c r="G544" i="2"/>
  <c r="AO545" i="1"/>
  <c r="F544" i="2"/>
  <c r="E544" i="2"/>
  <c r="AN545" i="1"/>
  <c r="D544" i="2"/>
  <c r="C544" i="2"/>
  <c r="B544" i="2"/>
  <c r="I543" i="2"/>
  <c r="J543" i="2"/>
  <c r="L543" i="2"/>
  <c r="K543" i="2"/>
  <c r="AP544" i="1"/>
  <c r="H543" i="2"/>
  <c r="G543" i="2"/>
  <c r="AO544" i="1"/>
  <c r="F543" i="2"/>
  <c r="E543" i="2"/>
  <c r="AN544" i="1"/>
  <c r="D543" i="2"/>
  <c r="C543" i="2"/>
  <c r="B543" i="2"/>
  <c r="I542" i="2"/>
  <c r="J542" i="2"/>
  <c r="L542" i="2"/>
  <c r="K542" i="2"/>
  <c r="AP543" i="1"/>
  <c r="H542" i="2"/>
  <c r="G542" i="2"/>
  <c r="AO543" i="1"/>
  <c r="F542" i="2"/>
  <c r="E542" i="2"/>
  <c r="AN543" i="1"/>
  <c r="D542" i="2"/>
  <c r="C542" i="2"/>
  <c r="B542" i="2"/>
  <c r="I541" i="2"/>
  <c r="J541" i="2"/>
  <c r="L541" i="2"/>
  <c r="K541" i="2"/>
  <c r="AP542" i="1"/>
  <c r="H541" i="2"/>
  <c r="G541" i="2"/>
  <c r="AO542" i="1"/>
  <c r="F541" i="2"/>
  <c r="E541" i="2"/>
  <c r="AN542" i="1"/>
  <c r="D541" i="2"/>
  <c r="C541" i="2"/>
  <c r="B541" i="2"/>
  <c r="I540" i="2"/>
  <c r="J540" i="2"/>
  <c r="L540" i="2"/>
  <c r="K540" i="2"/>
  <c r="AP541" i="1"/>
  <c r="H540" i="2"/>
  <c r="G540" i="2"/>
  <c r="AO541" i="1"/>
  <c r="F540" i="2"/>
  <c r="E540" i="2"/>
  <c r="AN541" i="1"/>
  <c r="D540" i="2"/>
  <c r="C540" i="2"/>
  <c r="B540" i="2"/>
  <c r="I539" i="2"/>
  <c r="J539" i="2"/>
  <c r="L539" i="2"/>
  <c r="K539" i="2"/>
  <c r="AP540" i="1"/>
  <c r="H539" i="2"/>
  <c r="G539" i="2"/>
  <c r="AO540" i="1"/>
  <c r="F539" i="2"/>
  <c r="E539" i="2"/>
  <c r="AN540" i="1"/>
  <c r="D539" i="2"/>
  <c r="C539" i="2"/>
  <c r="B539" i="2"/>
  <c r="I538" i="2"/>
  <c r="J538" i="2"/>
  <c r="L538" i="2"/>
  <c r="K538" i="2"/>
  <c r="AP539" i="1"/>
  <c r="H538" i="2"/>
  <c r="G538" i="2"/>
  <c r="AO539" i="1"/>
  <c r="F538" i="2"/>
  <c r="E538" i="2"/>
  <c r="AN539" i="1"/>
  <c r="D538" i="2"/>
  <c r="C538" i="2"/>
  <c r="B538" i="2"/>
  <c r="I537" i="2"/>
  <c r="J537" i="2"/>
  <c r="L537" i="2"/>
  <c r="K537" i="2"/>
  <c r="AP538" i="1"/>
  <c r="H537" i="2"/>
  <c r="G537" i="2"/>
  <c r="AO538" i="1"/>
  <c r="F537" i="2"/>
  <c r="E537" i="2"/>
  <c r="AN538" i="1"/>
  <c r="D537" i="2"/>
  <c r="C537" i="2"/>
  <c r="B537" i="2"/>
  <c r="I536" i="2"/>
  <c r="J536" i="2"/>
  <c r="L536" i="2"/>
  <c r="K536" i="2"/>
  <c r="AP537" i="1"/>
  <c r="H536" i="2"/>
  <c r="G536" i="2"/>
  <c r="AO537" i="1"/>
  <c r="F536" i="2"/>
  <c r="E536" i="2"/>
  <c r="AN537" i="1"/>
  <c r="D536" i="2"/>
  <c r="C536" i="2"/>
  <c r="B536" i="2"/>
  <c r="I535" i="2"/>
  <c r="J535" i="2"/>
  <c r="L535" i="2"/>
  <c r="K535" i="2"/>
  <c r="AP536" i="1"/>
  <c r="H535" i="2"/>
  <c r="G535" i="2"/>
  <c r="AO536" i="1"/>
  <c r="F535" i="2"/>
  <c r="E535" i="2"/>
  <c r="AN536" i="1"/>
  <c r="D535" i="2"/>
  <c r="C535" i="2"/>
  <c r="B535" i="2"/>
  <c r="I534" i="2"/>
  <c r="J534" i="2"/>
  <c r="L534" i="2"/>
  <c r="K534" i="2"/>
  <c r="AP535" i="1"/>
  <c r="H534" i="2"/>
  <c r="G534" i="2"/>
  <c r="AO535" i="1"/>
  <c r="F534" i="2"/>
  <c r="E534" i="2"/>
  <c r="AN535" i="1"/>
  <c r="D534" i="2"/>
  <c r="C534" i="2"/>
  <c r="B534" i="2"/>
  <c r="I533" i="2"/>
  <c r="J533" i="2"/>
  <c r="L533" i="2"/>
  <c r="K533" i="2"/>
  <c r="AP534" i="1"/>
  <c r="H533" i="2"/>
  <c r="G533" i="2"/>
  <c r="AO534" i="1"/>
  <c r="F533" i="2"/>
  <c r="E533" i="2"/>
  <c r="AN534" i="1"/>
  <c r="D533" i="2"/>
  <c r="C533" i="2"/>
  <c r="B533" i="2"/>
  <c r="I532" i="2"/>
  <c r="J532" i="2"/>
  <c r="L532" i="2"/>
  <c r="AH533" i="1"/>
  <c r="K532" i="2"/>
  <c r="AP533" i="1"/>
  <c r="H532" i="2"/>
  <c r="G532" i="2"/>
  <c r="AO533" i="1"/>
  <c r="F532" i="2"/>
  <c r="E532" i="2"/>
  <c r="AN533" i="1"/>
  <c r="D532" i="2"/>
  <c r="C532" i="2"/>
  <c r="B532" i="2"/>
  <c r="I531" i="2"/>
  <c r="J531" i="2"/>
  <c r="L531" i="2"/>
  <c r="AH532" i="1"/>
  <c r="K531" i="2"/>
  <c r="AP532" i="1"/>
  <c r="H531" i="2"/>
  <c r="G531" i="2"/>
  <c r="AO532" i="1"/>
  <c r="F531" i="2"/>
  <c r="E531" i="2"/>
  <c r="AN532" i="1"/>
  <c r="D531" i="2"/>
  <c r="C531" i="2"/>
  <c r="B531" i="2"/>
  <c r="I530" i="2"/>
  <c r="J530" i="2"/>
  <c r="L530" i="2"/>
  <c r="AH531" i="1"/>
  <c r="K530" i="2"/>
  <c r="AP531" i="1"/>
  <c r="H530" i="2"/>
  <c r="G530" i="2"/>
  <c r="AO531" i="1"/>
  <c r="F530" i="2"/>
  <c r="E530" i="2"/>
  <c r="AN531" i="1"/>
  <c r="D530" i="2"/>
  <c r="C530" i="2"/>
  <c r="B530" i="2"/>
  <c r="I529" i="2"/>
  <c r="J529" i="2"/>
  <c r="L529" i="2"/>
  <c r="AH530" i="1"/>
  <c r="K529" i="2"/>
  <c r="AP530" i="1"/>
  <c r="H529" i="2"/>
  <c r="G529" i="2"/>
  <c r="AO530" i="1"/>
  <c r="F529" i="2"/>
  <c r="E529" i="2"/>
  <c r="AN530" i="1"/>
  <c r="D529" i="2"/>
  <c r="C529" i="2"/>
  <c r="B529" i="2"/>
  <c r="I528" i="2"/>
  <c r="J528" i="2"/>
  <c r="L528" i="2"/>
  <c r="AH529" i="1"/>
  <c r="K528" i="2"/>
  <c r="AP529" i="1"/>
  <c r="H528" i="2"/>
  <c r="G528" i="2"/>
  <c r="AO529" i="1"/>
  <c r="F528" i="2"/>
  <c r="E528" i="2"/>
  <c r="AN529" i="1"/>
  <c r="D528" i="2"/>
  <c r="C528" i="2"/>
  <c r="B528" i="2"/>
  <c r="I527" i="2"/>
  <c r="J527" i="2"/>
  <c r="L527" i="2"/>
  <c r="AH528" i="1"/>
  <c r="K527" i="2"/>
  <c r="AP528" i="1"/>
  <c r="H527" i="2"/>
  <c r="G527" i="2"/>
  <c r="AO528" i="1"/>
  <c r="F527" i="2"/>
  <c r="E527" i="2"/>
  <c r="AN528" i="1"/>
  <c r="D527" i="2"/>
  <c r="C527" i="2"/>
  <c r="B527" i="2"/>
  <c r="I526" i="2"/>
  <c r="J526" i="2"/>
  <c r="L526" i="2"/>
  <c r="AH527" i="1"/>
  <c r="K526" i="2"/>
  <c r="AP527" i="1"/>
  <c r="H526" i="2"/>
  <c r="G526" i="2"/>
  <c r="AO527" i="1"/>
  <c r="F526" i="2"/>
  <c r="E526" i="2"/>
  <c r="AN527" i="1"/>
  <c r="D526" i="2"/>
  <c r="C526" i="2"/>
  <c r="B526" i="2"/>
  <c r="I525" i="2"/>
  <c r="J525" i="2"/>
  <c r="L525" i="2"/>
  <c r="AH526" i="1"/>
  <c r="K525" i="2"/>
  <c r="AP526" i="1"/>
  <c r="H525" i="2"/>
  <c r="G525" i="2"/>
  <c r="AO526" i="1"/>
  <c r="F525" i="2"/>
  <c r="E525" i="2"/>
  <c r="AN526" i="1"/>
  <c r="D525" i="2"/>
  <c r="C525" i="2"/>
  <c r="B525" i="2"/>
  <c r="I524" i="2"/>
  <c r="J524" i="2"/>
  <c r="L524" i="2"/>
  <c r="AH525" i="1"/>
  <c r="K524" i="2"/>
  <c r="AP525" i="1"/>
  <c r="H524" i="2"/>
  <c r="G524" i="2"/>
  <c r="AO525" i="1"/>
  <c r="F524" i="2"/>
  <c r="E524" i="2"/>
  <c r="AN525" i="1"/>
  <c r="D524" i="2"/>
  <c r="C524" i="2"/>
  <c r="B524" i="2"/>
  <c r="I523" i="2"/>
  <c r="J523" i="2"/>
  <c r="L523" i="2"/>
  <c r="AH524" i="1"/>
  <c r="K523" i="2"/>
  <c r="AP524" i="1"/>
  <c r="H523" i="2"/>
  <c r="G523" i="2"/>
  <c r="AO524" i="1"/>
  <c r="F523" i="2"/>
  <c r="E523" i="2"/>
  <c r="AN524" i="1"/>
  <c r="D523" i="2"/>
  <c r="C523" i="2"/>
  <c r="B523" i="2"/>
  <c r="I522" i="2"/>
  <c r="J522" i="2"/>
  <c r="L522" i="2"/>
  <c r="AH523" i="1"/>
  <c r="K522" i="2"/>
  <c r="AP523" i="1"/>
  <c r="H522" i="2"/>
  <c r="G522" i="2"/>
  <c r="AO523" i="1"/>
  <c r="F522" i="2"/>
  <c r="E522" i="2"/>
  <c r="AN523" i="1"/>
  <c r="D522" i="2"/>
  <c r="C522" i="2"/>
  <c r="B522" i="2"/>
  <c r="I521" i="2"/>
  <c r="J521" i="2"/>
  <c r="L521" i="2"/>
  <c r="AH522" i="1"/>
  <c r="K521" i="2"/>
  <c r="AP522" i="1"/>
  <c r="H521" i="2"/>
  <c r="G521" i="2"/>
  <c r="AO522" i="1"/>
  <c r="F521" i="2"/>
  <c r="E521" i="2"/>
  <c r="AN522" i="1"/>
  <c r="D521" i="2"/>
  <c r="C521" i="2"/>
  <c r="B521" i="2"/>
  <c r="I520" i="2"/>
  <c r="J520" i="2"/>
  <c r="L520" i="2"/>
  <c r="AH521" i="1"/>
  <c r="K520" i="2"/>
  <c r="AP521" i="1"/>
  <c r="H520" i="2"/>
  <c r="G520" i="2"/>
  <c r="AO521" i="1"/>
  <c r="F520" i="2"/>
  <c r="E520" i="2"/>
  <c r="AN521" i="1"/>
  <c r="D520" i="2"/>
  <c r="C520" i="2"/>
  <c r="B520" i="2"/>
  <c r="I519" i="2"/>
  <c r="J519" i="2"/>
  <c r="L519" i="2"/>
  <c r="AH520" i="1"/>
  <c r="K519" i="2"/>
  <c r="AP520" i="1"/>
  <c r="H519" i="2"/>
  <c r="G519" i="2"/>
  <c r="AO520" i="1"/>
  <c r="F519" i="2"/>
  <c r="E519" i="2"/>
  <c r="AN520" i="1"/>
  <c r="D519" i="2"/>
  <c r="C519" i="2"/>
  <c r="B519" i="2"/>
  <c r="I518" i="2"/>
  <c r="J518" i="2"/>
  <c r="L518" i="2"/>
  <c r="AH519" i="1"/>
  <c r="K518" i="2"/>
  <c r="AP519" i="1"/>
  <c r="H518" i="2"/>
  <c r="G518" i="2"/>
  <c r="AO519" i="1"/>
  <c r="F518" i="2"/>
  <c r="E518" i="2"/>
  <c r="AN519" i="1"/>
  <c r="D518" i="2"/>
  <c r="C518" i="2"/>
  <c r="B518" i="2"/>
  <c r="I517" i="2"/>
  <c r="J517" i="2"/>
  <c r="L517" i="2"/>
  <c r="AH518" i="1"/>
  <c r="K517" i="2"/>
  <c r="AP518" i="1"/>
  <c r="H517" i="2"/>
  <c r="G517" i="2"/>
  <c r="AO518" i="1"/>
  <c r="F517" i="2"/>
  <c r="E517" i="2"/>
  <c r="AN518" i="1"/>
  <c r="D517" i="2"/>
  <c r="C517" i="2"/>
  <c r="B517" i="2"/>
  <c r="I516" i="2"/>
  <c r="J516" i="2"/>
  <c r="L516" i="2"/>
  <c r="AH517" i="1"/>
  <c r="K516" i="2"/>
  <c r="AP517" i="1"/>
  <c r="H516" i="2"/>
  <c r="G516" i="2"/>
  <c r="AO517" i="1"/>
  <c r="F516" i="2"/>
  <c r="E516" i="2"/>
  <c r="AN517" i="1"/>
  <c r="D516" i="2"/>
  <c r="C516" i="2"/>
  <c r="B516" i="2"/>
  <c r="I515" i="2"/>
  <c r="J515" i="2"/>
  <c r="L515" i="2"/>
  <c r="AH516" i="1"/>
  <c r="K515" i="2"/>
  <c r="AP516" i="1"/>
  <c r="H515" i="2"/>
  <c r="G515" i="2"/>
  <c r="AO516" i="1"/>
  <c r="F515" i="2"/>
  <c r="E515" i="2"/>
  <c r="AN516" i="1"/>
  <c r="D515" i="2"/>
  <c r="C515" i="2"/>
  <c r="B515" i="2"/>
  <c r="I514" i="2"/>
  <c r="J514" i="2"/>
  <c r="L514" i="2"/>
  <c r="AH515" i="1"/>
  <c r="K514" i="2"/>
  <c r="AP515" i="1"/>
  <c r="H514" i="2"/>
  <c r="G514" i="2"/>
  <c r="AO515" i="1"/>
  <c r="F514" i="2"/>
  <c r="E514" i="2"/>
  <c r="AN515" i="1"/>
  <c r="D514" i="2"/>
  <c r="C514" i="2"/>
  <c r="B514" i="2"/>
  <c r="I513" i="2"/>
  <c r="J513" i="2"/>
  <c r="L513" i="2"/>
  <c r="AH514" i="1"/>
  <c r="K513" i="2"/>
  <c r="AP514" i="1"/>
  <c r="H513" i="2"/>
  <c r="G513" i="2"/>
  <c r="AO514" i="1"/>
  <c r="F513" i="2"/>
  <c r="E513" i="2"/>
  <c r="AN514" i="1"/>
  <c r="D513" i="2"/>
  <c r="C513" i="2"/>
  <c r="B513" i="2"/>
  <c r="I512" i="2"/>
  <c r="J512" i="2"/>
  <c r="L512" i="2"/>
  <c r="AH513" i="1"/>
  <c r="K512" i="2"/>
  <c r="AP513" i="1"/>
  <c r="H512" i="2"/>
  <c r="G512" i="2"/>
  <c r="AO513" i="1"/>
  <c r="F512" i="2"/>
  <c r="E512" i="2"/>
  <c r="AN513" i="1"/>
  <c r="D512" i="2"/>
  <c r="C512" i="2"/>
  <c r="B512" i="2"/>
  <c r="I511" i="2"/>
  <c r="J511" i="2"/>
  <c r="L511" i="2"/>
  <c r="AH512" i="1"/>
  <c r="K511" i="2"/>
  <c r="AP512" i="1"/>
  <c r="H511" i="2"/>
  <c r="G511" i="2"/>
  <c r="AO512" i="1"/>
  <c r="F511" i="2"/>
  <c r="E511" i="2"/>
  <c r="AN512" i="1"/>
  <c r="D511" i="2"/>
  <c r="C511" i="2"/>
  <c r="B511" i="2"/>
  <c r="I510" i="2"/>
  <c r="J510" i="2"/>
  <c r="L510" i="2"/>
  <c r="AH511" i="1"/>
  <c r="K510" i="2"/>
  <c r="AP511" i="1"/>
  <c r="H510" i="2"/>
  <c r="G510" i="2"/>
  <c r="AO511" i="1"/>
  <c r="F510" i="2"/>
  <c r="E510" i="2"/>
  <c r="AN511" i="1"/>
  <c r="D510" i="2"/>
  <c r="C510" i="2"/>
  <c r="B510" i="2"/>
  <c r="I509" i="2"/>
  <c r="J509" i="2"/>
  <c r="L509" i="2"/>
  <c r="AH510" i="1"/>
  <c r="K509" i="2"/>
  <c r="AP510" i="1"/>
  <c r="H509" i="2"/>
  <c r="G509" i="2"/>
  <c r="AO510" i="1"/>
  <c r="F509" i="2"/>
  <c r="E509" i="2"/>
  <c r="AN510" i="1"/>
  <c r="D509" i="2"/>
  <c r="C509" i="2"/>
  <c r="B509" i="2"/>
  <c r="I508" i="2"/>
  <c r="J508" i="2"/>
  <c r="L508" i="2"/>
  <c r="AH509" i="1"/>
  <c r="K508" i="2"/>
  <c r="AP509" i="1"/>
  <c r="H508" i="2"/>
  <c r="G508" i="2"/>
  <c r="AO509" i="1"/>
  <c r="F508" i="2"/>
  <c r="E508" i="2"/>
  <c r="AN509" i="1"/>
  <c r="D508" i="2"/>
  <c r="C508" i="2"/>
  <c r="B508" i="2"/>
  <c r="I507" i="2"/>
  <c r="J507" i="2"/>
  <c r="L507" i="2"/>
  <c r="AH508" i="1"/>
  <c r="K507" i="2"/>
  <c r="AP508" i="1"/>
  <c r="H507" i="2"/>
  <c r="G507" i="2"/>
  <c r="AO508" i="1"/>
  <c r="F507" i="2"/>
  <c r="E507" i="2"/>
  <c r="AN508" i="1"/>
  <c r="D507" i="2"/>
  <c r="C507" i="2"/>
  <c r="B507" i="2"/>
  <c r="I506" i="2"/>
  <c r="J506" i="2"/>
  <c r="L506" i="2"/>
  <c r="AH507" i="1"/>
  <c r="K506" i="2"/>
  <c r="AP507" i="1"/>
  <c r="H506" i="2"/>
  <c r="G506" i="2"/>
  <c r="AO507" i="1"/>
  <c r="F506" i="2"/>
  <c r="E506" i="2"/>
  <c r="AN507" i="1"/>
  <c r="D506" i="2"/>
  <c r="C506" i="2"/>
  <c r="B506" i="2"/>
  <c r="I505" i="2"/>
  <c r="J505" i="2"/>
  <c r="L505" i="2"/>
  <c r="AH506" i="1"/>
  <c r="K505" i="2"/>
  <c r="AP506" i="1"/>
  <c r="H505" i="2"/>
  <c r="G505" i="2"/>
  <c r="AO506" i="1"/>
  <c r="F505" i="2"/>
  <c r="E505" i="2"/>
  <c r="AN506" i="1"/>
  <c r="D505" i="2"/>
  <c r="C505" i="2"/>
  <c r="B505" i="2"/>
  <c r="I504" i="2"/>
  <c r="J504" i="2"/>
  <c r="L504" i="2"/>
  <c r="AH505" i="1"/>
  <c r="K504" i="2"/>
  <c r="AP505" i="1"/>
  <c r="H504" i="2"/>
  <c r="G504" i="2"/>
  <c r="AO505" i="1"/>
  <c r="F504" i="2"/>
  <c r="E504" i="2"/>
  <c r="AN505" i="1"/>
  <c r="D504" i="2"/>
  <c r="C504" i="2"/>
  <c r="B504" i="2"/>
  <c r="I503" i="2"/>
  <c r="J503" i="2"/>
  <c r="L503" i="2"/>
  <c r="AH504" i="1"/>
  <c r="K503" i="2"/>
  <c r="AP504" i="1"/>
  <c r="H503" i="2"/>
  <c r="G503" i="2"/>
  <c r="AO504" i="1"/>
  <c r="F503" i="2"/>
  <c r="E503" i="2"/>
  <c r="AN504" i="1"/>
  <c r="D503" i="2"/>
  <c r="C503" i="2"/>
  <c r="B503" i="2"/>
  <c r="I502" i="2"/>
  <c r="J502" i="2"/>
  <c r="L502" i="2"/>
  <c r="AH503" i="1"/>
  <c r="K502" i="2"/>
  <c r="AP503" i="1"/>
  <c r="H502" i="2"/>
  <c r="G502" i="2"/>
  <c r="AO503" i="1"/>
  <c r="F502" i="2"/>
  <c r="E502" i="2"/>
  <c r="AN503" i="1"/>
  <c r="D502" i="2"/>
  <c r="C502" i="2"/>
  <c r="B502" i="2"/>
  <c r="I501" i="2"/>
  <c r="J501" i="2"/>
  <c r="L501" i="2"/>
  <c r="AH502" i="1"/>
  <c r="K501" i="2"/>
  <c r="AP502" i="1"/>
  <c r="H501" i="2"/>
  <c r="G501" i="2"/>
  <c r="AO502" i="1"/>
  <c r="F501" i="2"/>
  <c r="E501" i="2"/>
  <c r="AN502" i="1"/>
  <c r="D501" i="2"/>
  <c r="C501" i="2"/>
  <c r="B501" i="2"/>
  <c r="I500" i="2"/>
  <c r="J500" i="2"/>
  <c r="L500" i="2"/>
  <c r="AH501" i="1"/>
  <c r="K500" i="2"/>
  <c r="AP501" i="1"/>
  <c r="H500" i="2"/>
  <c r="G500" i="2"/>
  <c r="AO501" i="1"/>
  <c r="F500" i="2"/>
  <c r="E500" i="2"/>
  <c r="AN501" i="1"/>
  <c r="D500" i="2"/>
  <c r="C500" i="2"/>
  <c r="B500" i="2"/>
  <c r="I499" i="2"/>
  <c r="J499" i="2"/>
  <c r="L499" i="2"/>
  <c r="AH500" i="1"/>
  <c r="K499" i="2"/>
  <c r="AP500" i="1"/>
  <c r="H499" i="2"/>
  <c r="G499" i="2"/>
  <c r="AO500" i="1"/>
  <c r="F499" i="2"/>
  <c r="E499" i="2"/>
  <c r="AN500" i="1"/>
  <c r="D499" i="2"/>
  <c r="C499" i="2"/>
  <c r="B499" i="2"/>
  <c r="I498" i="2"/>
  <c r="J498" i="2"/>
  <c r="L498" i="2"/>
  <c r="AH499" i="1"/>
  <c r="K498" i="2"/>
  <c r="AP499" i="1"/>
  <c r="H498" i="2"/>
  <c r="G498" i="2"/>
  <c r="AO499" i="1"/>
  <c r="F498" i="2"/>
  <c r="E498" i="2"/>
  <c r="AN499" i="1"/>
  <c r="D498" i="2"/>
  <c r="C498" i="2"/>
  <c r="B498" i="2"/>
  <c r="I497" i="2"/>
  <c r="J497" i="2"/>
  <c r="L497" i="2"/>
  <c r="AH498" i="1"/>
  <c r="K497" i="2"/>
  <c r="AP498" i="1"/>
  <c r="H497" i="2"/>
  <c r="G497" i="2"/>
  <c r="AO498" i="1"/>
  <c r="F497" i="2"/>
  <c r="E497" i="2"/>
  <c r="AN498" i="1"/>
  <c r="D497" i="2"/>
  <c r="C497" i="2"/>
  <c r="B497" i="2"/>
  <c r="I496" i="2"/>
  <c r="J496" i="2"/>
  <c r="L496" i="2"/>
  <c r="AH497" i="1"/>
  <c r="K496" i="2"/>
  <c r="AP497" i="1"/>
  <c r="H496" i="2"/>
  <c r="G496" i="2"/>
  <c r="AO497" i="1"/>
  <c r="F496" i="2"/>
  <c r="E496" i="2"/>
  <c r="AN497" i="1"/>
  <c r="D496" i="2"/>
  <c r="C496" i="2"/>
  <c r="B496" i="2"/>
  <c r="I495" i="2"/>
  <c r="J495" i="2"/>
  <c r="L495" i="2"/>
  <c r="AH496" i="1"/>
  <c r="K495" i="2"/>
  <c r="AP496" i="1"/>
  <c r="H495" i="2"/>
  <c r="G495" i="2"/>
  <c r="AO496" i="1"/>
  <c r="F495" i="2"/>
  <c r="E495" i="2"/>
  <c r="AN496" i="1"/>
  <c r="D495" i="2"/>
  <c r="C495" i="2"/>
  <c r="B495" i="2"/>
  <c r="I494" i="2"/>
  <c r="J494" i="2"/>
  <c r="L494" i="2"/>
  <c r="AH495" i="1"/>
  <c r="K494" i="2"/>
  <c r="AP495" i="1"/>
  <c r="H494" i="2"/>
  <c r="G494" i="2"/>
  <c r="AO495" i="1"/>
  <c r="F494" i="2"/>
  <c r="E494" i="2"/>
  <c r="AN495" i="1"/>
  <c r="D494" i="2"/>
  <c r="C494" i="2"/>
  <c r="B494" i="2"/>
  <c r="I493" i="2"/>
  <c r="J493" i="2"/>
  <c r="L493" i="2"/>
  <c r="AH494" i="1"/>
  <c r="K493" i="2"/>
  <c r="AP494" i="1"/>
  <c r="H493" i="2"/>
  <c r="G493" i="2"/>
  <c r="AO494" i="1"/>
  <c r="F493" i="2"/>
  <c r="E493" i="2"/>
  <c r="AN494" i="1"/>
  <c r="D493" i="2"/>
  <c r="C493" i="2"/>
  <c r="B493" i="2"/>
  <c r="I492" i="2"/>
  <c r="J492" i="2"/>
  <c r="L492" i="2"/>
  <c r="AH493" i="1"/>
  <c r="K492" i="2"/>
  <c r="AP493" i="1"/>
  <c r="H492" i="2"/>
  <c r="G492" i="2"/>
  <c r="AO493" i="1"/>
  <c r="F492" i="2"/>
  <c r="E492" i="2"/>
  <c r="AN493" i="1"/>
  <c r="D492" i="2"/>
  <c r="C492" i="2"/>
  <c r="B492" i="2"/>
  <c r="I491" i="2"/>
  <c r="J491" i="2"/>
  <c r="L491" i="2"/>
  <c r="AH492" i="1"/>
  <c r="K491" i="2"/>
  <c r="AP492" i="1"/>
  <c r="H491" i="2"/>
  <c r="G491" i="2"/>
  <c r="AO492" i="1"/>
  <c r="F491" i="2"/>
  <c r="E491" i="2"/>
  <c r="AN492" i="1"/>
  <c r="D491" i="2"/>
  <c r="C491" i="2"/>
  <c r="B491" i="2"/>
  <c r="I490" i="2"/>
  <c r="J490" i="2"/>
  <c r="L490" i="2"/>
  <c r="AH491" i="1"/>
  <c r="K490" i="2"/>
  <c r="AP491" i="1"/>
  <c r="H490" i="2"/>
  <c r="G490" i="2"/>
  <c r="AO491" i="1"/>
  <c r="F490" i="2"/>
  <c r="E490" i="2"/>
  <c r="AN491" i="1"/>
  <c r="D490" i="2"/>
  <c r="C490" i="2"/>
  <c r="B490" i="2"/>
  <c r="I489" i="2"/>
  <c r="J489" i="2"/>
  <c r="L489" i="2"/>
  <c r="AH490" i="1"/>
  <c r="K489" i="2"/>
  <c r="AP490" i="1"/>
  <c r="H489" i="2"/>
  <c r="G489" i="2"/>
  <c r="AO490" i="1"/>
  <c r="F489" i="2"/>
  <c r="E489" i="2"/>
  <c r="AN490" i="1"/>
  <c r="D489" i="2"/>
  <c r="C489" i="2"/>
  <c r="B489" i="2"/>
  <c r="I488" i="2"/>
  <c r="J488" i="2"/>
  <c r="L488" i="2"/>
  <c r="AH489" i="1"/>
  <c r="K488" i="2"/>
  <c r="AP489" i="1"/>
  <c r="H488" i="2"/>
  <c r="G488" i="2"/>
  <c r="AO489" i="1"/>
  <c r="F488" i="2"/>
  <c r="E488" i="2"/>
  <c r="AN489" i="1"/>
  <c r="D488" i="2"/>
  <c r="C488" i="2"/>
  <c r="B488" i="2"/>
  <c r="I487" i="2"/>
  <c r="J487" i="2"/>
  <c r="L487" i="2"/>
  <c r="AH488" i="1"/>
  <c r="K487" i="2"/>
  <c r="AP488" i="1"/>
  <c r="H487" i="2"/>
  <c r="G487" i="2"/>
  <c r="AO488" i="1"/>
  <c r="F487" i="2"/>
  <c r="E487" i="2"/>
  <c r="AN488" i="1"/>
  <c r="D487" i="2"/>
  <c r="C487" i="2"/>
  <c r="B487" i="2"/>
  <c r="I486" i="2"/>
  <c r="J486" i="2"/>
  <c r="L486" i="2"/>
  <c r="K486" i="2"/>
  <c r="AP487" i="1"/>
  <c r="H486" i="2"/>
  <c r="G486" i="2"/>
  <c r="AO487" i="1"/>
  <c r="F486" i="2"/>
  <c r="E486" i="2"/>
  <c r="AN487" i="1"/>
  <c r="D486" i="2"/>
  <c r="C486" i="2"/>
  <c r="B486" i="2"/>
  <c r="I485" i="2"/>
  <c r="J485" i="2"/>
  <c r="L485" i="2"/>
  <c r="AH486" i="1"/>
  <c r="K485" i="2"/>
  <c r="AP486" i="1"/>
  <c r="H485" i="2"/>
  <c r="G485" i="2"/>
  <c r="AO486" i="1"/>
  <c r="F485" i="2"/>
  <c r="E485" i="2"/>
  <c r="AN486" i="1"/>
  <c r="D485" i="2"/>
  <c r="C485" i="2"/>
  <c r="B485" i="2"/>
  <c r="I484" i="2"/>
  <c r="J484" i="2"/>
  <c r="L484" i="2"/>
  <c r="AH485" i="1"/>
  <c r="K484" i="2"/>
  <c r="AP485" i="1"/>
  <c r="H484" i="2"/>
  <c r="G484" i="2"/>
  <c r="AO485" i="1"/>
  <c r="F484" i="2"/>
  <c r="E484" i="2"/>
  <c r="AN485" i="1"/>
  <c r="D484" i="2"/>
  <c r="C484" i="2"/>
  <c r="B484" i="2"/>
  <c r="I483" i="2"/>
  <c r="J483" i="2"/>
  <c r="L483" i="2"/>
  <c r="AH484" i="1"/>
  <c r="K483" i="2"/>
  <c r="AP484" i="1"/>
  <c r="H483" i="2"/>
  <c r="G483" i="2"/>
  <c r="AO484" i="1"/>
  <c r="F483" i="2"/>
  <c r="E483" i="2"/>
  <c r="AN484" i="1"/>
  <c r="D483" i="2"/>
  <c r="C483" i="2"/>
  <c r="B483" i="2"/>
  <c r="I482" i="2"/>
  <c r="J482" i="2"/>
  <c r="L482" i="2"/>
  <c r="AH483" i="1"/>
  <c r="K482" i="2"/>
  <c r="AP483" i="1"/>
  <c r="H482" i="2"/>
  <c r="G482" i="2"/>
  <c r="AO483" i="1"/>
  <c r="F482" i="2"/>
  <c r="E482" i="2"/>
  <c r="AN483" i="1"/>
  <c r="D482" i="2"/>
  <c r="C482" i="2"/>
  <c r="B482" i="2"/>
  <c r="I481" i="2"/>
  <c r="J481" i="2"/>
  <c r="L481" i="2"/>
  <c r="AH482" i="1"/>
  <c r="K481" i="2"/>
  <c r="AP482" i="1"/>
  <c r="H481" i="2"/>
  <c r="G481" i="2"/>
  <c r="AO482" i="1"/>
  <c r="F481" i="2"/>
  <c r="E481" i="2"/>
  <c r="AN482" i="1"/>
  <c r="D481" i="2"/>
  <c r="C481" i="2"/>
  <c r="B481" i="2"/>
  <c r="I480" i="2"/>
  <c r="J480" i="2"/>
  <c r="L480" i="2"/>
  <c r="K480" i="2"/>
  <c r="AP481" i="1"/>
  <c r="H480" i="2"/>
  <c r="G480" i="2"/>
  <c r="AO481" i="1"/>
  <c r="F480" i="2"/>
  <c r="E480" i="2"/>
  <c r="AN481" i="1"/>
  <c r="D480" i="2"/>
  <c r="C480" i="2"/>
  <c r="B480" i="2"/>
  <c r="I479" i="2"/>
  <c r="J479" i="2"/>
  <c r="L479" i="2"/>
  <c r="K479" i="2"/>
  <c r="AP480" i="1"/>
  <c r="H479" i="2"/>
  <c r="G479" i="2"/>
  <c r="AO480" i="1"/>
  <c r="F479" i="2"/>
  <c r="E479" i="2"/>
  <c r="AN480" i="1"/>
  <c r="D479" i="2"/>
  <c r="C479" i="2"/>
  <c r="B479" i="2"/>
  <c r="I478" i="2"/>
  <c r="J478" i="2"/>
  <c r="L478" i="2"/>
  <c r="AH479" i="1"/>
  <c r="K478" i="2"/>
  <c r="AP479" i="1"/>
  <c r="H478" i="2"/>
  <c r="G478" i="2"/>
  <c r="AO479" i="1"/>
  <c r="F478" i="2"/>
  <c r="E478" i="2"/>
  <c r="AN479" i="1"/>
  <c r="D478" i="2"/>
  <c r="C478" i="2"/>
  <c r="B478" i="2"/>
  <c r="I477" i="2"/>
  <c r="J477" i="2"/>
  <c r="L477" i="2"/>
  <c r="AH478" i="1"/>
  <c r="K477" i="2"/>
  <c r="AP478" i="1"/>
  <c r="H477" i="2"/>
  <c r="G477" i="2"/>
  <c r="AO478" i="1"/>
  <c r="F477" i="2"/>
  <c r="E477" i="2"/>
  <c r="AN478" i="1"/>
  <c r="D477" i="2"/>
  <c r="C477" i="2"/>
  <c r="B477" i="2"/>
  <c r="I476" i="2"/>
  <c r="J476" i="2"/>
  <c r="L476" i="2"/>
  <c r="K476" i="2"/>
  <c r="AP477" i="1"/>
  <c r="H476" i="2"/>
  <c r="G476" i="2"/>
  <c r="AO477" i="1"/>
  <c r="F476" i="2"/>
  <c r="E476" i="2"/>
  <c r="AN477" i="1"/>
  <c r="D476" i="2"/>
  <c r="C476" i="2"/>
  <c r="B476" i="2"/>
  <c r="I475" i="2"/>
  <c r="J475" i="2"/>
  <c r="L475" i="2"/>
  <c r="K475" i="2"/>
  <c r="AP476" i="1"/>
  <c r="H475" i="2"/>
  <c r="G475" i="2"/>
  <c r="AO476" i="1"/>
  <c r="F475" i="2"/>
  <c r="E475" i="2"/>
  <c r="AN476" i="1"/>
  <c r="D475" i="2"/>
  <c r="C475" i="2"/>
  <c r="B475" i="2"/>
  <c r="I474" i="2"/>
  <c r="J474" i="2"/>
  <c r="L474" i="2"/>
  <c r="K474" i="2"/>
  <c r="AP475" i="1"/>
  <c r="H474" i="2"/>
  <c r="G474" i="2"/>
  <c r="AO475" i="1"/>
  <c r="F474" i="2"/>
  <c r="E474" i="2"/>
  <c r="AN475" i="1"/>
  <c r="D474" i="2"/>
  <c r="C474" i="2"/>
  <c r="B474" i="2"/>
  <c r="I473" i="2"/>
  <c r="J473" i="2"/>
  <c r="L473" i="2"/>
  <c r="K473" i="2"/>
  <c r="AP474" i="1"/>
  <c r="H473" i="2"/>
  <c r="G473" i="2"/>
  <c r="AO474" i="1"/>
  <c r="F473" i="2"/>
  <c r="E473" i="2"/>
  <c r="AN474" i="1"/>
  <c r="D473" i="2"/>
  <c r="C473" i="2"/>
  <c r="B473" i="2"/>
  <c r="I472" i="2"/>
  <c r="J472" i="2"/>
  <c r="L472" i="2"/>
  <c r="K472" i="2"/>
  <c r="AP473" i="1"/>
  <c r="H472" i="2"/>
  <c r="G472" i="2"/>
  <c r="AO473" i="1"/>
  <c r="F472" i="2"/>
  <c r="E472" i="2"/>
  <c r="AN473" i="1"/>
  <c r="D472" i="2"/>
  <c r="C472" i="2"/>
  <c r="B472" i="2"/>
  <c r="I471" i="2"/>
  <c r="J471" i="2"/>
  <c r="L471" i="2"/>
  <c r="K471" i="2"/>
  <c r="AP472" i="1"/>
  <c r="H471" i="2"/>
  <c r="G471" i="2"/>
  <c r="AO472" i="1"/>
  <c r="F471" i="2"/>
  <c r="E471" i="2"/>
  <c r="AN472" i="1"/>
  <c r="D471" i="2"/>
  <c r="C471" i="2"/>
  <c r="B471" i="2"/>
  <c r="I470" i="2"/>
  <c r="J470" i="2"/>
  <c r="L470" i="2"/>
  <c r="K470" i="2"/>
  <c r="AP471" i="1"/>
  <c r="H470" i="2"/>
  <c r="G470" i="2"/>
  <c r="AO471" i="1"/>
  <c r="F470" i="2"/>
  <c r="E470" i="2"/>
  <c r="AN471" i="1"/>
  <c r="D470" i="2"/>
  <c r="C470" i="2"/>
  <c r="B470" i="2"/>
  <c r="I469" i="2"/>
  <c r="J469" i="2"/>
  <c r="L469" i="2"/>
  <c r="K469" i="2"/>
  <c r="AP470" i="1"/>
  <c r="H469" i="2"/>
  <c r="G469" i="2"/>
  <c r="AO470" i="1"/>
  <c r="F469" i="2"/>
  <c r="E469" i="2"/>
  <c r="AN470" i="1"/>
  <c r="D469" i="2"/>
  <c r="C469" i="2"/>
  <c r="B469" i="2"/>
  <c r="I468" i="2"/>
  <c r="J468" i="2"/>
  <c r="L468" i="2"/>
  <c r="AH469" i="1"/>
  <c r="K468" i="2"/>
  <c r="AP469" i="1"/>
  <c r="H468" i="2"/>
  <c r="G468" i="2"/>
  <c r="AO469" i="1"/>
  <c r="F468" i="2"/>
  <c r="E468" i="2"/>
  <c r="AN469" i="1"/>
  <c r="D468" i="2"/>
  <c r="C468" i="2"/>
  <c r="B468" i="2"/>
  <c r="I467" i="2"/>
  <c r="J467" i="2"/>
  <c r="L467" i="2"/>
  <c r="AH468" i="1"/>
  <c r="K467" i="2"/>
  <c r="AP468" i="1"/>
  <c r="H467" i="2"/>
  <c r="G467" i="2"/>
  <c r="AO468" i="1"/>
  <c r="F467" i="2"/>
  <c r="E467" i="2"/>
  <c r="AN468" i="1"/>
  <c r="D467" i="2"/>
  <c r="C467" i="2"/>
  <c r="B467" i="2"/>
  <c r="I466" i="2"/>
  <c r="J466" i="2"/>
  <c r="L466" i="2"/>
  <c r="AH467" i="1"/>
  <c r="K466" i="2"/>
  <c r="AP467" i="1"/>
  <c r="H466" i="2"/>
  <c r="G466" i="2"/>
  <c r="AO467" i="1"/>
  <c r="F466" i="2"/>
  <c r="E466" i="2"/>
  <c r="AN467" i="1"/>
  <c r="D466" i="2"/>
  <c r="C466" i="2"/>
  <c r="B466" i="2"/>
  <c r="I465" i="2"/>
  <c r="J465" i="2"/>
  <c r="L465" i="2"/>
  <c r="AH466" i="1"/>
  <c r="K465" i="2"/>
  <c r="AP466" i="1"/>
  <c r="H465" i="2"/>
  <c r="G465" i="2"/>
  <c r="AO466" i="1"/>
  <c r="F465" i="2"/>
  <c r="E465" i="2"/>
  <c r="AN466" i="1"/>
  <c r="D465" i="2"/>
  <c r="C465" i="2"/>
  <c r="B465" i="2"/>
  <c r="I464" i="2"/>
  <c r="J464" i="2"/>
  <c r="L464" i="2"/>
  <c r="K464" i="2"/>
  <c r="AP465" i="1"/>
  <c r="H464" i="2"/>
  <c r="G464" i="2"/>
  <c r="AO465" i="1"/>
  <c r="F464" i="2"/>
  <c r="E464" i="2"/>
  <c r="AN465" i="1"/>
  <c r="D464" i="2"/>
  <c r="C464" i="2"/>
  <c r="B464" i="2"/>
  <c r="I463" i="2"/>
  <c r="J463" i="2"/>
  <c r="L463" i="2"/>
  <c r="K463" i="2"/>
  <c r="AP464" i="1"/>
  <c r="H463" i="2"/>
  <c r="G463" i="2"/>
  <c r="AO464" i="1"/>
  <c r="F463" i="2"/>
  <c r="E463" i="2"/>
  <c r="AN464" i="1"/>
  <c r="D463" i="2"/>
  <c r="C463" i="2"/>
  <c r="B463" i="2"/>
  <c r="I462" i="2"/>
  <c r="J462" i="2"/>
  <c r="L462" i="2"/>
  <c r="K462" i="2"/>
  <c r="AP463" i="1"/>
  <c r="H462" i="2"/>
  <c r="G462" i="2"/>
  <c r="AO463" i="1"/>
  <c r="F462" i="2"/>
  <c r="E462" i="2"/>
  <c r="AN463" i="1"/>
  <c r="D462" i="2"/>
  <c r="C462" i="2"/>
  <c r="B462" i="2"/>
  <c r="I461" i="2"/>
  <c r="J461" i="2"/>
  <c r="L461" i="2"/>
  <c r="K461" i="2"/>
  <c r="AP462" i="1"/>
  <c r="H461" i="2"/>
  <c r="G461" i="2"/>
  <c r="AO462" i="1"/>
  <c r="F461" i="2"/>
  <c r="E461" i="2"/>
  <c r="AN462" i="1"/>
  <c r="D461" i="2"/>
  <c r="C461" i="2"/>
  <c r="B461" i="2"/>
  <c r="I460" i="2"/>
  <c r="J460" i="2"/>
  <c r="L460" i="2"/>
  <c r="AH461" i="1"/>
  <c r="K460" i="2"/>
  <c r="AP461" i="1"/>
  <c r="H460" i="2"/>
  <c r="G460" i="2"/>
  <c r="AO461" i="1"/>
  <c r="F460" i="2"/>
  <c r="E460" i="2"/>
  <c r="AN461" i="1"/>
  <c r="D460" i="2"/>
  <c r="C460" i="2"/>
  <c r="B460" i="2"/>
  <c r="I459" i="2"/>
  <c r="J459" i="2"/>
  <c r="L459" i="2"/>
  <c r="K459" i="2"/>
  <c r="AP460" i="1"/>
  <c r="H459" i="2"/>
  <c r="G459" i="2"/>
  <c r="AO460" i="1"/>
  <c r="F459" i="2"/>
  <c r="E459" i="2"/>
  <c r="AN460" i="1"/>
  <c r="D459" i="2"/>
  <c r="C459" i="2"/>
  <c r="B459" i="2"/>
  <c r="I458" i="2"/>
  <c r="J458" i="2"/>
  <c r="L458" i="2"/>
  <c r="AH459" i="1"/>
  <c r="K458" i="2"/>
  <c r="AP459" i="1"/>
  <c r="H458" i="2"/>
  <c r="G458" i="2"/>
  <c r="AO459" i="1"/>
  <c r="F458" i="2"/>
  <c r="E458" i="2"/>
  <c r="AN459" i="1"/>
  <c r="D458" i="2"/>
  <c r="C458" i="2"/>
  <c r="B458" i="2"/>
  <c r="I457" i="2"/>
  <c r="J457" i="2"/>
  <c r="L457" i="2"/>
  <c r="K457" i="2"/>
  <c r="AP458" i="1"/>
  <c r="H457" i="2"/>
  <c r="G457" i="2"/>
  <c r="AO458" i="1"/>
  <c r="F457" i="2"/>
  <c r="E457" i="2"/>
  <c r="AN458" i="1"/>
  <c r="D457" i="2"/>
  <c r="C457" i="2"/>
  <c r="B457" i="2"/>
  <c r="I456" i="2"/>
  <c r="J456" i="2"/>
  <c r="L456" i="2"/>
  <c r="K456" i="2"/>
  <c r="AP457" i="1"/>
  <c r="H456" i="2"/>
  <c r="G456" i="2"/>
  <c r="AO457" i="1"/>
  <c r="F456" i="2"/>
  <c r="E456" i="2"/>
  <c r="AN457" i="1"/>
  <c r="D456" i="2"/>
  <c r="C456" i="2"/>
  <c r="B456" i="2"/>
  <c r="I455" i="2"/>
  <c r="J455" i="2"/>
  <c r="L455" i="2"/>
  <c r="K455" i="2"/>
  <c r="AP456" i="1"/>
  <c r="H455" i="2"/>
  <c r="G455" i="2"/>
  <c r="AO456" i="1"/>
  <c r="F455" i="2"/>
  <c r="E455" i="2"/>
  <c r="AN456" i="1"/>
  <c r="D455" i="2"/>
  <c r="C455" i="2"/>
  <c r="B455" i="2"/>
  <c r="I454" i="2"/>
  <c r="J454" i="2"/>
  <c r="L454" i="2"/>
  <c r="K454" i="2"/>
  <c r="AP455" i="1"/>
  <c r="H454" i="2"/>
  <c r="G454" i="2"/>
  <c r="AO455" i="1"/>
  <c r="F454" i="2"/>
  <c r="E454" i="2"/>
  <c r="AN455" i="1"/>
  <c r="D454" i="2"/>
  <c r="C454" i="2"/>
  <c r="B454" i="2"/>
  <c r="I453" i="2"/>
  <c r="J453" i="2"/>
  <c r="L453" i="2"/>
  <c r="K453" i="2"/>
  <c r="AP454" i="1"/>
  <c r="H453" i="2"/>
  <c r="G453" i="2"/>
  <c r="AO454" i="1"/>
  <c r="F453" i="2"/>
  <c r="E453" i="2"/>
  <c r="AN454" i="1"/>
  <c r="D453" i="2"/>
  <c r="C453" i="2"/>
  <c r="B453" i="2"/>
  <c r="I452" i="2"/>
  <c r="J452" i="2"/>
  <c r="L452" i="2"/>
  <c r="K452" i="2"/>
  <c r="AP453" i="1"/>
  <c r="H452" i="2"/>
  <c r="G452" i="2"/>
  <c r="AO453" i="1"/>
  <c r="F452" i="2"/>
  <c r="E452" i="2"/>
  <c r="AN453" i="1"/>
  <c r="D452" i="2"/>
  <c r="C452" i="2"/>
  <c r="B452" i="2"/>
  <c r="I451" i="2"/>
  <c r="J451" i="2"/>
  <c r="L451" i="2"/>
  <c r="K451" i="2"/>
  <c r="AP452" i="1"/>
  <c r="H451" i="2"/>
  <c r="G451" i="2"/>
  <c r="AO452" i="1"/>
  <c r="F451" i="2"/>
  <c r="E451" i="2"/>
  <c r="AN452" i="1"/>
  <c r="D451" i="2"/>
  <c r="C451" i="2"/>
  <c r="B451" i="2"/>
  <c r="I450" i="2"/>
  <c r="J450" i="2"/>
  <c r="L450" i="2"/>
  <c r="K450" i="2"/>
  <c r="AP451" i="1"/>
  <c r="H450" i="2"/>
  <c r="G450" i="2"/>
  <c r="AO451" i="1"/>
  <c r="F450" i="2"/>
  <c r="E450" i="2"/>
  <c r="AN451" i="1"/>
  <c r="D450" i="2"/>
  <c r="C450" i="2"/>
  <c r="B450" i="2"/>
  <c r="I449" i="2"/>
  <c r="J449" i="2"/>
  <c r="L449" i="2"/>
  <c r="K449" i="2"/>
  <c r="AP450" i="1"/>
  <c r="H449" i="2"/>
  <c r="G449" i="2"/>
  <c r="AO450" i="1"/>
  <c r="F449" i="2"/>
  <c r="E449" i="2"/>
  <c r="AN450" i="1"/>
  <c r="D449" i="2"/>
  <c r="C449" i="2"/>
  <c r="B449" i="2"/>
  <c r="I448" i="2"/>
  <c r="J448" i="2"/>
  <c r="L448" i="2"/>
  <c r="K448" i="2"/>
  <c r="AP449" i="1"/>
  <c r="H448" i="2"/>
  <c r="G448" i="2"/>
  <c r="AO449" i="1"/>
  <c r="F448" i="2"/>
  <c r="E448" i="2"/>
  <c r="AN449" i="1"/>
  <c r="D448" i="2"/>
  <c r="C448" i="2"/>
  <c r="B448" i="2"/>
  <c r="I447" i="2"/>
  <c r="J447" i="2"/>
  <c r="L447" i="2"/>
  <c r="K447" i="2"/>
  <c r="AP448" i="1"/>
  <c r="H447" i="2"/>
  <c r="G447" i="2"/>
  <c r="AO448" i="1"/>
  <c r="F447" i="2"/>
  <c r="E447" i="2"/>
  <c r="AN448" i="1"/>
  <c r="D447" i="2"/>
  <c r="C447" i="2"/>
  <c r="B447" i="2"/>
  <c r="I446" i="2"/>
  <c r="J446" i="2"/>
  <c r="L446" i="2"/>
  <c r="K446" i="2"/>
  <c r="AP447" i="1"/>
  <c r="H446" i="2"/>
  <c r="G446" i="2"/>
  <c r="AO447" i="1"/>
  <c r="F446" i="2"/>
  <c r="E446" i="2"/>
  <c r="AN447" i="1"/>
  <c r="D446" i="2"/>
  <c r="C446" i="2"/>
  <c r="B446" i="2"/>
  <c r="I445" i="2"/>
  <c r="J445" i="2"/>
  <c r="L445" i="2"/>
  <c r="K445" i="2"/>
  <c r="AP446" i="1"/>
  <c r="H445" i="2"/>
  <c r="G445" i="2"/>
  <c r="AO446" i="1"/>
  <c r="F445" i="2"/>
  <c r="E445" i="2"/>
  <c r="AN446" i="1"/>
  <c r="D445" i="2"/>
  <c r="C445" i="2"/>
  <c r="B445" i="2"/>
  <c r="I444" i="2"/>
  <c r="J444" i="2"/>
  <c r="L444" i="2"/>
  <c r="K444" i="2"/>
  <c r="AP445" i="1"/>
  <c r="H444" i="2"/>
  <c r="G444" i="2"/>
  <c r="AO445" i="1"/>
  <c r="F444" i="2"/>
  <c r="E444" i="2"/>
  <c r="AN445" i="1"/>
  <c r="D444" i="2"/>
  <c r="C444" i="2"/>
  <c r="B444" i="2"/>
  <c r="I443" i="2"/>
  <c r="J443" i="2"/>
  <c r="L443" i="2"/>
  <c r="K443" i="2"/>
  <c r="AP444" i="1"/>
  <c r="H443" i="2"/>
  <c r="G443" i="2"/>
  <c r="AO444" i="1"/>
  <c r="F443" i="2"/>
  <c r="E443" i="2"/>
  <c r="AN444" i="1"/>
  <c r="D443" i="2"/>
  <c r="C443" i="2"/>
  <c r="B443" i="2"/>
  <c r="I442" i="2"/>
  <c r="J442" i="2"/>
  <c r="L442" i="2"/>
  <c r="K442" i="2"/>
  <c r="AP443" i="1"/>
  <c r="H442" i="2"/>
  <c r="G442" i="2"/>
  <c r="AO443" i="1"/>
  <c r="F442" i="2"/>
  <c r="E442" i="2"/>
  <c r="AN443" i="1"/>
  <c r="D442" i="2"/>
  <c r="C442" i="2"/>
  <c r="B442" i="2"/>
  <c r="I441" i="2"/>
  <c r="J441" i="2"/>
  <c r="L441" i="2"/>
  <c r="K441" i="2"/>
  <c r="AP442" i="1"/>
  <c r="H441" i="2"/>
  <c r="G441" i="2"/>
  <c r="AO442" i="1"/>
  <c r="F441" i="2"/>
  <c r="E441" i="2"/>
  <c r="AN442" i="1"/>
  <c r="D441" i="2"/>
  <c r="C441" i="2"/>
  <c r="B441" i="2"/>
  <c r="I440" i="2"/>
  <c r="J440" i="2"/>
  <c r="L440" i="2"/>
  <c r="K440" i="2"/>
  <c r="AP441" i="1"/>
  <c r="H440" i="2"/>
  <c r="G440" i="2"/>
  <c r="AO441" i="1"/>
  <c r="F440" i="2"/>
  <c r="E440" i="2"/>
  <c r="AN441" i="1"/>
  <c r="D440" i="2"/>
  <c r="C440" i="2"/>
  <c r="B440" i="2"/>
  <c r="I439" i="2"/>
  <c r="J439" i="2"/>
  <c r="L439" i="2"/>
  <c r="K439" i="2"/>
  <c r="AP440" i="1"/>
  <c r="H439" i="2"/>
  <c r="G439" i="2"/>
  <c r="AO440" i="1"/>
  <c r="F439" i="2"/>
  <c r="E439" i="2"/>
  <c r="AN440" i="1"/>
  <c r="D439" i="2"/>
  <c r="C439" i="2"/>
  <c r="B439" i="2"/>
  <c r="I438" i="2"/>
  <c r="J438" i="2"/>
  <c r="L438" i="2"/>
  <c r="K438" i="2"/>
  <c r="AP439" i="1"/>
  <c r="H438" i="2"/>
  <c r="G438" i="2"/>
  <c r="AO439" i="1"/>
  <c r="F438" i="2"/>
  <c r="E438" i="2"/>
  <c r="AN439" i="1"/>
  <c r="D438" i="2"/>
  <c r="C438" i="2"/>
  <c r="B438" i="2"/>
  <c r="I437" i="2"/>
  <c r="J437" i="2"/>
  <c r="L437" i="2"/>
  <c r="K437" i="2"/>
  <c r="AP438" i="1"/>
  <c r="H437" i="2"/>
  <c r="G437" i="2"/>
  <c r="AO438" i="1"/>
  <c r="F437" i="2"/>
  <c r="E437" i="2"/>
  <c r="AN438" i="1"/>
  <c r="D437" i="2"/>
  <c r="C437" i="2"/>
  <c r="B437" i="2"/>
  <c r="I436" i="2"/>
  <c r="J436" i="2"/>
  <c r="L436" i="2"/>
  <c r="K436" i="2"/>
  <c r="AP437" i="1"/>
  <c r="H436" i="2"/>
  <c r="G436" i="2"/>
  <c r="AO437" i="1"/>
  <c r="F436" i="2"/>
  <c r="E436" i="2"/>
  <c r="AN437" i="1"/>
  <c r="D436" i="2"/>
  <c r="C436" i="2"/>
  <c r="B436" i="2"/>
  <c r="I435" i="2"/>
  <c r="J435" i="2"/>
  <c r="L435" i="2"/>
  <c r="K435" i="2"/>
  <c r="AP436" i="1"/>
  <c r="H435" i="2"/>
  <c r="G435" i="2"/>
  <c r="AO436" i="1"/>
  <c r="F435" i="2"/>
  <c r="E435" i="2"/>
  <c r="AN436" i="1"/>
  <c r="D435" i="2"/>
  <c r="C435" i="2"/>
  <c r="B435" i="2"/>
  <c r="I434" i="2"/>
  <c r="J434" i="2"/>
  <c r="L434" i="2"/>
  <c r="K434" i="2"/>
  <c r="AP435" i="1"/>
  <c r="H434" i="2"/>
  <c r="G434" i="2"/>
  <c r="AO435" i="1"/>
  <c r="F434" i="2"/>
  <c r="E434" i="2"/>
  <c r="AN435" i="1"/>
  <c r="D434" i="2"/>
  <c r="C434" i="2"/>
  <c r="B434" i="2"/>
  <c r="I433" i="2"/>
  <c r="J433" i="2"/>
  <c r="L433" i="2"/>
  <c r="K433" i="2"/>
  <c r="AP434" i="1"/>
  <c r="H433" i="2"/>
  <c r="G433" i="2"/>
  <c r="AO434" i="1"/>
  <c r="F433" i="2"/>
  <c r="E433" i="2"/>
  <c r="AN434" i="1"/>
  <c r="D433" i="2"/>
  <c r="C433" i="2"/>
  <c r="B433" i="2"/>
  <c r="I432" i="2"/>
  <c r="J432" i="2"/>
  <c r="L432" i="2"/>
  <c r="K432" i="2"/>
  <c r="AP433" i="1"/>
  <c r="H432" i="2"/>
  <c r="G432" i="2"/>
  <c r="AO433" i="1"/>
  <c r="F432" i="2"/>
  <c r="E432" i="2"/>
  <c r="AN433" i="1"/>
  <c r="D432" i="2"/>
  <c r="C432" i="2"/>
  <c r="B432" i="2"/>
  <c r="I431" i="2"/>
  <c r="J431" i="2"/>
  <c r="L431" i="2"/>
  <c r="K431" i="2"/>
  <c r="AP432" i="1"/>
  <c r="H431" i="2"/>
  <c r="G431" i="2"/>
  <c r="AO432" i="1"/>
  <c r="F431" i="2"/>
  <c r="E431" i="2"/>
  <c r="AN432" i="1"/>
  <c r="D431" i="2"/>
  <c r="C431" i="2"/>
  <c r="B431" i="2"/>
  <c r="I430" i="2"/>
  <c r="J430" i="2"/>
  <c r="L430" i="2"/>
  <c r="K430" i="2"/>
  <c r="AP431" i="1"/>
  <c r="H430" i="2"/>
  <c r="G430" i="2"/>
  <c r="AO431" i="1"/>
  <c r="F430" i="2"/>
  <c r="E430" i="2"/>
  <c r="AN431" i="1"/>
  <c r="D430" i="2"/>
  <c r="C430" i="2"/>
  <c r="B430" i="2"/>
  <c r="I429" i="2"/>
  <c r="J429" i="2"/>
  <c r="L429" i="2"/>
  <c r="K429" i="2"/>
  <c r="AP430" i="1"/>
  <c r="H429" i="2"/>
  <c r="G429" i="2"/>
  <c r="AO430" i="1"/>
  <c r="F429" i="2"/>
  <c r="E429" i="2"/>
  <c r="AN430" i="1"/>
  <c r="D429" i="2"/>
  <c r="C429" i="2"/>
  <c r="B429" i="2"/>
  <c r="I428" i="2"/>
  <c r="J428" i="2"/>
  <c r="L428" i="2"/>
  <c r="K428" i="2"/>
  <c r="AP429" i="1"/>
  <c r="H428" i="2"/>
  <c r="G428" i="2"/>
  <c r="AO429" i="1"/>
  <c r="F428" i="2"/>
  <c r="E428" i="2"/>
  <c r="AN429" i="1"/>
  <c r="D428" i="2"/>
  <c r="C428" i="2"/>
  <c r="B428" i="2"/>
  <c r="I427" i="2"/>
  <c r="J427" i="2"/>
  <c r="L427" i="2"/>
  <c r="K427" i="2"/>
  <c r="AP428" i="1"/>
  <c r="H427" i="2"/>
  <c r="G427" i="2"/>
  <c r="AO428" i="1"/>
  <c r="F427" i="2"/>
  <c r="E427" i="2"/>
  <c r="AN428" i="1"/>
  <c r="D427" i="2"/>
  <c r="C427" i="2"/>
  <c r="B427" i="2"/>
  <c r="I426" i="2"/>
  <c r="J426" i="2"/>
  <c r="L426" i="2"/>
  <c r="K426" i="2"/>
  <c r="AP427" i="1"/>
  <c r="H426" i="2"/>
  <c r="G426" i="2"/>
  <c r="AO427" i="1"/>
  <c r="F426" i="2"/>
  <c r="E426" i="2"/>
  <c r="AN427" i="1"/>
  <c r="D426" i="2"/>
  <c r="C426" i="2"/>
  <c r="B426" i="2"/>
  <c r="I425" i="2"/>
  <c r="J425" i="2"/>
  <c r="L425" i="2"/>
  <c r="K425" i="2"/>
  <c r="AP426" i="1"/>
  <c r="H425" i="2"/>
  <c r="G425" i="2"/>
  <c r="AO426" i="1"/>
  <c r="F425" i="2"/>
  <c r="E425" i="2"/>
  <c r="AN426" i="1"/>
  <c r="D425" i="2"/>
  <c r="C425" i="2"/>
  <c r="B425" i="2"/>
  <c r="I424" i="2"/>
  <c r="J424" i="2"/>
  <c r="L424" i="2"/>
  <c r="K424" i="2"/>
  <c r="AP425" i="1"/>
  <c r="H424" i="2"/>
  <c r="G424" i="2"/>
  <c r="AO425" i="1"/>
  <c r="F424" i="2"/>
  <c r="E424" i="2"/>
  <c r="AN425" i="1"/>
  <c r="D424" i="2"/>
  <c r="C424" i="2"/>
  <c r="B424" i="2"/>
  <c r="I423" i="2"/>
  <c r="J423" i="2"/>
  <c r="L423" i="2"/>
  <c r="K423" i="2"/>
  <c r="AP424" i="1"/>
  <c r="H423" i="2"/>
  <c r="G423" i="2"/>
  <c r="AO424" i="1"/>
  <c r="F423" i="2"/>
  <c r="E423" i="2"/>
  <c r="AN424" i="1"/>
  <c r="D423" i="2"/>
  <c r="C423" i="2"/>
  <c r="B423" i="2"/>
  <c r="I422" i="2"/>
  <c r="J422" i="2"/>
  <c r="L422" i="2"/>
  <c r="K422" i="2"/>
  <c r="AP423" i="1"/>
  <c r="H422" i="2"/>
  <c r="G422" i="2"/>
  <c r="AO423" i="1"/>
  <c r="F422" i="2"/>
  <c r="E422" i="2"/>
  <c r="AN423" i="1"/>
  <c r="D422" i="2"/>
  <c r="C422" i="2"/>
  <c r="B422" i="2"/>
  <c r="I421" i="2"/>
  <c r="J421" i="2"/>
  <c r="L421" i="2"/>
  <c r="K421" i="2"/>
  <c r="AP422" i="1"/>
  <c r="H421" i="2"/>
  <c r="G421" i="2"/>
  <c r="AO422" i="1"/>
  <c r="F421" i="2"/>
  <c r="E421" i="2"/>
  <c r="AN422" i="1"/>
  <c r="D421" i="2"/>
  <c r="C421" i="2"/>
  <c r="B421" i="2"/>
  <c r="I420" i="2"/>
  <c r="J420" i="2"/>
  <c r="L420" i="2"/>
  <c r="K420" i="2"/>
  <c r="AP421" i="1"/>
  <c r="H420" i="2"/>
  <c r="G420" i="2"/>
  <c r="AO421" i="1"/>
  <c r="F420" i="2"/>
  <c r="E420" i="2"/>
  <c r="AN421" i="1"/>
  <c r="D420" i="2"/>
  <c r="C420" i="2"/>
  <c r="B420" i="2"/>
  <c r="I419" i="2"/>
  <c r="J419" i="2"/>
  <c r="L419" i="2"/>
  <c r="K419" i="2"/>
  <c r="AP420" i="1"/>
  <c r="H419" i="2"/>
  <c r="G419" i="2"/>
  <c r="AO420" i="1"/>
  <c r="F419" i="2"/>
  <c r="E419" i="2"/>
  <c r="AN420" i="1"/>
  <c r="D419" i="2"/>
  <c r="C419" i="2"/>
  <c r="B419" i="2"/>
  <c r="I418" i="2"/>
  <c r="J418" i="2"/>
  <c r="L418" i="2"/>
  <c r="K418" i="2"/>
  <c r="AP419" i="1"/>
  <c r="H418" i="2"/>
  <c r="G418" i="2"/>
  <c r="AO419" i="1"/>
  <c r="F418" i="2"/>
  <c r="E418" i="2"/>
  <c r="AN419" i="1"/>
  <c r="D418" i="2"/>
  <c r="C418" i="2"/>
  <c r="B418" i="2"/>
  <c r="I417" i="2"/>
  <c r="J417" i="2"/>
  <c r="L417" i="2"/>
  <c r="K417" i="2"/>
  <c r="AP418" i="1"/>
  <c r="H417" i="2"/>
  <c r="G417" i="2"/>
  <c r="AO418" i="1"/>
  <c r="F417" i="2"/>
  <c r="E417" i="2"/>
  <c r="AN418" i="1"/>
  <c r="D417" i="2"/>
  <c r="C417" i="2"/>
  <c r="B417" i="2"/>
  <c r="I416" i="2"/>
  <c r="J416" i="2"/>
  <c r="L416" i="2"/>
  <c r="K416" i="2"/>
  <c r="AP417" i="1"/>
  <c r="H416" i="2"/>
  <c r="G416" i="2"/>
  <c r="AO417" i="1"/>
  <c r="F416" i="2"/>
  <c r="E416" i="2"/>
  <c r="AN417" i="1"/>
  <c r="D416" i="2"/>
  <c r="C416" i="2"/>
  <c r="B416" i="2"/>
  <c r="I415" i="2"/>
  <c r="J415" i="2"/>
  <c r="L415" i="2"/>
  <c r="K415" i="2"/>
  <c r="AP416" i="1"/>
  <c r="H415" i="2"/>
  <c r="G415" i="2"/>
  <c r="AO416" i="1"/>
  <c r="F415" i="2"/>
  <c r="E415" i="2"/>
  <c r="AN416" i="1"/>
  <c r="D415" i="2"/>
  <c r="C415" i="2"/>
  <c r="B415" i="2"/>
  <c r="I414" i="2"/>
  <c r="J414" i="2"/>
  <c r="L414" i="2"/>
  <c r="K414" i="2"/>
  <c r="AP415" i="1"/>
  <c r="H414" i="2"/>
  <c r="G414" i="2"/>
  <c r="AO415" i="1"/>
  <c r="F414" i="2"/>
  <c r="E414" i="2"/>
  <c r="AN415" i="1"/>
  <c r="D414" i="2"/>
  <c r="C414" i="2"/>
  <c r="B414" i="2"/>
  <c r="I413" i="2"/>
  <c r="J413" i="2"/>
  <c r="L413" i="2"/>
  <c r="K413" i="2"/>
  <c r="AP414" i="1"/>
  <c r="H413" i="2"/>
  <c r="G413" i="2"/>
  <c r="AO414" i="1"/>
  <c r="F413" i="2"/>
  <c r="E413" i="2"/>
  <c r="AN414" i="1"/>
  <c r="D413" i="2"/>
  <c r="C413" i="2"/>
  <c r="B413" i="2"/>
  <c r="I412" i="2"/>
  <c r="J412" i="2"/>
  <c r="L412" i="2"/>
  <c r="K412" i="2"/>
  <c r="AP413" i="1"/>
  <c r="H412" i="2"/>
  <c r="G412" i="2"/>
  <c r="AO413" i="1"/>
  <c r="F412" i="2"/>
  <c r="E412" i="2"/>
  <c r="AN413" i="1"/>
  <c r="D412" i="2"/>
  <c r="C412" i="2"/>
  <c r="B412" i="2"/>
  <c r="I411" i="2"/>
  <c r="J411" i="2"/>
  <c r="L411" i="2"/>
  <c r="K411" i="2"/>
  <c r="AP412" i="1"/>
  <c r="H411" i="2"/>
  <c r="G411" i="2"/>
  <c r="AO412" i="1"/>
  <c r="F411" i="2"/>
  <c r="E411" i="2"/>
  <c r="AN412" i="1"/>
  <c r="D411" i="2"/>
  <c r="C411" i="2"/>
  <c r="B411" i="2"/>
  <c r="I410" i="2"/>
  <c r="J410" i="2"/>
  <c r="L410" i="2"/>
  <c r="K410" i="2"/>
  <c r="AP411" i="1"/>
  <c r="H410" i="2"/>
  <c r="G410" i="2"/>
  <c r="AO411" i="1"/>
  <c r="F410" i="2"/>
  <c r="E410" i="2"/>
  <c r="AN411" i="1"/>
  <c r="D410" i="2"/>
  <c r="C410" i="2"/>
  <c r="B410" i="2"/>
  <c r="I409" i="2"/>
  <c r="J409" i="2"/>
  <c r="L409" i="2"/>
  <c r="K409" i="2"/>
  <c r="AP410" i="1"/>
  <c r="H409" i="2"/>
  <c r="G409" i="2"/>
  <c r="AO410" i="1"/>
  <c r="F409" i="2"/>
  <c r="E409" i="2"/>
  <c r="AN410" i="1"/>
  <c r="D409" i="2"/>
  <c r="C409" i="2"/>
  <c r="B409" i="2"/>
  <c r="I408" i="2"/>
  <c r="J408" i="2"/>
  <c r="L408" i="2"/>
  <c r="K408" i="2"/>
  <c r="AP409" i="1"/>
  <c r="H408" i="2"/>
  <c r="G408" i="2"/>
  <c r="AO409" i="1"/>
  <c r="F408" i="2"/>
  <c r="E408" i="2"/>
  <c r="AN409" i="1"/>
  <c r="D408" i="2"/>
  <c r="C408" i="2"/>
  <c r="B408" i="2"/>
  <c r="I407" i="2"/>
  <c r="J407" i="2"/>
  <c r="L407" i="2"/>
  <c r="K407" i="2"/>
  <c r="AP408" i="1"/>
  <c r="H407" i="2"/>
  <c r="G407" i="2"/>
  <c r="AO408" i="1"/>
  <c r="F407" i="2"/>
  <c r="E407" i="2"/>
  <c r="AN408" i="1"/>
  <c r="D407" i="2"/>
  <c r="C407" i="2"/>
  <c r="B407" i="2"/>
  <c r="I406" i="2"/>
  <c r="J406" i="2"/>
  <c r="L406" i="2"/>
  <c r="K406" i="2"/>
  <c r="AP407" i="1"/>
  <c r="H406" i="2"/>
  <c r="G406" i="2"/>
  <c r="AO407" i="1"/>
  <c r="F406" i="2"/>
  <c r="E406" i="2"/>
  <c r="AN407" i="1"/>
  <c r="D406" i="2"/>
  <c r="C406" i="2"/>
  <c r="B406" i="2"/>
  <c r="I405" i="2"/>
  <c r="J405" i="2"/>
  <c r="L405" i="2"/>
  <c r="K405" i="2"/>
  <c r="AP406" i="1"/>
  <c r="H405" i="2"/>
  <c r="G405" i="2"/>
  <c r="AO406" i="1"/>
  <c r="F405" i="2"/>
  <c r="E405" i="2"/>
  <c r="AN406" i="1"/>
  <c r="D405" i="2"/>
  <c r="C405" i="2"/>
  <c r="B405" i="2"/>
  <c r="I404" i="2"/>
  <c r="J404" i="2"/>
  <c r="L404" i="2"/>
  <c r="K404" i="2"/>
  <c r="AP405" i="1"/>
  <c r="H404" i="2"/>
  <c r="G404" i="2"/>
  <c r="AO405" i="1"/>
  <c r="F404" i="2"/>
  <c r="E404" i="2"/>
  <c r="AN405" i="1"/>
  <c r="D404" i="2"/>
  <c r="C404" i="2"/>
  <c r="B404" i="2"/>
  <c r="I403" i="2"/>
  <c r="J403" i="2"/>
  <c r="L403" i="2"/>
  <c r="K403" i="2"/>
  <c r="AP404" i="1"/>
  <c r="H403" i="2"/>
  <c r="G403" i="2"/>
  <c r="AO404" i="1"/>
  <c r="F403" i="2"/>
  <c r="E403" i="2"/>
  <c r="AN404" i="1"/>
  <c r="D403" i="2"/>
  <c r="C403" i="2"/>
  <c r="B403" i="2"/>
  <c r="I402" i="2"/>
  <c r="J402" i="2"/>
  <c r="L402" i="2"/>
  <c r="K402" i="2"/>
  <c r="AP403" i="1"/>
  <c r="H402" i="2"/>
  <c r="G402" i="2"/>
  <c r="AO403" i="1"/>
  <c r="F402" i="2"/>
  <c r="E402" i="2"/>
  <c r="AN403" i="1"/>
  <c r="D402" i="2"/>
  <c r="C402" i="2"/>
  <c r="B402" i="2"/>
  <c r="I401" i="2"/>
  <c r="J401" i="2"/>
  <c r="L401" i="2"/>
  <c r="K401" i="2"/>
  <c r="AP402" i="1"/>
  <c r="H401" i="2"/>
  <c r="G401" i="2"/>
  <c r="AO402" i="1"/>
  <c r="F401" i="2"/>
  <c r="E401" i="2"/>
  <c r="AN402" i="1"/>
  <c r="D401" i="2"/>
  <c r="C401" i="2"/>
  <c r="B401" i="2"/>
  <c r="I400" i="2"/>
  <c r="J400" i="2"/>
  <c r="L400" i="2"/>
  <c r="K400" i="2"/>
  <c r="AP401" i="1"/>
  <c r="H400" i="2"/>
  <c r="G400" i="2"/>
  <c r="AO401" i="1"/>
  <c r="F400" i="2"/>
  <c r="E400" i="2"/>
  <c r="AN401" i="1"/>
  <c r="D400" i="2"/>
  <c r="C400" i="2"/>
  <c r="B400" i="2"/>
  <c r="I399" i="2"/>
  <c r="J399" i="2"/>
  <c r="L399" i="2"/>
  <c r="K399" i="2"/>
  <c r="AP400" i="1"/>
  <c r="H399" i="2"/>
  <c r="G399" i="2"/>
  <c r="AO400" i="1"/>
  <c r="F399" i="2"/>
  <c r="E399" i="2"/>
  <c r="AN400" i="1"/>
  <c r="D399" i="2"/>
  <c r="C399" i="2"/>
  <c r="B399" i="2"/>
  <c r="I398" i="2"/>
  <c r="J398" i="2"/>
  <c r="L398" i="2"/>
  <c r="K398" i="2"/>
  <c r="AP399" i="1"/>
  <c r="H398" i="2"/>
  <c r="G398" i="2"/>
  <c r="AO399" i="1"/>
  <c r="F398" i="2"/>
  <c r="E398" i="2"/>
  <c r="AN399" i="1"/>
  <c r="D398" i="2"/>
  <c r="C398" i="2"/>
  <c r="B398" i="2"/>
  <c r="I397" i="2"/>
  <c r="J397" i="2"/>
  <c r="L397" i="2"/>
  <c r="K397" i="2"/>
  <c r="AP398" i="1"/>
  <c r="H397" i="2"/>
  <c r="G397" i="2"/>
  <c r="AO398" i="1"/>
  <c r="F397" i="2"/>
  <c r="E397" i="2"/>
  <c r="AN398" i="1"/>
  <c r="D397" i="2"/>
  <c r="C397" i="2"/>
  <c r="B397" i="2"/>
  <c r="I396" i="2"/>
  <c r="J396" i="2"/>
  <c r="L396" i="2"/>
  <c r="K396" i="2"/>
  <c r="AP397" i="1"/>
  <c r="H396" i="2"/>
  <c r="G396" i="2"/>
  <c r="AO397" i="1"/>
  <c r="F396" i="2"/>
  <c r="E396" i="2"/>
  <c r="AN397" i="1"/>
  <c r="D396" i="2"/>
  <c r="C396" i="2"/>
  <c r="B396" i="2"/>
  <c r="I395" i="2"/>
  <c r="J395" i="2"/>
  <c r="L395" i="2"/>
  <c r="K395" i="2"/>
  <c r="AP396" i="1"/>
  <c r="H395" i="2"/>
  <c r="G395" i="2"/>
  <c r="AO396" i="1"/>
  <c r="F395" i="2"/>
  <c r="E395" i="2"/>
  <c r="AN396" i="1"/>
  <c r="D395" i="2"/>
  <c r="C395" i="2"/>
  <c r="B395" i="2"/>
  <c r="I394" i="2"/>
  <c r="J394" i="2"/>
  <c r="L394" i="2"/>
  <c r="K394" i="2"/>
  <c r="AP395" i="1"/>
  <c r="H394" i="2"/>
  <c r="G394" i="2"/>
  <c r="AO395" i="1"/>
  <c r="F394" i="2"/>
  <c r="E394" i="2"/>
  <c r="AN395" i="1"/>
  <c r="D394" i="2"/>
  <c r="C394" i="2"/>
  <c r="B394" i="2"/>
  <c r="I393" i="2"/>
  <c r="J393" i="2"/>
  <c r="L393" i="2"/>
  <c r="K393" i="2"/>
  <c r="AP394" i="1"/>
  <c r="H393" i="2"/>
  <c r="G393" i="2"/>
  <c r="AO394" i="1"/>
  <c r="F393" i="2"/>
  <c r="E393" i="2"/>
  <c r="AN394" i="1"/>
  <c r="D393" i="2"/>
  <c r="C393" i="2"/>
  <c r="B393" i="2"/>
  <c r="I392" i="2"/>
  <c r="J392" i="2"/>
  <c r="L392" i="2"/>
  <c r="K392" i="2"/>
  <c r="AP393" i="1"/>
  <c r="H392" i="2"/>
  <c r="G392" i="2"/>
  <c r="AO393" i="1"/>
  <c r="F392" i="2"/>
  <c r="E392" i="2"/>
  <c r="AN393" i="1"/>
  <c r="D392" i="2"/>
  <c r="C392" i="2"/>
  <c r="B392" i="2"/>
  <c r="I391" i="2"/>
  <c r="J391" i="2"/>
  <c r="L391" i="2"/>
  <c r="K391" i="2"/>
  <c r="AP392" i="1"/>
  <c r="H391" i="2"/>
  <c r="G391" i="2"/>
  <c r="AO392" i="1"/>
  <c r="F391" i="2"/>
  <c r="E391" i="2"/>
  <c r="AN392" i="1"/>
  <c r="D391" i="2"/>
  <c r="C391" i="2"/>
  <c r="B391" i="2"/>
  <c r="I390" i="2"/>
  <c r="J390" i="2"/>
  <c r="L390" i="2"/>
  <c r="K390" i="2"/>
  <c r="AP391" i="1"/>
  <c r="H390" i="2"/>
  <c r="G390" i="2"/>
  <c r="AO391" i="1"/>
  <c r="F390" i="2"/>
  <c r="E390" i="2"/>
  <c r="AN391" i="1"/>
  <c r="D390" i="2"/>
  <c r="C390" i="2"/>
  <c r="B390" i="2"/>
  <c r="I389" i="2"/>
  <c r="J389" i="2"/>
  <c r="L389" i="2"/>
  <c r="K389" i="2"/>
  <c r="AP390" i="1"/>
  <c r="H389" i="2"/>
  <c r="G389" i="2"/>
  <c r="AO390" i="1"/>
  <c r="F389" i="2"/>
  <c r="E389" i="2"/>
  <c r="AN390" i="1"/>
  <c r="D389" i="2"/>
  <c r="C389" i="2"/>
  <c r="B389" i="2"/>
  <c r="I388" i="2"/>
  <c r="J388" i="2"/>
  <c r="L388" i="2"/>
  <c r="K388" i="2"/>
  <c r="AP389" i="1"/>
  <c r="H388" i="2"/>
  <c r="G388" i="2"/>
  <c r="AO389" i="1"/>
  <c r="F388" i="2"/>
  <c r="E388" i="2"/>
  <c r="AN389" i="1"/>
  <c r="D388" i="2"/>
  <c r="C388" i="2"/>
  <c r="B388" i="2"/>
  <c r="I387" i="2"/>
  <c r="J387" i="2"/>
  <c r="L387" i="2"/>
  <c r="K387" i="2"/>
  <c r="AP388" i="1"/>
  <c r="H387" i="2"/>
  <c r="G387" i="2"/>
  <c r="AO388" i="1"/>
  <c r="F387" i="2"/>
  <c r="E387" i="2"/>
  <c r="AN388" i="1"/>
  <c r="D387" i="2"/>
  <c r="C387" i="2"/>
  <c r="B387" i="2"/>
  <c r="I386" i="2"/>
  <c r="J386" i="2"/>
  <c r="L386" i="2"/>
  <c r="K386" i="2"/>
  <c r="AP387" i="1"/>
  <c r="H386" i="2"/>
  <c r="G386" i="2"/>
  <c r="AO387" i="1"/>
  <c r="F386" i="2"/>
  <c r="E386" i="2"/>
  <c r="AN387" i="1"/>
  <c r="D386" i="2"/>
  <c r="C386" i="2"/>
  <c r="B386" i="2"/>
  <c r="I385" i="2"/>
  <c r="J385" i="2"/>
  <c r="L385" i="2"/>
  <c r="K385" i="2"/>
  <c r="AP386" i="1"/>
  <c r="H385" i="2"/>
  <c r="G385" i="2"/>
  <c r="AO386" i="1"/>
  <c r="F385" i="2"/>
  <c r="E385" i="2"/>
  <c r="AN386" i="1"/>
  <c r="D385" i="2"/>
  <c r="C385" i="2"/>
  <c r="B385" i="2"/>
  <c r="I384" i="2"/>
  <c r="J384" i="2"/>
  <c r="L384" i="2"/>
  <c r="K384" i="2"/>
  <c r="AP385" i="1"/>
  <c r="H384" i="2"/>
  <c r="G384" i="2"/>
  <c r="AO385" i="1"/>
  <c r="F384" i="2"/>
  <c r="E384" i="2"/>
  <c r="AN385" i="1"/>
  <c r="D384" i="2"/>
  <c r="C384" i="2"/>
  <c r="B384" i="2"/>
  <c r="I383" i="2"/>
  <c r="J383" i="2"/>
  <c r="L383" i="2"/>
  <c r="K383" i="2"/>
  <c r="AP384" i="1"/>
  <c r="H383" i="2"/>
  <c r="G383" i="2"/>
  <c r="AO384" i="1"/>
  <c r="F383" i="2"/>
  <c r="E383" i="2"/>
  <c r="AN384" i="1"/>
  <c r="D383" i="2"/>
  <c r="C383" i="2"/>
  <c r="B383" i="2"/>
  <c r="I382" i="2"/>
  <c r="J382" i="2"/>
  <c r="L382" i="2"/>
  <c r="K382" i="2"/>
  <c r="AP383" i="1"/>
  <c r="H382" i="2"/>
  <c r="G382" i="2"/>
  <c r="AO383" i="1"/>
  <c r="F382" i="2"/>
  <c r="E382" i="2"/>
  <c r="AN383" i="1"/>
  <c r="D382" i="2"/>
  <c r="C382" i="2"/>
  <c r="B382" i="2"/>
  <c r="I381" i="2"/>
  <c r="J381" i="2"/>
  <c r="L381" i="2"/>
  <c r="K381" i="2"/>
  <c r="AP382" i="1"/>
  <c r="H381" i="2"/>
  <c r="G381" i="2"/>
  <c r="AO382" i="1"/>
  <c r="F381" i="2"/>
  <c r="E381" i="2"/>
  <c r="AN382" i="1"/>
  <c r="D381" i="2"/>
  <c r="C381" i="2"/>
  <c r="B381" i="2"/>
  <c r="I380" i="2"/>
  <c r="J380" i="2"/>
  <c r="L380" i="2"/>
  <c r="K380" i="2"/>
  <c r="AP381" i="1"/>
  <c r="H380" i="2"/>
  <c r="G380" i="2"/>
  <c r="AO381" i="1"/>
  <c r="F380" i="2"/>
  <c r="E380" i="2"/>
  <c r="AN381" i="1"/>
  <c r="D380" i="2"/>
  <c r="C380" i="2"/>
  <c r="B380" i="2"/>
  <c r="I379" i="2"/>
  <c r="J379" i="2"/>
  <c r="L379" i="2"/>
  <c r="K379" i="2"/>
  <c r="AP380" i="1"/>
  <c r="H379" i="2"/>
  <c r="G379" i="2"/>
  <c r="AO380" i="1"/>
  <c r="F379" i="2"/>
  <c r="E379" i="2"/>
  <c r="AN380" i="1"/>
  <c r="D379" i="2"/>
  <c r="C379" i="2"/>
  <c r="B379" i="2"/>
  <c r="I378" i="2"/>
  <c r="J378" i="2"/>
  <c r="L378" i="2"/>
  <c r="K378" i="2"/>
  <c r="AP379" i="1"/>
  <c r="H378" i="2"/>
  <c r="G378" i="2"/>
  <c r="AO379" i="1"/>
  <c r="F378" i="2"/>
  <c r="E378" i="2"/>
  <c r="AN379" i="1"/>
  <c r="D378" i="2"/>
  <c r="C378" i="2"/>
  <c r="B378" i="2"/>
  <c r="I377" i="2"/>
  <c r="J377" i="2"/>
  <c r="L377" i="2"/>
  <c r="K377" i="2"/>
  <c r="AP378" i="1"/>
  <c r="H377" i="2"/>
  <c r="G377" i="2"/>
  <c r="AO378" i="1"/>
  <c r="F377" i="2"/>
  <c r="E377" i="2"/>
  <c r="AN378" i="1"/>
  <c r="D377" i="2"/>
  <c r="C377" i="2"/>
  <c r="B377" i="2"/>
  <c r="I376" i="2"/>
  <c r="J376" i="2"/>
  <c r="L376" i="2"/>
  <c r="K376" i="2"/>
  <c r="AP377" i="1"/>
  <c r="H376" i="2"/>
  <c r="G376" i="2"/>
  <c r="AO377" i="1"/>
  <c r="F376" i="2"/>
  <c r="E376" i="2"/>
  <c r="AN377" i="1"/>
  <c r="D376" i="2"/>
  <c r="C376" i="2"/>
  <c r="B376" i="2"/>
  <c r="I375" i="2"/>
  <c r="J375" i="2"/>
  <c r="L375" i="2"/>
  <c r="K375" i="2"/>
  <c r="AP376" i="1"/>
  <c r="H375" i="2"/>
  <c r="G375" i="2"/>
  <c r="AO376" i="1"/>
  <c r="F375" i="2"/>
  <c r="E375" i="2"/>
  <c r="AN376" i="1"/>
  <c r="D375" i="2"/>
  <c r="C375" i="2"/>
  <c r="B375" i="2"/>
  <c r="I374" i="2"/>
  <c r="J374" i="2"/>
  <c r="L374" i="2"/>
  <c r="K374" i="2"/>
  <c r="AP375" i="1"/>
  <c r="H374" i="2"/>
  <c r="G374" i="2"/>
  <c r="AO375" i="1"/>
  <c r="F374" i="2"/>
  <c r="E374" i="2"/>
  <c r="AN375" i="1"/>
  <c r="D374" i="2"/>
  <c r="C374" i="2"/>
  <c r="B374" i="2"/>
  <c r="I373" i="2"/>
  <c r="J373" i="2"/>
  <c r="L373" i="2"/>
  <c r="K373" i="2"/>
  <c r="AP374" i="1"/>
  <c r="H373" i="2"/>
  <c r="G373" i="2"/>
  <c r="AO374" i="1"/>
  <c r="F373" i="2"/>
  <c r="E373" i="2"/>
  <c r="AN374" i="1"/>
  <c r="D373" i="2"/>
  <c r="C373" i="2"/>
  <c r="B373" i="2"/>
  <c r="I372" i="2"/>
  <c r="J372" i="2"/>
  <c r="L372" i="2"/>
  <c r="K372" i="2"/>
  <c r="AP373" i="1"/>
  <c r="H372" i="2"/>
  <c r="G372" i="2"/>
  <c r="AO373" i="1"/>
  <c r="F372" i="2"/>
  <c r="E372" i="2"/>
  <c r="AN373" i="1"/>
  <c r="D372" i="2"/>
  <c r="C372" i="2"/>
  <c r="B372" i="2"/>
  <c r="I371" i="2"/>
  <c r="J371" i="2"/>
  <c r="L371" i="2"/>
  <c r="K371" i="2"/>
  <c r="AP372" i="1"/>
  <c r="H371" i="2"/>
  <c r="G371" i="2"/>
  <c r="AO372" i="1"/>
  <c r="F371" i="2"/>
  <c r="E371" i="2"/>
  <c r="AN372" i="1"/>
  <c r="D371" i="2"/>
  <c r="C371" i="2"/>
  <c r="B371" i="2"/>
  <c r="I370" i="2"/>
  <c r="J370" i="2"/>
  <c r="L370" i="2"/>
  <c r="K370" i="2"/>
  <c r="AP371" i="1"/>
  <c r="H370" i="2"/>
  <c r="G370" i="2"/>
  <c r="AO371" i="1"/>
  <c r="F370" i="2"/>
  <c r="E370" i="2"/>
  <c r="AN371" i="1"/>
  <c r="D370" i="2"/>
  <c r="C370" i="2"/>
  <c r="B370" i="2"/>
  <c r="I369" i="2"/>
  <c r="J369" i="2"/>
  <c r="L369" i="2"/>
  <c r="K369" i="2"/>
  <c r="AP370" i="1"/>
  <c r="H369" i="2"/>
  <c r="G369" i="2"/>
  <c r="AO370" i="1"/>
  <c r="F369" i="2"/>
  <c r="E369" i="2"/>
  <c r="AN370" i="1"/>
  <c r="D369" i="2"/>
  <c r="C369" i="2"/>
  <c r="B369" i="2"/>
  <c r="I368" i="2"/>
  <c r="J368" i="2"/>
  <c r="L368" i="2"/>
  <c r="K368" i="2"/>
  <c r="AP369" i="1"/>
  <c r="H368" i="2"/>
  <c r="G368" i="2"/>
  <c r="AO369" i="1"/>
  <c r="F368" i="2"/>
  <c r="E368" i="2"/>
  <c r="AN369" i="1"/>
  <c r="D368" i="2"/>
  <c r="C368" i="2"/>
  <c r="B368" i="2"/>
  <c r="I367" i="2"/>
  <c r="J367" i="2"/>
  <c r="L367" i="2"/>
  <c r="K367" i="2"/>
  <c r="AP368" i="1"/>
  <c r="H367" i="2"/>
  <c r="G367" i="2"/>
  <c r="AO368" i="1"/>
  <c r="F367" i="2"/>
  <c r="E367" i="2"/>
  <c r="AN368" i="1"/>
  <c r="D367" i="2"/>
  <c r="C367" i="2"/>
  <c r="B367" i="2"/>
  <c r="I366" i="2"/>
  <c r="J366" i="2"/>
  <c r="L366" i="2"/>
  <c r="K366" i="2"/>
  <c r="AP367" i="1"/>
  <c r="H366" i="2"/>
  <c r="G366" i="2"/>
  <c r="AO367" i="1"/>
  <c r="F366" i="2"/>
  <c r="E366" i="2"/>
  <c r="AN367" i="1"/>
  <c r="D366" i="2"/>
  <c r="C366" i="2"/>
  <c r="B366" i="2"/>
  <c r="I365" i="2"/>
  <c r="J365" i="2"/>
  <c r="L365" i="2"/>
  <c r="K365" i="2"/>
  <c r="AP366" i="1"/>
  <c r="H365" i="2"/>
  <c r="G365" i="2"/>
  <c r="AO366" i="1"/>
  <c r="F365" i="2"/>
  <c r="E365" i="2"/>
  <c r="AN366" i="1"/>
  <c r="D365" i="2"/>
  <c r="C365" i="2"/>
  <c r="B365" i="2"/>
  <c r="I364" i="2"/>
  <c r="J364" i="2"/>
  <c r="L364" i="2"/>
  <c r="K364" i="2"/>
  <c r="AP365" i="1"/>
  <c r="H364" i="2"/>
  <c r="G364" i="2"/>
  <c r="AO365" i="1"/>
  <c r="F364" i="2"/>
  <c r="E364" i="2"/>
  <c r="AN365" i="1"/>
  <c r="D364" i="2"/>
  <c r="C364" i="2"/>
  <c r="B364" i="2"/>
  <c r="I363" i="2"/>
  <c r="J363" i="2"/>
  <c r="L363" i="2"/>
  <c r="K363" i="2"/>
  <c r="AP364" i="1"/>
  <c r="H363" i="2"/>
  <c r="G363" i="2"/>
  <c r="AO364" i="1"/>
  <c r="F363" i="2"/>
  <c r="E363" i="2"/>
  <c r="AN364" i="1"/>
  <c r="D363" i="2"/>
  <c r="C363" i="2"/>
  <c r="B363" i="2"/>
  <c r="I362" i="2"/>
  <c r="J362" i="2"/>
  <c r="L362" i="2"/>
  <c r="K362" i="2"/>
  <c r="AP363" i="1"/>
  <c r="H362" i="2"/>
  <c r="G362" i="2"/>
  <c r="AO363" i="1"/>
  <c r="F362" i="2"/>
  <c r="E362" i="2"/>
  <c r="AN363" i="1"/>
  <c r="D362" i="2"/>
  <c r="C362" i="2"/>
  <c r="B362" i="2"/>
  <c r="I361" i="2"/>
  <c r="J361" i="2"/>
  <c r="L361" i="2"/>
  <c r="K361" i="2"/>
  <c r="AP362" i="1"/>
  <c r="H361" i="2"/>
  <c r="G361" i="2"/>
  <c r="AO362" i="1"/>
  <c r="F361" i="2"/>
  <c r="E361" i="2"/>
  <c r="AN362" i="1"/>
  <c r="D361" i="2"/>
  <c r="C361" i="2"/>
  <c r="B361" i="2"/>
  <c r="I360" i="2"/>
  <c r="J360" i="2"/>
  <c r="L360" i="2"/>
  <c r="K360" i="2"/>
  <c r="AP361" i="1"/>
  <c r="H360" i="2"/>
  <c r="G360" i="2"/>
  <c r="AO361" i="1"/>
  <c r="F360" i="2"/>
  <c r="E360" i="2"/>
  <c r="AN361" i="1"/>
  <c r="D360" i="2"/>
  <c r="C360" i="2"/>
  <c r="B360" i="2"/>
  <c r="I359" i="2"/>
  <c r="J359" i="2"/>
  <c r="L359" i="2"/>
  <c r="K359" i="2"/>
  <c r="AP360" i="1"/>
  <c r="H359" i="2"/>
  <c r="G359" i="2"/>
  <c r="AO360" i="1"/>
  <c r="F359" i="2"/>
  <c r="E359" i="2"/>
  <c r="AN360" i="1"/>
  <c r="D359" i="2"/>
  <c r="C359" i="2"/>
  <c r="B359" i="2"/>
  <c r="I358" i="2"/>
  <c r="J358" i="2"/>
  <c r="L358" i="2"/>
  <c r="K358" i="2"/>
  <c r="AP359" i="1"/>
  <c r="H358" i="2"/>
  <c r="G358" i="2"/>
  <c r="AO359" i="1"/>
  <c r="F358" i="2"/>
  <c r="E358" i="2"/>
  <c r="AN359" i="1"/>
  <c r="D358" i="2"/>
  <c r="C358" i="2"/>
  <c r="B358" i="2"/>
  <c r="I357" i="2"/>
  <c r="J357" i="2"/>
  <c r="L357" i="2"/>
  <c r="K357" i="2"/>
  <c r="AP358" i="1"/>
  <c r="H357" i="2"/>
  <c r="G357" i="2"/>
  <c r="AO358" i="1"/>
  <c r="F357" i="2"/>
  <c r="E357" i="2"/>
  <c r="AN358" i="1"/>
  <c r="D357" i="2"/>
  <c r="C357" i="2"/>
  <c r="B357" i="2"/>
  <c r="I356" i="2"/>
  <c r="J356" i="2"/>
  <c r="L356" i="2"/>
  <c r="K356" i="2"/>
  <c r="AP357" i="1"/>
  <c r="H356" i="2"/>
  <c r="G356" i="2"/>
  <c r="AO357" i="1"/>
  <c r="F356" i="2"/>
  <c r="E356" i="2"/>
  <c r="AN357" i="1"/>
  <c r="D356" i="2"/>
  <c r="C356" i="2"/>
  <c r="B356" i="2"/>
  <c r="I355" i="2"/>
  <c r="J355" i="2"/>
  <c r="L355" i="2"/>
  <c r="K355" i="2"/>
  <c r="AP356" i="1"/>
  <c r="H355" i="2"/>
  <c r="G355" i="2"/>
  <c r="AO356" i="1"/>
  <c r="F355" i="2"/>
  <c r="E355" i="2"/>
  <c r="AN356" i="1"/>
  <c r="D355" i="2"/>
  <c r="C355" i="2"/>
  <c r="B355" i="2"/>
  <c r="I354" i="2"/>
  <c r="J354" i="2"/>
  <c r="L354" i="2"/>
  <c r="K354" i="2"/>
  <c r="AP355" i="1"/>
  <c r="H354" i="2"/>
  <c r="G354" i="2"/>
  <c r="AO355" i="1"/>
  <c r="F354" i="2"/>
  <c r="E354" i="2"/>
  <c r="AN355" i="1"/>
  <c r="D354" i="2"/>
  <c r="C354" i="2"/>
  <c r="B354" i="2"/>
  <c r="I353" i="2"/>
  <c r="J353" i="2"/>
  <c r="L353" i="2"/>
  <c r="K353" i="2"/>
  <c r="AP354" i="1"/>
  <c r="H353" i="2"/>
  <c r="G353" i="2"/>
  <c r="AO354" i="1"/>
  <c r="F353" i="2"/>
  <c r="E353" i="2"/>
  <c r="AN354" i="1"/>
  <c r="D353" i="2"/>
  <c r="C353" i="2"/>
  <c r="B353" i="2"/>
  <c r="I352" i="2"/>
  <c r="J352" i="2"/>
  <c r="L352" i="2"/>
  <c r="K352" i="2"/>
  <c r="AP353" i="1"/>
  <c r="H352" i="2"/>
  <c r="G352" i="2"/>
  <c r="AO353" i="1"/>
  <c r="F352" i="2"/>
  <c r="E352" i="2"/>
  <c r="AN353" i="1"/>
  <c r="D352" i="2"/>
  <c r="C352" i="2"/>
  <c r="B352" i="2"/>
  <c r="I351" i="2"/>
  <c r="J351" i="2"/>
  <c r="L351" i="2"/>
  <c r="K351" i="2"/>
  <c r="AP352" i="1"/>
  <c r="H351" i="2"/>
  <c r="G351" i="2"/>
  <c r="AO352" i="1"/>
  <c r="F351" i="2"/>
  <c r="E351" i="2"/>
  <c r="AN352" i="1"/>
  <c r="D351" i="2"/>
  <c r="C351" i="2"/>
  <c r="B351" i="2"/>
  <c r="I350" i="2"/>
  <c r="J350" i="2"/>
  <c r="L350" i="2"/>
  <c r="K350" i="2"/>
  <c r="AP351" i="1"/>
  <c r="H350" i="2"/>
  <c r="G350" i="2"/>
  <c r="AO351" i="1"/>
  <c r="F350" i="2"/>
  <c r="E350" i="2"/>
  <c r="AN351" i="1"/>
  <c r="D350" i="2"/>
  <c r="C350" i="2"/>
  <c r="B350" i="2"/>
  <c r="I349" i="2"/>
  <c r="J349" i="2"/>
  <c r="L349" i="2"/>
  <c r="K349" i="2"/>
  <c r="AP350" i="1"/>
  <c r="H349" i="2"/>
  <c r="G349" i="2"/>
  <c r="AO350" i="1"/>
  <c r="F349" i="2"/>
  <c r="E349" i="2"/>
  <c r="AN350" i="1"/>
  <c r="D349" i="2"/>
  <c r="C349" i="2"/>
  <c r="B349" i="2"/>
  <c r="I348" i="2"/>
  <c r="J348" i="2"/>
  <c r="L348" i="2"/>
  <c r="K348" i="2"/>
  <c r="AP349" i="1"/>
  <c r="H348" i="2"/>
  <c r="G348" i="2"/>
  <c r="AO349" i="1"/>
  <c r="F348" i="2"/>
  <c r="E348" i="2"/>
  <c r="AN349" i="1"/>
  <c r="D348" i="2"/>
  <c r="C348" i="2"/>
  <c r="B348" i="2"/>
  <c r="I347" i="2"/>
  <c r="J347" i="2"/>
  <c r="L347" i="2"/>
  <c r="K347" i="2"/>
  <c r="AP348" i="1"/>
  <c r="H347" i="2"/>
  <c r="G347" i="2"/>
  <c r="AO348" i="1"/>
  <c r="F347" i="2"/>
  <c r="E347" i="2"/>
  <c r="AN348" i="1"/>
  <c r="D347" i="2"/>
  <c r="C347" i="2"/>
  <c r="B347" i="2"/>
  <c r="I346" i="2"/>
  <c r="J346" i="2"/>
  <c r="L346" i="2"/>
  <c r="K346" i="2"/>
  <c r="AP347" i="1"/>
  <c r="H346" i="2"/>
  <c r="G346" i="2"/>
  <c r="AO347" i="1"/>
  <c r="F346" i="2"/>
  <c r="E346" i="2"/>
  <c r="AN347" i="1"/>
  <c r="D346" i="2"/>
  <c r="C346" i="2"/>
  <c r="B346" i="2"/>
  <c r="I345" i="2"/>
  <c r="J345" i="2"/>
  <c r="L345" i="2"/>
  <c r="K345" i="2"/>
  <c r="AP346" i="1"/>
  <c r="H345" i="2"/>
  <c r="G345" i="2"/>
  <c r="AO346" i="1"/>
  <c r="F345" i="2"/>
  <c r="E345" i="2"/>
  <c r="AN346" i="1"/>
  <c r="D345" i="2"/>
  <c r="C345" i="2"/>
  <c r="B345" i="2"/>
  <c r="I344" i="2"/>
  <c r="J344" i="2"/>
  <c r="L344" i="2"/>
  <c r="K344" i="2"/>
  <c r="AP345" i="1"/>
  <c r="H344" i="2"/>
  <c r="G344" i="2"/>
  <c r="AO345" i="1"/>
  <c r="F344" i="2"/>
  <c r="E344" i="2"/>
  <c r="AN345" i="1"/>
  <c r="D344" i="2"/>
  <c r="C344" i="2"/>
  <c r="B344" i="2"/>
  <c r="I343" i="2"/>
  <c r="J343" i="2"/>
  <c r="L343" i="2"/>
  <c r="K343" i="2"/>
  <c r="AP344" i="1"/>
  <c r="H343" i="2"/>
  <c r="G343" i="2"/>
  <c r="AO344" i="1"/>
  <c r="F343" i="2"/>
  <c r="E343" i="2"/>
  <c r="AN344" i="1"/>
  <c r="D343" i="2"/>
  <c r="C343" i="2"/>
  <c r="B343" i="2"/>
  <c r="I342" i="2"/>
  <c r="J342" i="2"/>
  <c r="L342" i="2"/>
  <c r="K342" i="2"/>
  <c r="AP343" i="1"/>
  <c r="H342" i="2"/>
  <c r="G342" i="2"/>
  <c r="AO343" i="1"/>
  <c r="F342" i="2"/>
  <c r="E342" i="2"/>
  <c r="AN343" i="1"/>
  <c r="D342" i="2"/>
  <c r="C342" i="2"/>
  <c r="B342" i="2"/>
  <c r="I341" i="2"/>
  <c r="J341" i="2"/>
  <c r="L341" i="2"/>
  <c r="K341" i="2"/>
  <c r="AP342" i="1"/>
  <c r="H341" i="2"/>
  <c r="G341" i="2"/>
  <c r="AO342" i="1"/>
  <c r="F341" i="2"/>
  <c r="E341" i="2"/>
  <c r="AN342" i="1"/>
  <c r="D341" i="2"/>
  <c r="C341" i="2"/>
  <c r="B341" i="2"/>
  <c r="I340" i="2"/>
  <c r="J340" i="2"/>
  <c r="L340" i="2"/>
  <c r="K340" i="2"/>
  <c r="AP341" i="1"/>
  <c r="H340" i="2"/>
  <c r="G340" i="2"/>
  <c r="AO341" i="1"/>
  <c r="F340" i="2"/>
  <c r="E340" i="2"/>
  <c r="AN341" i="1"/>
  <c r="D340" i="2"/>
  <c r="C340" i="2"/>
  <c r="B340" i="2"/>
  <c r="I339" i="2"/>
  <c r="J339" i="2"/>
  <c r="L339" i="2"/>
  <c r="K339" i="2"/>
  <c r="AP340" i="1"/>
  <c r="H339" i="2"/>
  <c r="G339" i="2"/>
  <c r="AO340" i="1"/>
  <c r="F339" i="2"/>
  <c r="E339" i="2"/>
  <c r="AN340" i="1"/>
  <c r="D339" i="2"/>
  <c r="C339" i="2"/>
  <c r="B339" i="2"/>
  <c r="I338" i="2"/>
  <c r="J338" i="2"/>
  <c r="L338" i="2"/>
  <c r="K338" i="2"/>
  <c r="AP339" i="1"/>
  <c r="H338" i="2"/>
  <c r="G338" i="2"/>
  <c r="AO339" i="1"/>
  <c r="F338" i="2"/>
  <c r="E338" i="2"/>
  <c r="AN339" i="1"/>
  <c r="D338" i="2"/>
  <c r="C338" i="2"/>
  <c r="B338" i="2"/>
  <c r="I337" i="2"/>
  <c r="J337" i="2"/>
  <c r="L337" i="2"/>
  <c r="K337" i="2"/>
  <c r="AP338" i="1"/>
  <c r="H337" i="2"/>
  <c r="G337" i="2"/>
  <c r="AO338" i="1"/>
  <c r="F337" i="2"/>
  <c r="E337" i="2"/>
  <c r="AN338" i="1"/>
  <c r="D337" i="2"/>
  <c r="C337" i="2"/>
  <c r="B337" i="2"/>
  <c r="I336" i="2"/>
  <c r="J336" i="2"/>
  <c r="L336" i="2"/>
  <c r="K336" i="2"/>
  <c r="AP337" i="1"/>
  <c r="H336" i="2"/>
  <c r="G336" i="2"/>
  <c r="AO337" i="1"/>
  <c r="F336" i="2"/>
  <c r="E336" i="2"/>
  <c r="AN337" i="1"/>
  <c r="D336" i="2"/>
  <c r="C336" i="2"/>
  <c r="B336" i="2"/>
  <c r="I335" i="2"/>
  <c r="J335" i="2"/>
  <c r="L335" i="2"/>
  <c r="K335" i="2"/>
  <c r="AP336" i="1"/>
  <c r="H335" i="2"/>
  <c r="G335" i="2"/>
  <c r="AO336" i="1"/>
  <c r="F335" i="2"/>
  <c r="E335" i="2"/>
  <c r="AN336" i="1"/>
  <c r="D335" i="2"/>
  <c r="C335" i="2"/>
  <c r="B335" i="2"/>
  <c r="I334" i="2"/>
  <c r="J334" i="2"/>
  <c r="L334" i="2"/>
  <c r="K334" i="2"/>
  <c r="AP335" i="1"/>
  <c r="H334" i="2"/>
  <c r="G334" i="2"/>
  <c r="AO335" i="1"/>
  <c r="F334" i="2"/>
  <c r="E334" i="2"/>
  <c r="AN335" i="1"/>
  <c r="D334" i="2"/>
  <c r="C334" i="2"/>
  <c r="B334" i="2"/>
  <c r="I333" i="2"/>
  <c r="J333" i="2"/>
  <c r="L333" i="2"/>
  <c r="K333" i="2"/>
  <c r="AP334" i="1"/>
  <c r="H333" i="2"/>
  <c r="G333" i="2"/>
  <c r="AO334" i="1"/>
  <c r="F333" i="2"/>
  <c r="E333" i="2"/>
  <c r="AN334" i="1"/>
  <c r="D333" i="2"/>
  <c r="C333" i="2"/>
  <c r="B333" i="2"/>
  <c r="I332" i="2"/>
  <c r="J332" i="2"/>
  <c r="L332" i="2"/>
  <c r="K332" i="2"/>
  <c r="AP333" i="1"/>
  <c r="H332" i="2"/>
  <c r="G332" i="2"/>
  <c r="AO333" i="1"/>
  <c r="F332" i="2"/>
  <c r="E332" i="2"/>
  <c r="AN333" i="1"/>
  <c r="D332" i="2"/>
  <c r="C332" i="2"/>
  <c r="B332" i="2"/>
  <c r="I331" i="2"/>
  <c r="J331" i="2"/>
  <c r="L331" i="2"/>
  <c r="K331" i="2"/>
  <c r="AP332" i="1"/>
  <c r="H331" i="2"/>
  <c r="G331" i="2"/>
  <c r="AO332" i="1"/>
  <c r="F331" i="2"/>
  <c r="E331" i="2"/>
  <c r="AN332" i="1"/>
  <c r="D331" i="2"/>
  <c r="C331" i="2"/>
  <c r="B331" i="2"/>
  <c r="I330" i="2"/>
  <c r="J330" i="2"/>
  <c r="L330" i="2"/>
  <c r="K330" i="2"/>
  <c r="AP331" i="1"/>
  <c r="H330" i="2"/>
  <c r="G330" i="2"/>
  <c r="AO331" i="1"/>
  <c r="F330" i="2"/>
  <c r="E330" i="2"/>
  <c r="AN331" i="1"/>
  <c r="D330" i="2"/>
  <c r="C330" i="2"/>
  <c r="B330" i="2"/>
  <c r="I329" i="2"/>
  <c r="J329" i="2"/>
  <c r="L329" i="2"/>
  <c r="K329" i="2"/>
  <c r="AP330" i="1"/>
  <c r="H329" i="2"/>
  <c r="G329" i="2"/>
  <c r="AO330" i="1"/>
  <c r="F329" i="2"/>
  <c r="E329" i="2"/>
  <c r="AN330" i="1"/>
  <c r="D329" i="2"/>
  <c r="C329" i="2"/>
  <c r="B329" i="2"/>
  <c r="I328" i="2"/>
  <c r="J328" i="2"/>
  <c r="L328" i="2"/>
  <c r="K328" i="2"/>
  <c r="AP329" i="1"/>
  <c r="H328" i="2"/>
  <c r="G328" i="2"/>
  <c r="AO329" i="1"/>
  <c r="F328" i="2"/>
  <c r="E328" i="2"/>
  <c r="AN329" i="1"/>
  <c r="D328" i="2"/>
  <c r="C328" i="2"/>
  <c r="B328" i="2"/>
  <c r="I327" i="2"/>
  <c r="J327" i="2"/>
  <c r="L327" i="2"/>
  <c r="K327" i="2"/>
  <c r="AP328" i="1"/>
  <c r="H327" i="2"/>
  <c r="G327" i="2"/>
  <c r="AO328" i="1"/>
  <c r="F327" i="2"/>
  <c r="E327" i="2"/>
  <c r="AN328" i="1"/>
  <c r="D327" i="2"/>
  <c r="C327" i="2"/>
  <c r="B327" i="2"/>
  <c r="I326" i="2"/>
  <c r="J326" i="2"/>
  <c r="L326" i="2"/>
  <c r="K326" i="2"/>
  <c r="AP327" i="1"/>
  <c r="H326" i="2"/>
  <c r="G326" i="2"/>
  <c r="AO327" i="1"/>
  <c r="F326" i="2"/>
  <c r="E326" i="2"/>
  <c r="AN327" i="1"/>
  <c r="D326" i="2"/>
  <c r="C326" i="2"/>
  <c r="B326" i="2"/>
  <c r="I325" i="2"/>
  <c r="J325" i="2"/>
  <c r="L325" i="2"/>
  <c r="K325" i="2"/>
  <c r="AP326" i="1"/>
  <c r="H325" i="2"/>
  <c r="G325" i="2"/>
  <c r="AO326" i="1"/>
  <c r="F325" i="2"/>
  <c r="E325" i="2"/>
  <c r="AN326" i="1"/>
  <c r="D325" i="2"/>
  <c r="C325" i="2"/>
  <c r="B325" i="2"/>
  <c r="I324" i="2"/>
  <c r="J324" i="2"/>
  <c r="L324" i="2"/>
  <c r="K324" i="2"/>
  <c r="AP325" i="1"/>
  <c r="H324" i="2"/>
  <c r="G324" i="2"/>
  <c r="AO325" i="1"/>
  <c r="F324" i="2"/>
  <c r="E324" i="2"/>
  <c r="AN325" i="1"/>
  <c r="D324" i="2"/>
  <c r="C324" i="2"/>
  <c r="B324" i="2"/>
  <c r="I323" i="2"/>
  <c r="J323" i="2"/>
  <c r="L323" i="2"/>
  <c r="AH324" i="1"/>
  <c r="K323" i="2"/>
  <c r="AP324" i="1"/>
  <c r="H323" i="2"/>
  <c r="G323" i="2"/>
  <c r="AO324" i="1"/>
  <c r="F323" i="2"/>
  <c r="E323" i="2"/>
  <c r="AN324" i="1"/>
  <c r="D323" i="2"/>
  <c r="C323" i="2"/>
  <c r="B323" i="2"/>
  <c r="I322" i="2"/>
  <c r="J322" i="2"/>
  <c r="L322" i="2"/>
  <c r="AH323" i="1"/>
  <c r="K322" i="2"/>
  <c r="AP323" i="1"/>
  <c r="H322" i="2"/>
  <c r="G322" i="2"/>
  <c r="AO323" i="1"/>
  <c r="F322" i="2"/>
  <c r="E322" i="2"/>
  <c r="AN323" i="1"/>
  <c r="D322" i="2"/>
  <c r="C322" i="2"/>
  <c r="B322" i="2"/>
  <c r="I321" i="2"/>
  <c r="J321" i="2"/>
  <c r="L321" i="2"/>
  <c r="AH322" i="1"/>
  <c r="K321" i="2"/>
  <c r="AP322" i="1"/>
  <c r="H321" i="2"/>
  <c r="G321" i="2"/>
  <c r="AO322" i="1"/>
  <c r="F321" i="2"/>
  <c r="E321" i="2"/>
  <c r="AN322" i="1"/>
  <c r="D321" i="2"/>
  <c r="C321" i="2"/>
  <c r="B321" i="2"/>
  <c r="I320" i="2"/>
  <c r="J320" i="2"/>
  <c r="L320" i="2"/>
  <c r="AH321" i="1"/>
  <c r="K320" i="2"/>
  <c r="AP321" i="1"/>
  <c r="H320" i="2"/>
  <c r="G320" i="2"/>
  <c r="AO321" i="1"/>
  <c r="F320" i="2"/>
  <c r="E320" i="2"/>
  <c r="AN321" i="1"/>
  <c r="D320" i="2"/>
  <c r="C320" i="2"/>
  <c r="B320" i="2"/>
  <c r="I319" i="2"/>
  <c r="J319" i="2"/>
  <c r="L319" i="2"/>
  <c r="K319" i="2"/>
  <c r="AP320" i="1"/>
  <c r="H319" i="2"/>
  <c r="G319" i="2"/>
  <c r="AO320" i="1"/>
  <c r="F319" i="2"/>
  <c r="E319" i="2"/>
  <c r="AN320" i="1"/>
  <c r="D319" i="2"/>
  <c r="C319" i="2"/>
  <c r="B319" i="2"/>
  <c r="I318" i="2"/>
  <c r="J318" i="2"/>
  <c r="L318" i="2"/>
  <c r="K318" i="2"/>
  <c r="AP319" i="1"/>
  <c r="H318" i="2"/>
  <c r="G318" i="2"/>
  <c r="AO319" i="1"/>
  <c r="F318" i="2"/>
  <c r="E318" i="2"/>
  <c r="AN319" i="1"/>
  <c r="D318" i="2"/>
  <c r="C318" i="2"/>
  <c r="B318" i="2"/>
  <c r="I317" i="2"/>
  <c r="J317" i="2"/>
  <c r="L317" i="2"/>
  <c r="K317" i="2"/>
  <c r="AP318" i="1"/>
  <c r="H317" i="2"/>
  <c r="G317" i="2"/>
  <c r="AO318" i="1"/>
  <c r="F317" i="2"/>
  <c r="E317" i="2"/>
  <c r="AN318" i="1"/>
  <c r="D317" i="2"/>
  <c r="C317" i="2"/>
  <c r="B317" i="2"/>
  <c r="I316" i="2"/>
  <c r="J316" i="2"/>
  <c r="L316" i="2"/>
  <c r="K316" i="2"/>
  <c r="AP317" i="1"/>
  <c r="H316" i="2"/>
  <c r="G316" i="2"/>
  <c r="AO317" i="1"/>
  <c r="F316" i="2"/>
  <c r="E316" i="2"/>
  <c r="AN317" i="1"/>
  <c r="D316" i="2"/>
  <c r="C316" i="2"/>
  <c r="B316" i="2"/>
  <c r="I315" i="2"/>
  <c r="J315" i="2"/>
  <c r="L315" i="2"/>
  <c r="K315" i="2"/>
  <c r="AP316" i="1"/>
  <c r="H315" i="2"/>
  <c r="G315" i="2"/>
  <c r="AO316" i="1"/>
  <c r="F315" i="2"/>
  <c r="E315" i="2"/>
  <c r="AN316" i="1"/>
  <c r="D315" i="2"/>
  <c r="C315" i="2"/>
  <c r="B315" i="2"/>
  <c r="I314" i="2"/>
  <c r="J314" i="2"/>
  <c r="L314" i="2"/>
  <c r="K314" i="2"/>
  <c r="AP315" i="1"/>
  <c r="H314" i="2"/>
  <c r="G314" i="2"/>
  <c r="AO315" i="1"/>
  <c r="F314" i="2"/>
  <c r="E314" i="2"/>
  <c r="AN315" i="1"/>
  <c r="D314" i="2"/>
  <c r="C314" i="2"/>
  <c r="B314" i="2"/>
  <c r="I313" i="2"/>
  <c r="J313" i="2"/>
  <c r="L313" i="2"/>
  <c r="K313" i="2"/>
  <c r="AP314" i="1"/>
  <c r="H313" i="2"/>
  <c r="G313" i="2"/>
  <c r="AO314" i="1"/>
  <c r="F313" i="2"/>
  <c r="E313" i="2"/>
  <c r="AN314" i="1"/>
  <c r="D313" i="2"/>
  <c r="C313" i="2"/>
  <c r="B313" i="2"/>
  <c r="I312" i="2"/>
  <c r="J312" i="2"/>
  <c r="L312" i="2"/>
  <c r="K312" i="2"/>
  <c r="AP313" i="1"/>
  <c r="H312" i="2"/>
  <c r="G312" i="2"/>
  <c r="AO313" i="1"/>
  <c r="F312" i="2"/>
  <c r="E312" i="2"/>
  <c r="AN313" i="1"/>
  <c r="D312" i="2"/>
  <c r="C312" i="2"/>
  <c r="B312" i="2"/>
  <c r="I311" i="2"/>
  <c r="J311" i="2"/>
  <c r="L311" i="2"/>
  <c r="K311" i="2"/>
  <c r="AP312" i="1"/>
  <c r="H311" i="2"/>
  <c r="G311" i="2"/>
  <c r="AO312" i="1"/>
  <c r="F311" i="2"/>
  <c r="E311" i="2"/>
  <c r="AN312" i="1"/>
  <c r="D311" i="2"/>
  <c r="C311" i="2"/>
  <c r="B311" i="2"/>
  <c r="I310" i="2"/>
  <c r="J310" i="2"/>
  <c r="L310" i="2"/>
  <c r="K310" i="2"/>
  <c r="AP311" i="1"/>
  <c r="H310" i="2"/>
  <c r="G310" i="2"/>
  <c r="AO311" i="1"/>
  <c r="F310" i="2"/>
  <c r="E310" i="2"/>
  <c r="AN311" i="1"/>
  <c r="D310" i="2"/>
  <c r="C310" i="2"/>
  <c r="B310" i="2"/>
  <c r="I309" i="2"/>
  <c r="J309" i="2"/>
  <c r="L309" i="2"/>
  <c r="K309" i="2"/>
  <c r="AP310" i="1"/>
  <c r="H309" i="2"/>
  <c r="G309" i="2"/>
  <c r="AO310" i="1"/>
  <c r="F309" i="2"/>
  <c r="E309" i="2"/>
  <c r="AN310" i="1"/>
  <c r="D309" i="2"/>
  <c r="C309" i="2"/>
  <c r="B309" i="2"/>
  <c r="I308" i="2"/>
  <c r="J308" i="2"/>
  <c r="L308" i="2"/>
  <c r="K308" i="2"/>
  <c r="AP309" i="1"/>
  <c r="H308" i="2"/>
  <c r="G308" i="2"/>
  <c r="AO309" i="1"/>
  <c r="F308" i="2"/>
  <c r="E308" i="2"/>
  <c r="AN309" i="1"/>
  <c r="D308" i="2"/>
  <c r="C308" i="2"/>
  <c r="B308" i="2"/>
  <c r="I307" i="2"/>
  <c r="J307" i="2"/>
  <c r="L307" i="2"/>
  <c r="K307" i="2"/>
  <c r="AP308" i="1"/>
  <c r="H307" i="2"/>
  <c r="G307" i="2"/>
  <c r="AO308" i="1"/>
  <c r="F307" i="2"/>
  <c r="E307" i="2"/>
  <c r="AN308" i="1"/>
  <c r="D307" i="2"/>
  <c r="C307" i="2"/>
  <c r="B307" i="2"/>
  <c r="I306" i="2"/>
  <c r="J306" i="2"/>
  <c r="L306" i="2"/>
  <c r="K306" i="2"/>
  <c r="AP307" i="1"/>
  <c r="H306" i="2"/>
  <c r="G306" i="2"/>
  <c r="AO307" i="1"/>
  <c r="F306" i="2"/>
  <c r="E306" i="2"/>
  <c r="AN307" i="1"/>
  <c r="D306" i="2"/>
  <c r="C306" i="2"/>
  <c r="B306" i="2"/>
  <c r="I305" i="2"/>
  <c r="J305" i="2"/>
  <c r="L305" i="2"/>
  <c r="K305" i="2"/>
  <c r="AP306" i="1"/>
  <c r="H305" i="2"/>
  <c r="G305" i="2"/>
  <c r="AO306" i="1"/>
  <c r="F305" i="2"/>
  <c r="E305" i="2"/>
  <c r="AN306" i="1"/>
  <c r="D305" i="2"/>
  <c r="C305" i="2"/>
  <c r="B305" i="2"/>
  <c r="I304" i="2"/>
  <c r="J304" i="2"/>
  <c r="L304" i="2"/>
  <c r="K304" i="2"/>
  <c r="AP305" i="1"/>
  <c r="H304" i="2"/>
  <c r="G304" i="2"/>
  <c r="AO305" i="1"/>
  <c r="F304" i="2"/>
  <c r="E304" i="2"/>
  <c r="AN305" i="1"/>
  <c r="D304" i="2"/>
  <c r="C304" i="2"/>
  <c r="B304" i="2"/>
  <c r="I303" i="2"/>
  <c r="J303" i="2"/>
  <c r="L303" i="2"/>
  <c r="K303" i="2"/>
  <c r="AP304" i="1"/>
  <c r="H303" i="2"/>
  <c r="G303" i="2"/>
  <c r="AO304" i="1"/>
  <c r="F303" i="2"/>
  <c r="E303" i="2"/>
  <c r="AN304" i="1"/>
  <c r="D303" i="2"/>
  <c r="C303" i="2"/>
  <c r="B303" i="2"/>
  <c r="I302" i="2"/>
  <c r="J302" i="2"/>
  <c r="L302" i="2"/>
  <c r="K302" i="2"/>
  <c r="AP303" i="1"/>
  <c r="H302" i="2"/>
  <c r="G302" i="2"/>
  <c r="AO303" i="1"/>
  <c r="F302" i="2"/>
  <c r="E302" i="2"/>
  <c r="AN303" i="1"/>
  <c r="D302" i="2"/>
  <c r="C302" i="2"/>
  <c r="B302" i="2"/>
  <c r="I301" i="2"/>
  <c r="J301" i="2"/>
  <c r="L301" i="2"/>
  <c r="K301" i="2"/>
  <c r="AP302" i="1"/>
  <c r="H301" i="2"/>
  <c r="G301" i="2"/>
  <c r="AO302" i="1"/>
  <c r="F301" i="2"/>
  <c r="E301" i="2"/>
  <c r="AN302" i="1"/>
  <c r="D301" i="2"/>
  <c r="C301" i="2"/>
  <c r="B301" i="2"/>
  <c r="I300" i="2"/>
  <c r="J300" i="2"/>
  <c r="L300" i="2"/>
  <c r="K300" i="2"/>
  <c r="AP301" i="1"/>
  <c r="H300" i="2"/>
  <c r="G300" i="2"/>
  <c r="AO301" i="1"/>
  <c r="F300" i="2"/>
  <c r="E300" i="2"/>
  <c r="AN301" i="1"/>
  <c r="D300" i="2"/>
  <c r="C300" i="2"/>
  <c r="B300" i="2"/>
  <c r="I299" i="2"/>
  <c r="J299" i="2"/>
  <c r="L299" i="2"/>
  <c r="K299" i="2"/>
  <c r="AP300" i="1"/>
  <c r="H299" i="2"/>
  <c r="G299" i="2"/>
  <c r="AO300" i="1"/>
  <c r="F299" i="2"/>
  <c r="E299" i="2"/>
  <c r="AN300" i="1"/>
  <c r="D299" i="2"/>
  <c r="C299" i="2"/>
  <c r="B299" i="2"/>
  <c r="I298" i="2"/>
  <c r="J298" i="2"/>
  <c r="L298" i="2"/>
  <c r="K298" i="2"/>
  <c r="AP299" i="1"/>
  <c r="H298" i="2"/>
  <c r="G298" i="2"/>
  <c r="AO299" i="1"/>
  <c r="F298" i="2"/>
  <c r="E298" i="2"/>
  <c r="AN299" i="1"/>
  <c r="D298" i="2"/>
  <c r="C298" i="2"/>
  <c r="B298" i="2"/>
  <c r="I297" i="2"/>
  <c r="J297" i="2"/>
  <c r="L297" i="2"/>
  <c r="K297" i="2"/>
  <c r="AP298" i="1"/>
  <c r="H297" i="2"/>
  <c r="G297" i="2"/>
  <c r="AO298" i="1"/>
  <c r="F297" i="2"/>
  <c r="E297" i="2"/>
  <c r="AN298" i="1"/>
  <c r="D297" i="2"/>
  <c r="C297" i="2"/>
  <c r="B297" i="2"/>
  <c r="I296" i="2"/>
  <c r="J296" i="2"/>
  <c r="L296" i="2"/>
  <c r="K296" i="2"/>
  <c r="AP297" i="1"/>
  <c r="H296" i="2"/>
  <c r="G296" i="2"/>
  <c r="AO297" i="1"/>
  <c r="F296" i="2"/>
  <c r="E296" i="2"/>
  <c r="AN297" i="1"/>
  <c r="D296" i="2"/>
  <c r="C296" i="2"/>
  <c r="B296" i="2"/>
  <c r="I295" i="2"/>
  <c r="J295" i="2"/>
  <c r="L295" i="2"/>
  <c r="K295" i="2"/>
  <c r="AP296" i="1"/>
  <c r="H295" i="2"/>
  <c r="G295" i="2"/>
  <c r="AO296" i="1"/>
  <c r="F295" i="2"/>
  <c r="E295" i="2"/>
  <c r="AN296" i="1"/>
  <c r="D295" i="2"/>
  <c r="C295" i="2"/>
  <c r="B295" i="2"/>
  <c r="I294" i="2"/>
  <c r="J294" i="2"/>
  <c r="L294" i="2"/>
  <c r="K294" i="2"/>
  <c r="AP295" i="1"/>
  <c r="H294" i="2"/>
  <c r="G294" i="2"/>
  <c r="AO295" i="1"/>
  <c r="F294" i="2"/>
  <c r="E294" i="2"/>
  <c r="AN295" i="1"/>
  <c r="D294" i="2"/>
  <c r="C294" i="2"/>
  <c r="B294" i="2"/>
  <c r="I293" i="2"/>
  <c r="J293" i="2"/>
  <c r="L293" i="2"/>
  <c r="K293" i="2"/>
  <c r="AP294" i="1"/>
  <c r="H293" i="2"/>
  <c r="G293" i="2"/>
  <c r="AO294" i="1"/>
  <c r="F293" i="2"/>
  <c r="E293" i="2"/>
  <c r="AN294" i="1"/>
  <c r="D293" i="2"/>
  <c r="C293" i="2"/>
  <c r="B293" i="2"/>
  <c r="I292" i="2"/>
  <c r="J292" i="2"/>
  <c r="L292" i="2"/>
  <c r="K292" i="2"/>
  <c r="AP293" i="1"/>
  <c r="H292" i="2"/>
  <c r="G292" i="2"/>
  <c r="AO293" i="1"/>
  <c r="F292" i="2"/>
  <c r="E292" i="2"/>
  <c r="AN293" i="1"/>
  <c r="D292" i="2"/>
  <c r="C292" i="2"/>
  <c r="B292" i="2"/>
  <c r="I291" i="2"/>
  <c r="J291" i="2"/>
  <c r="L291" i="2"/>
  <c r="K291" i="2"/>
  <c r="AP292" i="1"/>
  <c r="H291" i="2"/>
  <c r="G291" i="2"/>
  <c r="AO292" i="1"/>
  <c r="F291" i="2"/>
  <c r="E291" i="2"/>
  <c r="AN292" i="1"/>
  <c r="D291" i="2"/>
  <c r="C291" i="2"/>
  <c r="B291" i="2"/>
  <c r="I290" i="2"/>
  <c r="J290" i="2"/>
  <c r="L290" i="2"/>
  <c r="K290" i="2"/>
  <c r="AP291" i="1"/>
  <c r="H290" i="2"/>
  <c r="G290" i="2"/>
  <c r="AO291" i="1"/>
  <c r="F290" i="2"/>
  <c r="E290" i="2"/>
  <c r="AN291" i="1"/>
  <c r="D290" i="2"/>
  <c r="C290" i="2"/>
  <c r="B290" i="2"/>
  <c r="I289" i="2"/>
  <c r="J289" i="2"/>
  <c r="L289" i="2"/>
  <c r="K289" i="2"/>
  <c r="AP290" i="1"/>
  <c r="H289" i="2"/>
  <c r="G289" i="2"/>
  <c r="AO290" i="1"/>
  <c r="F289" i="2"/>
  <c r="E289" i="2"/>
  <c r="AN290" i="1"/>
  <c r="D289" i="2"/>
  <c r="C289" i="2"/>
  <c r="B289" i="2"/>
  <c r="I288" i="2"/>
  <c r="J288" i="2"/>
  <c r="L288" i="2"/>
  <c r="K288" i="2"/>
  <c r="AP289" i="1"/>
  <c r="H288" i="2"/>
  <c r="G288" i="2"/>
  <c r="AO289" i="1"/>
  <c r="F288" i="2"/>
  <c r="E288" i="2"/>
  <c r="AN289" i="1"/>
  <c r="D288" i="2"/>
  <c r="C288" i="2"/>
  <c r="B288" i="2"/>
  <c r="I287" i="2"/>
  <c r="J287" i="2"/>
  <c r="L287" i="2"/>
  <c r="K287" i="2"/>
  <c r="AP288" i="1"/>
  <c r="H287" i="2"/>
  <c r="G287" i="2"/>
  <c r="AO288" i="1"/>
  <c r="F287" i="2"/>
  <c r="E287" i="2"/>
  <c r="AN288" i="1"/>
  <c r="D287" i="2"/>
  <c r="C287" i="2"/>
  <c r="B287" i="2"/>
  <c r="I286" i="2"/>
  <c r="J286" i="2"/>
  <c r="L286" i="2"/>
  <c r="K286" i="2"/>
  <c r="AP287" i="1"/>
  <c r="H286" i="2"/>
  <c r="G286" i="2"/>
  <c r="AO287" i="1"/>
  <c r="F286" i="2"/>
  <c r="E286" i="2"/>
  <c r="AN287" i="1"/>
  <c r="D286" i="2"/>
  <c r="C286" i="2"/>
  <c r="B286" i="2"/>
  <c r="I285" i="2"/>
  <c r="J285" i="2"/>
  <c r="L285" i="2"/>
  <c r="K285" i="2"/>
  <c r="AP286" i="1"/>
  <c r="H285" i="2"/>
  <c r="G285" i="2"/>
  <c r="AO286" i="1"/>
  <c r="F285" i="2"/>
  <c r="E285" i="2"/>
  <c r="AN286" i="1"/>
  <c r="D285" i="2"/>
  <c r="C285" i="2"/>
  <c r="B285" i="2"/>
  <c r="I284" i="2"/>
  <c r="J284" i="2"/>
  <c r="L284" i="2"/>
  <c r="K284" i="2"/>
  <c r="AP285" i="1"/>
  <c r="H284" i="2"/>
  <c r="G284" i="2"/>
  <c r="AO285" i="1"/>
  <c r="F284" i="2"/>
  <c r="E284" i="2"/>
  <c r="AN285" i="1"/>
  <c r="D284" i="2"/>
  <c r="C284" i="2"/>
  <c r="B284" i="2"/>
  <c r="I283" i="2"/>
  <c r="J283" i="2"/>
  <c r="L283" i="2"/>
  <c r="K283" i="2"/>
  <c r="AP284" i="1"/>
  <c r="H283" i="2"/>
  <c r="G283" i="2"/>
  <c r="AO284" i="1"/>
  <c r="F283" i="2"/>
  <c r="E283" i="2"/>
  <c r="AN284" i="1"/>
  <c r="D283" i="2"/>
  <c r="C283" i="2"/>
  <c r="B283" i="2"/>
  <c r="I282" i="2"/>
  <c r="J282" i="2"/>
  <c r="L282" i="2"/>
  <c r="K282" i="2"/>
  <c r="AP283" i="1"/>
  <c r="H282" i="2"/>
  <c r="G282" i="2"/>
  <c r="AO283" i="1"/>
  <c r="F282" i="2"/>
  <c r="E282" i="2"/>
  <c r="AN283" i="1"/>
  <c r="D282" i="2"/>
  <c r="C282" i="2"/>
  <c r="B282" i="2"/>
  <c r="I281" i="2"/>
  <c r="J281" i="2"/>
  <c r="L281" i="2"/>
  <c r="K281" i="2"/>
  <c r="AP282" i="1"/>
  <c r="H281" i="2"/>
  <c r="G281" i="2"/>
  <c r="AO282" i="1"/>
  <c r="F281" i="2"/>
  <c r="E281" i="2"/>
  <c r="AN282" i="1"/>
  <c r="D281" i="2"/>
  <c r="C281" i="2"/>
  <c r="B281" i="2"/>
  <c r="I280" i="2"/>
  <c r="J280" i="2"/>
  <c r="L280" i="2"/>
  <c r="K280" i="2"/>
  <c r="AP281" i="1"/>
  <c r="H280" i="2"/>
  <c r="G280" i="2"/>
  <c r="AO281" i="1"/>
  <c r="F280" i="2"/>
  <c r="E280" i="2"/>
  <c r="AN281" i="1"/>
  <c r="D280" i="2"/>
  <c r="C280" i="2"/>
  <c r="B280" i="2"/>
  <c r="I279" i="2"/>
  <c r="J279" i="2"/>
  <c r="L279" i="2"/>
  <c r="K279" i="2"/>
  <c r="AP280" i="1"/>
  <c r="H279" i="2"/>
  <c r="G279" i="2"/>
  <c r="AO280" i="1"/>
  <c r="F279" i="2"/>
  <c r="E279" i="2"/>
  <c r="AN280" i="1"/>
  <c r="D279" i="2"/>
  <c r="C279" i="2"/>
  <c r="B279" i="2"/>
  <c r="I278" i="2"/>
  <c r="J278" i="2"/>
  <c r="L278" i="2"/>
  <c r="K278" i="2"/>
  <c r="AP279" i="1"/>
  <c r="H278" i="2"/>
  <c r="G278" i="2"/>
  <c r="AO279" i="1"/>
  <c r="F278" i="2"/>
  <c r="E278" i="2"/>
  <c r="AN279" i="1"/>
  <c r="D278" i="2"/>
  <c r="C278" i="2"/>
  <c r="B278" i="2"/>
  <c r="I277" i="2"/>
  <c r="J277" i="2"/>
  <c r="L277" i="2"/>
  <c r="K277" i="2"/>
  <c r="AP278" i="1"/>
  <c r="H277" i="2"/>
  <c r="G277" i="2"/>
  <c r="AO278" i="1"/>
  <c r="F277" i="2"/>
  <c r="E277" i="2"/>
  <c r="AN278" i="1"/>
  <c r="D277" i="2"/>
  <c r="C277" i="2"/>
  <c r="B277" i="2"/>
  <c r="I276" i="2"/>
  <c r="J276" i="2"/>
  <c r="L276" i="2"/>
  <c r="K276" i="2"/>
  <c r="AP277" i="1"/>
  <c r="H276" i="2"/>
  <c r="G276" i="2"/>
  <c r="AO277" i="1"/>
  <c r="F276" i="2"/>
  <c r="E276" i="2"/>
  <c r="AN277" i="1"/>
  <c r="D276" i="2"/>
  <c r="C276" i="2"/>
  <c r="B276" i="2"/>
  <c r="I275" i="2"/>
  <c r="J275" i="2"/>
  <c r="L275" i="2"/>
  <c r="K275" i="2"/>
  <c r="AP276" i="1"/>
  <c r="H275" i="2"/>
  <c r="G275" i="2"/>
  <c r="AO276" i="1"/>
  <c r="F275" i="2"/>
  <c r="E275" i="2"/>
  <c r="AN276" i="1"/>
  <c r="D275" i="2"/>
  <c r="C275" i="2"/>
  <c r="B275" i="2"/>
  <c r="I274" i="2"/>
  <c r="J274" i="2"/>
  <c r="L274" i="2"/>
  <c r="K274" i="2"/>
  <c r="AP275" i="1"/>
  <c r="H274" i="2"/>
  <c r="G274" i="2"/>
  <c r="AO275" i="1"/>
  <c r="F274" i="2"/>
  <c r="E274" i="2"/>
  <c r="AN275" i="1"/>
  <c r="D274" i="2"/>
  <c r="C274" i="2"/>
  <c r="B274" i="2"/>
  <c r="I273" i="2"/>
  <c r="J273" i="2"/>
  <c r="L273" i="2"/>
  <c r="K273" i="2"/>
  <c r="AP274" i="1"/>
  <c r="H273" i="2"/>
  <c r="G273" i="2"/>
  <c r="AO274" i="1"/>
  <c r="F273" i="2"/>
  <c r="E273" i="2"/>
  <c r="AN274" i="1"/>
  <c r="D273" i="2"/>
  <c r="C273" i="2"/>
  <c r="B273" i="2"/>
  <c r="I272" i="2"/>
  <c r="J272" i="2"/>
  <c r="L272" i="2"/>
  <c r="K272" i="2"/>
  <c r="AP273" i="1"/>
  <c r="H272" i="2"/>
  <c r="G272" i="2"/>
  <c r="AO273" i="1"/>
  <c r="F272" i="2"/>
  <c r="E272" i="2"/>
  <c r="AN273" i="1"/>
  <c r="D272" i="2"/>
  <c r="C272" i="2"/>
  <c r="B272" i="2"/>
  <c r="I271" i="2"/>
  <c r="J271" i="2"/>
  <c r="L271" i="2"/>
  <c r="K271" i="2"/>
  <c r="AP272" i="1"/>
  <c r="H271" i="2"/>
  <c r="G271" i="2"/>
  <c r="AO272" i="1"/>
  <c r="F271" i="2"/>
  <c r="E271" i="2"/>
  <c r="AN272" i="1"/>
  <c r="D271" i="2"/>
  <c r="C271" i="2"/>
  <c r="B271" i="2"/>
  <c r="I270" i="2"/>
  <c r="J270" i="2"/>
  <c r="L270" i="2"/>
  <c r="K270" i="2"/>
  <c r="AP271" i="1"/>
  <c r="H270" i="2"/>
  <c r="G270" i="2"/>
  <c r="AO271" i="1"/>
  <c r="F270" i="2"/>
  <c r="E270" i="2"/>
  <c r="AN271" i="1"/>
  <c r="D270" i="2"/>
  <c r="C270" i="2"/>
  <c r="B270" i="2"/>
  <c r="I269" i="2"/>
  <c r="J269" i="2"/>
  <c r="L269" i="2"/>
  <c r="K269" i="2"/>
  <c r="AP270" i="1"/>
  <c r="H269" i="2"/>
  <c r="G269" i="2"/>
  <c r="AO270" i="1"/>
  <c r="F269" i="2"/>
  <c r="E269" i="2"/>
  <c r="AN270" i="1"/>
  <c r="D269" i="2"/>
  <c r="C269" i="2"/>
  <c r="B269" i="2"/>
  <c r="I268" i="2"/>
  <c r="J268" i="2"/>
  <c r="L268" i="2"/>
  <c r="K268" i="2"/>
  <c r="AP269" i="1"/>
  <c r="H268" i="2"/>
  <c r="G268" i="2"/>
  <c r="AO269" i="1"/>
  <c r="F268" i="2"/>
  <c r="E268" i="2"/>
  <c r="AN269" i="1"/>
  <c r="D268" i="2"/>
  <c r="C268" i="2"/>
  <c r="B268" i="2"/>
  <c r="I267" i="2"/>
  <c r="J267" i="2"/>
  <c r="L267" i="2"/>
  <c r="K267" i="2"/>
  <c r="AP268" i="1"/>
  <c r="H267" i="2"/>
  <c r="G267" i="2"/>
  <c r="AO268" i="1"/>
  <c r="F267" i="2"/>
  <c r="E267" i="2"/>
  <c r="AN268" i="1"/>
  <c r="D267" i="2"/>
  <c r="C267" i="2"/>
  <c r="B267" i="2"/>
  <c r="I266" i="2"/>
  <c r="J266" i="2"/>
  <c r="L266" i="2"/>
  <c r="K266" i="2"/>
  <c r="AP267" i="1"/>
  <c r="H266" i="2"/>
  <c r="G266" i="2"/>
  <c r="AO267" i="1"/>
  <c r="F266" i="2"/>
  <c r="E266" i="2"/>
  <c r="AN267" i="1"/>
  <c r="D266" i="2"/>
  <c r="C266" i="2"/>
  <c r="B266" i="2"/>
  <c r="I265" i="2"/>
  <c r="J265" i="2"/>
  <c r="L265" i="2"/>
  <c r="K265" i="2"/>
  <c r="AP266" i="1"/>
  <c r="H265" i="2"/>
  <c r="G265" i="2"/>
  <c r="AO266" i="1"/>
  <c r="F265" i="2"/>
  <c r="E265" i="2"/>
  <c r="AN266" i="1"/>
  <c r="D265" i="2"/>
  <c r="C265" i="2"/>
  <c r="B265" i="2"/>
  <c r="I264" i="2"/>
  <c r="J264" i="2"/>
  <c r="L264" i="2"/>
  <c r="K264" i="2"/>
  <c r="AP265" i="1"/>
  <c r="H264" i="2"/>
  <c r="G264" i="2"/>
  <c r="AO265" i="1"/>
  <c r="F264" i="2"/>
  <c r="E264" i="2"/>
  <c r="AN265" i="1"/>
  <c r="D264" i="2"/>
  <c r="C264" i="2"/>
  <c r="B264" i="2"/>
  <c r="I263" i="2"/>
  <c r="J263" i="2"/>
  <c r="L263" i="2"/>
  <c r="K263" i="2"/>
  <c r="AP264" i="1"/>
  <c r="H263" i="2"/>
  <c r="G263" i="2"/>
  <c r="AO264" i="1"/>
  <c r="F263" i="2"/>
  <c r="E263" i="2"/>
  <c r="AN264" i="1"/>
  <c r="D263" i="2"/>
  <c r="C263" i="2"/>
  <c r="B263" i="2"/>
  <c r="I262" i="2"/>
  <c r="J262" i="2"/>
  <c r="L262" i="2"/>
  <c r="K262" i="2"/>
  <c r="AP263" i="1"/>
  <c r="H262" i="2"/>
  <c r="G262" i="2"/>
  <c r="AO263" i="1"/>
  <c r="F262" i="2"/>
  <c r="E262" i="2"/>
  <c r="AN263" i="1"/>
  <c r="D262" i="2"/>
  <c r="C262" i="2"/>
  <c r="B262" i="2"/>
  <c r="I261" i="2"/>
  <c r="J261" i="2"/>
  <c r="L261" i="2"/>
  <c r="K261" i="2"/>
  <c r="AP262" i="1"/>
  <c r="H261" i="2"/>
  <c r="G261" i="2"/>
  <c r="AO262" i="1"/>
  <c r="F261" i="2"/>
  <c r="E261" i="2"/>
  <c r="AN262" i="1"/>
  <c r="D261" i="2"/>
  <c r="C261" i="2"/>
  <c r="B261" i="2"/>
  <c r="I260" i="2"/>
  <c r="J260" i="2"/>
  <c r="L260" i="2"/>
  <c r="K260" i="2"/>
  <c r="AP261" i="1"/>
  <c r="H260" i="2"/>
  <c r="G260" i="2"/>
  <c r="AO261" i="1"/>
  <c r="F260" i="2"/>
  <c r="E260" i="2"/>
  <c r="AN261" i="1"/>
  <c r="D260" i="2"/>
  <c r="C260" i="2"/>
  <c r="B260" i="2"/>
  <c r="I259" i="2"/>
  <c r="J259" i="2"/>
  <c r="L259" i="2"/>
  <c r="K259" i="2"/>
  <c r="AP260" i="1"/>
  <c r="H259" i="2"/>
  <c r="G259" i="2"/>
  <c r="AO260" i="1"/>
  <c r="F259" i="2"/>
  <c r="E259" i="2"/>
  <c r="AN260" i="1"/>
  <c r="D259" i="2"/>
  <c r="C259" i="2"/>
  <c r="B259" i="2"/>
  <c r="I258" i="2"/>
  <c r="J258" i="2"/>
  <c r="L258" i="2"/>
  <c r="K258" i="2"/>
  <c r="AP259" i="1"/>
  <c r="H258" i="2"/>
  <c r="G258" i="2"/>
  <c r="AO259" i="1"/>
  <c r="F258" i="2"/>
  <c r="E258" i="2"/>
  <c r="AN259" i="1"/>
  <c r="D258" i="2"/>
  <c r="C258" i="2"/>
  <c r="B258" i="2"/>
  <c r="I257" i="2"/>
  <c r="J257" i="2"/>
  <c r="L257" i="2"/>
  <c r="K257" i="2"/>
  <c r="AP258" i="1"/>
  <c r="H257" i="2"/>
  <c r="G257" i="2"/>
  <c r="AO258" i="1"/>
  <c r="F257" i="2"/>
  <c r="E257" i="2"/>
  <c r="AN258" i="1"/>
  <c r="D257" i="2"/>
  <c r="C257" i="2"/>
  <c r="B257" i="2"/>
  <c r="I256" i="2"/>
  <c r="J256" i="2"/>
  <c r="L256" i="2"/>
  <c r="K256" i="2"/>
  <c r="AP257" i="1"/>
  <c r="H256" i="2"/>
  <c r="G256" i="2"/>
  <c r="AO257" i="1"/>
  <c r="F256" i="2"/>
  <c r="E256" i="2"/>
  <c r="AN257" i="1"/>
  <c r="D256" i="2"/>
  <c r="C256" i="2"/>
  <c r="B256" i="2"/>
  <c r="I255" i="2"/>
  <c r="J255" i="2"/>
  <c r="L255" i="2"/>
  <c r="K255" i="2"/>
  <c r="AP256" i="1"/>
  <c r="H255" i="2"/>
  <c r="G255" i="2"/>
  <c r="AO256" i="1"/>
  <c r="F255" i="2"/>
  <c r="E255" i="2"/>
  <c r="AN256" i="1"/>
  <c r="D255" i="2"/>
  <c r="C255" i="2"/>
  <c r="B255" i="2"/>
  <c r="I254" i="2"/>
  <c r="J254" i="2"/>
  <c r="L254" i="2"/>
  <c r="K254" i="2"/>
  <c r="AP255" i="1"/>
  <c r="H254" i="2"/>
  <c r="G254" i="2"/>
  <c r="AO255" i="1"/>
  <c r="F254" i="2"/>
  <c r="E254" i="2"/>
  <c r="AN255" i="1"/>
  <c r="D254" i="2"/>
  <c r="C254" i="2"/>
  <c r="B254" i="2"/>
  <c r="I253" i="2"/>
  <c r="J253" i="2"/>
  <c r="L253" i="2"/>
  <c r="K253" i="2"/>
  <c r="AP254" i="1"/>
  <c r="H253" i="2"/>
  <c r="G253" i="2"/>
  <c r="AO254" i="1"/>
  <c r="F253" i="2"/>
  <c r="E253" i="2"/>
  <c r="AN254" i="1"/>
  <c r="D253" i="2"/>
  <c r="C253" i="2"/>
  <c r="B253" i="2"/>
  <c r="I252" i="2"/>
  <c r="J252" i="2"/>
  <c r="L252" i="2"/>
  <c r="K252" i="2"/>
  <c r="AP253" i="1"/>
  <c r="H252" i="2"/>
  <c r="G252" i="2"/>
  <c r="AO253" i="1"/>
  <c r="F252" i="2"/>
  <c r="E252" i="2"/>
  <c r="AN253" i="1"/>
  <c r="D252" i="2"/>
  <c r="C252" i="2"/>
  <c r="B252" i="2"/>
  <c r="I251" i="2"/>
  <c r="J251" i="2"/>
  <c r="L251" i="2"/>
  <c r="K251" i="2"/>
  <c r="AP252" i="1"/>
  <c r="H251" i="2"/>
  <c r="G251" i="2"/>
  <c r="AO252" i="1"/>
  <c r="F251" i="2"/>
  <c r="E251" i="2"/>
  <c r="AN252" i="1"/>
  <c r="D251" i="2"/>
  <c r="C251" i="2"/>
  <c r="B251" i="2"/>
  <c r="I250" i="2"/>
  <c r="J250" i="2"/>
  <c r="L250" i="2"/>
  <c r="K250" i="2"/>
  <c r="AP251" i="1"/>
  <c r="H250" i="2"/>
  <c r="G250" i="2"/>
  <c r="AO251" i="1"/>
  <c r="F250" i="2"/>
  <c r="E250" i="2"/>
  <c r="AN251" i="1"/>
  <c r="D250" i="2"/>
  <c r="C250" i="2"/>
  <c r="B250" i="2"/>
  <c r="I249" i="2"/>
  <c r="J249" i="2"/>
  <c r="L249" i="2"/>
  <c r="K249" i="2"/>
  <c r="AP250" i="1"/>
  <c r="H249" i="2"/>
  <c r="G249" i="2"/>
  <c r="AO250" i="1"/>
  <c r="F249" i="2"/>
  <c r="E249" i="2"/>
  <c r="AN250" i="1"/>
  <c r="D249" i="2"/>
  <c r="C249" i="2"/>
  <c r="B249" i="2"/>
  <c r="I248" i="2"/>
  <c r="J248" i="2"/>
  <c r="L248" i="2"/>
  <c r="K248" i="2"/>
  <c r="AP249" i="1"/>
  <c r="H248" i="2"/>
  <c r="G248" i="2"/>
  <c r="AO249" i="1"/>
  <c r="F248" i="2"/>
  <c r="E248" i="2"/>
  <c r="AN249" i="1"/>
  <c r="D248" i="2"/>
  <c r="C248" i="2"/>
  <c r="B248" i="2"/>
  <c r="I247" i="2"/>
  <c r="J247" i="2"/>
  <c r="L247" i="2"/>
  <c r="K247" i="2"/>
  <c r="AP248" i="1"/>
  <c r="H247" i="2"/>
  <c r="G247" i="2"/>
  <c r="AO248" i="1"/>
  <c r="F247" i="2"/>
  <c r="E247" i="2"/>
  <c r="AN248" i="1"/>
  <c r="D247" i="2"/>
  <c r="C247" i="2"/>
  <c r="B247" i="2"/>
  <c r="I246" i="2"/>
  <c r="J246" i="2"/>
  <c r="L246" i="2"/>
  <c r="K246" i="2"/>
  <c r="AP247" i="1"/>
  <c r="H246" i="2"/>
  <c r="G246" i="2"/>
  <c r="AO247" i="1"/>
  <c r="F246" i="2"/>
  <c r="E246" i="2"/>
  <c r="AN247" i="1"/>
  <c r="D246" i="2"/>
  <c r="C246" i="2"/>
  <c r="B246" i="2"/>
  <c r="I245" i="2"/>
  <c r="J245" i="2"/>
  <c r="L245" i="2"/>
  <c r="K245" i="2"/>
  <c r="AP246" i="1"/>
  <c r="H245" i="2"/>
  <c r="G245" i="2"/>
  <c r="AO246" i="1"/>
  <c r="F245" i="2"/>
  <c r="E245" i="2"/>
  <c r="AN246" i="1"/>
  <c r="D245" i="2"/>
  <c r="C245" i="2"/>
  <c r="B245" i="2"/>
  <c r="I244" i="2"/>
  <c r="J244" i="2"/>
  <c r="L244" i="2"/>
  <c r="K244" i="2"/>
  <c r="AP245" i="1"/>
  <c r="H244" i="2"/>
  <c r="G244" i="2"/>
  <c r="AO245" i="1"/>
  <c r="F244" i="2"/>
  <c r="E244" i="2"/>
  <c r="AN245" i="1"/>
  <c r="D244" i="2"/>
  <c r="C244" i="2"/>
  <c r="B244" i="2"/>
  <c r="I243" i="2"/>
  <c r="J243" i="2"/>
  <c r="L243" i="2"/>
  <c r="K243" i="2"/>
  <c r="AP244" i="1"/>
  <c r="H243" i="2"/>
  <c r="G243" i="2"/>
  <c r="AO244" i="1"/>
  <c r="F243" i="2"/>
  <c r="E243" i="2"/>
  <c r="AN244" i="1"/>
  <c r="D243" i="2"/>
  <c r="C243" i="2"/>
  <c r="B243" i="2"/>
  <c r="I242" i="2"/>
  <c r="J242" i="2"/>
  <c r="L242" i="2"/>
  <c r="K242" i="2"/>
  <c r="AP243" i="1"/>
  <c r="H242" i="2"/>
  <c r="G242" i="2"/>
  <c r="AO243" i="1"/>
  <c r="F242" i="2"/>
  <c r="E242" i="2"/>
  <c r="AN243" i="1"/>
  <c r="D242" i="2"/>
  <c r="C242" i="2"/>
  <c r="B242" i="2"/>
  <c r="I241" i="2"/>
  <c r="J241" i="2"/>
  <c r="L241" i="2"/>
  <c r="K241" i="2"/>
  <c r="AP242" i="1"/>
  <c r="H241" i="2"/>
  <c r="G241" i="2"/>
  <c r="AO242" i="1"/>
  <c r="F241" i="2"/>
  <c r="E241" i="2"/>
  <c r="AN242" i="1"/>
  <c r="D241" i="2"/>
  <c r="C241" i="2"/>
  <c r="B241" i="2"/>
  <c r="I240" i="2"/>
  <c r="J240" i="2"/>
  <c r="L240" i="2"/>
  <c r="K240" i="2"/>
  <c r="AP241" i="1"/>
  <c r="H240" i="2"/>
  <c r="G240" i="2"/>
  <c r="AO241" i="1"/>
  <c r="F240" i="2"/>
  <c r="E240" i="2"/>
  <c r="AN241" i="1"/>
  <c r="D240" i="2"/>
  <c r="C240" i="2"/>
  <c r="B240" i="2"/>
  <c r="I239" i="2"/>
  <c r="J239" i="2"/>
  <c r="L239" i="2"/>
  <c r="K239" i="2"/>
  <c r="AP240" i="1"/>
  <c r="H239" i="2"/>
  <c r="G239" i="2"/>
  <c r="AO240" i="1"/>
  <c r="F239" i="2"/>
  <c r="E239" i="2"/>
  <c r="AN240" i="1"/>
  <c r="D239" i="2"/>
  <c r="C239" i="2"/>
  <c r="B239" i="2"/>
  <c r="I238" i="2"/>
  <c r="J238" i="2"/>
  <c r="L238" i="2"/>
  <c r="K238" i="2"/>
  <c r="AP239" i="1"/>
  <c r="H238" i="2"/>
  <c r="G238" i="2"/>
  <c r="AO239" i="1"/>
  <c r="F238" i="2"/>
  <c r="E238" i="2"/>
  <c r="AN239" i="1"/>
  <c r="D238" i="2"/>
  <c r="C238" i="2"/>
  <c r="B238" i="2"/>
  <c r="I237" i="2"/>
  <c r="J237" i="2"/>
  <c r="L237" i="2"/>
  <c r="K237" i="2"/>
  <c r="AP238" i="1"/>
  <c r="H237" i="2"/>
  <c r="G237" i="2"/>
  <c r="AO238" i="1"/>
  <c r="F237" i="2"/>
  <c r="E237" i="2"/>
  <c r="AN238" i="1"/>
  <c r="D237" i="2"/>
  <c r="C237" i="2"/>
  <c r="B237" i="2"/>
  <c r="I236" i="2"/>
  <c r="J236" i="2"/>
  <c r="L236" i="2"/>
  <c r="K236" i="2"/>
  <c r="AP237" i="1"/>
  <c r="H236" i="2"/>
  <c r="G236" i="2"/>
  <c r="AO237" i="1"/>
  <c r="F236" i="2"/>
  <c r="E236" i="2"/>
  <c r="AN237" i="1"/>
  <c r="D236" i="2"/>
  <c r="C236" i="2"/>
  <c r="B236" i="2"/>
  <c r="I235" i="2"/>
  <c r="J235" i="2"/>
  <c r="L235" i="2"/>
  <c r="K235" i="2"/>
  <c r="AP236" i="1"/>
  <c r="H235" i="2"/>
  <c r="G235" i="2"/>
  <c r="AO236" i="1"/>
  <c r="F235" i="2"/>
  <c r="E235" i="2"/>
  <c r="AN236" i="1"/>
  <c r="D235" i="2"/>
  <c r="C235" i="2"/>
  <c r="B235" i="2"/>
  <c r="I234" i="2"/>
  <c r="J234" i="2"/>
  <c r="L234" i="2"/>
  <c r="K234" i="2"/>
  <c r="AP235" i="1"/>
  <c r="H234" i="2"/>
  <c r="G234" i="2"/>
  <c r="AO235" i="1"/>
  <c r="F234" i="2"/>
  <c r="E234" i="2"/>
  <c r="AN235" i="1"/>
  <c r="D234" i="2"/>
  <c r="C234" i="2"/>
  <c r="B234" i="2"/>
  <c r="I233" i="2"/>
  <c r="J233" i="2"/>
  <c r="L233" i="2"/>
  <c r="K233" i="2"/>
  <c r="AP234" i="1"/>
  <c r="H233" i="2"/>
  <c r="G233" i="2"/>
  <c r="AO234" i="1"/>
  <c r="F233" i="2"/>
  <c r="E233" i="2"/>
  <c r="AN234" i="1"/>
  <c r="D233" i="2"/>
  <c r="C233" i="2"/>
  <c r="B233" i="2"/>
  <c r="I232" i="2"/>
  <c r="J232" i="2"/>
  <c r="L232" i="2"/>
  <c r="K232" i="2"/>
  <c r="AP233" i="1"/>
  <c r="H232" i="2"/>
  <c r="G232" i="2"/>
  <c r="AO233" i="1"/>
  <c r="F232" i="2"/>
  <c r="E232" i="2"/>
  <c r="AN233" i="1"/>
  <c r="D232" i="2"/>
  <c r="C232" i="2"/>
  <c r="B232" i="2"/>
  <c r="I231" i="2"/>
  <c r="J231" i="2"/>
  <c r="L231" i="2"/>
  <c r="K231" i="2"/>
  <c r="AP232" i="1"/>
  <c r="H231" i="2"/>
  <c r="G231" i="2"/>
  <c r="AO232" i="1"/>
  <c r="F231" i="2"/>
  <c r="E231" i="2"/>
  <c r="AN232" i="1"/>
  <c r="D231" i="2"/>
  <c r="C231" i="2"/>
  <c r="B231" i="2"/>
  <c r="I230" i="2"/>
  <c r="J230" i="2"/>
  <c r="L230" i="2"/>
  <c r="K230" i="2"/>
  <c r="AP231" i="1"/>
  <c r="H230" i="2"/>
  <c r="G230" i="2"/>
  <c r="AO231" i="1"/>
  <c r="F230" i="2"/>
  <c r="E230" i="2"/>
  <c r="AN231" i="1"/>
  <c r="D230" i="2"/>
  <c r="C230" i="2"/>
  <c r="B230" i="2"/>
  <c r="I229" i="2"/>
  <c r="J229" i="2"/>
  <c r="L229" i="2"/>
  <c r="K229" i="2"/>
  <c r="AP230" i="1"/>
  <c r="H229" i="2"/>
  <c r="G229" i="2"/>
  <c r="AO230" i="1"/>
  <c r="F229" i="2"/>
  <c r="E229" i="2"/>
  <c r="AN230" i="1"/>
  <c r="D229" i="2"/>
  <c r="C229" i="2"/>
  <c r="B229" i="2"/>
  <c r="I228" i="2"/>
  <c r="J228" i="2"/>
  <c r="L228" i="2"/>
  <c r="K228" i="2"/>
  <c r="AP229" i="1"/>
  <c r="H228" i="2"/>
  <c r="G228" i="2"/>
  <c r="AO229" i="1"/>
  <c r="F228" i="2"/>
  <c r="E228" i="2"/>
  <c r="AN229" i="1"/>
  <c r="D228" i="2"/>
  <c r="C228" i="2"/>
  <c r="B228" i="2"/>
  <c r="I227" i="2"/>
  <c r="J227" i="2"/>
  <c r="L227" i="2"/>
  <c r="K227" i="2"/>
  <c r="AP228" i="1"/>
  <c r="H227" i="2"/>
  <c r="G227" i="2"/>
  <c r="AO228" i="1"/>
  <c r="F227" i="2"/>
  <c r="E227" i="2"/>
  <c r="AN228" i="1"/>
  <c r="D227" i="2"/>
  <c r="C227" i="2"/>
  <c r="B227" i="2"/>
  <c r="I226" i="2"/>
  <c r="J226" i="2"/>
  <c r="L226" i="2"/>
  <c r="K226" i="2"/>
  <c r="AP227" i="1"/>
  <c r="H226" i="2"/>
  <c r="G226" i="2"/>
  <c r="AO227" i="1"/>
  <c r="F226" i="2"/>
  <c r="E226" i="2"/>
  <c r="AN227" i="1"/>
  <c r="D226" i="2"/>
  <c r="C226" i="2"/>
  <c r="B226" i="2"/>
  <c r="I225" i="2"/>
  <c r="J225" i="2"/>
  <c r="L225" i="2"/>
  <c r="K225" i="2"/>
  <c r="AP226" i="1"/>
  <c r="H225" i="2"/>
  <c r="G225" i="2"/>
  <c r="AO226" i="1"/>
  <c r="F225" i="2"/>
  <c r="E225" i="2"/>
  <c r="AN226" i="1"/>
  <c r="D225" i="2"/>
  <c r="C225" i="2"/>
  <c r="B225" i="2"/>
  <c r="I224" i="2"/>
  <c r="J224" i="2"/>
  <c r="L224" i="2"/>
  <c r="K224" i="2"/>
  <c r="AP225" i="1"/>
  <c r="H224" i="2"/>
  <c r="G224" i="2"/>
  <c r="AO225" i="1"/>
  <c r="F224" i="2"/>
  <c r="E224" i="2"/>
  <c r="AN225" i="1"/>
  <c r="D224" i="2"/>
  <c r="C224" i="2"/>
  <c r="B224" i="2"/>
  <c r="I223" i="2"/>
  <c r="J223" i="2"/>
  <c r="L223" i="2"/>
  <c r="K223" i="2"/>
  <c r="AP224" i="1"/>
  <c r="H223" i="2"/>
  <c r="G223" i="2"/>
  <c r="AO224" i="1"/>
  <c r="F223" i="2"/>
  <c r="E223" i="2"/>
  <c r="AN224" i="1"/>
  <c r="D223" i="2"/>
  <c r="C223" i="2"/>
  <c r="B223" i="2"/>
  <c r="I222" i="2"/>
  <c r="J222" i="2"/>
  <c r="L222" i="2"/>
  <c r="K222" i="2"/>
  <c r="AP223" i="1"/>
  <c r="H222" i="2"/>
  <c r="G222" i="2"/>
  <c r="AO223" i="1"/>
  <c r="F222" i="2"/>
  <c r="E222" i="2"/>
  <c r="AN223" i="1"/>
  <c r="D222" i="2"/>
  <c r="C222" i="2"/>
  <c r="B222" i="2"/>
  <c r="I221" i="2"/>
  <c r="J221" i="2"/>
  <c r="L221" i="2"/>
  <c r="K221" i="2"/>
  <c r="AP222" i="1"/>
  <c r="H221" i="2"/>
  <c r="G221" i="2"/>
  <c r="AO222" i="1"/>
  <c r="F221" i="2"/>
  <c r="E221" i="2"/>
  <c r="AN222" i="1"/>
  <c r="D221" i="2"/>
  <c r="C221" i="2"/>
  <c r="B221" i="2"/>
  <c r="I220" i="2"/>
  <c r="J220" i="2"/>
  <c r="L220" i="2"/>
  <c r="K220" i="2"/>
  <c r="AP221" i="1"/>
  <c r="H220" i="2"/>
  <c r="G220" i="2"/>
  <c r="AO221" i="1"/>
  <c r="F220" i="2"/>
  <c r="E220" i="2"/>
  <c r="AN221" i="1"/>
  <c r="D220" i="2"/>
  <c r="C220" i="2"/>
  <c r="B220" i="2"/>
  <c r="I219" i="2"/>
  <c r="J219" i="2"/>
  <c r="L219" i="2"/>
  <c r="K219" i="2"/>
  <c r="AP220" i="1"/>
  <c r="H219" i="2"/>
  <c r="G219" i="2"/>
  <c r="AO220" i="1"/>
  <c r="F219" i="2"/>
  <c r="E219" i="2"/>
  <c r="AN220" i="1"/>
  <c r="D219" i="2"/>
  <c r="C219" i="2"/>
  <c r="B219" i="2"/>
  <c r="I218" i="2"/>
  <c r="J218" i="2"/>
  <c r="L218" i="2"/>
  <c r="K218" i="2"/>
  <c r="AP219" i="1"/>
  <c r="H218" i="2"/>
  <c r="G218" i="2"/>
  <c r="AO219" i="1"/>
  <c r="F218" i="2"/>
  <c r="E218" i="2"/>
  <c r="AN219" i="1"/>
  <c r="D218" i="2"/>
  <c r="C218" i="2"/>
  <c r="B218" i="2"/>
  <c r="I217" i="2"/>
  <c r="J217" i="2"/>
  <c r="L217" i="2"/>
  <c r="K217" i="2"/>
  <c r="AP218" i="1"/>
  <c r="H217" i="2"/>
  <c r="G217" i="2"/>
  <c r="AO218" i="1"/>
  <c r="F217" i="2"/>
  <c r="E217" i="2"/>
  <c r="AN218" i="1"/>
  <c r="D217" i="2"/>
  <c r="C217" i="2"/>
  <c r="B217" i="2"/>
  <c r="I216" i="2"/>
  <c r="J216" i="2"/>
  <c r="L216" i="2"/>
  <c r="K216" i="2"/>
  <c r="AP217" i="1"/>
  <c r="H216" i="2"/>
  <c r="G216" i="2"/>
  <c r="AO217" i="1"/>
  <c r="F216" i="2"/>
  <c r="E216" i="2"/>
  <c r="AN217" i="1"/>
  <c r="D216" i="2"/>
  <c r="C216" i="2"/>
  <c r="B216" i="2"/>
  <c r="I215" i="2"/>
  <c r="J215" i="2"/>
  <c r="L215" i="2"/>
  <c r="K215" i="2"/>
  <c r="AP216" i="1"/>
  <c r="H215" i="2"/>
  <c r="G215" i="2"/>
  <c r="AO216" i="1"/>
  <c r="F215" i="2"/>
  <c r="E215" i="2"/>
  <c r="AN216" i="1"/>
  <c r="D215" i="2"/>
  <c r="C215" i="2"/>
  <c r="B215" i="2"/>
  <c r="I214" i="2"/>
  <c r="J214" i="2"/>
  <c r="L214" i="2"/>
  <c r="K214" i="2"/>
  <c r="AP215" i="1"/>
  <c r="H214" i="2"/>
  <c r="G214" i="2"/>
  <c r="AO215" i="1"/>
  <c r="F214" i="2"/>
  <c r="E214" i="2"/>
  <c r="AN215" i="1"/>
  <c r="D214" i="2"/>
  <c r="C214" i="2"/>
  <c r="B214" i="2"/>
  <c r="I213" i="2"/>
  <c r="J213" i="2"/>
  <c r="L213" i="2"/>
  <c r="K213" i="2"/>
  <c r="AP214" i="1"/>
  <c r="H213" i="2"/>
  <c r="G213" i="2"/>
  <c r="AO214" i="1"/>
  <c r="F213" i="2"/>
  <c r="E213" i="2"/>
  <c r="AN214" i="1"/>
  <c r="D213" i="2"/>
  <c r="C213" i="2"/>
  <c r="B213" i="2"/>
  <c r="I212" i="2"/>
  <c r="J212" i="2"/>
  <c r="L212" i="2"/>
  <c r="K212" i="2"/>
  <c r="AP213" i="1"/>
  <c r="H212" i="2"/>
  <c r="G212" i="2"/>
  <c r="AO213" i="1"/>
  <c r="F212" i="2"/>
  <c r="E212" i="2"/>
  <c r="AN213" i="1"/>
  <c r="D212" i="2"/>
  <c r="C212" i="2"/>
  <c r="B212" i="2"/>
  <c r="I211" i="2"/>
  <c r="J211" i="2"/>
  <c r="L211" i="2"/>
  <c r="K211" i="2"/>
  <c r="AP212" i="1"/>
  <c r="H211" i="2"/>
  <c r="G211" i="2"/>
  <c r="AO212" i="1"/>
  <c r="F211" i="2"/>
  <c r="E211" i="2"/>
  <c r="AN212" i="1"/>
  <c r="D211" i="2"/>
  <c r="C211" i="2"/>
  <c r="B211" i="2"/>
  <c r="I210" i="2"/>
  <c r="J210" i="2"/>
  <c r="L210" i="2"/>
  <c r="K210" i="2"/>
  <c r="AP211" i="1"/>
  <c r="H210" i="2"/>
  <c r="G210" i="2"/>
  <c r="AO211" i="1"/>
  <c r="F210" i="2"/>
  <c r="E210" i="2"/>
  <c r="AN211" i="1"/>
  <c r="D210" i="2"/>
  <c r="C210" i="2"/>
  <c r="B210" i="2"/>
  <c r="I209" i="2"/>
  <c r="J209" i="2"/>
  <c r="L209" i="2"/>
  <c r="K209" i="2"/>
  <c r="AP210" i="1"/>
  <c r="H209" i="2"/>
  <c r="G209" i="2"/>
  <c r="AO210" i="1"/>
  <c r="F209" i="2"/>
  <c r="E209" i="2"/>
  <c r="AN210" i="1"/>
  <c r="D209" i="2"/>
  <c r="C209" i="2"/>
  <c r="B209" i="2"/>
  <c r="I208" i="2"/>
  <c r="J208" i="2"/>
  <c r="L208" i="2"/>
  <c r="K208" i="2"/>
  <c r="AP209" i="1"/>
  <c r="H208" i="2"/>
  <c r="G208" i="2"/>
  <c r="AO209" i="1"/>
  <c r="F208" i="2"/>
  <c r="E208" i="2"/>
  <c r="AN209" i="1"/>
  <c r="D208" i="2"/>
  <c r="C208" i="2"/>
  <c r="B208" i="2"/>
  <c r="I207" i="2"/>
  <c r="J207" i="2"/>
  <c r="L207" i="2"/>
  <c r="K207" i="2"/>
  <c r="AP208" i="1"/>
  <c r="H207" i="2"/>
  <c r="G207" i="2"/>
  <c r="AO208" i="1"/>
  <c r="F207" i="2"/>
  <c r="E207" i="2"/>
  <c r="AN208" i="1"/>
  <c r="D207" i="2"/>
  <c r="C207" i="2"/>
  <c r="B207" i="2"/>
  <c r="I206" i="2"/>
  <c r="J206" i="2"/>
  <c r="L206" i="2"/>
  <c r="K206" i="2"/>
  <c r="AP207" i="1"/>
  <c r="H206" i="2"/>
  <c r="G206" i="2"/>
  <c r="AO207" i="1"/>
  <c r="F206" i="2"/>
  <c r="E206" i="2"/>
  <c r="AN207" i="1"/>
  <c r="D206" i="2"/>
  <c r="C206" i="2"/>
  <c r="B206" i="2"/>
  <c r="I205" i="2"/>
  <c r="J205" i="2"/>
  <c r="L205" i="2"/>
  <c r="K205" i="2"/>
  <c r="AP206" i="1"/>
  <c r="H205" i="2"/>
  <c r="G205" i="2"/>
  <c r="AO206" i="1"/>
  <c r="F205" i="2"/>
  <c r="E205" i="2"/>
  <c r="AN206" i="1"/>
  <c r="D205" i="2"/>
  <c r="C205" i="2"/>
  <c r="B205" i="2"/>
  <c r="I204" i="2"/>
  <c r="J204" i="2"/>
  <c r="L204" i="2"/>
  <c r="K204" i="2"/>
  <c r="AP205" i="1"/>
  <c r="H204" i="2"/>
  <c r="G204" i="2"/>
  <c r="AO205" i="1"/>
  <c r="F204" i="2"/>
  <c r="E204" i="2"/>
  <c r="AN205" i="1"/>
  <c r="D204" i="2"/>
  <c r="C204" i="2"/>
  <c r="B204" i="2"/>
  <c r="I203" i="2"/>
  <c r="J203" i="2"/>
  <c r="L203" i="2"/>
  <c r="K203" i="2"/>
  <c r="AP204" i="1"/>
  <c r="H203" i="2"/>
  <c r="G203" i="2"/>
  <c r="AO204" i="1"/>
  <c r="F203" i="2"/>
  <c r="E203" i="2"/>
  <c r="AN204" i="1"/>
  <c r="D203" i="2"/>
  <c r="C203" i="2"/>
  <c r="B203" i="2"/>
  <c r="I202" i="2"/>
  <c r="J202" i="2"/>
  <c r="L202" i="2"/>
  <c r="K202" i="2"/>
  <c r="AP203" i="1"/>
  <c r="H202" i="2"/>
  <c r="G202" i="2"/>
  <c r="AO203" i="1"/>
  <c r="F202" i="2"/>
  <c r="E202" i="2"/>
  <c r="AN203" i="1"/>
  <c r="D202" i="2"/>
  <c r="C202" i="2"/>
  <c r="B202" i="2"/>
  <c r="I201" i="2"/>
  <c r="J201" i="2"/>
  <c r="L201" i="2"/>
  <c r="K201" i="2"/>
  <c r="AP202" i="1"/>
  <c r="H201" i="2"/>
  <c r="G201" i="2"/>
  <c r="AO202" i="1"/>
  <c r="F201" i="2"/>
  <c r="E201" i="2"/>
  <c r="AN202" i="1"/>
  <c r="D201" i="2"/>
  <c r="C201" i="2"/>
  <c r="B201" i="2"/>
  <c r="I200" i="2"/>
  <c r="J200" i="2"/>
  <c r="L200" i="2"/>
  <c r="K200" i="2"/>
  <c r="AP201" i="1"/>
  <c r="H200" i="2"/>
  <c r="G200" i="2"/>
  <c r="AO201" i="1"/>
  <c r="F200" i="2"/>
  <c r="E200" i="2"/>
  <c r="AN201" i="1"/>
  <c r="D200" i="2"/>
  <c r="C200" i="2"/>
  <c r="B200" i="2"/>
  <c r="I199" i="2"/>
  <c r="J199" i="2"/>
  <c r="L199" i="2"/>
  <c r="K199" i="2"/>
  <c r="AP200" i="1"/>
  <c r="H199" i="2"/>
  <c r="G199" i="2"/>
  <c r="AO200" i="1"/>
  <c r="F199" i="2"/>
  <c r="E199" i="2"/>
  <c r="AN200" i="1"/>
  <c r="D199" i="2"/>
  <c r="C199" i="2"/>
  <c r="B199" i="2"/>
  <c r="I198" i="2"/>
  <c r="J198" i="2"/>
  <c r="L198" i="2"/>
  <c r="K198" i="2"/>
  <c r="AP199" i="1"/>
  <c r="H198" i="2"/>
  <c r="G198" i="2"/>
  <c r="AO199" i="1"/>
  <c r="F198" i="2"/>
  <c r="E198" i="2"/>
  <c r="AN199" i="1"/>
  <c r="D198" i="2"/>
  <c r="C198" i="2"/>
  <c r="B198" i="2"/>
  <c r="I197" i="2"/>
  <c r="J197" i="2"/>
  <c r="L197" i="2"/>
  <c r="K197" i="2"/>
  <c r="AP198" i="1"/>
  <c r="H197" i="2"/>
  <c r="G197" i="2"/>
  <c r="AO198" i="1"/>
  <c r="F197" i="2"/>
  <c r="E197" i="2"/>
  <c r="AN198" i="1"/>
  <c r="D197" i="2"/>
  <c r="C197" i="2"/>
  <c r="B197" i="2"/>
  <c r="I196" i="2"/>
  <c r="J196" i="2"/>
  <c r="L196" i="2"/>
  <c r="K196" i="2"/>
  <c r="AP197" i="1"/>
  <c r="H196" i="2"/>
  <c r="G196" i="2"/>
  <c r="AO197" i="1"/>
  <c r="F196" i="2"/>
  <c r="E196" i="2"/>
  <c r="AN197" i="1"/>
  <c r="D196" i="2"/>
  <c r="C196" i="2"/>
  <c r="B196" i="2"/>
  <c r="I195" i="2"/>
  <c r="J195" i="2"/>
  <c r="L195" i="2"/>
  <c r="K195" i="2"/>
  <c r="AP196" i="1"/>
  <c r="H195" i="2"/>
  <c r="G195" i="2"/>
  <c r="AO196" i="1"/>
  <c r="F195" i="2"/>
  <c r="E195" i="2"/>
  <c r="AN196" i="1"/>
  <c r="D195" i="2"/>
  <c r="C195" i="2"/>
  <c r="B195" i="2"/>
  <c r="I194" i="2"/>
  <c r="J194" i="2"/>
  <c r="L194" i="2"/>
  <c r="K194" i="2"/>
  <c r="AP195" i="1"/>
  <c r="H194" i="2"/>
  <c r="G194" i="2"/>
  <c r="AO195" i="1"/>
  <c r="F194" i="2"/>
  <c r="E194" i="2"/>
  <c r="AN195" i="1"/>
  <c r="D194" i="2"/>
  <c r="C194" i="2"/>
  <c r="B194" i="2"/>
  <c r="I193" i="2"/>
  <c r="J193" i="2"/>
  <c r="L193" i="2"/>
  <c r="K193" i="2"/>
  <c r="AP194" i="1"/>
  <c r="H193" i="2"/>
  <c r="G193" i="2"/>
  <c r="AO194" i="1"/>
  <c r="F193" i="2"/>
  <c r="E193" i="2"/>
  <c r="AN194" i="1"/>
  <c r="D193" i="2"/>
  <c r="C193" i="2"/>
  <c r="B193" i="2"/>
  <c r="I192" i="2"/>
  <c r="J192" i="2"/>
  <c r="L192" i="2"/>
  <c r="K192" i="2"/>
  <c r="AP193" i="1"/>
  <c r="H192" i="2"/>
  <c r="G192" i="2"/>
  <c r="AO193" i="1"/>
  <c r="F192" i="2"/>
  <c r="E192" i="2"/>
  <c r="AN193" i="1"/>
  <c r="D192" i="2"/>
  <c r="C192" i="2"/>
  <c r="B192" i="2"/>
  <c r="I191" i="2"/>
  <c r="J191" i="2"/>
  <c r="L191" i="2"/>
  <c r="K191" i="2"/>
  <c r="AP192" i="1"/>
  <c r="H191" i="2"/>
  <c r="G191" i="2"/>
  <c r="AO192" i="1"/>
  <c r="F191" i="2"/>
  <c r="E191" i="2"/>
  <c r="AN192" i="1"/>
  <c r="D191" i="2"/>
  <c r="C191" i="2"/>
  <c r="B191" i="2"/>
  <c r="I190" i="2"/>
  <c r="J190" i="2"/>
  <c r="L190" i="2"/>
  <c r="K190" i="2"/>
  <c r="AP191" i="1"/>
  <c r="H190" i="2"/>
  <c r="G190" i="2"/>
  <c r="AO191" i="1"/>
  <c r="F190" i="2"/>
  <c r="E190" i="2"/>
  <c r="AN191" i="1"/>
  <c r="D190" i="2"/>
  <c r="C190" i="2"/>
  <c r="B190" i="2"/>
  <c r="I189" i="2"/>
  <c r="J189" i="2"/>
  <c r="L189" i="2"/>
  <c r="K189" i="2"/>
  <c r="AP190" i="1"/>
  <c r="H189" i="2"/>
  <c r="G189" i="2"/>
  <c r="AO190" i="1"/>
  <c r="F189" i="2"/>
  <c r="E189" i="2"/>
  <c r="AN190" i="1"/>
  <c r="D189" i="2"/>
  <c r="C189" i="2"/>
  <c r="B189" i="2"/>
  <c r="I188" i="2"/>
  <c r="J188" i="2"/>
  <c r="L188" i="2"/>
  <c r="K188" i="2"/>
  <c r="AP189" i="1"/>
  <c r="H188" i="2"/>
  <c r="G188" i="2"/>
  <c r="AO189" i="1"/>
  <c r="F188" i="2"/>
  <c r="E188" i="2"/>
  <c r="AN189" i="1"/>
  <c r="D188" i="2"/>
  <c r="C188" i="2"/>
  <c r="B188" i="2"/>
  <c r="I187" i="2"/>
  <c r="J187" i="2"/>
  <c r="L187" i="2"/>
  <c r="K187" i="2"/>
  <c r="AP188" i="1"/>
  <c r="H187" i="2"/>
  <c r="G187" i="2"/>
  <c r="AO188" i="1"/>
  <c r="F187" i="2"/>
  <c r="E187" i="2"/>
  <c r="AN188" i="1"/>
  <c r="D187" i="2"/>
  <c r="C187" i="2"/>
  <c r="B187" i="2"/>
  <c r="I186" i="2"/>
  <c r="J186" i="2"/>
  <c r="L186" i="2"/>
  <c r="K186" i="2"/>
  <c r="AP187" i="1"/>
  <c r="H186" i="2"/>
  <c r="G186" i="2"/>
  <c r="AO187" i="1"/>
  <c r="F186" i="2"/>
  <c r="E186" i="2"/>
  <c r="AN187" i="1"/>
  <c r="D186" i="2"/>
  <c r="C186" i="2"/>
  <c r="B186" i="2"/>
  <c r="I185" i="2"/>
  <c r="J185" i="2"/>
  <c r="L185" i="2"/>
  <c r="K185" i="2"/>
  <c r="AP186" i="1"/>
  <c r="H185" i="2"/>
  <c r="G185" i="2"/>
  <c r="AO186" i="1"/>
  <c r="F185" i="2"/>
  <c r="E185" i="2"/>
  <c r="AN186" i="1"/>
  <c r="D185" i="2"/>
  <c r="C185" i="2"/>
  <c r="B185" i="2"/>
  <c r="I184" i="2"/>
  <c r="J184" i="2"/>
  <c r="L184" i="2"/>
  <c r="K184" i="2"/>
  <c r="AP185" i="1"/>
  <c r="H184" i="2"/>
  <c r="G184" i="2"/>
  <c r="AO185" i="1"/>
  <c r="F184" i="2"/>
  <c r="E184" i="2"/>
  <c r="AN185" i="1"/>
  <c r="D184" i="2"/>
  <c r="C184" i="2"/>
  <c r="B184" i="2"/>
  <c r="I183" i="2"/>
  <c r="J183" i="2"/>
  <c r="L183" i="2"/>
  <c r="K183" i="2"/>
  <c r="AP184" i="1"/>
  <c r="H183" i="2"/>
  <c r="G183" i="2"/>
  <c r="AO184" i="1"/>
  <c r="F183" i="2"/>
  <c r="E183" i="2"/>
  <c r="AN184" i="1"/>
  <c r="D183" i="2"/>
  <c r="C183" i="2"/>
  <c r="B183" i="2"/>
  <c r="I182" i="2"/>
  <c r="J182" i="2"/>
  <c r="L182" i="2"/>
  <c r="K182" i="2"/>
  <c r="AP183" i="1"/>
  <c r="H182" i="2"/>
  <c r="G182" i="2"/>
  <c r="AO183" i="1"/>
  <c r="F182" i="2"/>
  <c r="E182" i="2"/>
  <c r="AN183" i="1"/>
  <c r="D182" i="2"/>
  <c r="C182" i="2"/>
  <c r="B182" i="2"/>
  <c r="I181" i="2"/>
  <c r="J181" i="2"/>
  <c r="L181" i="2"/>
  <c r="K181" i="2"/>
  <c r="AP182" i="1"/>
  <c r="H181" i="2"/>
  <c r="G181" i="2"/>
  <c r="AO182" i="1"/>
  <c r="F181" i="2"/>
  <c r="E181" i="2"/>
  <c r="AN182" i="1"/>
  <c r="D181" i="2"/>
  <c r="C181" i="2"/>
  <c r="B181" i="2"/>
  <c r="I180" i="2"/>
  <c r="J180" i="2"/>
  <c r="L180" i="2"/>
  <c r="K180" i="2"/>
  <c r="AP181" i="1"/>
  <c r="H180" i="2"/>
  <c r="G180" i="2"/>
  <c r="AO181" i="1"/>
  <c r="F180" i="2"/>
  <c r="E180" i="2"/>
  <c r="AN181" i="1"/>
  <c r="D180" i="2"/>
  <c r="C180" i="2"/>
  <c r="B180" i="2"/>
  <c r="I179" i="2"/>
  <c r="J179" i="2"/>
  <c r="L179" i="2"/>
  <c r="K179" i="2"/>
  <c r="AP180" i="1"/>
  <c r="H179" i="2"/>
  <c r="G179" i="2"/>
  <c r="AO180" i="1"/>
  <c r="F179" i="2"/>
  <c r="E179" i="2"/>
  <c r="AN180" i="1"/>
  <c r="D179" i="2"/>
  <c r="C179" i="2"/>
  <c r="B179" i="2"/>
  <c r="I178" i="2"/>
  <c r="J178" i="2"/>
  <c r="L178" i="2"/>
  <c r="K178" i="2"/>
  <c r="AP179" i="1"/>
  <c r="H178" i="2"/>
  <c r="G178" i="2"/>
  <c r="AO179" i="1"/>
  <c r="F178" i="2"/>
  <c r="E178" i="2"/>
  <c r="AN179" i="1"/>
  <c r="D178" i="2"/>
  <c r="C178" i="2"/>
  <c r="B178" i="2"/>
  <c r="I177" i="2"/>
  <c r="J177" i="2"/>
  <c r="L177" i="2"/>
  <c r="K177" i="2"/>
  <c r="AP178" i="1"/>
  <c r="H177" i="2"/>
  <c r="G177" i="2"/>
  <c r="AO178" i="1"/>
  <c r="F177" i="2"/>
  <c r="E177" i="2"/>
  <c r="AN178" i="1"/>
  <c r="D177" i="2"/>
  <c r="C177" i="2"/>
  <c r="B177" i="2"/>
  <c r="I176" i="2"/>
  <c r="J176" i="2"/>
  <c r="L176" i="2"/>
  <c r="K176" i="2"/>
  <c r="AP177" i="1"/>
  <c r="H176" i="2"/>
  <c r="G176" i="2"/>
  <c r="AO177" i="1"/>
  <c r="F176" i="2"/>
  <c r="E176" i="2"/>
  <c r="AN177" i="1"/>
  <c r="D176" i="2"/>
  <c r="C176" i="2"/>
  <c r="B176" i="2"/>
  <c r="I175" i="2"/>
  <c r="J175" i="2"/>
  <c r="L175" i="2"/>
  <c r="K175" i="2"/>
  <c r="AP176" i="1"/>
  <c r="H175" i="2"/>
  <c r="G175" i="2"/>
  <c r="AO176" i="1"/>
  <c r="F175" i="2"/>
  <c r="E175" i="2"/>
  <c r="AN176" i="1"/>
  <c r="D175" i="2"/>
  <c r="C175" i="2"/>
  <c r="B175" i="2"/>
  <c r="I174" i="2"/>
  <c r="J174" i="2"/>
  <c r="L174" i="2"/>
  <c r="K174" i="2"/>
  <c r="AP175" i="1"/>
  <c r="H174" i="2"/>
  <c r="G174" i="2"/>
  <c r="AO175" i="1"/>
  <c r="F174" i="2"/>
  <c r="E174" i="2"/>
  <c r="AN175" i="1"/>
  <c r="D174" i="2"/>
  <c r="C174" i="2"/>
  <c r="B174" i="2"/>
  <c r="I173" i="2"/>
  <c r="J173" i="2"/>
  <c r="L173" i="2"/>
  <c r="K173" i="2"/>
  <c r="AP174" i="1"/>
  <c r="H173" i="2"/>
  <c r="G173" i="2"/>
  <c r="AO174" i="1"/>
  <c r="F173" i="2"/>
  <c r="E173" i="2"/>
  <c r="AN174" i="1"/>
  <c r="D173" i="2"/>
  <c r="C173" i="2"/>
  <c r="B173" i="2"/>
  <c r="I172" i="2"/>
  <c r="J172" i="2"/>
  <c r="L172" i="2"/>
  <c r="K172" i="2"/>
  <c r="AP173" i="1"/>
  <c r="H172" i="2"/>
  <c r="G172" i="2"/>
  <c r="AO173" i="1"/>
  <c r="F172" i="2"/>
  <c r="E172" i="2"/>
  <c r="AN173" i="1"/>
  <c r="D172" i="2"/>
  <c r="C172" i="2"/>
  <c r="B172" i="2"/>
  <c r="I171" i="2"/>
  <c r="J171" i="2"/>
  <c r="L171" i="2"/>
  <c r="K171" i="2"/>
  <c r="AP172" i="1"/>
  <c r="H171" i="2"/>
  <c r="G171" i="2"/>
  <c r="AO172" i="1"/>
  <c r="F171" i="2"/>
  <c r="E171" i="2"/>
  <c r="AN172" i="1"/>
  <c r="D171" i="2"/>
  <c r="C171" i="2"/>
  <c r="B171" i="2"/>
  <c r="I170" i="2"/>
  <c r="J170" i="2"/>
  <c r="L170" i="2"/>
  <c r="K170" i="2"/>
  <c r="AP171" i="1"/>
  <c r="H170" i="2"/>
  <c r="G170" i="2"/>
  <c r="AO171" i="1"/>
  <c r="F170" i="2"/>
  <c r="E170" i="2"/>
  <c r="AN171" i="1"/>
  <c r="D170" i="2"/>
  <c r="C170" i="2"/>
  <c r="B170" i="2"/>
  <c r="I169" i="2"/>
  <c r="J169" i="2"/>
  <c r="L169" i="2"/>
  <c r="K169" i="2"/>
  <c r="AP170" i="1"/>
  <c r="H169" i="2"/>
  <c r="G169" i="2"/>
  <c r="AO170" i="1"/>
  <c r="F169" i="2"/>
  <c r="E169" i="2"/>
  <c r="AN170" i="1"/>
  <c r="D169" i="2"/>
  <c r="C169" i="2"/>
  <c r="B169" i="2"/>
  <c r="I168" i="2"/>
  <c r="J168" i="2"/>
  <c r="L168" i="2"/>
  <c r="K168" i="2"/>
  <c r="AP169" i="1"/>
  <c r="H168" i="2"/>
  <c r="G168" i="2"/>
  <c r="AO169" i="1"/>
  <c r="F168" i="2"/>
  <c r="E168" i="2"/>
  <c r="AN169" i="1"/>
  <c r="D168" i="2"/>
  <c r="C168" i="2"/>
  <c r="B168" i="2"/>
  <c r="I167" i="2"/>
  <c r="J167" i="2"/>
  <c r="L167" i="2"/>
  <c r="K167" i="2"/>
  <c r="AP168" i="1"/>
  <c r="H167" i="2"/>
  <c r="G167" i="2"/>
  <c r="AO168" i="1"/>
  <c r="F167" i="2"/>
  <c r="E167" i="2"/>
  <c r="AN168" i="1"/>
  <c r="D167" i="2"/>
  <c r="C167" i="2"/>
  <c r="B167" i="2"/>
  <c r="I166" i="2"/>
  <c r="J166" i="2"/>
  <c r="L166" i="2"/>
  <c r="K166" i="2"/>
  <c r="AP167" i="1"/>
  <c r="H166" i="2"/>
  <c r="G166" i="2"/>
  <c r="AO167" i="1"/>
  <c r="F166" i="2"/>
  <c r="E166" i="2"/>
  <c r="AN167" i="1"/>
  <c r="D166" i="2"/>
  <c r="C166" i="2"/>
  <c r="B166" i="2"/>
  <c r="I165" i="2"/>
  <c r="J165" i="2"/>
  <c r="L165" i="2"/>
  <c r="K165" i="2"/>
  <c r="AP166" i="1"/>
  <c r="H165" i="2"/>
  <c r="G165" i="2"/>
  <c r="AO166" i="1"/>
  <c r="F165" i="2"/>
  <c r="E165" i="2"/>
  <c r="AN166" i="1"/>
  <c r="D165" i="2"/>
  <c r="C165" i="2"/>
  <c r="B165" i="2"/>
  <c r="I164" i="2"/>
  <c r="J164" i="2"/>
  <c r="L164" i="2"/>
  <c r="K164" i="2"/>
  <c r="AP165" i="1"/>
  <c r="H164" i="2"/>
  <c r="G164" i="2"/>
  <c r="AO165" i="1"/>
  <c r="F164" i="2"/>
  <c r="E164" i="2"/>
  <c r="AN165" i="1"/>
  <c r="D164" i="2"/>
  <c r="C164" i="2"/>
  <c r="B164" i="2"/>
  <c r="I163" i="2"/>
  <c r="J163" i="2"/>
  <c r="L163" i="2"/>
  <c r="K163" i="2"/>
  <c r="AP164" i="1"/>
  <c r="H163" i="2"/>
  <c r="G163" i="2"/>
  <c r="AO164" i="1"/>
  <c r="F163" i="2"/>
  <c r="E163" i="2"/>
  <c r="AN164" i="1"/>
  <c r="D163" i="2"/>
  <c r="C163" i="2"/>
  <c r="B163" i="2"/>
  <c r="I162" i="2"/>
  <c r="J162" i="2"/>
  <c r="L162" i="2"/>
  <c r="K162" i="2"/>
  <c r="AP163" i="1"/>
  <c r="H162" i="2"/>
  <c r="G162" i="2"/>
  <c r="AO163" i="1"/>
  <c r="F162" i="2"/>
  <c r="E162" i="2"/>
  <c r="AN163" i="1"/>
  <c r="D162" i="2"/>
  <c r="C162" i="2"/>
  <c r="B162" i="2"/>
  <c r="I161" i="2"/>
  <c r="J161" i="2"/>
  <c r="L161" i="2"/>
  <c r="K161" i="2"/>
  <c r="AP162" i="1"/>
  <c r="H161" i="2"/>
  <c r="G161" i="2"/>
  <c r="AO162" i="1"/>
  <c r="F161" i="2"/>
  <c r="E161" i="2"/>
  <c r="AN162" i="1"/>
  <c r="D161" i="2"/>
  <c r="C161" i="2"/>
  <c r="B161" i="2"/>
  <c r="I160" i="2"/>
  <c r="J160" i="2"/>
  <c r="L160" i="2"/>
  <c r="K160" i="2"/>
  <c r="AP161" i="1"/>
  <c r="H160" i="2"/>
  <c r="G160" i="2"/>
  <c r="AO161" i="1"/>
  <c r="F160" i="2"/>
  <c r="E160" i="2"/>
  <c r="AN161" i="1"/>
  <c r="D160" i="2"/>
  <c r="C160" i="2"/>
  <c r="B160" i="2"/>
  <c r="I159" i="2"/>
  <c r="J159" i="2"/>
  <c r="L159" i="2"/>
  <c r="K159" i="2"/>
  <c r="AP160" i="1"/>
  <c r="H159" i="2"/>
  <c r="G159" i="2"/>
  <c r="AO160" i="1"/>
  <c r="F159" i="2"/>
  <c r="E159" i="2"/>
  <c r="AN160" i="1"/>
  <c r="D159" i="2"/>
  <c r="C159" i="2"/>
  <c r="B159" i="2"/>
  <c r="I158" i="2"/>
  <c r="J158" i="2"/>
  <c r="L158" i="2"/>
  <c r="K158" i="2"/>
  <c r="AP159" i="1"/>
  <c r="H158" i="2"/>
  <c r="G158" i="2"/>
  <c r="AO159" i="1"/>
  <c r="F158" i="2"/>
  <c r="E158" i="2"/>
  <c r="AN159" i="1"/>
  <c r="D158" i="2"/>
  <c r="C158" i="2"/>
  <c r="B158" i="2"/>
  <c r="I157" i="2"/>
  <c r="J157" i="2"/>
  <c r="L157" i="2"/>
  <c r="K157" i="2"/>
  <c r="AP158" i="1"/>
  <c r="H157" i="2"/>
  <c r="G157" i="2"/>
  <c r="AO158" i="1"/>
  <c r="F157" i="2"/>
  <c r="E157" i="2"/>
  <c r="AN158" i="1"/>
  <c r="D157" i="2"/>
  <c r="C157" i="2"/>
  <c r="B157" i="2"/>
  <c r="I156" i="2"/>
  <c r="J156" i="2"/>
  <c r="L156" i="2"/>
  <c r="K156" i="2"/>
  <c r="AP157" i="1"/>
  <c r="H156" i="2"/>
  <c r="G156" i="2"/>
  <c r="AO157" i="1"/>
  <c r="F156" i="2"/>
  <c r="E156" i="2"/>
  <c r="AN157" i="1"/>
  <c r="D156" i="2"/>
  <c r="C156" i="2"/>
  <c r="B156" i="2"/>
  <c r="I155" i="2"/>
  <c r="J155" i="2"/>
  <c r="L155" i="2"/>
  <c r="K155" i="2"/>
  <c r="AP156" i="1"/>
  <c r="H155" i="2"/>
  <c r="G155" i="2"/>
  <c r="AO156" i="1"/>
  <c r="F155" i="2"/>
  <c r="E155" i="2"/>
  <c r="AN156" i="1"/>
  <c r="D155" i="2"/>
  <c r="C155" i="2"/>
  <c r="B155" i="2"/>
  <c r="I154" i="2"/>
  <c r="J154" i="2"/>
  <c r="L154" i="2"/>
  <c r="K154" i="2"/>
  <c r="AP155" i="1"/>
  <c r="H154" i="2"/>
  <c r="G154" i="2"/>
  <c r="AO155" i="1"/>
  <c r="F154" i="2"/>
  <c r="E154" i="2"/>
  <c r="AN155" i="1"/>
  <c r="D154" i="2"/>
  <c r="C154" i="2"/>
  <c r="B154" i="2"/>
  <c r="I153" i="2"/>
  <c r="J153" i="2"/>
  <c r="L153" i="2"/>
  <c r="K153" i="2"/>
  <c r="AP154" i="1"/>
  <c r="H153" i="2"/>
  <c r="G153" i="2"/>
  <c r="AO154" i="1"/>
  <c r="F153" i="2"/>
  <c r="E153" i="2"/>
  <c r="AN154" i="1"/>
  <c r="D153" i="2"/>
  <c r="C153" i="2"/>
  <c r="B153" i="2"/>
  <c r="I152" i="2"/>
  <c r="J152" i="2"/>
  <c r="L152" i="2"/>
  <c r="K152" i="2"/>
  <c r="AP153" i="1"/>
  <c r="H152" i="2"/>
  <c r="G152" i="2"/>
  <c r="AO153" i="1"/>
  <c r="F152" i="2"/>
  <c r="E152" i="2"/>
  <c r="AN153" i="1"/>
  <c r="D152" i="2"/>
  <c r="C152" i="2"/>
  <c r="B152" i="2"/>
  <c r="I151" i="2"/>
  <c r="J151" i="2"/>
  <c r="L151" i="2"/>
  <c r="K151" i="2"/>
  <c r="AP152" i="1"/>
  <c r="H151" i="2"/>
  <c r="G151" i="2"/>
  <c r="AO152" i="1"/>
  <c r="F151" i="2"/>
  <c r="E151" i="2"/>
  <c r="AN152" i="1"/>
  <c r="D151" i="2"/>
  <c r="C151" i="2"/>
  <c r="B151" i="2"/>
  <c r="I150" i="2"/>
  <c r="J150" i="2"/>
  <c r="L150" i="2"/>
  <c r="K150" i="2"/>
  <c r="AP151" i="1"/>
  <c r="H150" i="2"/>
  <c r="G150" i="2"/>
  <c r="AO151" i="1"/>
  <c r="F150" i="2"/>
  <c r="E150" i="2"/>
  <c r="AN151" i="1"/>
  <c r="D150" i="2"/>
  <c r="C150" i="2"/>
  <c r="B150" i="2"/>
  <c r="I149" i="2"/>
  <c r="J149" i="2"/>
  <c r="L149" i="2"/>
  <c r="K149" i="2"/>
  <c r="AP150" i="1"/>
  <c r="H149" i="2"/>
  <c r="G149" i="2"/>
  <c r="AO150" i="1"/>
  <c r="F149" i="2"/>
  <c r="E149" i="2"/>
  <c r="AN150" i="1"/>
  <c r="D149" i="2"/>
  <c r="C149" i="2"/>
  <c r="B149" i="2"/>
  <c r="I148" i="2"/>
  <c r="J148" i="2"/>
  <c r="L148" i="2"/>
  <c r="K148" i="2"/>
  <c r="AP149" i="1"/>
  <c r="H148" i="2"/>
  <c r="G148" i="2"/>
  <c r="AO149" i="1"/>
  <c r="F148" i="2"/>
  <c r="E148" i="2"/>
  <c r="AN149" i="1"/>
  <c r="D148" i="2"/>
  <c r="C148" i="2"/>
  <c r="B148" i="2"/>
  <c r="I147" i="2"/>
  <c r="J147" i="2"/>
  <c r="L147" i="2"/>
  <c r="K147" i="2"/>
  <c r="AP148" i="1"/>
  <c r="H147" i="2"/>
  <c r="G147" i="2"/>
  <c r="AO148" i="1"/>
  <c r="F147" i="2"/>
  <c r="E147" i="2"/>
  <c r="AN148" i="1"/>
  <c r="D147" i="2"/>
  <c r="C147" i="2"/>
  <c r="B147" i="2"/>
  <c r="I146" i="2"/>
  <c r="J146" i="2"/>
  <c r="L146" i="2"/>
  <c r="K146" i="2"/>
  <c r="AP147" i="1"/>
  <c r="H146" i="2"/>
  <c r="G146" i="2"/>
  <c r="AO147" i="1"/>
  <c r="F146" i="2"/>
  <c r="E146" i="2"/>
  <c r="AN147" i="1"/>
  <c r="D146" i="2"/>
  <c r="C146" i="2"/>
  <c r="B146" i="2"/>
  <c r="I145" i="2"/>
  <c r="J145" i="2"/>
  <c r="L145" i="2"/>
  <c r="K145" i="2"/>
  <c r="AP146" i="1"/>
  <c r="H145" i="2"/>
  <c r="G145" i="2"/>
  <c r="AO146" i="1"/>
  <c r="F145" i="2"/>
  <c r="E145" i="2"/>
  <c r="AN146" i="1"/>
  <c r="D145" i="2"/>
  <c r="C145" i="2"/>
  <c r="B145" i="2"/>
  <c r="I144" i="2"/>
  <c r="J144" i="2"/>
  <c r="L144" i="2"/>
  <c r="K144" i="2"/>
  <c r="AP145" i="1"/>
  <c r="H144" i="2"/>
  <c r="G144" i="2"/>
  <c r="AO145" i="1"/>
  <c r="F144" i="2"/>
  <c r="E144" i="2"/>
  <c r="AN145" i="1"/>
  <c r="D144" i="2"/>
  <c r="C144" i="2"/>
  <c r="B144" i="2"/>
  <c r="I143" i="2"/>
  <c r="J143" i="2"/>
  <c r="L143" i="2"/>
  <c r="K143" i="2"/>
  <c r="AP144" i="1"/>
  <c r="H143" i="2"/>
  <c r="G143" i="2"/>
  <c r="AO144" i="1"/>
  <c r="F143" i="2"/>
  <c r="E143" i="2"/>
  <c r="AN144" i="1"/>
  <c r="D143" i="2"/>
  <c r="C143" i="2"/>
  <c r="B143" i="2"/>
  <c r="I142" i="2"/>
  <c r="J142" i="2"/>
  <c r="L142" i="2"/>
  <c r="K142" i="2"/>
  <c r="AP143" i="1"/>
  <c r="H142" i="2"/>
  <c r="G142" i="2"/>
  <c r="AO143" i="1"/>
  <c r="F142" i="2"/>
  <c r="E142" i="2"/>
  <c r="AN143" i="1"/>
  <c r="D142" i="2"/>
  <c r="C142" i="2"/>
  <c r="B142" i="2"/>
  <c r="I141" i="2"/>
  <c r="J141" i="2"/>
  <c r="L141" i="2"/>
  <c r="K141" i="2"/>
  <c r="AP142" i="1"/>
  <c r="H141" i="2"/>
  <c r="G141" i="2"/>
  <c r="AO142" i="1"/>
  <c r="F141" i="2"/>
  <c r="E141" i="2"/>
  <c r="AN142" i="1"/>
  <c r="D141" i="2"/>
  <c r="C141" i="2"/>
  <c r="B141" i="2"/>
  <c r="I140" i="2"/>
  <c r="J140" i="2"/>
  <c r="L140" i="2"/>
  <c r="K140" i="2"/>
  <c r="AP141" i="1"/>
  <c r="H140" i="2"/>
  <c r="G140" i="2"/>
  <c r="AO141" i="1"/>
  <c r="F140" i="2"/>
  <c r="E140" i="2"/>
  <c r="AN141" i="1"/>
  <c r="D140" i="2"/>
  <c r="C140" i="2"/>
  <c r="B140" i="2"/>
  <c r="I139" i="2"/>
  <c r="J139" i="2"/>
  <c r="L139" i="2"/>
  <c r="K139" i="2"/>
  <c r="AP140" i="1"/>
  <c r="H139" i="2"/>
  <c r="G139" i="2"/>
  <c r="AO140" i="1"/>
  <c r="F139" i="2"/>
  <c r="E139" i="2"/>
  <c r="AN140" i="1"/>
  <c r="D139" i="2"/>
  <c r="C139" i="2"/>
  <c r="B139" i="2"/>
  <c r="I138" i="2"/>
  <c r="J138" i="2"/>
  <c r="L138" i="2"/>
  <c r="K138" i="2"/>
  <c r="AP139" i="1"/>
  <c r="H138" i="2"/>
  <c r="G138" i="2"/>
  <c r="AO139" i="1"/>
  <c r="F138" i="2"/>
  <c r="E138" i="2"/>
  <c r="AN139" i="1"/>
  <c r="D138" i="2"/>
  <c r="C138" i="2"/>
  <c r="B138" i="2"/>
  <c r="I137" i="2"/>
  <c r="J137" i="2"/>
  <c r="L137" i="2"/>
  <c r="K137" i="2"/>
  <c r="AP138" i="1"/>
  <c r="H137" i="2"/>
  <c r="G137" i="2"/>
  <c r="AO138" i="1"/>
  <c r="F137" i="2"/>
  <c r="E137" i="2"/>
  <c r="AN138" i="1"/>
  <c r="D137" i="2"/>
  <c r="C137" i="2"/>
  <c r="B137" i="2"/>
  <c r="I136" i="2"/>
  <c r="J136" i="2"/>
  <c r="L136" i="2"/>
  <c r="K136" i="2"/>
  <c r="AP137" i="1"/>
  <c r="H136" i="2"/>
  <c r="G136" i="2"/>
  <c r="AO137" i="1"/>
  <c r="F136" i="2"/>
  <c r="E136" i="2"/>
  <c r="AN137" i="1"/>
  <c r="D136" i="2"/>
  <c r="C136" i="2"/>
  <c r="B136" i="2"/>
  <c r="I135" i="2"/>
  <c r="J135" i="2"/>
  <c r="L135" i="2"/>
  <c r="K135" i="2"/>
  <c r="AP136" i="1"/>
  <c r="H135" i="2"/>
  <c r="G135" i="2"/>
  <c r="AO136" i="1"/>
  <c r="F135" i="2"/>
  <c r="E135" i="2"/>
  <c r="AN136" i="1"/>
  <c r="D135" i="2"/>
  <c r="C135" i="2"/>
  <c r="B135" i="2"/>
  <c r="I134" i="2"/>
  <c r="J134" i="2"/>
  <c r="L134" i="2"/>
  <c r="K134" i="2"/>
  <c r="AP135" i="1"/>
  <c r="H134" i="2"/>
  <c r="G134" i="2"/>
  <c r="AO135" i="1"/>
  <c r="F134" i="2"/>
  <c r="E134" i="2"/>
  <c r="AN135" i="1"/>
  <c r="D134" i="2"/>
  <c r="C134" i="2"/>
  <c r="B134" i="2"/>
  <c r="I133" i="2"/>
  <c r="J133" i="2"/>
  <c r="L133" i="2"/>
  <c r="K133" i="2"/>
  <c r="AP134" i="1"/>
  <c r="H133" i="2"/>
  <c r="G133" i="2"/>
  <c r="AO134" i="1"/>
  <c r="F133" i="2"/>
  <c r="E133" i="2"/>
  <c r="AN134" i="1"/>
  <c r="D133" i="2"/>
  <c r="C133" i="2"/>
  <c r="B133" i="2"/>
  <c r="I132" i="2"/>
  <c r="J132" i="2"/>
  <c r="L132" i="2"/>
  <c r="K132" i="2"/>
  <c r="AP133" i="1"/>
  <c r="H132" i="2"/>
  <c r="G132" i="2"/>
  <c r="AO133" i="1"/>
  <c r="F132" i="2"/>
  <c r="E132" i="2"/>
  <c r="AN133" i="1"/>
  <c r="D132" i="2"/>
  <c r="C132" i="2"/>
  <c r="B132" i="2"/>
  <c r="I131" i="2"/>
  <c r="J131" i="2"/>
  <c r="L131" i="2"/>
  <c r="K131" i="2"/>
  <c r="AP132" i="1"/>
  <c r="H131" i="2"/>
  <c r="G131" i="2"/>
  <c r="AO132" i="1"/>
  <c r="F131" i="2"/>
  <c r="E131" i="2"/>
  <c r="AN132" i="1"/>
  <c r="D131" i="2"/>
  <c r="C131" i="2"/>
  <c r="B131" i="2"/>
  <c r="I130" i="2"/>
  <c r="J130" i="2"/>
  <c r="L130" i="2"/>
  <c r="K130" i="2"/>
  <c r="AP131" i="1"/>
  <c r="H130" i="2"/>
  <c r="G130" i="2"/>
  <c r="AO131" i="1"/>
  <c r="F130" i="2"/>
  <c r="E130" i="2"/>
  <c r="AN131" i="1"/>
  <c r="D130" i="2"/>
  <c r="C130" i="2"/>
  <c r="B130" i="2"/>
  <c r="I129" i="2"/>
  <c r="J129" i="2"/>
  <c r="L129" i="2"/>
  <c r="K129" i="2"/>
  <c r="AP130" i="1"/>
  <c r="H129" i="2"/>
  <c r="G129" i="2"/>
  <c r="AO130" i="1"/>
  <c r="F129" i="2"/>
  <c r="E129" i="2"/>
  <c r="AN130" i="1"/>
  <c r="D129" i="2"/>
  <c r="C129" i="2"/>
  <c r="B129" i="2"/>
  <c r="I128" i="2"/>
  <c r="J128" i="2"/>
  <c r="L128" i="2"/>
  <c r="K128" i="2"/>
  <c r="AP129" i="1"/>
  <c r="H128" i="2"/>
  <c r="G128" i="2"/>
  <c r="AO129" i="1"/>
  <c r="F128" i="2"/>
  <c r="E128" i="2"/>
  <c r="AN129" i="1"/>
  <c r="D128" i="2"/>
  <c r="C128" i="2"/>
  <c r="B128" i="2"/>
  <c r="I127" i="2"/>
  <c r="J127" i="2"/>
  <c r="L127" i="2"/>
  <c r="K127" i="2"/>
  <c r="AP128" i="1"/>
  <c r="H127" i="2"/>
  <c r="G127" i="2"/>
  <c r="AO128" i="1"/>
  <c r="F127" i="2"/>
  <c r="E127" i="2"/>
  <c r="AN128" i="1"/>
  <c r="D127" i="2"/>
  <c r="C127" i="2"/>
  <c r="B127" i="2"/>
  <c r="I126" i="2"/>
  <c r="J126" i="2"/>
  <c r="L126" i="2"/>
  <c r="K126" i="2"/>
  <c r="AP127" i="1"/>
  <c r="H126" i="2"/>
  <c r="G126" i="2"/>
  <c r="AO127" i="1"/>
  <c r="F126" i="2"/>
  <c r="E126" i="2"/>
  <c r="AN127" i="1"/>
  <c r="D126" i="2"/>
  <c r="C126" i="2"/>
  <c r="B126" i="2"/>
  <c r="I125" i="2"/>
  <c r="J125" i="2"/>
  <c r="L125" i="2"/>
  <c r="K125" i="2"/>
  <c r="AP126" i="1"/>
  <c r="H125" i="2"/>
  <c r="G125" i="2"/>
  <c r="AO126" i="1"/>
  <c r="F125" i="2"/>
  <c r="E125" i="2"/>
  <c r="AN126" i="1"/>
  <c r="D125" i="2"/>
  <c r="C125" i="2"/>
  <c r="B125" i="2"/>
  <c r="I124" i="2"/>
  <c r="J124" i="2"/>
  <c r="L124" i="2"/>
  <c r="K124" i="2"/>
  <c r="AP125" i="1"/>
  <c r="H124" i="2"/>
  <c r="G124" i="2"/>
  <c r="AO125" i="1"/>
  <c r="F124" i="2"/>
  <c r="E124" i="2"/>
  <c r="AN125" i="1"/>
  <c r="D124" i="2"/>
  <c r="C124" i="2"/>
  <c r="B124" i="2"/>
  <c r="I123" i="2"/>
  <c r="J123" i="2"/>
  <c r="L123" i="2"/>
  <c r="K123" i="2"/>
  <c r="AP124" i="1"/>
  <c r="H123" i="2"/>
  <c r="G123" i="2"/>
  <c r="AO124" i="1"/>
  <c r="F123" i="2"/>
  <c r="E123" i="2"/>
  <c r="AN124" i="1"/>
  <c r="D123" i="2"/>
  <c r="C123" i="2"/>
  <c r="B123" i="2"/>
  <c r="I122" i="2"/>
  <c r="J122" i="2"/>
  <c r="L122" i="2"/>
  <c r="K122" i="2"/>
  <c r="AP123" i="1"/>
  <c r="H122" i="2"/>
  <c r="G122" i="2"/>
  <c r="AO123" i="1"/>
  <c r="F122" i="2"/>
  <c r="E122" i="2"/>
  <c r="AN123" i="1"/>
  <c r="D122" i="2"/>
  <c r="C122" i="2"/>
  <c r="B122" i="2"/>
  <c r="I121" i="2"/>
  <c r="J121" i="2"/>
  <c r="L121" i="2"/>
  <c r="K121" i="2"/>
  <c r="AP122" i="1"/>
  <c r="H121" i="2"/>
  <c r="G121" i="2"/>
  <c r="AO122" i="1"/>
  <c r="F121" i="2"/>
  <c r="E121" i="2"/>
  <c r="AN122" i="1"/>
  <c r="D121" i="2"/>
  <c r="C121" i="2"/>
  <c r="B121" i="2"/>
  <c r="I120" i="2"/>
  <c r="J120" i="2"/>
  <c r="L120" i="2"/>
  <c r="K120" i="2"/>
  <c r="AP121" i="1"/>
  <c r="H120" i="2"/>
  <c r="G120" i="2"/>
  <c r="AO121" i="1"/>
  <c r="F120" i="2"/>
  <c r="E120" i="2"/>
  <c r="AN121" i="1"/>
  <c r="D120" i="2"/>
  <c r="C120" i="2"/>
  <c r="B120" i="2"/>
  <c r="I119" i="2"/>
  <c r="J119" i="2"/>
  <c r="L119" i="2"/>
  <c r="K119" i="2"/>
  <c r="AP120" i="1"/>
  <c r="H119" i="2"/>
  <c r="G119" i="2"/>
  <c r="AO120" i="1"/>
  <c r="F119" i="2"/>
  <c r="E119" i="2"/>
  <c r="AN120" i="1"/>
  <c r="D119" i="2"/>
  <c r="C119" i="2"/>
  <c r="B119" i="2"/>
  <c r="I118" i="2"/>
  <c r="J118" i="2"/>
  <c r="L118" i="2"/>
  <c r="K118" i="2"/>
  <c r="AP119" i="1"/>
  <c r="H118" i="2"/>
  <c r="G118" i="2"/>
  <c r="AO119" i="1"/>
  <c r="F118" i="2"/>
  <c r="E118" i="2"/>
  <c r="AN119" i="1"/>
  <c r="D118" i="2"/>
  <c r="C118" i="2"/>
  <c r="B118" i="2"/>
  <c r="I117" i="2"/>
  <c r="J117" i="2"/>
  <c r="L117" i="2"/>
  <c r="K117" i="2"/>
  <c r="AP118" i="1"/>
  <c r="H117" i="2"/>
  <c r="G117" i="2"/>
  <c r="AO118" i="1"/>
  <c r="F117" i="2"/>
  <c r="E117" i="2"/>
  <c r="AN118" i="1"/>
  <c r="D117" i="2"/>
  <c r="C117" i="2"/>
  <c r="B117" i="2"/>
  <c r="I116" i="2"/>
  <c r="J116" i="2"/>
  <c r="L116" i="2"/>
  <c r="K116" i="2"/>
  <c r="AP117" i="1"/>
  <c r="H116" i="2"/>
  <c r="G116" i="2"/>
  <c r="AO117" i="1"/>
  <c r="F116" i="2"/>
  <c r="E116" i="2"/>
  <c r="AN117" i="1"/>
  <c r="D116" i="2"/>
  <c r="C116" i="2"/>
  <c r="B116" i="2"/>
  <c r="I115" i="2"/>
  <c r="J115" i="2"/>
  <c r="L115" i="2"/>
  <c r="K115" i="2"/>
  <c r="AP116" i="1"/>
  <c r="H115" i="2"/>
  <c r="G115" i="2"/>
  <c r="AO116" i="1"/>
  <c r="F115" i="2"/>
  <c r="E115" i="2"/>
  <c r="AN116" i="1"/>
  <c r="D115" i="2"/>
  <c r="C115" i="2"/>
  <c r="B115" i="2"/>
  <c r="I114" i="2"/>
  <c r="J114" i="2"/>
  <c r="L114" i="2"/>
  <c r="K114" i="2"/>
  <c r="AP115" i="1"/>
  <c r="H114" i="2"/>
  <c r="G114" i="2"/>
  <c r="AO115" i="1"/>
  <c r="F114" i="2"/>
  <c r="E114" i="2"/>
  <c r="AN115" i="1"/>
  <c r="D114" i="2"/>
  <c r="C114" i="2"/>
  <c r="B114" i="2"/>
  <c r="I113" i="2"/>
  <c r="J113" i="2"/>
  <c r="L113" i="2"/>
  <c r="K113" i="2"/>
  <c r="AP114" i="1"/>
  <c r="H113" i="2"/>
  <c r="G113" i="2"/>
  <c r="AO114" i="1"/>
  <c r="F113" i="2"/>
  <c r="E113" i="2"/>
  <c r="AN114" i="1"/>
  <c r="D113" i="2"/>
  <c r="C113" i="2"/>
  <c r="B113" i="2"/>
  <c r="I112" i="2"/>
  <c r="J112" i="2"/>
  <c r="L112" i="2"/>
  <c r="K112" i="2"/>
  <c r="AP113" i="1"/>
  <c r="H112" i="2"/>
  <c r="G112" i="2"/>
  <c r="AO113" i="1"/>
  <c r="F112" i="2"/>
  <c r="E112" i="2"/>
  <c r="AN113" i="1"/>
  <c r="D112" i="2"/>
  <c r="C112" i="2"/>
  <c r="B112" i="2"/>
  <c r="I111" i="2"/>
  <c r="J111" i="2"/>
  <c r="L111" i="2"/>
  <c r="K111" i="2"/>
  <c r="AP112" i="1"/>
  <c r="H111" i="2"/>
  <c r="G111" i="2"/>
  <c r="AO112" i="1"/>
  <c r="F111" i="2"/>
  <c r="E111" i="2"/>
  <c r="AN112" i="1"/>
  <c r="D111" i="2"/>
  <c r="C111" i="2"/>
  <c r="B111" i="2"/>
  <c r="I110" i="2"/>
  <c r="J110" i="2"/>
  <c r="L110" i="2"/>
  <c r="K110" i="2"/>
  <c r="AP111" i="1"/>
  <c r="H110" i="2"/>
  <c r="G110" i="2"/>
  <c r="AO111" i="1"/>
  <c r="F110" i="2"/>
  <c r="E110" i="2"/>
  <c r="AN111" i="1"/>
  <c r="D110" i="2"/>
  <c r="C110" i="2"/>
  <c r="B110" i="2"/>
  <c r="I109" i="2"/>
  <c r="J109" i="2"/>
  <c r="L109" i="2"/>
  <c r="K109" i="2"/>
  <c r="AP110" i="1"/>
  <c r="H109" i="2"/>
  <c r="G109" i="2"/>
  <c r="AO110" i="1"/>
  <c r="F109" i="2"/>
  <c r="E109" i="2"/>
  <c r="AN110" i="1"/>
  <c r="D109" i="2"/>
  <c r="C109" i="2"/>
  <c r="B109" i="2"/>
  <c r="I108" i="2"/>
  <c r="J108" i="2"/>
  <c r="L108" i="2"/>
  <c r="K108" i="2"/>
  <c r="AP109" i="1"/>
  <c r="H108" i="2"/>
  <c r="G108" i="2"/>
  <c r="AO109" i="1"/>
  <c r="F108" i="2"/>
  <c r="E108" i="2"/>
  <c r="AN109" i="1"/>
  <c r="D108" i="2"/>
  <c r="C108" i="2"/>
  <c r="B108" i="2"/>
  <c r="I107" i="2"/>
  <c r="J107" i="2"/>
  <c r="L107" i="2"/>
  <c r="K107" i="2"/>
  <c r="AP108" i="1"/>
  <c r="H107" i="2"/>
  <c r="G107" i="2"/>
  <c r="AO108" i="1"/>
  <c r="F107" i="2"/>
  <c r="E107" i="2"/>
  <c r="AN108" i="1"/>
  <c r="D107" i="2"/>
  <c r="C107" i="2"/>
  <c r="B107" i="2"/>
  <c r="I106" i="2"/>
  <c r="J106" i="2"/>
  <c r="L106" i="2"/>
  <c r="K106" i="2"/>
  <c r="AP107" i="1"/>
  <c r="H106" i="2"/>
  <c r="G106" i="2"/>
  <c r="AO107" i="1"/>
  <c r="F106" i="2"/>
  <c r="E106" i="2"/>
  <c r="AN107" i="1"/>
  <c r="D106" i="2"/>
  <c r="C106" i="2"/>
  <c r="B106" i="2"/>
  <c r="I105" i="2"/>
  <c r="J105" i="2"/>
  <c r="L105" i="2"/>
  <c r="K105" i="2"/>
  <c r="AP106" i="1"/>
  <c r="H105" i="2"/>
  <c r="G105" i="2"/>
  <c r="AO106" i="1"/>
  <c r="F105" i="2"/>
  <c r="E105" i="2"/>
  <c r="AN106" i="1"/>
  <c r="D105" i="2"/>
  <c r="C105" i="2"/>
  <c r="B105" i="2"/>
  <c r="I104" i="2"/>
  <c r="J104" i="2"/>
  <c r="L104" i="2"/>
  <c r="K104" i="2"/>
  <c r="AP105" i="1"/>
  <c r="H104" i="2"/>
  <c r="G104" i="2"/>
  <c r="AO105" i="1"/>
  <c r="F104" i="2"/>
  <c r="E104" i="2"/>
  <c r="AN105" i="1"/>
  <c r="D104" i="2"/>
  <c r="C104" i="2"/>
  <c r="B104" i="2"/>
  <c r="I103" i="2"/>
  <c r="J103" i="2"/>
  <c r="L103" i="2"/>
  <c r="K103" i="2"/>
  <c r="AP104" i="1"/>
  <c r="H103" i="2"/>
  <c r="G103" i="2"/>
  <c r="AO104" i="1"/>
  <c r="F103" i="2"/>
  <c r="E103" i="2"/>
  <c r="AN104" i="1"/>
  <c r="D103" i="2"/>
  <c r="C103" i="2"/>
  <c r="B103" i="2"/>
  <c r="I102" i="2"/>
  <c r="J102" i="2"/>
  <c r="L102" i="2"/>
  <c r="K102" i="2"/>
  <c r="AP103" i="1"/>
  <c r="H102" i="2"/>
  <c r="G102" i="2"/>
  <c r="AO103" i="1"/>
  <c r="F102" i="2"/>
  <c r="E102" i="2"/>
  <c r="AN103" i="1"/>
  <c r="D102" i="2"/>
  <c r="C102" i="2"/>
  <c r="B102" i="2"/>
  <c r="I101" i="2"/>
  <c r="J101" i="2"/>
  <c r="L101" i="2"/>
  <c r="K101" i="2"/>
  <c r="AP102" i="1"/>
  <c r="H101" i="2"/>
  <c r="G101" i="2"/>
  <c r="AO102" i="1"/>
  <c r="F101" i="2"/>
  <c r="E101" i="2"/>
  <c r="AN102" i="1"/>
  <c r="D101" i="2"/>
  <c r="C101" i="2"/>
  <c r="B101" i="2"/>
  <c r="I100" i="2"/>
  <c r="J100" i="2"/>
  <c r="L100" i="2"/>
  <c r="K100" i="2"/>
  <c r="AP101" i="1"/>
  <c r="H100" i="2"/>
  <c r="G100" i="2"/>
  <c r="AO101" i="1"/>
  <c r="F100" i="2"/>
  <c r="E100" i="2"/>
  <c r="AN101" i="1"/>
  <c r="D100" i="2"/>
  <c r="C100" i="2"/>
  <c r="B100" i="2"/>
  <c r="I99" i="2"/>
  <c r="J99" i="2"/>
  <c r="L99" i="2"/>
  <c r="K99" i="2"/>
  <c r="AP100" i="1"/>
  <c r="H99" i="2"/>
  <c r="G99" i="2"/>
  <c r="AO100" i="1"/>
  <c r="F99" i="2"/>
  <c r="E99" i="2"/>
  <c r="AN100" i="1"/>
  <c r="D99" i="2"/>
  <c r="C99" i="2"/>
  <c r="B99" i="2"/>
  <c r="I98" i="2"/>
  <c r="J98" i="2"/>
  <c r="L98" i="2"/>
  <c r="K98" i="2"/>
  <c r="AP99" i="1"/>
  <c r="H98" i="2"/>
  <c r="G98" i="2"/>
  <c r="AO99" i="1"/>
  <c r="F98" i="2"/>
  <c r="E98" i="2"/>
  <c r="AN99" i="1"/>
  <c r="D98" i="2"/>
  <c r="C98" i="2"/>
  <c r="B98" i="2"/>
  <c r="I97" i="2"/>
  <c r="J97" i="2"/>
  <c r="L97" i="2"/>
  <c r="K97" i="2"/>
  <c r="AP98" i="1"/>
  <c r="H97" i="2"/>
  <c r="G97" i="2"/>
  <c r="AO98" i="1"/>
  <c r="F97" i="2"/>
  <c r="E97" i="2"/>
  <c r="AN98" i="1"/>
  <c r="D97" i="2"/>
  <c r="C97" i="2"/>
  <c r="B97" i="2"/>
  <c r="I96" i="2"/>
  <c r="J96" i="2"/>
  <c r="L96" i="2"/>
  <c r="K96" i="2"/>
  <c r="AP97" i="1"/>
  <c r="H96" i="2"/>
  <c r="G96" i="2"/>
  <c r="AO97" i="1"/>
  <c r="F96" i="2"/>
  <c r="E96" i="2"/>
  <c r="AN97" i="1"/>
  <c r="D96" i="2"/>
  <c r="C96" i="2"/>
  <c r="B96" i="2"/>
  <c r="I95" i="2"/>
  <c r="J95" i="2"/>
  <c r="L95" i="2"/>
  <c r="K95" i="2"/>
  <c r="AP96" i="1"/>
  <c r="H95" i="2"/>
  <c r="G95" i="2"/>
  <c r="AO96" i="1"/>
  <c r="F95" i="2"/>
  <c r="E95" i="2"/>
  <c r="AN96" i="1"/>
  <c r="D95" i="2"/>
  <c r="C95" i="2"/>
  <c r="B95" i="2"/>
  <c r="I94" i="2"/>
  <c r="J94" i="2"/>
  <c r="L94" i="2"/>
  <c r="K94" i="2"/>
  <c r="AP95" i="1"/>
  <c r="H94" i="2"/>
  <c r="G94" i="2"/>
  <c r="AO95" i="1"/>
  <c r="F94" i="2"/>
  <c r="E94" i="2"/>
  <c r="AN95" i="1"/>
  <c r="D94" i="2"/>
  <c r="C94" i="2"/>
  <c r="B94" i="2"/>
  <c r="I93" i="2"/>
  <c r="J93" i="2"/>
  <c r="L93" i="2"/>
  <c r="K93" i="2"/>
  <c r="AP94" i="1"/>
  <c r="H93" i="2"/>
  <c r="G93" i="2"/>
  <c r="AO94" i="1"/>
  <c r="F93" i="2"/>
  <c r="E93" i="2"/>
  <c r="AN94" i="1"/>
  <c r="D93" i="2"/>
  <c r="C93" i="2"/>
  <c r="B93" i="2"/>
  <c r="I92" i="2"/>
  <c r="J92" i="2"/>
  <c r="L92" i="2"/>
  <c r="K92" i="2"/>
  <c r="AP93" i="1"/>
  <c r="H92" i="2"/>
  <c r="G92" i="2"/>
  <c r="AO93" i="1"/>
  <c r="F92" i="2"/>
  <c r="E92" i="2"/>
  <c r="AN93" i="1"/>
  <c r="D92" i="2"/>
  <c r="C92" i="2"/>
  <c r="B92" i="2"/>
  <c r="I91" i="2"/>
  <c r="J91" i="2"/>
  <c r="L91" i="2"/>
  <c r="K91" i="2"/>
  <c r="AP92" i="1"/>
  <c r="H91" i="2"/>
  <c r="G91" i="2"/>
  <c r="AO92" i="1"/>
  <c r="F91" i="2"/>
  <c r="E91" i="2"/>
  <c r="AN92" i="1"/>
  <c r="D91" i="2"/>
  <c r="C91" i="2"/>
  <c r="B91" i="2"/>
  <c r="I90" i="2"/>
  <c r="J90" i="2"/>
  <c r="L90" i="2"/>
  <c r="K90" i="2"/>
  <c r="AP91" i="1"/>
  <c r="H90" i="2"/>
  <c r="G90" i="2"/>
  <c r="AO91" i="1"/>
  <c r="F90" i="2"/>
  <c r="E90" i="2"/>
  <c r="AN91" i="1"/>
  <c r="D90" i="2"/>
  <c r="C90" i="2"/>
  <c r="B90" i="2"/>
  <c r="I89" i="2"/>
  <c r="J89" i="2"/>
  <c r="L89" i="2"/>
  <c r="K89" i="2"/>
  <c r="AP90" i="1"/>
  <c r="H89" i="2"/>
  <c r="G89" i="2"/>
  <c r="AO90" i="1"/>
  <c r="F89" i="2"/>
  <c r="E89" i="2"/>
  <c r="AN90" i="1"/>
  <c r="D89" i="2"/>
  <c r="C89" i="2"/>
  <c r="B89" i="2"/>
  <c r="I88" i="2"/>
  <c r="J88" i="2"/>
  <c r="L88" i="2"/>
  <c r="K88" i="2"/>
  <c r="AP89" i="1"/>
  <c r="H88" i="2"/>
  <c r="G88" i="2"/>
  <c r="AO89" i="1"/>
  <c r="F88" i="2"/>
  <c r="E88" i="2"/>
  <c r="AN89" i="1"/>
  <c r="D88" i="2"/>
  <c r="C88" i="2"/>
  <c r="B88" i="2"/>
  <c r="I87" i="2"/>
  <c r="J87" i="2"/>
  <c r="L87" i="2"/>
  <c r="K87" i="2"/>
  <c r="AP88" i="1"/>
  <c r="H87" i="2"/>
  <c r="G87" i="2"/>
  <c r="AO88" i="1"/>
  <c r="F87" i="2"/>
  <c r="E87" i="2"/>
  <c r="AN88" i="1"/>
  <c r="D87" i="2"/>
  <c r="C87" i="2"/>
  <c r="B87" i="2"/>
  <c r="I86" i="2"/>
  <c r="J86" i="2"/>
  <c r="L86" i="2"/>
  <c r="K86" i="2"/>
  <c r="AP87" i="1"/>
  <c r="H86" i="2"/>
  <c r="G86" i="2"/>
  <c r="AO87" i="1"/>
  <c r="F86" i="2"/>
  <c r="E86" i="2"/>
  <c r="AN87" i="1"/>
  <c r="D86" i="2"/>
  <c r="C86" i="2"/>
  <c r="B86" i="2"/>
  <c r="I85" i="2"/>
  <c r="J85" i="2"/>
  <c r="L85" i="2"/>
  <c r="K85" i="2"/>
  <c r="AP86" i="1"/>
  <c r="H85" i="2"/>
  <c r="G85" i="2"/>
  <c r="AO86" i="1"/>
  <c r="F85" i="2"/>
  <c r="E85" i="2"/>
  <c r="AN86" i="1"/>
  <c r="D85" i="2"/>
  <c r="C85" i="2"/>
  <c r="B85" i="2"/>
  <c r="I84" i="2"/>
  <c r="J84" i="2"/>
  <c r="L84" i="2"/>
  <c r="K84" i="2"/>
  <c r="AP85" i="1"/>
  <c r="H84" i="2"/>
  <c r="G84" i="2"/>
  <c r="AO85" i="1"/>
  <c r="F84" i="2"/>
  <c r="E84" i="2"/>
  <c r="AN85" i="1"/>
  <c r="D84" i="2"/>
  <c r="C84" i="2"/>
  <c r="B84" i="2"/>
  <c r="I83" i="2"/>
  <c r="J83" i="2"/>
  <c r="L83" i="2"/>
  <c r="K83" i="2"/>
  <c r="AP84" i="1"/>
  <c r="H83" i="2"/>
  <c r="G83" i="2"/>
  <c r="AO84" i="1"/>
  <c r="F83" i="2"/>
  <c r="E83" i="2"/>
  <c r="AN84" i="1"/>
  <c r="D83" i="2"/>
  <c r="C83" i="2"/>
  <c r="B83" i="2"/>
  <c r="I82" i="2"/>
  <c r="J82" i="2"/>
  <c r="L82" i="2"/>
  <c r="K82" i="2"/>
  <c r="AP83" i="1"/>
  <c r="H82" i="2"/>
  <c r="G82" i="2"/>
  <c r="AO83" i="1"/>
  <c r="F82" i="2"/>
  <c r="E82" i="2"/>
  <c r="AN83" i="1"/>
  <c r="D82" i="2"/>
  <c r="C82" i="2"/>
  <c r="B82" i="2"/>
  <c r="I81" i="2"/>
  <c r="J81" i="2"/>
  <c r="L81" i="2"/>
  <c r="K81" i="2"/>
  <c r="AP82" i="1"/>
  <c r="H81" i="2"/>
  <c r="G81" i="2"/>
  <c r="AO82" i="1"/>
  <c r="F81" i="2"/>
  <c r="E81" i="2"/>
  <c r="AN82" i="1"/>
  <c r="D81" i="2"/>
  <c r="C81" i="2"/>
  <c r="B81" i="2"/>
  <c r="I80" i="2"/>
  <c r="J80" i="2"/>
  <c r="L80" i="2"/>
  <c r="K80" i="2"/>
  <c r="AP81" i="1"/>
  <c r="H80" i="2"/>
  <c r="G80" i="2"/>
  <c r="AO81" i="1"/>
  <c r="F80" i="2"/>
  <c r="E80" i="2"/>
  <c r="AN81" i="1"/>
  <c r="D80" i="2"/>
  <c r="C80" i="2"/>
  <c r="B80" i="2"/>
  <c r="I79" i="2"/>
  <c r="J79" i="2"/>
  <c r="L79" i="2"/>
  <c r="K79" i="2"/>
  <c r="AP80" i="1"/>
  <c r="H79" i="2"/>
  <c r="G79" i="2"/>
  <c r="AO80" i="1"/>
  <c r="F79" i="2"/>
  <c r="E79" i="2"/>
  <c r="AN80" i="1"/>
  <c r="D79" i="2"/>
  <c r="C79" i="2"/>
  <c r="B79" i="2"/>
  <c r="I78" i="2"/>
  <c r="J78" i="2"/>
  <c r="L78" i="2"/>
  <c r="K78" i="2"/>
  <c r="AP79" i="1"/>
  <c r="H78" i="2"/>
  <c r="G78" i="2"/>
  <c r="AO79" i="1"/>
  <c r="F78" i="2"/>
  <c r="E78" i="2"/>
  <c r="AN79" i="1"/>
  <c r="D78" i="2"/>
  <c r="C78" i="2"/>
  <c r="B78" i="2"/>
  <c r="I77" i="2"/>
  <c r="J77" i="2"/>
  <c r="L77" i="2"/>
  <c r="K77" i="2"/>
  <c r="AP78" i="1"/>
  <c r="H77" i="2"/>
  <c r="G77" i="2"/>
  <c r="AO78" i="1"/>
  <c r="F77" i="2"/>
  <c r="E77" i="2"/>
  <c r="AN78" i="1"/>
  <c r="D77" i="2"/>
  <c r="C77" i="2"/>
  <c r="B77" i="2"/>
  <c r="I76" i="2"/>
  <c r="J76" i="2"/>
  <c r="L76" i="2"/>
  <c r="K76" i="2"/>
  <c r="AP77" i="1"/>
  <c r="H76" i="2"/>
  <c r="G76" i="2"/>
  <c r="AO77" i="1"/>
  <c r="F76" i="2"/>
  <c r="E76" i="2"/>
  <c r="AN77" i="1"/>
  <c r="D76" i="2"/>
  <c r="C76" i="2"/>
  <c r="B76" i="2"/>
  <c r="I75" i="2"/>
  <c r="J75" i="2"/>
  <c r="L75" i="2"/>
  <c r="K75" i="2"/>
  <c r="AP76" i="1"/>
  <c r="H75" i="2"/>
  <c r="G75" i="2"/>
  <c r="AO76" i="1"/>
  <c r="F75" i="2"/>
  <c r="E75" i="2"/>
  <c r="AN76" i="1"/>
  <c r="D75" i="2"/>
  <c r="C75" i="2"/>
  <c r="B75" i="2"/>
  <c r="I74" i="2"/>
  <c r="J74" i="2"/>
  <c r="L74" i="2"/>
  <c r="K74" i="2"/>
  <c r="AP75" i="1"/>
  <c r="H74" i="2"/>
  <c r="G74" i="2"/>
  <c r="AO75" i="1"/>
  <c r="F74" i="2"/>
  <c r="E74" i="2"/>
  <c r="AN75" i="1"/>
  <c r="D74" i="2"/>
  <c r="C74" i="2"/>
  <c r="B74" i="2"/>
  <c r="I73" i="2"/>
  <c r="J73" i="2"/>
  <c r="L73" i="2"/>
  <c r="K73" i="2"/>
  <c r="AP74" i="1"/>
  <c r="H73" i="2"/>
  <c r="G73" i="2"/>
  <c r="AO74" i="1"/>
  <c r="F73" i="2"/>
  <c r="E73" i="2"/>
  <c r="AN74" i="1"/>
  <c r="D73" i="2"/>
  <c r="C73" i="2"/>
  <c r="B73" i="2"/>
  <c r="I72" i="2"/>
  <c r="J72" i="2"/>
  <c r="L72" i="2"/>
  <c r="K72" i="2"/>
  <c r="AP73" i="1"/>
  <c r="H72" i="2"/>
  <c r="G72" i="2"/>
  <c r="AO73" i="1"/>
  <c r="F72" i="2"/>
  <c r="E72" i="2"/>
  <c r="AN73" i="1"/>
  <c r="D72" i="2"/>
  <c r="C72" i="2"/>
  <c r="B72" i="2"/>
  <c r="I71" i="2"/>
  <c r="J71" i="2"/>
  <c r="L71" i="2"/>
  <c r="K71" i="2"/>
  <c r="AP72" i="1"/>
  <c r="H71" i="2"/>
  <c r="G71" i="2"/>
  <c r="AO72" i="1"/>
  <c r="F71" i="2"/>
  <c r="E71" i="2"/>
  <c r="AN72" i="1"/>
  <c r="D71" i="2"/>
  <c r="C71" i="2"/>
  <c r="B71" i="2"/>
  <c r="I70" i="2"/>
  <c r="J70" i="2"/>
  <c r="L70" i="2"/>
  <c r="K70" i="2"/>
  <c r="AP71" i="1"/>
  <c r="H70" i="2"/>
  <c r="G70" i="2"/>
  <c r="AO71" i="1"/>
  <c r="F70" i="2"/>
  <c r="E70" i="2"/>
  <c r="AN71" i="1"/>
  <c r="D70" i="2"/>
  <c r="C70" i="2"/>
  <c r="B70" i="2"/>
  <c r="I69" i="2"/>
  <c r="J69" i="2"/>
  <c r="L69" i="2"/>
  <c r="K69" i="2"/>
  <c r="AP70" i="1"/>
  <c r="H69" i="2"/>
  <c r="G69" i="2"/>
  <c r="AO70" i="1"/>
  <c r="F69" i="2"/>
  <c r="E69" i="2"/>
  <c r="AN70" i="1"/>
  <c r="D69" i="2"/>
  <c r="C69" i="2"/>
  <c r="B69" i="2"/>
  <c r="I68" i="2"/>
  <c r="J68" i="2"/>
  <c r="L68" i="2"/>
  <c r="K68" i="2"/>
  <c r="AP69" i="1"/>
  <c r="H68" i="2"/>
  <c r="G68" i="2"/>
  <c r="AO69" i="1"/>
  <c r="F68" i="2"/>
  <c r="E68" i="2"/>
  <c r="AN69" i="1"/>
  <c r="D68" i="2"/>
  <c r="C68" i="2"/>
  <c r="B68" i="2"/>
  <c r="I67" i="2"/>
  <c r="J67" i="2"/>
  <c r="L67" i="2"/>
  <c r="K67" i="2"/>
  <c r="AP68" i="1"/>
  <c r="H67" i="2"/>
  <c r="G67" i="2"/>
  <c r="AO68" i="1"/>
  <c r="F67" i="2"/>
  <c r="E67" i="2"/>
  <c r="AN68" i="1"/>
  <c r="D67" i="2"/>
  <c r="C67" i="2"/>
  <c r="B67" i="2"/>
  <c r="I66" i="2"/>
  <c r="J66" i="2"/>
  <c r="L66" i="2"/>
  <c r="K66" i="2"/>
  <c r="AP67" i="1"/>
  <c r="H66" i="2"/>
  <c r="G66" i="2"/>
  <c r="AO67" i="1"/>
  <c r="F66" i="2"/>
  <c r="E66" i="2"/>
  <c r="AN67" i="1"/>
  <c r="D66" i="2"/>
  <c r="C66" i="2"/>
  <c r="B66" i="2"/>
  <c r="I65" i="2"/>
  <c r="J65" i="2"/>
  <c r="L65" i="2"/>
  <c r="K65" i="2"/>
  <c r="AP66" i="1"/>
  <c r="H65" i="2"/>
  <c r="G65" i="2"/>
  <c r="AO66" i="1"/>
  <c r="F65" i="2"/>
  <c r="E65" i="2"/>
  <c r="AN66" i="1"/>
  <c r="D65" i="2"/>
  <c r="C65" i="2"/>
  <c r="B65" i="2"/>
  <c r="I64" i="2"/>
  <c r="J64" i="2"/>
  <c r="L64" i="2"/>
  <c r="K64" i="2"/>
  <c r="AP65" i="1"/>
  <c r="H64" i="2"/>
  <c r="G64" i="2"/>
  <c r="AO65" i="1"/>
  <c r="F64" i="2"/>
  <c r="E64" i="2"/>
  <c r="AN65" i="1"/>
  <c r="D64" i="2"/>
  <c r="C64" i="2"/>
  <c r="B64" i="2"/>
  <c r="I63" i="2"/>
  <c r="J63" i="2"/>
  <c r="L63" i="2"/>
  <c r="K63" i="2"/>
  <c r="AP64" i="1"/>
  <c r="H63" i="2"/>
  <c r="G63" i="2"/>
  <c r="AO64" i="1"/>
  <c r="F63" i="2"/>
  <c r="E63" i="2"/>
  <c r="AN64" i="1"/>
  <c r="D63" i="2"/>
  <c r="C63" i="2"/>
  <c r="B63" i="2"/>
  <c r="I62" i="2"/>
  <c r="J62" i="2"/>
  <c r="L62" i="2"/>
  <c r="K62" i="2"/>
  <c r="AP63" i="1"/>
  <c r="H62" i="2"/>
  <c r="G62" i="2"/>
  <c r="AO63" i="1"/>
  <c r="F62" i="2"/>
  <c r="E62" i="2"/>
  <c r="AN63" i="1"/>
  <c r="D62" i="2"/>
  <c r="C62" i="2"/>
  <c r="B62" i="2"/>
  <c r="I61" i="2"/>
  <c r="J61" i="2"/>
  <c r="L61" i="2"/>
  <c r="K61" i="2"/>
  <c r="AP62" i="1"/>
  <c r="H61" i="2"/>
  <c r="G61" i="2"/>
  <c r="AO62" i="1"/>
  <c r="F61" i="2"/>
  <c r="E61" i="2"/>
  <c r="AN62" i="1"/>
  <c r="D61" i="2"/>
  <c r="C61" i="2"/>
  <c r="B61" i="2"/>
  <c r="I60" i="2"/>
  <c r="J60" i="2"/>
  <c r="L60" i="2"/>
  <c r="K60" i="2"/>
  <c r="AP61" i="1"/>
  <c r="H60" i="2"/>
  <c r="G60" i="2"/>
  <c r="AO61" i="1"/>
  <c r="F60" i="2"/>
  <c r="E60" i="2"/>
  <c r="AN61" i="1"/>
  <c r="D60" i="2"/>
  <c r="C60" i="2"/>
  <c r="B60" i="2"/>
  <c r="I59" i="2"/>
  <c r="J59" i="2"/>
  <c r="L59" i="2"/>
  <c r="K59" i="2"/>
  <c r="AP60" i="1"/>
  <c r="H59" i="2"/>
  <c r="G59" i="2"/>
  <c r="AO60" i="1"/>
  <c r="F59" i="2"/>
  <c r="E59" i="2"/>
  <c r="AN60" i="1"/>
  <c r="D59" i="2"/>
  <c r="C59" i="2"/>
  <c r="B59" i="2"/>
  <c r="I58" i="2"/>
  <c r="J58" i="2"/>
  <c r="L58" i="2"/>
  <c r="K58" i="2"/>
  <c r="AP59" i="1"/>
  <c r="H58" i="2"/>
  <c r="G58" i="2"/>
  <c r="AO59" i="1"/>
  <c r="F58" i="2"/>
  <c r="E58" i="2"/>
  <c r="AN59" i="1"/>
  <c r="D58" i="2"/>
  <c r="C58" i="2"/>
  <c r="B58" i="2"/>
  <c r="I57" i="2"/>
  <c r="J57" i="2"/>
  <c r="L57" i="2"/>
  <c r="K57" i="2"/>
  <c r="AP58" i="1"/>
  <c r="H57" i="2"/>
  <c r="G57" i="2"/>
  <c r="AO58" i="1"/>
  <c r="F57" i="2"/>
  <c r="E57" i="2"/>
  <c r="AN58" i="1"/>
  <c r="D57" i="2"/>
  <c r="C57" i="2"/>
  <c r="B57" i="2"/>
  <c r="I56" i="2"/>
  <c r="J56" i="2"/>
  <c r="L56" i="2"/>
  <c r="K56" i="2"/>
  <c r="AP57" i="1"/>
  <c r="H56" i="2"/>
  <c r="G56" i="2"/>
  <c r="AO57" i="1"/>
  <c r="F56" i="2"/>
  <c r="E56" i="2"/>
  <c r="AN57" i="1"/>
  <c r="D56" i="2"/>
  <c r="C56" i="2"/>
  <c r="B56" i="2"/>
  <c r="I55" i="2"/>
  <c r="J55" i="2"/>
  <c r="L55" i="2"/>
  <c r="K55" i="2"/>
  <c r="AP56" i="1"/>
  <c r="H55" i="2"/>
  <c r="G55" i="2"/>
  <c r="AO56" i="1"/>
  <c r="F55" i="2"/>
  <c r="E55" i="2"/>
  <c r="AN56" i="1"/>
  <c r="D55" i="2"/>
  <c r="C55" i="2"/>
  <c r="B55" i="2"/>
  <c r="I54" i="2"/>
  <c r="J54" i="2"/>
  <c r="L54" i="2"/>
  <c r="K54" i="2"/>
  <c r="AP55" i="1"/>
  <c r="H54" i="2"/>
  <c r="G54" i="2"/>
  <c r="AO55" i="1"/>
  <c r="F54" i="2"/>
  <c r="E54" i="2"/>
  <c r="AN55" i="1"/>
  <c r="D54" i="2"/>
  <c r="C54" i="2"/>
  <c r="B54" i="2"/>
  <c r="I53" i="2"/>
  <c r="J53" i="2"/>
  <c r="L53" i="2"/>
  <c r="K53" i="2"/>
  <c r="AP54" i="1"/>
  <c r="H53" i="2"/>
  <c r="G53" i="2"/>
  <c r="AO54" i="1"/>
  <c r="F53" i="2"/>
  <c r="E53" i="2"/>
  <c r="AN54" i="1"/>
  <c r="D53" i="2"/>
  <c r="C53" i="2"/>
  <c r="B53" i="2"/>
  <c r="I52" i="2"/>
  <c r="J52" i="2"/>
  <c r="L52" i="2"/>
  <c r="K52" i="2"/>
  <c r="AP53" i="1"/>
  <c r="H52" i="2"/>
  <c r="G52" i="2"/>
  <c r="AO53" i="1"/>
  <c r="F52" i="2"/>
  <c r="E52" i="2"/>
  <c r="AN53" i="1"/>
  <c r="D52" i="2"/>
  <c r="C52" i="2"/>
  <c r="B52" i="2"/>
  <c r="I51" i="2"/>
  <c r="J51" i="2"/>
  <c r="L51" i="2"/>
  <c r="K51" i="2"/>
  <c r="AP52" i="1"/>
  <c r="H51" i="2"/>
  <c r="G51" i="2"/>
  <c r="AO52" i="1"/>
  <c r="F51" i="2"/>
  <c r="E51" i="2"/>
  <c r="AN52" i="1"/>
  <c r="D51" i="2"/>
  <c r="C51" i="2"/>
  <c r="B51" i="2"/>
  <c r="I50" i="2"/>
  <c r="J50" i="2"/>
  <c r="L50" i="2"/>
  <c r="K50" i="2"/>
  <c r="AP51" i="1"/>
  <c r="H50" i="2"/>
  <c r="G50" i="2"/>
  <c r="AO51" i="1"/>
  <c r="F50" i="2"/>
  <c r="E50" i="2"/>
  <c r="AN51" i="1"/>
  <c r="D50" i="2"/>
  <c r="C50" i="2"/>
  <c r="B50" i="2"/>
  <c r="I49" i="2"/>
  <c r="J49" i="2"/>
  <c r="L49" i="2"/>
  <c r="K49" i="2"/>
  <c r="AP50" i="1"/>
  <c r="H49" i="2"/>
  <c r="G49" i="2"/>
  <c r="AO50" i="1"/>
  <c r="F49" i="2"/>
  <c r="E49" i="2"/>
  <c r="AN50" i="1"/>
  <c r="D49" i="2"/>
  <c r="C49" i="2"/>
  <c r="B49" i="2"/>
  <c r="I48" i="2"/>
  <c r="J48" i="2"/>
  <c r="L48" i="2"/>
  <c r="K48" i="2"/>
  <c r="AP49" i="1"/>
  <c r="H48" i="2"/>
  <c r="G48" i="2"/>
  <c r="AO49" i="1"/>
  <c r="F48" i="2"/>
  <c r="E48" i="2"/>
  <c r="AN49" i="1"/>
  <c r="D48" i="2"/>
  <c r="C48" i="2"/>
  <c r="B48" i="2"/>
  <c r="I47" i="2"/>
  <c r="J47" i="2"/>
  <c r="L47" i="2"/>
  <c r="K47" i="2"/>
  <c r="AP48" i="1"/>
  <c r="H47" i="2"/>
  <c r="G47" i="2"/>
  <c r="AO48" i="1"/>
  <c r="F47" i="2"/>
  <c r="E47" i="2"/>
  <c r="AN48" i="1"/>
  <c r="D47" i="2"/>
  <c r="C47" i="2"/>
  <c r="B47" i="2"/>
  <c r="I46" i="2"/>
  <c r="J46" i="2"/>
  <c r="L46" i="2"/>
  <c r="K46" i="2"/>
  <c r="AP47" i="1"/>
  <c r="H46" i="2"/>
  <c r="G46" i="2"/>
  <c r="AO47" i="1"/>
  <c r="F46" i="2"/>
  <c r="E46" i="2"/>
  <c r="AN47" i="1"/>
  <c r="D46" i="2"/>
  <c r="C46" i="2"/>
  <c r="B46" i="2"/>
  <c r="I45" i="2"/>
  <c r="J45" i="2"/>
  <c r="L45" i="2"/>
  <c r="K45" i="2"/>
  <c r="AP46" i="1"/>
  <c r="H45" i="2"/>
  <c r="G45" i="2"/>
  <c r="AO46" i="1"/>
  <c r="F45" i="2"/>
  <c r="E45" i="2"/>
  <c r="AN46" i="1"/>
  <c r="D45" i="2"/>
  <c r="C45" i="2"/>
  <c r="B45" i="2"/>
  <c r="I44" i="2"/>
  <c r="J44" i="2"/>
  <c r="L44" i="2"/>
  <c r="K44" i="2"/>
  <c r="AP45" i="1"/>
  <c r="H44" i="2"/>
  <c r="G44" i="2"/>
  <c r="AO45" i="1"/>
  <c r="F44" i="2"/>
  <c r="E44" i="2"/>
  <c r="AN45" i="1"/>
  <c r="D44" i="2"/>
  <c r="C44" i="2"/>
  <c r="B44" i="2"/>
  <c r="I43" i="2"/>
  <c r="J43" i="2"/>
  <c r="L43" i="2"/>
  <c r="K43" i="2"/>
  <c r="AP44" i="1"/>
  <c r="H43" i="2"/>
  <c r="G43" i="2"/>
  <c r="AO44" i="1"/>
  <c r="F43" i="2"/>
  <c r="E43" i="2"/>
  <c r="AN44" i="1"/>
  <c r="D43" i="2"/>
  <c r="C43" i="2"/>
  <c r="B43" i="2"/>
  <c r="I42" i="2"/>
  <c r="J42" i="2"/>
  <c r="L42" i="2"/>
  <c r="K42" i="2"/>
  <c r="AP43" i="1"/>
  <c r="H42" i="2"/>
  <c r="G42" i="2"/>
  <c r="AO43" i="1"/>
  <c r="F42" i="2"/>
  <c r="E42" i="2"/>
  <c r="AN43" i="1"/>
  <c r="D42" i="2"/>
  <c r="C42" i="2"/>
  <c r="B42" i="2"/>
  <c r="I41" i="2"/>
  <c r="J41" i="2"/>
  <c r="L41" i="2"/>
  <c r="K41" i="2"/>
  <c r="AP42" i="1"/>
  <c r="H41" i="2"/>
  <c r="G41" i="2"/>
  <c r="AO42" i="1"/>
  <c r="F41" i="2"/>
  <c r="E41" i="2"/>
  <c r="AN42" i="1"/>
  <c r="D41" i="2"/>
  <c r="C41" i="2"/>
  <c r="B41" i="2"/>
  <c r="I40" i="2"/>
  <c r="J40" i="2"/>
  <c r="L40" i="2"/>
  <c r="K40" i="2"/>
  <c r="AP41" i="1"/>
  <c r="H40" i="2"/>
  <c r="G40" i="2"/>
  <c r="AO41" i="1"/>
  <c r="F40" i="2"/>
  <c r="E40" i="2"/>
  <c r="AN41" i="1"/>
  <c r="D40" i="2"/>
  <c r="C40" i="2"/>
  <c r="B40" i="2"/>
  <c r="I39" i="2"/>
  <c r="J39" i="2"/>
  <c r="L39" i="2"/>
  <c r="K39" i="2"/>
  <c r="AP40" i="1"/>
  <c r="H39" i="2"/>
  <c r="G39" i="2"/>
  <c r="AO40" i="1"/>
  <c r="F39" i="2"/>
  <c r="E39" i="2"/>
  <c r="AN40" i="1"/>
  <c r="D39" i="2"/>
  <c r="C39" i="2"/>
  <c r="B39" i="2"/>
  <c r="I38" i="2"/>
  <c r="J38" i="2"/>
  <c r="L38" i="2"/>
  <c r="K38" i="2"/>
  <c r="AP39" i="1"/>
  <c r="H38" i="2"/>
  <c r="G38" i="2"/>
  <c r="AO39" i="1"/>
  <c r="F38" i="2"/>
  <c r="E38" i="2"/>
  <c r="AN39" i="1"/>
  <c r="D38" i="2"/>
  <c r="C38" i="2"/>
  <c r="B38" i="2"/>
  <c r="I37" i="2"/>
  <c r="J37" i="2"/>
  <c r="L37" i="2"/>
  <c r="K37" i="2"/>
  <c r="AP38" i="1"/>
  <c r="H37" i="2"/>
  <c r="G37" i="2"/>
  <c r="AO38" i="1"/>
  <c r="F37" i="2"/>
  <c r="E37" i="2"/>
  <c r="AN38" i="1"/>
  <c r="D37" i="2"/>
  <c r="C37" i="2"/>
  <c r="B37" i="2"/>
  <c r="I36" i="2"/>
  <c r="J36" i="2"/>
  <c r="L36" i="2"/>
  <c r="K36" i="2"/>
  <c r="AP37" i="1"/>
  <c r="H36" i="2"/>
  <c r="G36" i="2"/>
  <c r="AO37" i="1"/>
  <c r="F36" i="2"/>
  <c r="E36" i="2"/>
  <c r="AN37" i="1"/>
  <c r="D36" i="2"/>
  <c r="C36" i="2"/>
  <c r="B36" i="2"/>
  <c r="I35" i="2"/>
  <c r="J35" i="2"/>
  <c r="L35" i="2"/>
  <c r="K35" i="2"/>
  <c r="AP36" i="1"/>
  <c r="H35" i="2"/>
  <c r="G35" i="2"/>
  <c r="AO36" i="1"/>
  <c r="F35" i="2"/>
  <c r="E35" i="2"/>
  <c r="AN36" i="1"/>
  <c r="D35" i="2"/>
  <c r="C35" i="2"/>
  <c r="B35" i="2"/>
  <c r="I34" i="2"/>
  <c r="J34" i="2"/>
  <c r="L34" i="2"/>
  <c r="K34" i="2"/>
  <c r="AP35" i="1"/>
  <c r="H34" i="2"/>
  <c r="G34" i="2"/>
  <c r="AO35" i="1"/>
  <c r="F34" i="2"/>
  <c r="E34" i="2"/>
  <c r="AN35" i="1"/>
  <c r="D34" i="2"/>
  <c r="C34" i="2"/>
  <c r="B34" i="2"/>
  <c r="I33" i="2"/>
  <c r="J33" i="2"/>
  <c r="L33" i="2"/>
  <c r="K33" i="2"/>
  <c r="AP34" i="1"/>
  <c r="H33" i="2"/>
  <c r="G33" i="2"/>
  <c r="AO34" i="1"/>
  <c r="F33" i="2"/>
  <c r="E33" i="2"/>
  <c r="AN34" i="1"/>
  <c r="D33" i="2"/>
  <c r="C33" i="2"/>
  <c r="B33" i="2"/>
  <c r="I32" i="2"/>
  <c r="J32" i="2"/>
  <c r="L32" i="2"/>
  <c r="K32" i="2"/>
  <c r="AP33" i="1"/>
  <c r="H32" i="2"/>
  <c r="G32" i="2"/>
  <c r="AO33" i="1"/>
  <c r="F32" i="2"/>
  <c r="E32" i="2"/>
  <c r="AN33" i="1"/>
  <c r="D32" i="2"/>
  <c r="C32" i="2"/>
  <c r="B32" i="2"/>
  <c r="I31" i="2"/>
  <c r="J31" i="2"/>
  <c r="L31" i="2"/>
  <c r="K31" i="2"/>
  <c r="AP32" i="1"/>
  <c r="H31" i="2"/>
  <c r="G31" i="2"/>
  <c r="AO32" i="1"/>
  <c r="F31" i="2"/>
  <c r="E31" i="2"/>
  <c r="AN32" i="1"/>
  <c r="D31" i="2"/>
  <c r="C31" i="2"/>
  <c r="B31" i="2"/>
  <c r="I30" i="2"/>
  <c r="J30" i="2"/>
  <c r="L30" i="2"/>
  <c r="K30" i="2"/>
  <c r="AP31" i="1"/>
  <c r="H30" i="2"/>
  <c r="G30" i="2"/>
  <c r="AO31" i="1"/>
  <c r="F30" i="2"/>
  <c r="E30" i="2"/>
  <c r="AN31" i="1"/>
  <c r="D30" i="2"/>
  <c r="C30" i="2"/>
  <c r="B30" i="2"/>
  <c r="I29" i="2"/>
  <c r="J29" i="2"/>
  <c r="L29" i="2"/>
  <c r="K29" i="2"/>
  <c r="AP30" i="1"/>
  <c r="H29" i="2"/>
  <c r="G29" i="2"/>
  <c r="AO30" i="1"/>
  <c r="F29" i="2"/>
  <c r="E29" i="2"/>
  <c r="AN30" i="1"/>
  <c r="D29" i="2"/>
  <c r="C29" i="2"/>
  <c r="B29" i="2"/>
  <c r="I28" i="2"/>
  <c r="J28" i="2"/>
  <c r="L28" i="2"/>
  <c r="K28" i="2"/>
  <c r="AP29" i="1"/>
  <c r="H28" i="2"/>
  <c r="G28" i="2"/>
  <c r="AO29" i="1"/>
  <c r="F28" i="2"/>
  <c r="E28" i="2"/>
  <c r="AN29" i="1"/>
  <c r="D28" i="2"/>
  <c r="C28" i="2"/>
  <c r="B28" i="2"/>
  <c r="I27" i="2"/>
  <c r="J27" i="2"/>
  <c r="L27" i="2"/>
  <c r="K27" i="2"/>
  <c r="AP28" i="1"/>
  <c r="H27" i="2"/>
  <c r="G27" i="2"/>
  <c r="AO28" i="1"/>
  <c r="F27" i="2"/>
  <c r="E27" i="2"/>
  <c r="AN28" i="1"/>
  <c r="D27" i="2"/>
  <c r="C27" i="2"/>
  <c r="B27" i="2"/>
  <c r="I26" i="2"/>
  <c r="J26" i="2"/>
  <c r="L26" i="2"/>
  <c r="K26" i="2"/>
  <c r="AP27" i="1"/>
  <c r="H26" i="2"/>
  <c r="G26" i="2"/>
  <c r="AO27" i="1"/>
  <c r="F26" i="2"/>
  <c r="E26" i="2"/>
  <c r="AN27" i="1"/>
  <c r="D26" i="2"/>
  <c r="C26" i="2"/>
  <c r="B26" i="2"/>
  <c r="I25" i="2"/>
  <c r="J25" i="2"/>
  <c r="L25" i="2"/>
  <c r="K25" i="2"/>
  <c r="AP26" i="1"/>
  <c r="H25" i="2"/>
  <c r="G25" i="2"/>
  <c r="AO26" i="1"/>
  <c r="F25" i="2"/>
  <c r="E25" i="2"/>
  <c r="AN26" i="1"/>
  <c r="D25" i="2"/>
  <c r="C25" i="2"/>
  <c r="B25" i="2"/>
  <c r="I24" i="2"/>
  <c r="J24" i="2"/>
  <c r="L24" i="2"/>
  <c r="K24" i="2"/>
  <c r="AP25" i="1"/>
  <c r="H24" i="2"/>
  <c r="G24" i="2"/>
  <c r="AO25" i="1"/>
  <c r="F24" i="2"/>
  <c r="E24" i="2"/>
  <c r="AN25" i="1"/>
  <c r="D24" i="2"/>
  <c r="C24" i="2"/>
  <c r="B24" i="2"/>
  <c r="I23" i="2"/>
  <c r="J23" i="2"/>
  <c r="L23" i="2"/>
  <c r="K23" i="2"/>
  <c r="AP24" i="1"/>
  <c r="H23" i="2"/>
  <c r="G23" i="2"/>
  <c r="AO24" i="1"/>
  <c r="F23" i="2"/>
  <c r="E23" i="2"/>
  <c r="AN24" i="1"/>
  <c r="D23" i="2"/>
  <c r="C23" i="2"/>
  <c r="B23" i="2"/>
  <c r="I22" i="2"/>
  <c r="J22" i="2"/>
  <c r="L22" i="2"/>
  <c r="K22" i="2"/>
  <c r="AP23" i="1"/>
  <c r="H22" i="2"/>
  <c r="G22" i="2"/>
  <c r="AO23" i="1"/>
  <c r="F22" i="2"/>
  <c r="E22" i="2"/>
  <c r="AN23" i="1"/>
  <c r="D22" i="2"/>
  <c r="C22" i="2"/>
  <c r="B22" i="2"/>
  <c r="I21" i="2"/>
  <c r="J21" i="2"/>
  <c r="L21" i="2"/>
  <c r="K21" i="2"/>
  <c r="AP22" i="1"/>
  <c r="H21" i="2"/>
  <c r="G21" i="2"/>
  <c r="AO22" i="1"/>
  <c r="F21" i="2"/>
  <c r="E21" i="2"/>
  <c r="AN22" i="1"/>
  <c r="D21" i="2"/>
  <c r="C21" i="2"/>
  <c r="B21" i="2"/>
  <c r="I20" i="2"/>
  <c r="J20" i="2"/>
  <c r="L20" i="2"/>
  <c r="K20" i="2"/>
  <c r="AP21" i="1"/>
  <c r="H20" i="2"/>
  <c r="G20" i="2"/>
  <c r="AO21" i="1"/>
  <c r="F20" i="2"/>
  <c r="E20" i="2"/>
  <c r="AN21" i="1"/>
  <c r="D20" i="2"/>
  <c r="C20" i="2"/>
  <c r="B20" i="2"/>
  <c r="I19" i="2"/>
  <c r="J19" i="2"/>
  <c r="L19" i="2"/>
  <c r="K19" i="2"/>
  <c r="AP20" i="1"/>
  <c r="H19" i="2"/>
  <c r="G19" i="2"/>
  <c r="AO20" i="1"/>
  <c r="F19" i="2"/>
  <c r="E19" i="2"/>
  <c r="AN20" i="1"/>
  <c r="D19" i="2"/>
  <c r="C19" i="2"/>
  <c r="B19" i="2"/>
  <c r="I18" i="2"/>
  <c r="J18" i="2"/>
  <c r="L18" i="2"/>
  <c r="K18" i="2"/>
  <c r="AP19" i="1"/>
  <c r="H18" i="2"/>
  <c r="G18" i="2"/>
  <c r="AO19" i="1"/>
  <c r="F18" i="2"/>
  <c r="E18" i="2"/>
  <c r="AN19" i="1"/>
  <c r="D18" i="2"/>
  <c r="C18" i="2"/>
  <c r="B18" i="2"/>
  <c r="I17" i="2"/>
  <c r="J17" i="2"/>
  <c r="L17" i="2"/>
  <c r="K17" i="2"/>
  <c r="AP18" i="1"/>
  <c r="H17" i="2"/>
  <c r="G17" i="2"/>
  <c r="AO18" i="1"/>
  <c r="F17" i="2"/>
  <c r="E17" i="2"/>
  <c r="AN18" i="1"/>
  <c r="D17" i="2"/>
  <c r="C17" i="2"/>
  <c r="B17" i="2"/>
  <c r="I16" i="2"/>
  <c r="J16" i="2"/>
  <c r="L16" i="2"/>
  <c r="K16" i="2"/>
  <c r="AP17" i="1"/>
  <c r="H16" i="2"/>
  <c r="G16" i="2"/>
  <c r="AO17" i="1"/>
  <c r="F16" i="2"/>
  <c r="E16" i="2"/>
  <c r="AN17" i="1"/>
  <c r="D16" i="2"/>
  <c r="C16" i="2"/>
  <c r="B16" i="2"/>
  <c r="I15" i="2"/>
  <c r="J15" i="2"/>
  <c r="L15" i="2"/>
  <c r="K15" i="2"/>
  <c r="AP16" i="1"/>
  <c r="H15" i="2"/>
  <c r="G15" i="2"/>
  <c r="AO16" i="1"/>
  <c r="F15" i="2"/>
  <c r="E15" i="2"/>
  <c r="AN16" i="1"/>
  <c r="D15" i="2"/>
  <c r="C15" i="2"/>
  <c r="B15" i="2"/>
  <c r="I14" i="2"/>
  <c r="J14" i="2"/>
  <c r="L14" i="2"/>
  <c r="K14" i="2"/>
  <c r="AP15" i="1"/>
  <c r="H14" i="2"/>
  <c r="G14" i="2"/>
  <c r="AO15" i="1"/>
  <c r="F14" i="2"/>
  <c r="E14" i="2"/>
  <c r="AN15" i="1"/>
  <c r="D14" i="2"/>
  <c r="C14" i="2"/>
  <c r="B14" i="2"/>
  <c r="I13" i="2"/>
  <c r="J13" i="2"/>
  <c r="L13" i="2"/>
  <c r="K13" i="2"/>
  <c r="AP14" i="1"/>
  <c r="H13" i="2"/>
  <c r="G13" i="2"/>
  <c r="AO14" i="1"/>
  <c r="F13" i="2"/>
  <c r="E13" i="2"/>
  <c r="AN14" i="1"/>
  <c r="D13" i="2"/>
  <c r="C13" i="2"/>
  <c r="B13" i="2"/>
  <c r="I12" i="2"/>
  <c r="J12" i="2"/>
  <c r="L12" i="2"/>
  <c r="K12" i="2"/>
  <c r="AP13" i="1"/>
  <c r="H12" i="2"/>
  <c r="G12" i="2"/>
  <c r="AO13" i="1"/>
  <c r="F12" i="2"/>
  <c r="E12" i="2"/>
  <c r="AN13" i="1"/>
  <c r="D12" i="2"/>
  <c r="C12" i="2"/>
  <c r="B12" i="2"/>
  <c r="I11" i="2"/>
  <c r="J11" i="2"/>
  <c r="L11" i="2"/>
  <c r="K11" i="2"/>
  <c r="AP12" i="1"/>
  <c r="H11" i="2"/>
  <c r="G11" i="2"/>
  <c r="AO12" i="1"/>
  <c r="F11" i="2"/>
  <c r="E11" i="2"/>
  <c r="AN12" i="1"/>
  <c r="D11" i="2"/>
  <c r="C11" i="2"/>
  <c r="B11" i="2"/>
  <c r="I10" i="2"/>
  <c r="J10" i="2"/>
  <c r="L10" i="2"/>
  <c r="K10" i="2"/>
  <c r="AP11" i="1"/>
  <c r="H10" i="2"/>
  <c r="G10" i="2"/>
  <c r="AO11" i="1"/>
  <c r="F10" i="2"/>
  <c r="E10" i="2"/>
  <c r="AN11" i="1"/>
  <c r="D10" i="2"/>
  <c r="C10" i="2"/>
  <c r="B10" i="2"/>
  <c r="I9" i="2"/>
  <c r="J9" i="2"/>
  <c r="L9" i="2"/>
  <c r="K9" i="2"/>
  <c r="AP10" i="1"/>
  <c r="H9" i="2"/>
  <c r="G9" i="2"/>
  <c r="AO10" i="1"/>
  <c r="F9" i="2"/>
  <c r="E9" i="2"/>
  <c r="AN10" i="1"/>
  <c r="D9" i="2"/>
  <c r="C9" i="2"/>
  <c r="B9" i="2"/>
  <c r="I8" i="2"/>
  <c r="J8" i="2"/>
  <c r="L8" i="2"/>
  <c r="K8" i="2"/>
  <c r="AP9" i="1"/>
  <c r="H8" i="2"/>
  <c r="G8" i="2"/>
  <c r="AO9" i="1"/>
  <c r="F8" i="2"/>
  <c r="E8" i="2"/>
  <c r="AN9" i="1"/>
  <c r="D8" i="2"/>
  <c r="C8" i="2"/>
  <c r="B8" i="2"/>
  <c r="I7" i="2"/>
  <c r="J7" i="2"/>
  <c r="L7" i="2"/>
  <c r="K7" i="2"/>
  <c r="AP8" i="1"/>
  <c r="H7" i="2"/>
  <c r="G7" i="2"/>
  <c r="AO8" i="1"/>
  <c r="F7" i="2"/>
  <c r="E7" i="2"/>
  <c r="AN8" i="1"/>
  <c r="D7" i="2"/>
  <c r="C7" i="2"/>
  <c r="B7" i="2"/>
  <c r="I6" i="2"/>
  <c r="J6" i="2"/>
  <c r="L6" i="2"/>
  <c r="K6" i="2"/>
  <c r="AP7" i="1"/>
  <c r="H6" i="2"/>
  <c r="G6" i="2"/>
  <c r="AO7" i="1"/>
  <c r="F6" i="2"/>
  <c r="E6" i="2"/>
  <c r="AN7" i="1"/>
  <c r="D6" i="2"/>
  <c r="C6" i="2"/>
  <c r="B6" i="2"/>
  <c r="I5" i="2"/>
  <c r="J5" i="2"/>
  <c r="L5" i="2"/>
  <c r="K5" i="2"/>
  <c r="AP6" i="1"/>
  <c r="H5" i="2"/>
  <c r="G5" i="2"/>
  <c r="AO6" i="1"/>
  <c r="F5" i="2"/>
  <c r="E5" i="2"/>
  <c r="AN6" i="1"/>
  <c r="D5" i="2"/>
  <c r="C5" i="2"/>
  <c r="B5" i="2"/>
  <c r="I4" i="2"/>
  <c r="J4" i="2"/>
  <c r="L4" i="2"/>
  <c r="K4" i="2"/>
  <c r="AP5" i="1"/>
  <c r="H4" i="2"/>
  <c r="G4" i="2"/>
  <c r="AO5" i="1"/>
  <c r="F4" i="2"/>
  <c r="E4" i="2"/>
  <c r="AN5" i="1"/>
  <c r="D4" i="2"/>
  <c r="C4" i="2"/>
  <c r="B4" i="2"/>
  <c r="I3" i="2"/>
  <c r="J3" i="2"/>
  <c r="L3" i="2"/>
  <c r="K3" i="2"/>
  <c r="AP4" i="1"/>
  <c r="H3" i="2"/>
  <c r="G3" i="2"/>
  <c r="AO4" i="1"/>
  <c r="F3" i="2"/>
  <c r="E3" i="2"/>
  <c r="AN4" i="1"/>
  <c r="D3" i="2"/>
  <c r="C3" i="2"/>
  <c r="B3" i="2"/>
  <c r="I2" i="2"/>
  <c r="J2" i="2"/>
  <c r="L2" i="2"/>
  <c r="K2" i="2"/>
  <c r="AP3" i="1"/>
  <c r="H2" i="2"/>
  <c r="G2" i="2"/>
  <c r="AO3" i="1"/>
  <c r="F2" i="2"/>
  <c r="E2" i="2"/>
  <c r="AN3" i="1"/>
  <c r="D2" i="2"/>
  <c r="C2" i="2"/>
  <c r="B2" i="2"/>
  <c r="AP1384" i="1"/>
  <c r="AO1384" i="1"/>
  <c r="AN1384" i="1"/>
  <c r="I1384" i="1"/>
  <c r="H1384" i="1"/>
  <c r="G1384" i="1"/>
  <c r="F1384" i="1"/>
  <c r="E1384" i="1"/>
  <c r="D1384" i="1"/>
  <c r="C1384" i="1"/>
  <c r="B1384" i="1"/>
  <c r="AP1383" i="1"/>
  <c r="AO1383" i="1"/>
  <c r="AN1383" i="1"/>
  <c r="I1383" i="1"/>
  <c r="H1383" i="1"/>
  <c r="G1383" i="1"/>
  <c r="F1383" i="1"/>
  <c r="E1383" i="1"/>
  <c r="D1383" i="1"/>
  <c r="C1383" i="1"/>
  <c r="B1383" i="1"/>
  <c r="AP1382" i="1"/>
  <c r="AO1382" i="1"/>
  <c r="AN1382" i="1"/>
  <c r="I1382" i="1"/>
  <c r="H1382" i="1"/>
  <c r="G1382" i="1"/>
  <c r="F1382" i="1"/>
  <c r="E1382" i="1"/>
  <c r="D1382" i="1"/>
  <c r="C1382" i="1"/>
  <c r="B1382" i="1"/>
  <c r="AP1381" i="1"/>
  <c r="AO1381" i="1"/>
  <c r="AN1381" i="1"/>
  <c r="I1381" i="1"/>
  <c r="H1381" i="1"/>
  <c r="G1381" i="1"/>
  <c r="F1381" i="1"/>
  <c r="E1381" i="1"/>
  <c r="D1381" i="1"/>
  <c r="C1381" i="1"/>
  <c r="B1381" i="1"/>
  <c r="AP1380" i="1"/>
  <c r="AO1380" i="1"/>
  <c r="AN1380" i="1"/>
  <c r="I1380" i="1"/>
  <c r="H1380" i="1"/>
  <c r="G1380" i="1"/>
  <c r="F1380" i="1"/>
  <c r="E1380" i="1"/>
  <c r="D1380" i="1"/>
  <c r="C1380" i="1"/>
  <c r="B1380" i="1"/>
  <c r="AP1379" i="1"/>
  <c r="AO1379" i="1"/>
  <c r="AN1379" i="1"/>
  <c r="I1379" i="1"/>
  <c r="H1379" i="1"/>
  <c r="G1379" i="1"/>
  <c r="F1379" i="1"/>
  <c r="E1379" i="1"/>
  <c r="D1379" i="1"/>
  <c r="C1379" i="1"/>
  <c r="B1379" i="1"/>
  <c r="AP1378" i="1"/>
  <c r="AO1378" i="1"/>
  <c r="AN1378" i="1"/>
  <c r="I1378" i="1"/>
  <c r="H1378" i="1"/>
  <c r="G1378" i="1"/>
  <c r="F1378" i="1"/>
  <c r="E1378" i="1"/>
  <c r="D1378" i="1"/>
  <c r="C1378" i="1"/>
  <c r="B1378" i="1"/>
  <c r="AP1377" i="1"/>
  <c r="AO1377" i="1"/>
  <c r="AN1377" i="1"/>
  <c r="I1377" i="1"/>
  <c r="H1377" i="1"/>
  <c r="G1377" i="1"/>
  <c r="F1377" i="1"/>
  <c r="E1377" i="1"/>
  <c r="D1377" i="1"/>
  <c r="C1377" i="1"/>
  <c r="B1377" i="1"/>
  <c r="AP1376" i="1"/>
  <c r="AO1376" i="1"/>
  <c r="AN1376" i="1"/>
  <c r="AL1376" i="1"/>
  <c r="I1376" i="1"/>
  <c r="H1376" i="1"/>
  <c r="G1376" i="1"/>
  <c r="F1376" i="1"/>
  <c r="E1376" i="1"/>
  <c r="D1376" i="1"/>
  <c r="C1376" i="1"/>
  <c r="B1376" i="1"/>
  <c r="AP1375" i="1"/>
  <c r="AO1375" i="1"/>
  <c r="AN1375" i="1"/>
  <c r="AL1375" i="1"/>
  <c r="I1375" i="1"/>
  <c r="H1375" i="1"/>
  <c r="G1375" i="1"/>
  <c r="F1375" i="1"/>
  <c r="E1375" i="1"/>
  <c r="D1375" i="1"/>
  <c r="C1375" i="1"/>
  <c r="B1375" i="1"/>
  <c r="AP1374" i="1"/>
  <c r="AO1374" i="1"/>
  <c r="AN1374" i="1"/>
  <c r="AL1374" i="1"/>
  <c r="I1374" i="1"/>
  <c r="H1374" i="1"/>
  <c r="G1374" i="1"/>
  <c r="F1374" i="1"/>
  <c r="E1374" i="1"/>
  <c r="D1374" i="1"/>
  <c r="C1374" i="1"/>
  <c r="B1374" i="1"/>
  <c r="AP1373" i="1"/>
  <c r="AO1373" i="1"/>
  <c r="AN1373" i="1"/>
  <c r="AL1373" i="1"/>
  <c r="I1373" i="1"/>
  <c r="H1373" i="1"/>
  <c r="G1373" i="1"/>
  <c r="F1373" i="1"/>
  <c r="E1373" i="1"/>
  <c r="D1373" i="1"/>
  <c r="C1373" i="1"/>
  <c r="B1373" i="1"/>
  <c r="AP1372" i="1"/>
  <c r="AO1372" i="1"/>
  <c r="AN1372" i="1"/>
  <c r="AL1372" i="1"/>
  <c r="I1372" i="1"/>
  <c r="H1372" i="1"/>
  <c r="G1372" i="1"/>
  <c r="F1372" i="1"/>
  <c r="E1372" i="1"/>
  <c r="D1372" i="1"/>
  <c r="C1372" i="1"/>
  <c r="B1372" i="1"/>
  <c r="AP1371" i="1"/>
  <c r="AO1371" i="1"/>
  <c r="AN1371" i="1"/>
  <c r="AL1371" i="1"/>
  <c r="I1371" i="1"/>
  <c r="H1371" i="1"/>
  <c r="G1371" i="1"/>
  <c r="F1371" i="1"/>
  <c r="E1371" i="1"/>
  <c r="D1371" i="1"/>
  <c r="C1371" i="1"/>
  <c r="B1371" i="1"/>
  <c r="AP1370" i="1"/>
  <c r="AO1370" i="1"/>
  <c r="AN1370" i="1"/>
  <c r="AL1370" i="1"/>
  <c r="I1370" i="1"/>
  <c r="H1370" i="1"/>
  <c r="G1370" i="1"/>
  <c r="F1370" i="1"/>
  <c r="E1370" i="1"/>
  <c r="D1370" i="1"/>
  <c r="C1370" i="1"/>
  <c r="B1370" i="1"/>
  <c r="AP1369" i="1"/>
  <c r="AO1369" i="1"/>
  <c r="AN1369" i="1"/>
  <c r="I1369" i="1"/>
  <c r="H1369" i="1"/>
  <c r="G1369" i="1"/>
  <c r="F1369" i="1"/>
  <c r="E1369" i="1"/>
  <c r="D1369" i="1"/>
  <c r="C1369" i="1"/>
  <c r="B1369" i="1"/>
  <c r="AP1368" i="1"/>
  <c r="AO1368" i="1"/>
  <c r="AN1368" i="1"/>
  <c r="AL1368" i="1"/>
  <c r="I1368" i="1"/>
  <c r="H1368" i="1"/>
  <c r="G1368" i="1"/>
  <c r="F1368" i="1"/>
  <c r="E1368" i="1"/>
  <c r="D1368" i="1"/>
  <c r="C1368" i="1"/>
  <c r="B1368" i="1"/>
  <c r="AP1367" i="1"/>
  <c r="AO1367" i="1"/>
  <c r="AN1367" i="1"/>
  <c r="AL1367" i="1"/>
  <c r="I1367" i="1"/>
  <c r="H1367" i="1"/>
  <c r="G1367" i="1"/>
  <c r="F1367" i="1"/>
  <c r="E1367" i="1"/>
  <c r="D1367" i="1"/>
  <c r="C1367" i="1"/>
  <c r="B1367" i="1"/>
  <c r="AP1366" i="1"/>
  <c r="AO1366" i="1"/>
  <c r="AN1366" i="1"/>
  <c r="AL1366" i="1"/>
  <c r="I1366" i="1"/>
  <c r="H1366" i="1"/>
  <c r="G1366" i="1"/>
  <c r="F1366" i="1"/>
  <c r="E1366" i="1"/>
  <c r="D1366" i="1"/>
  <c r="C1366" i="1"/>
  <c r="B1366" i="1"/>
  <c r="AP1365" i="1"/>
  <c r="AO1365" i="1"/>
  <c r="AN1365" i="1"/>
  <c r="I1365" i="1"/>
  <c r="H1365" i="1"/>
  <c r="G1365" i="1"/>
  <c r="F1365" i="1"/>
  <c r="E1365" i="1"/>
  <c r="D1365" i="1"/>
  <c r="C1365" i="1"/>
  <c r="B1365" i="1"/>
  <c r="AP1364" i="1"/>
  <c r="AO1364" i="1"/>
  <c r="AN1364" i="1"/>
  <c r="I1364" i="1"/>
  <c r="H1364" i="1"/>
  <c r="G1364" i="1"/>
  <c r="F1364" i="1"/>
  <c r="E1364" i="1"/>
  <c r="D1364" i="1"/>
  <c r="C1364" i="1"/>
  <c r="B1364" i="1"/>
  <c r="AP1363" i="1"/>
  <c r="AO1363" i="1"/>
  <c r="AN1363" i="1"/>
  <c r="I1363" i="1"/>
  <c r="H1363" i="1"/>
  <c r="G1363" i="1"/>
  <c r="F1363" i="1"/>
  <c r="E1363" i="1"/>
  <c r="D1363" i="1"/>
  <c r="C1363" i="1"/>
  <c r="B1363" i="1"/>
  <c r="AP1362" i="1"/>
  <c r="AO1362" i="1"/>
  <c r="AN1362" i="1"/>
  <c r="AL1362" i="1"/>
  <c r="I1362" i="1"/>
  <c r="H1362" i="1"/>
  <c r="G1362" i="1"/>
  <c r="F1362" i="1"/>
  <c r="E1362" i="1"/>
  <c r="D1362" i="1"/>
  <c r="C1362" i="1"/>
  <c r="B1362" i="1"/>
  <c r="AP1361" i="1"/>
  <c r="AO1361" i="1"/>
  <c r="AN1361" i="1"/>
  <c r="AL1361" i="1"/>
  <c r="I1361" i="1"/>
  <c r="H1361" i="1"/>
  <c r="G1361" i="1"/>
  <c r="F1361" i="1"/>
  <c r="E1361" i="1"/>
  <c r="D1361" i="1"/>
  <c r="C1361" i="1"/>
  <c r="B1361" i="1"/>
  <c r="AP1360" i="1"/>
  <c r="AO1360" i="1"/>
  <c r="AN1360" i="1"/>
  <c r="AL1360" i="1"/>
  <c r="I1360" i="1"/>
  <c r="H1360" i="1"/>
  <c r="G1360" i="1"/>
  <c r="F1360" i="1"/>
  <c r="E1360" i="1"/>
  <c r="D1360" i="1"/>
  <c r="C1360" i="1"/>
  <c r="B1360" i="1"/>
  <c r="AP1359" i="1"/>
  <c r="AO1359" i="1"/>
  <c r="AN1359" i="1"/>
  <c r="I1359" i="1"/>
  <c r="H1359" i="1"/>
  <c r="G1359" i="1"/>
  <c r="F1359" i="1"/>
  <c r="E1359" i="1"/>
  <c r="D1359" i="1"/>
  <c r="C1359" i="1"/>
  <c r="B1359" i="1"/>
  <c r="AP1358" i="1"/>
  <c r="AO1358" i="1"/>
  <c r="AN1358" i="1"/>
  <c r="I1358" i="1"/>
  <c r="H1358" i="1"/>
  <c r="G1358" i="1"/>
  <c r="F1358" i="1"/>
  <c r="E1358" i="1"/>
  <c r="D1358" i="1"/>
  <c r="C1358" i="1"/>
  <c r="B1358" i="1"/>
  <c r="T1357" i="1"/>
  <c r="AP1357" i="1"/>
  <c r="AO1357" i="1"/>
  <c r="AN1357" i="1"/>
  <c r="AL1357" i="1"/>
  <c r="I1357" i="1"/>
  <c r="H1357" i="1"/>
  <c r="G1357" i="1"/>
  <c r="F1357" i="1"/>
  <c r="E1357" i="1"/>
  <c r="D1357" i="1"/>
  <c r="C1357" i="1"/>
  <c r="B1357" i="1"/>
  <c r="AP1356" i="1"/>
  <c r="AO1356" i="1"/>
  <c r="AN1356" i="1"/>
  <c r="AL1356" i="1"/>
  <c r="I1356" i="1"/>
  <c r="H1356" i="1"/>
  <c r="G1356" i="1"/>
  <c r="F1356" i="1"/>
  <c r="E1356" i="1"/>
  <c r="D1356" i="1"/>
  <c r="C1356" i="1"/>
  <c r="B1356" i="1"/>
  <c r="AP1355" i="1"/>
  <c r="AO1355" i="1"/>
  <c r="AN1355" i="1"/>
  <c r="AL1355" i="1"/>
  <c r="I1355" i="1"/>
  <c r="H1355" i="1"/>
  <c r="G1355" i="1"/>
  <c r="F1355" i="1"/>
  <c r="E1355" i="1"/>
  <c r="D1355" i="1"/>
  <c r="C1355" i="1"/>
  <c r="B1355" i="1"/>
  <c r="AP1354" i="1"/>
  <c r="AO1354" i="1"/>
  <c r="AN1354" i="1"/>
  <c r="AL1354" i="1"/>
  <c r="I1354" i="1"/>
  <c r="H1354" i="1"/>
  <c r="G1354" i="1"/>
  <c r="F1354" i="1"/>
  <c r="E1354" i="1"/>
  <c r="D1354" i="1"/>
  <c r="C1354" i="1"/>
  <c r="B1354" i="1"/>
  <c r="AP1353" i="1"/>
  <c r="AO1353" i="1"/>
  <c r="AN1353" i="1"/>
  <c r="AL1353" i="1"/>
  <c r="I1353" i="1"/>
  <c r="H1353" i="1"/>
  <c r="G1353" i="1"/>
  <c r="F1353" i="1"/>
  <c r="E1353" i="1"/>
  <c r="D1353" i="1"/>
  <c r="C1353" i="1"/>
  <c r="B1353" i="1"/>
  <c r="T1352" i="1"/>
  <c r="AP1352" i="1"/>
  <c r="AO1352" i="1"/>
  <c r="AN1352" i="1"/>
  <c r="AL1352" i="1"/>
  <c r="I1352" i="1"/>
  <c r="H1352" i="1"/>
  <c r="G1352" i="1"/>
  <c r="F1352" i="1"/>
  <c r="E1352" i="1"/>
  <c r="D1352" i="1"/>
  <c r="C1352" i="1"/>
  <c r="B1352" i="1"/>
  <c r="AP1351" i="1"/>
  <c r="AO1351" i="1"/>
  <c r="AN1351" i="1"/>
  <c r="AL1351" i="1"/>
  <c r="I1351" i="1"/>
  <c r="H1351" i="1"/>
  <c r="G1351" i="1"/>
  <c r="F1351" i="1"/>
  <c r="E1351" i="1"/>
  <c r="D1351" i="1"/>
  <c r="C1351" i="1"/>
  <c r="B1351" i="1"/>
  <c r="AP1350" i="1"/>
  <c r="AO1350" i="1"/>
  <c r="AN1350" i="1"/>
  <c r="AL1350" i="1"/>
  <c r="I1350" i="1"/>
  <c r="H1350" i="1"/>
  <c r="G1350" i="1"/>
  <c r="F1350" i="1"/>
  <c r="E1350" i="1"/>
  <c r="D1350" i="1"/>
  <c r="C1350" i="1"/>
  <c r="B1350" i="1"/>
  <c r="AP1349" i="1"/>
  <c r="AO1349" i="1"/>
  <c r="AN1349" i="1"/>
  <c r="AL1349" i="1"/>
  <c r="I1349" i="1"/>
  <c r="H1349" i="1"/>
  <c r="G1349" i="1"/>
  <c r="F1349" i="1"/>
  <c r="E1349" i="1"/>
  <c r="D1349" i="1"/>
  <c r="C1349" i="1"/>
  <c r="B1349" i="1"/>
  <c r="AP1348" i="1"/>
  <c r="AO1348" i="1"/>
  <c r="AN1348" i="1"/>
  <c r="AL1348" i="1"/>
  <c r="I1348" i="1"/>
  <c r="H1348" i="1"/>
  <c r="G1348" i="1"/>
  <c r="F1348" i="1"/>
  <c r="E1348" i="1"/>
  <c r="D1348" i="1"/>
  <c r="C1348" i="1"/>
  <c r="B1348" i="1"/>
  <c r="AP1347" i="1"/>
  <c r="AO1347" i="1"/>
  <c r="AN1347" i="1"/>
  <c r="AL1347" i="1"/>
  <c r="I1347" i="1"/>
  <c r="H1347" i="1"/>
  <c r="G1347" i="1"/>
  <c r="F1347" i="1"/>
  <c r="E1347" i="1"/>
  <c r="D1347" i="1"/>
  <c r="C1347" i="1"/>
  <c r="B1347" i="1"/>
  <c r="AP1346" i="1"/>
  <c r="AO1346" i="1"/>
  <c r="AN1346" i="1"/>
  <c r="AL1346" i="1"/>
  <c r="I1346" i="1"/>
  <c r="H1346" i="1"/>
  <c r="G1346" i="1"/>
  <c r="F1346" i="1"/>
  <c r="E1346" i="1"/>
  <c r="D1346" i="1"/>
  <c r="C1346" i="1"/>
  <c r="B1346" i="1"/>
  <c r="AP1345" i="1"/>
  <c r="AO1345" i="1"/>
  <c r="AN1345" i="1"/>
  <c r="AL1345" i="1"/>
  <c r="I1345" i="1"/>
  <c r="H1345" i="1"/>
  <c r="G1345" i="1"/>
  <c r="F1345" i="1"/>
  <c r="E1345" i="1"/>
  <c r="D1345" i="1"/>
  <c r="C1345" i="1"/>
  <c r="B1345" i="1"/>
  <c r="AL1344" i="1"/>
  <c r="I1344" i="1"/>
  <c r="H1344" i="1"/>
  <c r="G1344" i="1"/>
  <c r="F1344" i="1"/>
  <c r="E1344" i="1"/>
  <c r="D1344" i="1"/>
  <c r="C1344" i="1"/>
  <c r="B1344" i="1"/>
  <c r="AL1343" i="1"/>
  <c r="I1343" i="1"/>
  <c r="H1343" i="1"/>
  <c r="G1343" i="1"/>
  <c r="F1343" i="1"/>
  <c r="E1343" i="1"/>
  <c r="D1343" i="1"/>
  <c r="C1343" i="1"/>
  <c r="B1343" i="1"/>
  <c r="AL1342" i="1"/>
  <c r="I1342" i="1"/>
  <c r="H1342" i="1"/>
  <c r="G1342" i="1"/>
  <c r="F1342" i="1"/>
  <c r="E1342" i="1"/>
  <c r="D1342" i="1"/>
  <c r="C1342" i="1"/>
  <c r="B1342" i="1"/>
  <c r="AL1341" i="1"/>
  <c r="I1341" i="1"/>
  <c r="H1341" i="1"/>
  <c r="G1341" i="1"/>
  <c r="F1341" i="1"/>
  <c r="E1341" i="1"/>
  <c r="D1341" i="1"/>
  <c r="C1341" i="1"/>
  <c r="B1341" i="1"/>
  <c r="AL1340" i="1"/>
  <c r="I1340" i="1"/>
  <c r="H1340" i="1"/>
  <c r="G1340" i="1"/>
  <c r="F1340" i="1"/>
  <c r="E1340" i="1"/>
  <c r="D1340" i="1"/>
  <c r="C1340" i="1"/>
  <c r="B1340" i="1"/>
  <c r="I1339" i="1"/>
  <c r="H1339" i="1"/>
  <c r="G1339" i="1"/>
  <c r="F1339" i="1"/>
  <c r="E1339" i="1"/>
  <c r="D1339" i="1"/>
  <c r="C1339" i="1"/>
  <c r="B1339" i="1"/>
  <c r="I1338" i="1"/>
  <c r="H1338" i="1"/>
  <c r="G1338" i="1"/>
  <c r="F1338" i="1"/>
  <c r="E1338" i="1"/>
  <c r="D1338" i="1"/>
  <c r="C1338" i="1"/>
  <c r="B1338" i="1"/>
  <c r="I1337" i="1"/>
  <c r="H1337" i="1"/>
  <c r="G1337" i="1"/>
  <c r="F1337" i="1"/>
  <c r="E1337" i="1"/>
  <c r="D1337" i="1"/>
  <c r="C1337" i="1"/>
  <c r="B1337" i="1"/>
  <c r="I1336" i="1"/>
  <c r="H1336" i="1"/>
  <c r="G1336" i="1"/>
  <c r="F1336" i="1"/>
  <c r="E1336" i="1"/>
  <c r="D1336" i="1"/>
  <c r="C1336" i="1"/>
  <c r="B1336" i="1"/>
  <c r="I1335" i="1"/>
  <c r="H1335" i="1"/>
  <c r="G1335" i="1"/>
  <c r="F1335" i="1"/>
  <c r="E1335" i="1"/>
  <c r="D1335" i="1"/>
  <c r="C1335" i="1"/>
  <c r="B1335" i="1"/>
  <c r="I1334" i="1"/>
  <c r="H1334" i="1"/>
  <c r="G1334" i="1"/>
  <c r="F1334" i="1"/>
  <c r="E1334" i="1"/>
  <c r="D1334" i="1"/>
  <c r="C1334" i="1"/>
  <c r="B1334" i="1"/>
  <c r="I1333" i="1"/>
  <c r="H1333" i="1"/>
  <c r="G1333" i="1"/>
  <c r="F1333" i="1"/>
  <c r="E1333" i="1"/>
  <c r="D1333" i="1"/>
  <c r="C1333" i="1"/>
  <c r="B1333" i="1"/>
  <c r="I1332" i="1"/>
  <c r="H1332" i="1"/>
  <c r="G1332" i="1"/>
  <c r="F1332" i="1"/>
  <c r="E1332" i="1"/>
  <c r="D1332" i="1"/>
  <c r="C1332" i="1"/>
  <c r="B1332" i="1"/>
  <c r="I1331" i="1"/>
  <c r="H1331" i="1"/>
  <c r="G1331" i="1"/>
  <c r="F1331" i="1"/>
  <c r="E1331" i="1"/>
  <c r="D1331" i="1"/>
  <c r="C1331" i="1"/>
  <c r="B1331" i="1"/>
  <c r="AL1330" i="1"/>
  <c r="I1330" i="1"/>
  <c r="H1330" i="1"/>
  <c r="G1330" i="1"/>
  <c r="F1330" i="1"/>
  <c r="E1330" i="1"/>
  <c r="D1330" i="1"/>
  <c r="C1330" i="1"/>
  <c r="B1330" i="1"/>
  <c r="AL1329" i="1"/>
  <c r="I1329" i="1"/>
  <c r="H1329" i="1"/>
  <c r="G1329" i="1"/>
  <c r="F1329" i="1"/>
  <c r="E1329" i="1"/>
  <c r="D1329" i="1"/>
  <c r="C1329" i="1"/>
  <c r="B1329" i="1"/>
  <c r="AL1328" i="1"/>
  <c r="I1328" i="1"/>
  <c r="H1328" i="1"/>
  <c r="G1328" i="1"/>
  <c r="F1328" i="1"/>
  <c r="E1328" i="1"/>
  <c r="D1328" i="1"/>
  <c r="C1328" i="1"/>
  <c r="B1328" i="1"/>
  <c r="AL1327" i="1"/>
  <c r="I1327" i="1"/>
  <c r="H1327" i="1"/>
  <c r="G1327" i="1"/>
  <c r="F1327" i="1"/>
  <c r="E1327" i="1"/>
  <c r="D1327" i="1"/>
  <c r="C1327" i="1"/>
  <c r="B1327" i="1"/>
  <c r="AL1326" i="1"/>
  <c r="I1326" i="1"/>
  <c r="H1326" i="1"/>
  <c r="G1326" i="1"/>
  <c r="F1326" i="1"/>
  <c r="E1326" i="1"/>
  <c r="D1326" i="1"/>
  <c r="C1326" i="1"/>
  <c r="B1326" i="1"/>
  <c r="AL1325" i="1"/>
  <c r="I1325" i="1"/>
  <c r="H1325" i="1"/>
  <c r="G1325" i="1"/>
  <c r="F1325" i="1"/>
  <c r="E1325" i="1"/>
  <c r="D1325" i="1"/>
  <c r="C1325" i="1"/>
  <c r="B1325" i="1"/>
  <c r="I1324" i="1"/>
  <c r="H1324" i="1"/>
  <c r="G1324" i="1"/>
  <c r="F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AL1322" i="1"/>
  <c r="I1322" i="1"/>
  <c r="H1322" i="1"/>
  <c r="G1322" i="1"/>
  <c r="F1322" i="1"/>
  <c r="E1322" i="1"/>
  <c r="D1322" i="1"/>
  <c r="C1322" i="1"/>
  <c r="B1322" i="1"/>
  <c r="AL1321" i="1"/>
  <c r="I1321" i="1"/>
  <c r="H1321" i="1"/>
  <c r="G1321" i="1"/>
  <c r="F1321" i="1"/>
  <c r="E1321" i="1"/>
  <c r="D1321" i="1"/>
  <c r="C1321" i="1"/>
  <c r="B1321" i="1"/>
  <c r="I1320" i="1"/>
  <c r="H1320" i="1"/>
  <c r="G1320" i="1"/>
  <c r="F1320" i="1"/>
  <c r="E1320" i="1"/>
  <c r="D1320" i="1"/>
  <c r="C1320" i="1"/>
  <c r="B1320" i="1"/>
  <c r="AL1319" i="1"/>
  <c r="I1319" i="1"/>
  <c r="H1319" i="1"/>
  <c r="G1319" i="1"/>
  <c r="F1319" i="1"/>
  <c r="E1319" i="1"/>
  <c r="D1319" i="1"/>
  <c r="C1319" i="1"/>
  <c r="B1319" i="1"/>
  <c r="AL1318" i="1"/>
  <c r="I1318" i="1"/>
  <c r="H1318" i="1"/>
  <c r="G1318" i="1"/>
  <c r="F1318" i="1"/>
  <c r="E1318" i="1"/>
  <c r="D1318" i="1"/>
  <c r="C1318" i="1"/>
  <c r="B1318" i="1"/>
  <c r="AL1317" i="1"/>
  <c r="I1317" i="1"/>
  <c r="H1317" i="1"/>
  <c r="G1317" i="1"/>
  <c r="F1317" i="1"/>
  <c r="E1317" i="1"/>
  <c r="D1317" i="1"/>
  <c r="C1317" i="1"/>
  <c r="B1317" i="1"/>
  <c r="AL1316" i="1"/>
  <c r="AK1316" i="1"/>
  <c r="I1316" i="1"/>
  <c r="H1316" i="1"/>
  <c r="G1316" i="1"/>
  <c r="F1316" i="1"/>
  <c r="E1316" i="1"/>
  <c r="D1316" i="1"/>
  <c r="C1316" i="1"/>
  <c r="B1316" i="1"/>
  <c r="AL1315" i="1"/>
  <c r="AK1315" i="1"/>
  <c r="I1315" i="1"/>
  <c r="H1315" i="1"/>
  <c r="G1315" i="1"/>
  <c r="F1315" i="1"/>
  <c r="E1315" i="1"/>
  <c r="D1315" i="1"/>
  <c r="C1315" i="1"/>
  <c r="B1315" i="1"/>
  <c r="AL1314" i="1"/>
  <c r="AK1314" i="1"/>
  <c r="I1314" i="1"/>
  <c r="H1314" i="1"/>
  <c r="G1314" i="1"/>
  <c r="F1314" i="1"/>
  <c r="E1314" i="1"/>
  <c r="D1314" i="1"/>
  <c r="C1314" i="1"/>
  <c r="B1314" i="1"/>
  <c r="AL1313" i="1"/>
  <c r="AK1313" i="1"/>
  <c r="I1313" i="1"/>
  <c r="H1313" i="1"/>
  <c r="G1313" i="1"/>
  <c r="F1313" i="1"/>
  <c r="E1313" i="1"/>
  <c r="D1313" i="1"/>
  <c r="C1313" i="1"/>
  <c r="B1313" i="1"/>
  <c r="AL1312" i="1"/>
  <c r="I1312" i="1"/>
  <c r="H1312" i="1"/>
  <c r="G1312" i="1"/>
  <c r="F1312" i="1"/>
  <c r="E1312" i="1"/>
  <c r="D1312" i="1"/>
  <c r="C1312" i="1"/>
  <c r="B1312" i="1"/>
  <c r="AL1311" i="1"/>
  <c r="I1311" i="1"/>
  <c r="H1311" i="1"/>
  <c r="G1311" i="1"/>
  <c r="F1311" i="1"/>
  <c r="E1311" i="1"/>
  <c r="D1311" i="1"/>
  <c r="C1311" i="1"/>
  <c r="B1311" i="1"/>
  <c r="I1310" i="1"/>
  <c r="H1310" i="1"/>
  <c r="G1310" i="1"/>
  <c r="F1310" i="1"/>
  <c r="E1310" i="1"/>
  <c r="D1310" i="1"/>
  <c r="C1310" i="1"/>
  <c r="B1310" i="1"/>
  <c r="AL1309" i="1"/>
  <c r="I1309" i="1"/>
  <c r="H1309" i="1"/>
  <c r="G1309" i="1"/>
  <c r="F1309" i="1"/>
  <c r="E1309" i="1"/>
  <c r="D1309" i="1"/>
  <c r="C1309" i="1"/>
  <c r="B1309" i="1"/>
  <c r="I1308" i="1"/>
  <c r="H1308" i="1"/>
  <c r="G1308" i="1"/>
  <c r="F1308" i="1"/>
  <c r="E1308" i="1"/>
  <c r="D1308" i="1"/>
  <c r="C1308" i="1"/>
  <c r="B1308" i="1"/>
  <c r="AL1307" i="1"/>
  <c r="I1307" i="1"/>
  <c r="H1307" i="1"/>
  <c r="G1307" i="1"/>
  <c r="F1307" i="1"/>
  <c r="E1307" i="1"/>
  <c r="D1307" i="1"/>
  <c r="C1307" i="1"/>
  <c r="B1307" i="1"/>
  <c r="AL1306" i="1"/>
  <c r="I1306" i="1"/>
  <c r="H1306" i="1"/>
  <c r="G1306" i="1"/>
  <c r="F1306" i="1"/>
  <c r="E1306" i="1"/>
  <c r="D1306" i="1"/>
  <c r="C1306" i="1"/>
  <c r="B1306" i="1"/>
  <c r="AL1305" i="1"/>
  <c r="I1305" i="1"/>
  <c r="H1305" i="1"/>
  <c r="G1305" i="1"/>
  <c r="F1305" i="1"/>
  <c r="E1305" i="1"/>
  <c r="D1305" i="1"/>
  <c r="C1305" i="1"/>
  <c r="B1305" i="1"/>
  <c r="AL1304" i="1"/>
  <c r="I1304" i="1"/>
  <c r="H1304" i="1"/>
  <c r="G1304" i="1"/>
  <c r="F1304" i="1"/>
  <c r="E1304" i="1"/>
  <c r="D1304" i="1"/>
  <c r="C1304" i="1"/>
  <c r="B1304" i="1"/>
  <c r="AL1303" i="1"/>
  <c r="I1303" i="1"/>
  <c r="H1303" i="1"/>
  <c r="G1303" i="1"/>
  <c r="F1303" i="1"/>
  <c r="E1303" i="1"/>
  <c r="D1303" i="1"/>
  <c r="C1303" i="1"/>
  <c r="B1303" i="1"/>
  <c r="AL1302" i="1"/>
  <c r="I1302" i="1"/>
  <c r="H1302" i="1"/>
  <c r="G1302" i="1"/>
  <c r="F1302" i="1"/>
  <c r="E1302" i="1"/>
  <c r="D1302" i="1"/>
  <c r="C1302" i="1"/>
  <c r="B1302" i="1"/>
  <c r="AL1301" i="1"/>
  <c r="I1301" i="1"/>
  <c r="H1301" i="1"/>
  <c r="G1301" i="1"/>
  <c r="F1301" i="1"/>
  <c r="E1301" i="1"/>
  <c r="D1301" i="1"/>
  <c r="C1301" i="1"/>
  <c r="B1301" i="1"/>
  <c r="AL1300" i="1"/>
  <c r="I1300" i="1"/>
  <c r="H1300" i="1"/>
  <c r="G1300" i="1"/>
  <c r="F1300" i="1"/>
  <c r="E1300" i="1"/>
  <c r="D1300" i="1"/>
  <c r="C1300" i="1"/>
  <c r="B1300" i="1"/>
  <c r="AL1299" i="1"/>
  <c r="I1299" i="1"/>
  <c r="H1299" i="1"/>
  <c r="G1299" i="1"/>
  <c r="F1299" i="1"/>
  <c r="E1299" i="1"/>
  <c r="D1299" i="1"/>
  <c r="C1299" i="1"/>
  <c r="B1299" i="1"/>
  <c r="AL1298" i="1"/>
  <c r="I1298" i="1"/>
  <c r="H1298" i="1"/>
  <c r="G1298" i="1"/>
  <c r="F1298" i="1"/>
  <c r="E1298" i="1"/>
  <c r="D1298" i="1"/>
  <c r="C1298" i="1"/>
  <c r="B1298" i="1"/>
  <c r="AL1297" i="1"/>
  <c r="I1297" i="1"/>
  <c r="H1297" i="1"/>
  <c r="G1297" i="1"/>
  <c r="F1297" i="1"/>
  <c r="E1297" i="1"/>
  <c r="D1297" i="1"/>
  <c r="C1297" i="1"/>
  <c r="B1297" i="1"/>
  <c r="AL1296" i="1"/>
  <c r="I1296" i="1"/>
  <c r="H1296" i="1"/>
  <c r="G1296" i="1"/>
  <c r="F1296" i="1"/>
  <c r="E1296" i="1"/>
  <c r="D1296" i="1"/>
  <c r="C1296" i="1"/>
  <c r="B1296" i="1"/>
  <c r="AL1295" i="1"/>
  <c r="I1295" i="1"/>
  <c r="H1295" i="1"/>
  <c r="G1295" i="1"/>
  <c r="F1295" i="1"/>
  <c r="E1295" i="1"/>
  <c r="D1295" i="1"/>
  <c r="C1295" i="1"/>
  <c r="B1295" i="1"/>
  <c r="AL1294" i="1"/>
  <c r="I1294" i="1"/>
  <c r="H1294" i="1"/>
  <c r="G1294" i="1"/>
  <c r="F1294" i="1"/>
  <c r="E1294" i="1"/>
  <c r="D1294" i="1"/>
  <c r="C1294" i="1"/>
  <c r="B1294" i="1"/>
  <c r="AL1293" i="1"/>
  <c r="I1293" i="1"/>
  <c r="H1293" i="1"/>
  <c r="G1293" i="1"/>
  <c r="F1293" i="1"/>
  <c r="E1293" i="1"/>
  <c r="D1293" i="1"/>
  <c r="C1293" i="1"/>
  <c r="B1293" i="1"/>
  <c r="I1292" i="1"/>
  <c r="H1292" i="1"/>
  <c r="G1292" i="1"/>
  <c r="F1292" i="1"/>
  <c r="E1292" i="1"/>
  <c r="D1292" i="1"/>
  <c r="C1292" i="1"/>
  <c r="B1292" i="1"/>
  <c r="AL1291" i="1"/>
  <c r="I1291" i="1"/>
  <c r="H1291" i="1"/>
  <c r="G1291" i="1"/>
  <c r="F1291" i="1"/>
  <c r="E1291" i="1"/>
  <c r="D1291" i="1"/>
  <c r="C1291" i="1"/>
  <c r="B1291" i="1"/>
  <c r="AL1290" i="1"/>
  <c r="I1290" i="1"/>
  <c r="H1290" i="1"/>
  <c r="G1290" i="1"/>
  <c r="F1290" i="1"/>
  <c r="E1290" i="1"/>
  <c r="D1290" i="1"/>
  <c r="C1290" i="1"/>
  <c r="B1290" i="1"/>
  <c r="I1289" i="1"/>
  <c r="H1289" i="1"/>
  <c r="G1289" i="1"/>
  <c r="F1289" i="1"/>
  <c r="E1289" i="1"/>
  <c r="D1289" i="1"/>
  <c r="C1289" i="1"/>
  <c r="B1289" i="1"/>
  <c r="AL1288" i="1"/>
  <c r="I1288" i="1"/>
  <c r="H1288" i="1"/>
  <c r="G1288" i="1"/>
  <c r="F1288" i="1"/>
  <c r="E1288" i="1"/>
  <c r="D1288" i="1"/>
  <c r="C1288" i="1"/>
  <c r="B1288" i="1"/>
  <c r="AL1287" i="1"/>
  <c r="I1287" i="1"/>
  <c r="H1287" i="1"/>
  <c r="G1287" i="1"/>
  <c r="F1287" i="1"/>
  <c r="E1287" i="1"/>
  <c r="D1287" i="1"/>
  <c r="C1287" i="1"/>
  <c r="B1287" i="1"/>
  <c r="AL1286" i="1"/>
  <c r="I1286" i="1"/>
  <c r="H1286" i="1"/>
  <c r="G1286" i="1"/>
  <c r="F1286" i="1"/>
  <c r="E1286" i="1"/>
  <c r="D1286" i="1"/>
  <c r="C1286" i="1"/>
  <c r="B1286" i="1"/>
  <c r="I1285" i="1"/>
  <c r="H1285" i="1"/>
  <c r="G1285" i="1"/>
  <c r="F1285" i="1"/>
  <c r="E1285" i="1"/>
  <c r="D1285" i="1"/>
  <c r="C1285" i="1"/>
  <c r="B1285" i="1"/>
  <c r="I1284" i="1"/>
  <c r="H1284" i="1"/>
  <c r="G1284" i="1"/>
  <c r="F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I1282" i="1"/>
  <c r="H1282" i="1"/>
  <c r="G1282" i="1"/>
  <c r="F1282" i="1"/>
  <c r="E1282" i="1"/>
  <c r="D1282" i="1"/>
  <c r="C1282" i="1"/>
  <c r="B1282" i="1"/>
  <c r="AL1281" i="1"/>
  <c r="I1281" i="1"/>
  <c r="H1281" i="1"/>
  <c r="G1281" i="1"/>
  <c r="F1281" i="1"/>
  <c r="E1281" i="1"/>
  <c r="D1281" i="1"/>
  <c r="C1281" i="1"/>
  <c r="B1281" i="1"/>
  <c r="AL1280" i="1"/>
  <c r="I1280" i="1"/>
  <c r="H1280" i="1"/>
  <c r="G1280" i="1"/>
  <c r="F1280" i="1"/>
  <c r="E1280" i="1"/>
  <c r="D1280" i="1"/>
  <c r="C1280" i="1"/>
  <c r="B1280" i="1"/>
  <c r="AL1279" i="1"/>
  <c r="I1279" i="1"/>
  <c r="H1279" i="1"/>
  <c r="G1279" i="1"/>
  <c r="F1279" i="1"/>
  <c r="E1279" i="1"/>
  <c r="D1279" i="1"/>
  <c r="C1279" i="1"/>
  <c r="B1279" i="1"/>
  <c r="AL1278" i="1"/>
  <c r="I1278" i="1"/>
  <c r="H1278" i="1"/>
  <c r="G1278" i="1"/>
  <c r="F1278" i="1"/>
  <c r="E1278" i="1"/>
  <c r="D1278" i="1"/>
  <c r="C1278" i="1"/>
  <c r="B1278" i="1"/>
  <c r="I1277" i="1"/>
  <c r="H1277" i="1"/>
  <c r="G1277" i="1"/>
  <c r="F1277" i="1"/>
  <c r="E1277" i="1"/>
  <c r="D1277" i="1"/>
  <c r="C1277" i="1"/>
  <c r="B1277" i="1"/>
  <c r="AL1276" i="1"/>
  <c r="I1276" i="1"/>
  <c r="H1276" i="1"/>
  <c r="G1276" i="1"/>
  <c r="F1276" i="1"/>
  <c r="E1276" i="1"/>
  <c r="D1276" i="1"/>
  <c r="C1276" i="1"/>
  <c r="B1276" i="1"/>
  <c r="AL1275" i="1"/>
  <c r="I1275" i="1"/>
  <c r="H1275" i="1"/>
  <c r="G1275" i="1"/>
  <c r="F1275" i="1"/>
  <c r="E1275" i="1"/>
  <c r="D1275" i="1"/>
  <c r="C1275" i="1"/>
  <c r="B1275" i="1"/>
  <c r="AL1274" i="1"/>
  <c r="I1274" i="1"/>
  <c r="H1274" i="1"/>
  <c r="G1274" i="1"/>
  <c r="F1274" i="1"/>
  <c r="E1274" i="1"/>
  <c r="D1274" i="1"/>
  <c r="C1274" i="1"/>
  <c r="B1274" i="1"/>
  <c r="AL1273" i="1"/>
  <c r="I1273" i="1"/>
  <c r="H1273" i="1"/>
  <c r="G1273" i="1"/>
  <c r="F1273" i="1"/>
  <c r="E1273" i="1"/>
  <c r="D1273" i="1"/>
  <c r="C1273" i="1"/>
  <c r="B1273" i="1"/>
  <c r="AL1272" i="1"/>
  <c r="I1272" i="1"/>
  <c r="H1272" i="1"/>
  <c r="G1272" i="1"/>
  <c r="F1272" i="1"/>
  <c r="E1272" i="1"/>
  <c r="D1272" i="1"/>
  <c r="C1272" i="1"/>
  <c r="B1272" i="1"/>
  <c r="AL1271" i="1"/>
  <c r="I1271" i="1"/>
  <c r="H1271" i="1"/>
  <c r="G1271" i="1"/>
  <c r="F1271" i="1"/>
  <c r="E1271" i="1"/>
  <c r="D1271" i="1"/>
  <c r="C1271" i="1"/>
  <c r="B1271" i="1"/>
  <c r="AL1270" i="1"/>
  <c r="I1270" i="1"/>
  <c r="H1270" i="1"/>
  <c r="G1270" i="1"/>
  <c r="F1270" i="1"/>
  <c r="E1270" i="1"/>
  <c r="D1270" i="1"/>
  <c r="C1270" i="1"/>
  <c r="B1270" i="1"/>
  <c r="AL1269" i="1"/>
  <c r="I1269" i="1"/>
  <c r="H1269" i="1"/>
  <c r="G1269" i="1"/>
  <c r="F1269" i="1"/>
  <c r="E1269" i="1"/>
  <c r="D1269" i="1"/>
  <c r="C1269" i="1"/>
  <c r="B1269" i="1"/>
  <c r="AL1268" i="1"/>
  <c r="I1268" i="1"/>
  <c r="H1268" i="1"/>
  <c r="G1268" i="1"/>
  <c r="F1268" i="1"/>
  <c r="E1268" i="1"/>
  <c r="D1268" i="1"/>
  <c r="C1268" i="1"/>
  <c r="B1268" i="1"/>
  <c r="AL1267" i="1"/>
  <c r="I1267" i="1"/>
  <c r="H1267" i="1"/>
  <c r="G1267" i="1"/>
  <c r="F1267" i="1"/>
  <c r="E1267" i="1"/>
  <c r="D1267" i="1"/>
  <c r="C1267" i="1"/>
  <c r="B1267" i="1"/>
  <c r="AL1266" i="1"/>
  <c r="I1266" i="1"/>
  <c r="H1266" i="1"/>
  <c r="G1266" i="1"/>
  <c r="F1266" i="1"/>
  <c r="E1266" i="1"/>
  <c r="D1266" i="1"/>
  <c r="C1266" i="1"/>
  <c r="B1266" i="1"/>
  <c r="AL1265" i="1"/>
  <c r="I1265" i="1"/>
  <c r="H1265" i="1"/>
  <c r="G1265" i="1"/>
  <c r="F1265" i="1"/>
  <c r="E1265" i="1"/>
  <c r="D1265" i="1"/>
  <c r="C1265" i="1"/>
  <c r="B1265" i="1"/>
  <c r="AL1264" i="1"/>
  <c r="I1264" i="1"/>
  <c r="H1264" i="1"/>
  <c r="G1264" i="1"/>
  <c r="F1264" i="1"/>
  <c r="E1264" i="1"/>
  <c r="D1264" i="1"/>
  <c r="C1264" i="1"/>
  <c r="B1264" i="1"/>
  <c r="AL1263" i="1"/>
  <c r="I1263" i="1"/>
  <c r="H1263" i="1"/>
  <c r="G1263" i="1"/>
  <c r="F1263" i="1"/>
  <c r="E1263" i="1"/>
  <c r="D1263" i="1"/>
  <c r="C1263" i="1"/>
  <c r="B1263" i="1"/>
  <c r="AL1262" i="1"/>
  <c r="I1262" i="1"/>
  <c r="H1262" i="1"/>
  <c r="G1262" i="1"/>
  <c r="F1262" i="1"/>
  <c r="E1262" i="1"/>
  <c r="D1262" i="1"/>
  <c r="C1262" i="1"/>
  <c r="B1262" i="1"/>
  <c r="AL1261" i="1"/>
  <c r="I1261" i="1"/>
  <c r="H1261" i="1"/>
  <c r="G1261" i="1"/>
  <c r="F1261" i="1"/>
  <c r="E1261" i="1"/>
  <c r="D1261" i="1"/>
  <c r="C1261" i="1"/>
  <c r="B1261" i="1"/>
  <c r="AL1260" i="1"/>
  <c r="I1260" i="1"/>
  <c r="H1260" i="1"/>
  <c r="G1260" i="1"/>
  <c r="F1260" i="1"/>
  <c r="E1260" i="1"/>
  <c r="D1260" i="1"/>
  <c r="C1260" i="1"/>
  <c r="B1260" i="1"/>
  <c r="AL1259" i="1"/>
  <c r="I1259" i="1"/>
  <c r="H1259" i="1"/>
  <c r="G1259" i="1"/>
  <c r="F1259" i="1"/>
  <c r="E1259" i="1"/>
  <c r="D1259" i="1"/>
  <c r="C1259" i="1"/>
  <c r="B1259" i="1"/>
  <c r="I1258" i="1"/>
  <c r="H1258" i="1"/>
  <c r="G1258" i="1"/>
  <c r="F1258" i="1"/>
  <c r="E1258" i="1"/>
  <c r="D1258" i="1"/>
  <c r="C1258" i="1"/>
  <c r="B1258" i="1"/>
  <c r="AL1257" i="1"/>
  <c r="I1257" i="1"/>
  <c r="H1257" i="1"/>
  <c r="G1257" i="1"/>
  <c r="F1257" i="1"/>
  <c r="E1257" i="1"/>
  <c r="D1257" i="1"/>
  <c r="C1257" i="1"/>
  <c r="B1257" i="1"/>
  <c r="AL1256" i="1"/>
  <c r="I1256" i="1"/>
  <c r="H1256" i="1"/>
  <c r="G1256" i="1"/>
  <c r="F1256" i="1"/>
  <c r="E1256" i="1"/>
  <c r="D1256" i="1"/>
  <c r="C1256" i="1"/>
  <c r="B1256" i="1"/>
  <c r="I1255" i="1"/>
  <c r="H1255" i="1"/>
  <c r="G1255" i="1"/>
  <c r="F1255" i="1"/>
  <c r="E1255" i="1"/>
  <c r="D1255" i="1"/>
  <c r="C1255" i="1"/>
  <c r="B1255" i="1"/>
  <c r="AL1254" i="1"/>
  <c r="I1254" i="1"/>
  <c r="H1254" i="1"/>
  <c r="G1254" i="1"/>
  <c r="F1254" i="1"/>
  <c r="E1254" i="1"/>
  <c r="D1254" i="1"/>
  <c r="C1254" i="1"/>
  <c r="B1254" i="1"/>
  <c r="AL1253" i="1"/>
  <c r="I1253" i="1"/>
  <c r="H1253" i="1"/>
  <c r="G1253" i="1"/>
  <c r="F1253" i="1"/>
  <c r="E1253" i="1"/>
  <c r="D1253" i="1"/>
  <c r="C1253" i="1"/>
  <c r="B1253" i="1"/>
  <c r="AL1252" i="1"/>
  <c r="I1252" i="1"/>
  <c r="H1252" i="1"/>
  <c r="G1252" i="1"/>
  <c r="F1252" i="1"/>
  <c r="E1252" i="1"/>
  <c r="D1252" i="1"/>
  <c r="C1252" i="1"/>
  <c r="B1252" i="1"/>
  <c r="AL1251" i="1"/>
  <c r="I1251" i="1"/>
  <c r="H1251" i="1"/>
  <c r="G1251" i="1"/>
  <c r="F1251" i="1"/>
  <c r="E1251" i="1"/>
  <c r="D1251" i="1"/>
  <c r="C1251" i="1"/>
  <c r="B1251" i="1"/>
  <c r="AL1250" i="1"/>
  <c r="I1250" i="1"/>
  <c r="H1250" i="1"/>
  <c r="G1250" i="1"/>
  <c r="F1250" i="1"/>
  <c r="E1250" i="1"/>
  <c r="D1250" i="1"/>
  <c r="C1250" i="1"/>
  <c r="B1250" i="1"/>
  <c r="AL1249" i="1"/>
  <c r="I1249" i="1"/>
  <c r="H1249" i="1"/>
  <c r="G1249" i="1"/>
  <c r="F1249" i="1"/>
  <c r="E1249" i="1"/>
  <c r="D1249" i="1"/>
  <c r="C1249" i="1"/>
  <c r="B1249" i="1"/>
  <c r="I1248" i="1"/>
  <c r="H1248" i="1"/>
  <c r="G1248" i="1"/>
  <c r="F1248" i="1"/>
  <c r="E1248" i="1"/>
  <c r="D1248" i="1"/>
  <c r="C1248" i="1"/>
  <c r="B1248" i="1"/>
  <c r="I1247" i="1"/>
  <c r="H1247" i="1"/>
  <c r="G1247" i="1"/>
  <c r="F1247" i="1"/>
  <c r="E1247" i="1"/>
  <c r="D1247" i="1"/>
  <c r="C1247" i="1"/>
  <c r="B1247" i="1"/>
  <c r="I1246" i="1"/>
  <c r="H1246" i="1"/>
  <c r="G1246" i="1"/>
  <c r="F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I1244" i="1"/>
  <c r="H1244" i="1"/>
  <c r="G1244" i="1"/>
  <c r="F1244" i="1"/>
  <c r="E1244" i="1"/>
  <c r="D1244" i="1"/>
  <c r="C1244" i="1"/>
  <c r="B1244" i="1"/>
  <c r="AL1243" i="1"/>
  <c r="I1243" i="1"/>
  <c r="H1243" i="1"/>
  <c r="G1243" i="1"/>
  <c r="F1243" i="1"/>
  <c r="E1243" i="1"/>
  <c r="D1243" i="1"/>
  <c r="C1243" i="1"/>
  <c r="B1243" i="1"/>
  <c r="AL1242" i="1"/>
  <c r="I1242" i="1"/>
  <c r="H1242" i="1"/>
  <c r="G1242" i="1"/>
  <c r="F1242" i="1"/>
  <c r="E1242" i="1"/>
  <c r="D1242" i="1"/>
  <c r="C1242" i="1"/>
  <c r="B1242" i="1"/>
  <c r="I1241" i="1"/>
  <c r="H1241" i="1"/>
  <c r="G1241" i="1"/>
  <c r="F1241" i="1"/>
  <c r="E1241" i="1"/>
  <c r="D1241" i="1"/>
  <c r="C1241" i="1"/>
  <c r="B1241" i="1"/>
  <c r="AL1240" i="1"/>
  <c r="I1240" i="1"/>
  <c r="H1240" i="1"/>
  <c r="G1240" i="1"/>
  <c r="F1240" i="1"/>
  <c r="E1240" i="1"/>
  <c r="D1240" i="1"/>
  <c r="C1240" i="1"/>
  <c r="B1240" i="1"/>
  <c r="AL1239" i="1"/>
  <c r="I1239" i="1"/>
  <c r="H1239" i="1"/>
  <c r="G1239" i="1"/>
  <c r="F1239" i="1"/>
  <c r="E1239" i="1"/>
  <c r="D1239" i="1"/>
  <c r="C1239" i="1"/>
  <c r="B1239" i="1"/>
  <c r="I1238" i="1"/>
  <c r="H1238" i="1"/>
  <c r="G1238" i="1"/>
  <c r="F1238" i="1"/>
  <c r="E1238" i="1"/>
  <c r="D1238" i="1"/>
  <c r="C1238" i="1"/>
  <c r="B1238" i="1"/>
  <c r="AL1237" i="1"/>
  <c r="I1237" i="1"/>
  <c r="H1237" i="1"/>
  <c r="G1237" i="1"/>
  <c r="F1237" i="1"/>
  <c r="E1237" i="1"/>
  <c r="D1237" i="1"/>
  <c r="C1237" i="1"/>
  <c r="B1237" i="1"/>
  <c r="AL1236" i="1"/>
  <c r="I1236" i="1"/>
  <c r="H1236" i="1"/>
  <c r="G1236" i="1"/>
  <c r="F1236" i="1"/>
  <c r="E1236" i="1"/>
  <c r="D1236" i="1"/>
  <c r="C1236" i="1"/>
  <c r="B1236" i="1"/>
  <c r="I1235" i="1"/>
  <c r="H1235" i="1"/>
  <c r="G1235" i="1"/>
  <c r="F1235" i="1"/>
  <c r="E1235" i="1"/>
  <c r="D1235" i="1"/>
  <c r="C1235" i="1"/>
  <c r="B1235" i="1"/>
  <c r="AL1234" i="1"/>
  <c r="I1234" i="1"/>
  <c r="H1234" i="1"/>
  <c r="G1234" i="1"/>
  <c r="F1234" i="1"/>
  <c r="E1234" i="1"/>
  <c r="D1234" i="1"/>
  <c r="C1234" i="1"/>
  <c r="B1234" i="1"/>
  <c r="AL1233" i="1"/>
  <c r="I1233" i="1"/>
  <c r="H1233" i="1"/>
  <c r="G1233" i="1"/>
  <c r="F1233" i="1"/>
  <c r="E1233" i="1"/>
  <c r="D1233" i="1"/>
  <c r="C1233" i="1"/>
  <c r="B1233" i="1"/>
  <c r="I1232" i="1"/>
  <c r="H1232" i="1"/>
  <c r="G1232" i="1"/>
  <c r="F1232" i="1"/>
  <c r="E1232" i="1"/>
  <c r="D1232" i="1"/>
  <c r="C1232" i="1"/>
  <c r="B1232" i="1"/>
  <c r="AL1231" i="1"/>
  <c r="I1231" i="1"/>
  <c r="H1231" i="1"/>
  <c r="G1231" i="1"/>
  <c r="F1231" i="1"/>
  <c r="E1231" i="1"/>
  <c r="D1231" i="1"/>
  <c r="C1231" i="1"/>
  <c r="B1231" i="1"/>
  <c r="I1230" i="1"/>
  <c r="H1230" i="1"/>
  <c r="G1230" i="1"/>
  <c r="F1230" i="1"/>
  <c r="E1230" i="1"/>
  <c r="D1230" i="1"/>
  <c r="C1230" i="1"/>
  <c r="B1230" i="1"/>
  <c r="AL1229" i="1"/>
  <c r="I1229" i="1"/>
  <c r="H1229" i="1"/>
  <c r="G1229" i="1"/>
  <c r="F1229" i="1"/>
  <c r="E1229" i="1"/>
  <c r="D1229" i="1"/>
  <c r="C1229" i="1"/>
  <c r="B1229" i="1"/>
  <c r="I1228" i="1"/>
  <c r="H1228" i="1"/>
  <c r="G1228" i="1"/>
  <c r="F1228" i="1"/>
  <c r="E1228" i="1"/>
  <c r="D1228" i="1"/>
  <c r="C1228" i="1"/>
  <c r="B1228" i="1"/>
  <c r="I1227" i="1"/>
  <c r="H1227" i="1"/>
  <c r="G1227" i="1"/>
  <c r="F1227" i="1"/>
  <c r="E1227" i="1"/>
  <c r="D1227" i="1"/>
  <c r="C1227" i="1"/>
  <c r="B1227" i="1"/>
  <c r="I1226" i="1"/>
  <c r="H1226" i="1"/>
  <c r="G1226" i="1"/>
  <c r="F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I1224" i="1"/>
  <c r="H1224" i="1"/>
  <c r="G1224" i="1"/>
  <c r="F1224" i="1"/>
  <c r="E1224" i="1"/>
  <c r="D1224" i="1"/>
  <c r="C1224" i="1"/>
  <c r="B1224" i="1"/>
  <c r="I1223" i="1"/>
  <c r="H1223" i="1"/>
  <c r="G1223" i="1"/>
  <c r="F1223" i="1"/>
  <c r="E1223" i="1"/>
  <c r="D1223" i="1"/>
  <c r="C1223" i="1"/>
  <c r="B1223" i="1"/>
  <c r="I1222" i="1"/>
  <c r="H1222" i="1"/>
  <c r="G1222" i="1"/>
  <c r="F1222" i="1"/>
  <c r="E1222" i="1"/>
  <c r="D1222" i="1"/>
  <c r="C1222" i="1"/>
  <c r="B1222" i="1"/>
  <c r="I1221" i="1"/>
  <c r="H1221" i="1"/>
  <c r="G1221" i="1"/>
  <c r="F1221" i="1"/>
  <c r="E1221" i="1"/>
  <c r="D1221" i="1"/>
  <c r="C1221" i="1"/>
  <c r="B1221" i="1"/>
  <c r="I1220" i="1"/>
  <c r="H1220" i="1"/>
  <c r="G1220" i="1"/>
  <c r="F1220" i="1"/>
  <c r="E1220" i="1"/>
  <c r="D1220" i="1"/>
  <c r="C1220" i="1"/>
  <c r="B1220" i="1"/>
  <c r="I1219" i="1"/>
  <c r="H1219" i="1"/>
  <c r="G1219" i="1"/>
  <c r="F1219" i="1"/>
  <c r="E1219" i="1"/>
  <c r="D1219" i="1"/>
  <c r="C1219" i="1"/>
  <c r="B1219" i="1"/>
  <c r="I1218" i="1"/>
  <c r="H1218" i="1"/>
  <c r="G1218" i="1"/>
  <c r="F1218" i="1"/>
  <c r="E1218" i="1"/>
  <c r="D1218" i="1"/>
  <c r="C1218" i="1"/>
  <c r="B1218" i="1"/>
  <c r="I1217" i="1"/>
  <c r="H1217" i="1"/>
  <c r="G1217" i="1"/>
  <c r="F1217" i="1"/>
  <c r="E1217" i="1"/>
  <c r="D1217" i="1"/>
  <c r="C1217" i="1"/>
  <c r="B1217" i="1"/>
  <c r="I1216" i="1"/>
  <c r="H1216" i="1"/>
  <c r="G1216" i="1"/>
  <c r="F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I1214" i="1"/>
  <c r="H1214" i="1"/>
  <c r="G1214" i="1"/>
  <c r="F1214" i="1"/>
  <c r="E1214" i="1"/>
  <c r="D1214" i="1"/>
  <c r="C1214" i="1"/>
  <c r="B1214" i="1"/>
  <c r="AL1213" i="1"/>
  <c r="I1213" i="1"/>
  <c r="H1213" i="1"/>
  <c r="G1213" i="1"/>
  <c r="F1213" i="1"/>
  <c r="E1213" i="1"/>
  <c r="D1213" i="1"/>
  <c r="C1213" i="1"/>
  <c r="B1213" i="1"/>
  <c r="AL1212" i="1"/>
  <c r="I1212" i="1"/>
  <c r="H1212" i="1"/>
  <c r="G1212" i="1"/>
  <c r="F1212" i="1"/>
  <c r="E1212" i="1"/>
  <c r="D1212" i="1"/>
  <c r="C1212" i="1"/>
  <c r="B1212" i="1"/>
  <c r="I1211" i="1"/>
  <c r="H1211" i="1"/>
  <c r="G1211" i="1"/>
  <c r="F1211" i="1"/>
  <c r="E1211" i="1"/>
  <c r="D1211" i="1"/>
  <c r="C1211" i="1"/>
  <c r="B1211" i="1"/>
  <c r="I1210" i="1"/>
  <c r="H1210" i="1"/>
  <c r="G1210" i="1"/>
  <c r="F1210" i="1"/>
  <c r="E1210" i="1"/>
  <c r="D1210" i="1"/>
  <c r="C1210" i="1"/>
  <c r="B1210" i="1"/>
  <c r="I1209" i="1"/>
  <c r="H1209" i="1"/>
  <c r="G1209" i="1"/>
  <c r="F1209" i="1"/>
  <c r="E1209" i="1"/>
  <c r="D1209" i="1"/>
  <c r="C1209" i="1"/>
  <c r="B1209" i="1"/>
  <c r="I1208" i="1"/>
  <c r="H1208" i="1"/>
  <c r="G1208" i="1"/>
  <c r="F1208" i="1"/>
  <c r="E1208" i="1"/>
  <c r="D1208" i="1"/>
  <c r="C1208" i="1"/>
  <c r="B1208" i="1"/>
  <c r="AL1207" i="1"/>
  <c r="I1207" i="1"/>
  <c r="H1207" i="1"/>
  <c r="G1207" i="1"/>
  <c r="F1207" i="1"/>
  <c r="E1207" i="1"/>
  <c r="D1207" i="1"/>
  <c r="C1207" i="1"/>
  <c r="B1207" i="1"/>
  <c r="AL1206" i="1"/>
  <c r="I1206" i="1"/>
  <c r="H1206" i="1"/>
  <c r="G1206" i="1"/>
  <c r="F1206" i="1"/>
  <c r="E1206" i="1"/>
  <c r="D1206" i="1"/>
  <c r="C1206" i="1"/>
  <c r="B1206" i="1"/>
  <c r="I1205" i="1"/>
  <c r="H1205" i="1"/>
  <c r="G1205" i="1"/>
  <c r="F1205" i="1"/>
  <c r="E1205" i="1"/>
  <c r="D1205" i="1"/>
  <c r="C1205" i="1"/>
  <c r="B1205" i="1"/>
  <c r="AL1204" i="1"/>
  <c r="I1204" i="1"/>
  <c r="H1204" i="1"/>
  <c r="G1204" i="1"/>
  <c r="F1204" i="1"/>
  <c r="E1204" i="1"/>
  <c r="D1204" i="1"/>
  <c r="C1204" i="1"/>
  <c r="B1204" i="1"/>
  <c r="AL1203" i="1"/>
  <c r="I1203" i="1"/>
  <c r="AL1198" i="1"/>
  <c r="H1203" i="1"/>
  <c r="G1203" i="1"/>
  <c r="F1203" i="1"/>
  <c r="E1203" i="1"/>
  <c r="D1203" i="1"/>
  <c r="C1203" i="1"/>
  <c r="B1203" i="1"/>
  <c r="I1202" i="1"/>
  <c r="H1202" i="1"/>
  <c r="G1202" i="1"/>
  <c r="F1202" i="1"/>
  <c r="E1202" i="1"/>
  <c r="D1202" i="1"/>
  <c r="C1202" i="1"/>
  <c r="B1202" i="1"/>
  <c r="I1201" i="1"/>
  <c r="H1201" i="1"/>
  <c r="G1201" i="1"/>
  <c r="F1201" i="1"/>
  <c r="E1201" i="1"/>
  <c r="D1201" i="1"/>
  <c r="C1201" i="1"/>
  <c r="B1201" i="1"/>
  <c r="I1200" i="1"/>
  <c r="H1200" i="1"/>
  <c r="G1200" i="1"/>
  <c r="F1200" i="1"/>
  <c r="E1200" i="1"/>
  <c r="D1200" i="1"/>
  <c r="C1200" i="1"/>
  <c r="B1200" i="1"/>
  <c r="I1199" i="1"/>
  <c r="H1199" i="1"/>
  <c r="G1199" i="1"/>
  <c r="F1199" i="1"/>
  <c r="E1199" i="1"/>
  <c r="D1199" i="1"/>
  <c r="C1199" i="1"/>
  <c r="B1199" i="1"/>
  <c r="I1198" i="1"/>
  <c r="H1198" i="1"/>
  <c r="G1198" i="1"/>
  <c r="F1198" i="1"/>
  <c r="E1198" i="1"/>
  <c r="D1198" i="1"/>
  <c r="C1198" i="1"/>
  <c r="B1198" i="1"/>
  <c r="I1197" i="1"/>
  <c r="H1197" i="1"/>
  <c r="G1197" i="1"/>
  <c r="F1197" i="1"/>
  <c r="E1197" i="1"/>
  <c r="D1197" i="1"/>
  <c r="C1197" i="1"/>
  <c r="B1197" i="1"/>
  <c r="I1196" i="1"/>
  <c r="H1196" i="1"/>
  <c r="G1196" i="1"/>
  <c r="F1196" i="1"/>
  <c r="E1196" i="1"/>
  <c r="D1196" i="1"/>
  <c r="C1196" i="1"/>
  <c r="B1196" i="1"/>
  <c r="I1195" i="1"/>
  <c r="H1195" i="1"/>
  <c r="G1195" i="1"/>
  <c r="F1195" i="1"/>
  <c r="E1195" i="1"/>
  <c r="D1195" i="1"/>
  <c r="C1195" i="1"/>
  <c r="B1195" i="1"/>
  <c r="I1194" i="1"/>
  <c r="H1194" i="1"/>
  <c r="G1194" i="1"/>
  <c r="F1194" i="1"/>
  <c r="E1194" i="1"/>
  <c r="D1194" i="1"/>
  <c r="C1194" i="1"/>
  <c r="B1194" i="1"/>
  <c r="I1193" i="1"/>
  <c r="H1193" i="1"/>
  <c r="G1193" i="1"/>
  <c r="F1193" i="1"/>
  <c r="E1193" i="1"/>
  <c r="D1193" i="1"/>
  <c r="C1193" i="1"/>
  <c r="B1193" i="1"/>
  <c r="I1192" i="1"/>
  <c r="H1192" i="1"/>
  <c r="G1192" i="1"/>
  <c r="F1192" i="1"/>
  <c r="E1192" i="1"/>
  <c r="D1192" i="1"/>
  <c r="C1192" i="1"/>
  <c r="B1192" i="1"/>
  <c r="I1191" i="1"/>
  <c r="H1191" i="1"/>
  <c r="G1191" i="1"/>
  <c r="F1191" i="1"/>
  <c r="E1191" i="1"/>
  <c r="D1191" i="1"/>
  <c r="C1191" i="1"/>
  <c r="B1191" i="1"/>
  <c r="I1190" i="1"/>
  <c r="H1190" i="1"/>
  <c r="G1190" i="1"/>
  <c r="F1190" i="1"/>
  <c r="E1190" i="1"/>
  <c r="D1190" i="1"/>
  <c r="C1190" i="1"/>
  <c r="B1190" i="1"/>
  <c r="I1189" i="1"/>
  <c r="H1189" i="1"/>
  <c r="G1189" i="1"/>
  <c r="F1189" i="1"/>
  <c r="E1189" i="1"/>
  <c r="D1189" i="1"/>
  <c r="C1189" i="1"/>
  <c r="B1189" i="1"/>
  <c r="AN1188" i="1"/>
  <c r="AN1187" i="1"/>
  <c r="I1186" i="1"/>
  <c r="H1186" i="1"/>
  <c r="G1186" i="1"/>
  <c r="F1186" i="1"/>
  <c r="E1186" i="1"/>
  <c r="D1186" i="1"/>
  <c r="C1186" i="1"/>
  <c r="B1186" i="1"/>
  <c r="I1185" i="1"/>
  <c r="H1185" i="1"/>
  <c r="G1185" i="1"/>
  <c r="F1185" i="1"/>
  <c r="E1185" i="1"/>
  <c r="D1185" i="1"/>
  <c r="C1185" i="1"/>
  <c r="B1185" i="1"/>
  <c r="I1184" i="1"/>
  <c r="H1184" i="1"/>
  <c r="G1184" i="1"/>
  <c r="F1184" i="1"/>
  <c r="E1184" i="1"/>
  <c r="D1184" i="1"/>
  <c r="C1184" i="1"/>
  <c r="B1184" i="1"/>
  <c r="I1183" i="1"/>
  <c r="H1183" i="1"/>
  <c r="G1183" i="1"/>
  <c r="F1183" i="1"/>
  <c r="E1183" i="1"/>
  <c r="D1183" i="1"/>
  <c r="C1183" i="1"/>
  <c r="B1183" i="1"/>
  <c r="AL1182" i="1"/>
  <c r="I1182" i="1"/>
  <c r="H1182" i="1"/>
  <c r="G1182" i="1"/>
  <c r="F1182" i="1"/>
  <c r="E1182" i="1"/>
  <c r="D1182" i="1"/>
  <c r="C1182" i="1"/>
  <c r="B1182" i="1"/>
  <c r="AL1181" i="1"/>
  <c r="I1181" i="1"/>
  <c r="H1181" i="1"/>
  <c r="G1181" i="1"/>
  <c r="F1181" i="1"/>
  <c r="E1181" i="1"/>
  <c r="D1181" i="1"/>
  <c r="C1181" i="1"/>
  <c r="B1181" i="1"/>
  <c r="AL1180" i="1"/>
  <c r="I1180" i="1"/>
  <c r="H1180" i="1"/>
  <c r="G1180" i="1"/>
  <c r="F1180" i="1"/>
  <c r="E1180" i="1"/>
  <c r="D1180" i="1"/>
  <c r="C1180" i="1"/>
  <c r="B1180" i="1"/>
  <c r="AL1179" i="1"/>
  <c r="I1179" i="1"/>
  <c r="H1179" i="1"/>
  <c r="G1179" i="1"/>
  <c r="F1179" i="1"/>
  <c r="E1179" i="1"/>
  <c r="D1179" i="1"/>
  <c r="C1179" i="1"/>
  <c r="B1179" i="1"/>
  <c r="AL1178" i="1"/>
  <c r="I1178" i="1"/>
  <c r="H1178" i="1"/>
  <c r="G1178" i="1"/>
  <c r="F1178" i="1"/>
  <c r="E1178" i="1"/>
  <c r="D1178" i="1"/>
  <c r="C1178" i="1"/>
  <c r="B1178" i="1"/>
  <c r="AL1177" i="1"/>
  <c r="I1177" i="1"/>
  <c r="H1177" i="1"/>
  <c r="G1177" i="1"/>
  <c r="F1177" i="1"/>
  <c r="E1177" i="1"/>
  <c r="D1177" i="1"/>
  <c r="C1177" i="1"/>
  <c r="B1177" i="1"/>
  <c r="AL1176" i="1"/>
  <c r="I1176" i="1"/>
  <c r="H1176" i="1"/>
  <c r="G1176" i="1"/>
  <c r="F1176" i="1"/>
  <c r="E1176" i="1"/>
  <c r="D1176" i="1"/>
  <c r="C1176" i="1"/>
  <c r="B1176" i="1"/>
  <c r="AL1175" i="1"/>
  <c r="I1175" i="1"/>
  <c r="H1175" i="1"/>
  <c r="G1175" i="1"/>
  <c r="F1175" i="1"/>
  <c r="E1175" i="1"/>
  <c r="D1175" i="1"/>
  <c r="C1175" i="1"/>
  <c r="B1175" i="1"/>
  <c r="AL1174" i="1"/>
  <c r="I1174" i="1"/>
  <c r="H1174" i="1"/>
  <c r="G1174" i="1"/>
  <c r="F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AL1172" i="1"/>
  <c r="I1172" i="1"/>
  <c r="H1172" i="1"/>
  <c r="G1172" i="1"/>
  <c r="F1172" i="1"/>
  <c r="E1172" i="1"/>
  <c r="D1172" i="1"/>
  <c r="C1172" i="1"/>
  <c r="B1172" i="1"/>
  <c r="I1171" i="1"/>
  <c r="H1171" i="1"/>
  <c r="G1171" i="1"/>
  <c r="F1171" i="1"/>
  <c r="E1171" i="1"/>
  <c r="D1171" i="1"/>
  <c r="C1171" i="1"/>
  <c r="B1171" i="1"/>
  <c r="AL1170" i="1"/>
  <c r="I1170" i="1"/>
  <c r="H1170" i="1"/>
  <c r="G1170" i="1"/>
  <c r="F1170" i="1"/>
  <c r="E1170" i="1"/>
  <c r="D1170" i="1"/>
  <c r="C1170" i="1"/>
  <c r="B1170" i="1"/>
  <c r="AL1169" i="1"/>
  <c r="I1169" i="1"/>
  <c r="H1169" i="1"/>
  <c r="G1169" i="1"/>
  <c r="F1169" i="1"/>
  <c r="E1169" i="1"/>
  <c r="D1169" i="1"/>
  <c r="C1169" i="1"/>
  <c r="B1169" i="1"/>
  <c r="I1168" i="1"/>
  <c r="H1168" i="1"/>
  <c r="G1168" i="1"/>
  <c r="F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I1166" i="1"/>
  <c r="H1166" i="1"/>
  <c r="G1166" i="1"/>
  <c r="F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I1164" i="1"/>
  <c r="H1164" i="1"/>
  <c r="G1164" i="1"/>
  <c r="F1164" i="1"/>
  <c r="E1164" i="1"/>
  <c r="D1164" i="1"/>
  <c r="C1164" i="1"/>
  <c r="B1164" i="1"/>
  <c r="I1163" i="1"/>
  <c r="H1163" i="1"/>
  <c r="G1163" i="1"/>
  <c r="F1163" i="1"/>
  <c r="E1163" i="1"/>
  <c r="D1163" i="1"/>
  <c r="C1163" i="1"/>
  <c r="B1163" i="1"/>
  <c r="I1162" i="1"/>
  <c r="H1162" i="1"/>
  <c r="G1162" i="1"/>
  <c r="F1162" i="1"/>
  <c r="E1162" i="1"/>
  <c r="D1162" i="1"/>
  <c r="C1162" i="1"/>
  <c r="B1162" i="1"/>
  <c r="I1161" i="1"/>
  <c r="H1161" i="1"/>
  <c r="G1161" i="1"/>
  <c r="F1161" i="1"/>
  <c r="E1161" i="1"/>
  <c r="D1161" i="1"/>
  <c r="C1161" i="1"/>
  <c r="B1161" i="1"/>
  <c r="AL1160" i="1"/>
  <c r="I1160" i="1"/>
  <c r="H1160" i="1"/>
  <c r="G1160" i="1"/>
  <c r="F1160" i="1"/>
  <c r="E1160" i="1"/>
  <c r="D1160" i="1"/>
  <c r="C1160" i="1"/>
  <c r="B1160" i="1"/>
  <c r="AL1159" i="1"/>
  <c r="I1159" i="1"/>
  <c r="H1159" i="1"/>
  <c r="G1159" i="1"/>
  <c r="F1159" i="1"/>
  <c r="E1159" i="1"/>
  <c r="D1159" i="1"/>
  <c r="C1159" i="1"/>
  <c r="B1159" i="1"/>
  <c r="AL1158" i="1"/>
  <c r="I1158" i="1"/>
  <c r="H1158" i="1"/>
  <c r="G1158" i="1"/>
  <c r="F1158" i="1"/>
  <c r="E1158" i="1"/>
  <c r="D1158" i="1"/>
  <c r="C1158" i="1"/>
  <c r="B1158" i="1"/>
  <c r="AL1157" i="1"/>
  <c r="I1157" i="1"/>
  <c r="H1157" i="1"/>
  <c r="G1157" i="1"/>
  <c r="F1157" i="1"/>
  <c r="E1157" i="1"/>
  <c r="D1157" i="1"/>
  <c r="C1157" i="1"/>
  <c r="B1157" i="1"/>
  <c r="AL1156" i="1"/>
  <c r="I1156" i="1"/>
  <c r="H1156" i="1"/>
  <c r="G1156" i="1"/>
  <c r="F1156" i="1"/>
  <c r="E1156" i="1"/>
  <c r="D1156" i="1"/>
  <c r="C1156" i="1"/>
  <c r="B1156" i="1"/>
  <c r="AL1155" i="1"/>
  <c r="I1155" i="1"/>
  <c r="H1155" i="1"/>
  <c r="G1155" i="1"/>
  <c r="F1155" i="1"/>
  <c r="E1155" i="1"/>
  <c r="D1155" i="1"/>
  <c r="C1155" i="1"/>
  <c r="B1155" i="1"/>
  <c r="AL1154" i="1"/>
  <c r="I1154" i="1"/>
  <c r="H1154" i="1"/>
  <c r="G1154" i="1"/>
  <c r="F1154" i="1"/>
  <c r="E1154" i="1"/>
  <c r="D1154" i="1"/>
  <c r="C1154" i="1"/>
  <c r="B1154" i="1"/>
  <c r="AL1153" i="1"/>
  <c r="I1153" i="1"/>
  <c r="H1153" i="1"/>
  <c r="G1153" i="1"/>
  <c r="F1153" i="1"/>
  <c r="E1153" i="1"/>
  <c r="D1153" i="1"/>
  <c r="C1153" i="1"/>
  <c r="B1153" i="1"/>
  <c r="AL1152" i="1"/>
  <c r="I1152" i="1"/>
  <c r="H1152" i="1"/>
  <c r="G1152" i="1"/>
  <c r="F1152" i="1"/>
  <c r="E1152" i="1"/>
  <c r="D1152" i="1"/>
  <c r="C1152" i="1"/>
  <c r="B1152" i="1"/>
  <c r="AL1151" i="1"/>
  <c r="I1151" i="1"/>
  <c r="H1151" i="1"/>
  <c r="G1151" i="1"/>
  <c r="F1151" i="1"/>
  <c r="E1151" i="1"/>
  <c r="D1151" i="1"/>
  <c r="C1151" i="1"/>
  <c r="B1151" i="1"/>
  <c r="AL1150" i="1"/>
  <c r="I1150" i="1"/>
  <c r="H1150" i="1"/>
  <c r="G1150" i="1"/>
  <c r="F1150" i="1"/>
  <c r="E1150" i="1"/>
  <c r="D1150" i="1"/>
  <c r="C1150" i="1"/>
  <c r="B1150" i="1"/>
  <c r="I1149" i="1"/>
  <c r="H1149" i="1"/>
  <c r="G1149" i="1"/>
  <c r="F1149" i="1"/>
  <c r="E1149" i="1"/>
  <c r="D1149" i="1"/>
  <c r="C1149" i="1"/>
  <c r="B1149" i="1"/>
  <c r="AL1148" i="1"/>
  <c r="I1148" i="1"/>
  <c r="H1148" i="1"/>
  <c r="G1148" i="1"/>
  <c r="F1148" i="1"/>
  <c r="E1148" i="1"/>
  <c r="D1148" i="1"/>
  <c r="C1148" i="1"/>
  <c r="B1148" i="1"/>
  <c r="AL1147" i="1"/>
  <c r="I1147" i="1"/>
  <c r="H1147" i="1"/>
  <c r="G1147" i="1"/>
  <c r="F1147" i="1"/>
  <c r="E1147" i="1"/>
  <c r="D1147" i="1"/>
  <c r="C1147" i="1"/>
  <c r="B1147" i="1"/>
  <c r="AL1146" i="1"/>
  <c r="I1146" i="1"/>
  <c r="H1146" i="1"/>
  <c r="G1146" i="1"/>
  <c r="F1146" i="1"/>
  <c r="E1146" i="1"/>
  <c r="D1146" i="1"/>
  <c r="C1146" i="1"/>
  <c r="B1146" i="1"/>
  <c r="AL1145" i="1"/>
  <c r="I1145" i="1"/>
  <c r="H1145" i="1"/>
  <c r="G1145" i="1"/>
  <c r="F1145" i="1"/>
  <c r="E1145" i="1"/>
  <c r="D1145" i="1"/>
  <c r="C1145" i="1"/>
  <c r="B1145" i="1"/>
  <c r="AL1144" i="1"/>
  <c r="I1144" i="1"/>
  <c r="H1144" i="1"/>
  <c r="G1144" i="1"/>
  <c r="F1144" i="1"/>
  <c r="E1144" i="1"/>
  <c r="D1144" i="1"/>
  <c r="C1144" i="1"/>
  <c r="B1144" i="1"/>
  <c r="AL1143" i="1"/>
  <c r="I1143" i="1"/>
  <c r="H1143" i="1"/>
  <c r="G1143" i="1"/>
  <c r="F1143" i="1"/>
  <c r="E1143" i="1"/>
  <c r="D1143" i="1"/>
  <c r="C1143" i="1"/>
  <c r="B1143" i="1"/>
  <c r="AL1142" i="1"/>
  <c r="I1142" i="1"/>
  <c r="H1142" i="1"/>
  <c r="G1142" i="1"/>
  <c r="F1142" i="1"/>
  <c r="E1142" i="1"/>
  <c r="D1142" i="1"/>
  <c r="C1142" i="1"/>
  <c r="B1142" i="1"/>
  <c r="AL1141" i="1"/>
  <c r="I1141" i="1"/>
  <c r="H1141" i="1"/>
  <c r="G1141" i="1"/>
  <c r="F1141" i="1"/>
  <c r="E1141" i="1"/>
  <c r="D1141" i="1"/>
  <c r="C1141" i="1"/>
  <c r="B1141" i="1"/>
  <c r="AL1140" i="1"/>
  <c r="I1140" i="1"/>
  <c r="H1140" i="1"/>
  <c r="G1140" i="1"/>
  <c r="F1140" i="1"/>
  <c r="E1140" i="1"/>
  <c r="D1140" i="1"/>
  <c r="C1140" i="1"/>
  <c r="B1140" i="1"/>
  <c r="AL1139" i="1"/>
  <c r="I1139" i="1"/>
  <c r="H1139" i="1"/>
  <c r="G1139" i="1"/>
  <c r="F1139" i="1"/>
  <c r="E1139" i="1"/>
  <c r="D1139" i="1"/>
  <c r="C1139" i="1"/>
  <c r="B1139" i="1"/>
  <c r="AL1138" i="1"/>
  <c r="I1138" i="1"/>
  <c r="H1138" i="1"/>
  <c r="G1138" i="1"/>
  <c r="F1138" i="1"/>
  <c r="E1138" i="1"/>
  <c r="D1138" i="1"/>
  <c r="C1138" i="1"/>
  <c r="B1138" i="1"/>
  <c r="AL1137" i="1"/>
  <c r="I1137" i="1"/>
  <c r="H1137" i="1"/>
  <c r="G1137" i="1"/>
  <c r="F1137" i="1"/>
  <c r="E1137" i="1"/>
  <c r="D1137" i="1"/>
  <c r="C1137" i="1"/>
  <c r="B1137" i="1"/>
  <c r="AL1136" i="1"/>
  <c r="I1136" i="1"/>
  <c r="H1136" i="1"/>
  <c r="G1136" i="1"/>
  <c r="F1136" i="1"/>
  <c r="E1136" i="1"/>
  <c r="D1136" i="1"/>
  <c r="C1136" i="1"/>
  <c r="B1136" i="1"/>
  <c r="AL1135" i="1"/>
  <c r="I1135" i="1"/>
  <c r="H1135" i="1"/>
  <c r="G1135" i="1"/>
  <c r="F1135" i="1"/>
  <c r="E1135" i="1"/>
  <c r="D1135" i="1"/>
  <c r="C1135" i="1"/>
  <c r="B1135" i="1"/>
  <c r="AL1134" i="1"/>
  <c r="I1134" i="1"/>
  <c r="H1134" i="1"/>
  <c r="G1134" i="1"/>
  <c r="F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I1132" i="1"/>
  <c r="H1132" i="1"/>
  <c r="G1132" i="1"/>
  <c r="F1132" i="1"/>
  <c r="E1132" i="1"/>
  <c r="D1132" i="1"/>
  <c r="C1132" i="1"/>
  <c r="B1132" i="1"/>
  <c r="I1131" i="1"/>
  <c r="H1131" i="1"/>
  <c r="G1131" i="1"/>
  <c r="F1131" i="1"/>
  <c r="E1131" i="1"/>
  <c r="D1131" i="1"/>
  <c r="C1131" i="1"/>
  <c r="B1131" i="1"/>
  <c r="I1130" i="1"/>
  <c r="H1130" i="1"/>
  <c r="G1130" i="1"/>
  <c r="F1130" i="1"/>
  <c r="E1130" i="1"/>
  <c r="D1130" i="1"/>
  <c r="C1130" i="1"/>
  <c r="B1130" i="1"/>
  <c r="I1129" i="1"/>
  <c r="H1129" i="1"/>
  <c r="G1129" i="1"/>
  <c r="F1129" i="1"/>
  <c r="E1129" i="1"/>
  <c r="D1129" i="1"/>
  <c r="C1129" i="1"/>
  <c r="B1129" i="1"/>
  <c r="I1128" i="1"/>
  <c r="H1128" i="1"/>
  <c r="G1128" i="1"/>
  <c r="F1128" i="1"/>
  <c r="E1128" i="1"/>
  <c r="D1128" i="1"/>
  <c r="C1128" i="1"/>
  <c r="B1128" i="1"/>
  <c r="I1127" i="1"/>
  <c r="H1127" i="1"/>
  <c r="G1127" i="1"/>
  <c r="F1127" i="1"/>
  <c r="E1127" i="1"/>
  <c r="D1127" i="1"/>
  <c r="C1127" i="1"/>
  <c r="B1127" i="1"/>
  <c r="I1126" i="1"/>
  <c r="H1126" i="1"/>
  <c r="G1126" i="1"/>
  <c r="F1126" i="1"/>
  <c r="E1126" i="1"/>
  <c r="D1126" i="1"/>
  <c r="C1126" i="1"/>
  <c r="B1126" i="1"/>
  <c r="AL1125" i="1"/>
  <c r="I1125" i="1"/>
  <c r="H1125" i="1"/>
  <c r="G1125" i="1"/>
  <c r="F1125" i="1"/>
  <c r="E1125" i="1"/>
  <c r="D1125" i="1"/>
  <c r="C1125" i="1"/>
  <c r="B1125" i="1"/>
  <c r="AL1124" i="1"/>
  <c r="I1124" i="1"/>
  <c r="H1124" i="1"/>
  <c r="G1124" i="1"/>
  <c r="F1124" i="1"/>
  <c r="E1124" i="1"/>
  <c r="D1124" i="1"/>
  <c r="C1124" i="1"/>
  <c r="B1124" i="1"/>
  <c r="AL1123" i="1"/>
  <c r="I1123" i="1"/>
  <c r="H1123" i="1"/>
  <c r="G1123" i="1"/>
  <c r="F1123" i="1"/>
  <c r="E1123" i="1"/>
  <c r="D1123" i="1"/>
  <c r="C1123" i="1"/>
  <c r="B1123" i="1"/>
  <c r="AL1122" i="1"/>
  <c r="I1122" i="1"/>
  <c r="H1122" i="1"/>
  <c r="G1122" i="1"/>
  <c r="F1122" i="1"/>
  <c r="E1122" i="1"/>
  <c r="D1122" i="1"/>
  <c r="C1122" i="1"/>
  <c r="B1122" i="1"/>
  <c r="AL1121" i="1"/>
  <c r="I1121" i="1"/>
  <c r="H1121" i="1"/>
  <c r="G1121" i="1"/>
  <c r="F1121" i="1"/>
  <c r="E1121" i="1"/>
  <c r="D1121" i="1"/>
  <c r="C1121" i="1"/>
  <c r="B1121" i="1"/>
  <c r="AL1120" i="1"/>
  <c r="I1120" i="1"/>
  <c r="H1120" i="1"/>
  <c r="G1120" i="1"/>
  <c r="F1120" i="1"/>
  <c r="E1120" i="1"/>
  <c r="D1120" i="1"/>
  <c r="C1120" i="1"/>
  <c r="B1120" i="1"/>
  <c r="AL1119" i="1"/>
  <c r="I1119" i="1"/>
  <c r="H1119" i="1"/>
  <c r="G1119" i="1"/>
  <c r="F1119" i="1"/>
  <c r="E1119" i="1"/>
  <c r="D1119" i="1"/>
  <c r="C1119" i="1"/>
  <c r="B1119" i="1"/>
  <c r="AL1118" i="1"/>
  <c r="I1118" i="1"/>
  <c r="H1118" i="1"/>
  <c r="G1118" i="1"/>
  <c r="F1118" i="1"/>
  <c r="E1118" i="1"/>
  <c r="D1118" i="1"/>
  <c r="C1118" i="1"/>
  <c r="B1118" i="1"/>
  <c r="AL1117" i="1"/>
  <c r="I1117" i="1"/>
  <c r="H1117" i="1"/>
  <c r="G1117" i="1"/>
  <c r="F1117" i="1"/>
  <c r="E1117" i="1"/>
  <c r="D1117" i="1"/>
  <c r="C1117" i="1"/>
  <c r="B1117" i="1"/>
  <c r="AL1116" i="1"/>
  <c r="I1116" i="1"/>
  <c r="H1116" i="1"/>
  <c r="G1116" i="1"/>
  <c r="F1116" i="1"/>
  <c r="E1116" i="1"/>
  <c r="D1116" i="1"/>
  <c r="C1116" i="1"/>
  <c r="B1116" i="1"/>
  <c r="AL1115" i="1"/>
  <c r="I1115" i="1"/>
  <c r="H1115" i="1"/>
  <c r="G1115" i="1"/>
  <c r="F1115" i="1"/>
  <c r="E1115" i="1"/>
  <c r="D1115" i="1"/>
  <c r="C1115" i="1"/>
  <c r="B1115" i="1"/>
  <c r="AL1114" i="1"/>
  <c r="I1114" i="1"/>
  <c r="H1114" i="1"/>
  <c r="G1114" i="1"/>
  <c r="F1114" i="1"/>
  <c r="E1114" i="1"/>
  <c r="D1114" i="1"/>
  <c r="C1114" i="1"/>
  <c r="B1114" i="1"/>
  <c r="AL1113" i="1"/>
  <c r="I1113" i="1"/>
  <c r="H1113" i="1"/>
  <c r="G1113" i="1"/>
  <c r="F1113" i="1"/>
  <c r="E1113" i="1"/>
  <c r="D1113" i="1"/>
  <c r="C1113" i="1"/>
  <c r="B1113" i="1"/>
  <c r="AO1112" i="1"/>
  <c r="AN1112" i="1"/>
  <c r="AL1112" i="1"/>
  <c r="D1112" i="1"/>
  <c r="B1112" i="1"/>
  <c r="AL1111" i="1"/>
  <c r="I1111" i="1"/>
  <c r="H1111" i="1"/>
  <c r="G1111" i="1"/>
  <c r="F1111" i="1"/>
  <c r="E1111" i="1"/>
  <c r="D1111" i="1"/>
  <c r="C1111" i="1"/>
  <c r="B1111" i="1"/>
  <c r="AL1110" i="1"/>
  <c r="I1110" i="1"/>
  <c r="H1110" i="1"/>
  <c r="G1110" i="1"/>
  <c r="F1110" i="1"/>
  <c r="E1110" i="1"/>
  <c r="D1110" i="1"/>
  <c r="C1110" i="1"/>
  <c r="B1110" i="1"/>
  <c r="AL1109" i="1"/>
  <c r="I1109" i="1"/>
  <c r="H1109" i="1"/>
  <c r="G1109" i="1"/>
  <c r="F1109" i="1"/>
  <c r="E1109" i="1"/>
  <c r="D1109" i="1"/>
  <c r="C1109" i="1"/>
  <c r="B1109" i="1"/>
  <c r="AL1108" i="1"/>
  <c r="I1108" i="1"/>
  <c r="H1108" i="1"/>
  <c r="G1108" i="1"/>
  <c r="F1108" i="1"/>
  <c r="E1108" i="1"/>
  <c r="D1108" i="1"/>
  <c r="C1108" i="1"/>
  <c r="B1108" i="1"/>
  <c r="AL1107" i="1"/>
  <c r="I1107" i="1"/>
  <c r="H1107" i="1"/>
  <c r="G1107" i="1"/>
  <c r="F1107" i="1"/>
  <c r="E1107" i="1"/>
  <c r="D1107" i="1"/>
  <c r="C1107" i="1"/>
  <c r="B1107" i="1"/>
  <c r="AL1106" i="1"/>
  <c r="I1106" i="1"/>
  <c r="H1106" i="1"/>
  <c r="G1106" i="1"/>
  <c r="F1106" i="1"/>
  <c r="E1106" i="1"/>
  <c r="D1106" i="1"/>
  <c r="C1106" i="1"/>
  <c r="B1106" i="1"/>
  <c r="AL1105" i="1"/>
  <c r="I1105" i="1"/>
  <c r="H1105" i="1"/>
  <c r="G1105" i="1"/>
  <c r="F1105" i="1"/>
  <c r="E1105" i="1"/>
  <c r="D1105" i="1"/>
  <c r="C1105" i="1"/>
  <c r="B1105" i="1"/>
  <c r="AL1104" i="1"/>
  <c r="I1104" i="1"/>
  <c r="H1104" i="1"/>
  <c r="G1104" i="1"/>
  <c r="F1104" i="1"/>
  <c r="E1104" i="1"/>
  <c r="D1104" i="1"/>
  <c r="C1104" i="1"/>
  <c r="B1104" i="1"/>
  <c r="AL1103" i="1"/>
  <c r="I1103" i="1"/>
  <c r="H1103" i="1"/>
  <c r="G1103" i="1"/>
  <c r="F1103" i="1"/>
  <c r="E1103" i="1"/>
  <c r="D1103" i="1"/>
  <c r="C1103" i="1"/>
  <c r="B1103" i="1"/>
  <c r="AL1102" i="1"/>
  <c r="I1102" i="1"/>
  <c r="H1102" i="1"/>
  <c r="G1102" i="1"/>
  <c r="F1102" i="1"/>
  <c r="E1102" i="1"/>
  <c r="D1102" i="1"/>
  <c r="C1102" i="1"/>
  <c r="B1102" i="1"/>
  <c r="AL1101" i="1"/>
  <c r="I1101" i="1"/>
  <c r="H1101" i="1"/>
  <c r="G1101" i="1"/>
  <c r="F1101" i="1"/>
  <c r="E1101" i="1"/>
  <c r="D1101" i="1"/>
  <c r="C1101" i="1"/>
  <c r="B1101" i="1"/>
  <c r="AL1100" i="1"/>
  <c r="I1100" i="1"/>
  <c r="H1100" i="1"/>
  <c r="G1100" i="1"/>
  <c r="F1100" i="1"/>
  <c r="E1100" i="1"/>
  <c r="D1100" i="1"/>
  <c r="C1100" i="1"/>
  <c r="B1100" i="1"/>
  <c r="AL1099" i="1"/>
  <c r="I1099" i="1"/>
  <c r="H1099" i="1"/>
  <c r="G1099" i="1"/>
  <c r="F1099" i="1"/>
  <c r="E1099" i="1"/>
  <c r="D1099" i="1"/>
  <c r="C1099" i="1"/>
  <c r="B1099" i="1"/>
  <c r="I1098" i="1"/>
  <c r="H1098" i="1"/>
  <c r="G1098" i="1"/>
  <c r="F1098" i="1"/>
  <c r="E1098" i="1"/>
  <c r="D1098" i="1"/>
  <c r="C1098" i="1"/>
  <c r="B1098" i="1"/>
  <c r="AL1097" i="1"/>
  <c r="I1097" i="1"/>
  <c r="H1097" i="1"/>
  <c r="G1097" i="1"/>
  <c r="F1097" i="1"/>
  <c r="E1097" i="1"/>
  <c r="D1097" i="1"/>
  <c r="C1097" i="1"/>
  <c r="B1097" i="1"/>
  <c r="AL1096" i="1"/>
  <c r="I1096" i="1"/>
  <c r="H1096" i="1"/>
  <c r="G1096" i="1"/>
  <c r="F1096" i="1"/>
  <c r="E1096" i="1"/>
  <c r="D1096" i="1"/>
  <c r="C1096" i="1"/>
  <c r="B1096" i="1"/>
  <c r="AL1095" i="1"/>
  <c r="I1095" i="1"/>
  <c r="H1095" i="1"/>
  <c r="G1095" i="1"/>
  <c r="F1095" i="1"/>
  <c r="E1095" i="1"/>
  <c r="D1095" i="1"/>
  <c r="C1095" i="1"/>
  <c r="B1095" i="1"/>
  <c r="AL1094" i="1"/>
  <c r="I1094" i="1"/>
  <c r="H1094" i="1"/>
  <c r="G1094" i="1"/>
  <c r="F1094" i="1"/>
  <c r="E1094" i="1"/>
  <c r="D1094" i="1"/>
  <c r="C1094" i="1"/>
  <c r="B1094" i="1"/>
  <c r="AL1093" i="1"/>
  <c r="I1093" i="1"/>
  <c r="H1093" i="1"/>
  <c r="G1093" i="1"/>
  <c r="F1093" i="1"/>
  <c r="E1093" i="1"/>
  <c r="D1093" i="1"/>
  <c r="C1093" i="1"/>
  <c r="B1093" i="1"/>
  <c r="AL1092" i="1"/>
  <c r="I1092" i="1"/>
  <c r="H1092" i="1"/>
  <c r="G1092" i="1"/>
  <c r="F1092" i="1"/>
  <c r="E1092" i="1"/>
  <c r="D1092" i="1"/>
  <c r="C1092" i="1"/>
  <c r="B1092" i="1"/>
  <c r="AL1091" i="1"/>
  <c r="I1091" i="1"/>
  <c r="H1091" i="1"/>
  <c r="G1091" i="1"/>
  <c r="F1091" i="1"/>
  <c r="E1091" i="1"/>
  <c r="D1091" i="1"/>
  <c r="C1091" i="1"/>
  <c r="B1091" i="1"/>
  <c r="AL1090" i="1"/>
  <c r="I1090" i="1"/>
  <c r="H1090" i="1"/>
  <c r="G1090" i="1"/>
  <c r="F1090" i="1"/>
  <c r="E1090" i="1"/>
  <c r="D1090" i="1"/>
  <c r="C1090" i="1"/>
  <c r="B1090" i="1"/>
  <c r="AL1089" i="1"/>
  <c r="I1089" i="1"/>
  <c r="H1089" i="1"/>
  <c r="G1089" i="1"/>
  <c r="F1089" i="1"/>
  <c r="E1089" i="1"/>
  <c r="D1089" i="1"/>
  <c r="C1089" i="1"/>
  <c r="B1089" i="1"/>
  <c r="AL1088" i="1"/>
  <c r="I1088" i="1"/>
  <c r="H1088" i="1"/>
  <c r="G1088" i="1"/>
  <c r="F1088" i="1"/>
  <c r="E1088" i="1"/>
  <c r="D1088" i="1"/>
  <c r="C1088" i="1"/>
  <c r="B1088" i="1"/>
  <c r="AL1087" i="1"/>
  <c r="I1087" i="1"/>
  <c r="H1087" i="1"/>
  <c r="G1087" i="1"/>
  <c r="F1087" i="1"/>
  <c r="E1087" i="1"/>
  <c r="D1087" i="1"/>
  <c r="C1087" i="1"/>
  <c r="B1087" i="1"/>
  <c r="AL1086" i="1"/>
  <c r="I1086" i="1"/>
  <c r="H1086" i="1"/>
  <c r="G1086" i="1"/>
  <c r="F1086" i="1"/>
  <c r="E1086" i="1"/>
  <c r="D1086" i="1"/>
  <c r="C1086" i="1"/>
  <c r="B1086" i="1"/>
  <c r="AL1085" i="1"/>
  <c r="I1085" i="1"/>
  <c r="H1085" i="1"/>
  <c r="G1085" i="1"/>
  <c r="F1085" i="1"/>
  <c r="E1085" i="1"/>
  <c r="D1085" i="1"/>
  <c r="C1085" i="1"/>
  <c r="B1085" i="1"/>
  <c r="AL1084" i="1"/>
  <c r="I1084" i="1"/>
  <c r="H1084" i="1"/>
  <c r="G1084" i="1"/>
  <c r="F1084" i="1"/>
  <c r="E1084" i="1"/>
  <c r="D1084" i="1"/>
  <c r="C1084" i="1"/>
  <c r="B1084" i="1"/>
  <c r="AL1083" i="1"/>
  <c r="I1083" i="1"/>
  <c r="H1083" i="1"/>
  <c r="G1083" i="1"/>
  <c r="F1083" i="1"/>
  <c r="E1083" i="1"/>
  <c r="D1083" i="1"/>
  <c r="C1083" i="1"/>
  <c r="B1083" i="1"/>
  <c r="AL1082" i="1"/>
  <c r="I1082" i="1"/>
  <c r="H1082" i="1"/>
  <c r="G1082" i="1"/>
  <c r="F1082" i="1"/>
  <c r="E1082" i="1"/>
  <c r="D1082" i="1"/>
  <c r="C1082" i="1"/>
  <c r="B1082" i="1"/>
  <c r="AL1081" i="1"/>
  <c r="I1081" i="1"/>
  <c r="H1081" i="1"/>
  <c r="G1081" i="1"/>
  <c r="F1081" i="1"/>
  <c r="E1081" i="1"/>
  <c r="D1081" i="1"/>
  <c r="C1081" i="1"/>
  <c r="B1081" i="1"/>
  <c r="AL1080" i="1"/>
  <c r="I1080" i="1"/>
  <c r="H1080" i="1"/>
  <c r="G1080" i="1"/>
  <c r="F1080" i="1"/>
  <c r="E1080" i="1"/>
  <c r="D1080" i="1"/>
  <c r="C1080" i="1"/>
  <c r="B1080" i="1"/>
  <c r="AL1079" i="1"/>
  <c r="I1079" i="1"/>
  <c r="H1079" i="1"/>
  <c r="G1079" i="1"/>
  <c r="F1079" i="1"/>
  <c r="E1079" i="1"/>
  <c r="D1079" i="1"/>
  <c r="C1079" i="1"/>
  <c r="B1079" i="1"/>
  <c r="AL1078" i="1"/>
  <c r="I1078" i="1"/>
  <c r="H1078" i="1"/>
  <c r="G1078" i="1"/>
  <c r="F1078" i="1"/>
  <c r="E1078" i="1"/>
  <c r="D1078" i="1"/>
  <c r="C1078" i="1"/>
  <c r="B1078" i="1"/>
  <c r="AL1077" i="1"/>
  <c r="I1077" i="1"/>
  <c r="H1077" i="1"/>
  <c r="G1077" i="1"/>
  <c r="F1077" i="1"/>
  <c r="E1077" i="1"/>
  <c r="D1077" i="1"/>
  <c r="C1077" i="1"/>
  <c r="B1077" i="1"/>
  <c r="AL1076" i="1"/>
  <c r="I1076" i="1"/>
  <c r="H1076" i="1"/>
  <c r="G1076" i="1"/>
  <c r="F1076" i="1"/>
  <c r="E1076" i="1"/>
  <c r="D1076" i="1"/>
  <c r="C1076" i="1"/>
  <c r="B1076" i="1"/>
  <c r="I1075" i="1"/>
  <c r="H1075" i="1"/>
  <c r="G1075" i="1"/>
  <c r="F1075" i="1"/>
  <c r="E1075" i="1"/>
  <c r="D1075" i="1"/>
  <c r="C1075" i="1"/>
  <c r="B1075" i="1"/>
  <c r="I1074" i="1"/>
  <c r="H1074" i="1"/>
  <c r="G1074" i="1"/>
  <c r="F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I1072" i="1"/>
  <c r="H1072" i="1"/>
  <c r="G1072" i="1"/>
  <c r="F1072" i="1"/>
  <c r="E1072" i="1"/>
  <c r="D1072" i="1"/>
  <c r="C1072" i="1"/>
  <c r="B1072" i="1"/>
  <c r="AL1071" i="1"/>
  <c r="I1071" i="1"/>
  <c r="H1071" i="1"/>
  <c r="G1071" i="1"/>
  <c r="F1071" i="1"/>
  <c r="E1071" i="1"/>
  <c r="D1071" i="1"/>
  <c r="C1071" i="1"/>
  <c r="B1071" i="1"/>
  <c r="AL1070" i="1"/>
  <c r="I1070" i="1"/>
  <c r="H1070" i="1"/>
  <c r="G1070" i="1"/>
  <c r="F1070" i="1"/>
  <c r="E1070" i="1"/>
  <c r="D1070" i="1"/>
  <c r="C1070" i="1"/>
  <c r="B1070" i="1"/>
  <c r="I1069" i="1"/>
  <c r="H1069" i="1"/>
  <c r="G1069" i="1"/>
  <c r="F1069" i="1"/>
  <c r="E1069" i="1"/>
  <c r="D1069" i="1"/>
  <c r="C1069" i="1"/>
  <c r="B1069" i="1"/>
  <c r="I1068" i="1"/>
  <c r="H1068" i="1"/>
  <c r="G1068" i="1"/>
  <c r="F1068" i="1"/>
  <c r="E1068" i="1"/>
  <c r="D1068" i="1"/>
  <c r="C1068" i="1"/>
  <c r="B1068" i="1"/>
  <c r="AL1067" i="1"/>
  <c r="I1067" i="1"/>
  <c r="H1067" i="1"/>
  <c r="G1067" i="1"/>
  <c r="F1067" i="1"/>
  <c r="E1067" i="1"/>
  <c r="D1067" i="1"/>
  <c r="C1067" i="1"/>
  <c r="B1067" i="1"/>
  <c r="AL1066" i="1"/>
  <c r="I1066" i="1"/>
  <c r="H1066" i="1"/>
  <c r="G1066" i="1"/>
  <c r="F1066" i="1"/>
  <c r="E1066" i="1"/>
  <c r="D1066" i="1"/>
  <c r="C1066" i="1"/>
  <c r="B1066" i="1"/>
  <c r="AL1065" i="1"/>
  <c r="I1065" i="1"/>
  <c r="H1065" i="1"/>
  <c r="G1065" i="1"/>
  <c r="F1065" i="1"/>
  <c r="E1065" i="1"/>
  <c r="D1065" i="1"/>
  <c r="C1065" i="1"/>
  <c r="B1065" i="1"/>
  <c r="AL1064" i="1"/>
  <c r="I1064" i="1"/>
  <c r="H1064" i="1"/>
  <c r="G1064" i="1"/>
  <c r="F1064" i="1"/>
  <c r="E1064" i="1"/>
  <c r="D1064" i="1"/>
  <c r="C1064" i="1"/>
  <c r="B1064" i="1"/>
  <c r="AL1063" i="1"/>
  <c r="I1063" i="1"/>
  <c r="H1063" i="1"/>
  <c r="G1063" i="1"/>
  <c r="F1063" i="1"/>
  <c r="E1063" i="1"/>
  <c r="D1063" i="1"/>
  <c r="C1063" i="1"/>
  <c r="B1063" i="1"/>
  <c r="AL1062" i="1"/>
  <c r="I1062" i="1"/>
  <c r="H1062" i="1"/>
  <c r="G1062" i="1"/>
  <c r="F1062" i="1"/>
  <c r="E1062" i="1"/>
  <c r="D1062" i="1"/>
  <c r="C1062" i="1"/>
  <c r="B1062" i="1"/>
  <c r="AL1061" i="1"/>
  <c r="I1061" i="1"/>
  <c r="H1061" i="1"/>
  <c r="G1061" i="1"/>
  <c r="F1061" i="1"/>
  <c r="E1061" i="1"/>
  <c r="D1061" i="1"/>
  <c r="C1061" i="1"/>
  <c r="B1061" i="1"/>
  <c r="AL1060" i="1"/>
  <c r="I1060" i="1"/>
  <c r="H1060" i="1"/>
  <c r="G1060" i="1"/>
  <c r="F1060" i="1"/>
  <c r="E1060" i="1"/>
  <c r="D1060" i="1"/>
  <c r="C1060" i="1"/>
  <c r="B1060" i="1"/>
  <c r="I1059" i="1"/>
  <c r="H1059" i="1"/>
  <c r="G1059" i="1"/>
  <c r="F1059" i="1"/>
  <c r="E1059" i="1"/>
  <c r="D1059" i="1"/>
  <c r="C1059" i="1"/>
  <c r="B1059" i="1"/>
  <c r="I1058" i="1"/>
  <c r="H1058" i="1"/>
  <c r="G1058" i="1"/>
  <c r="F1058" i="1"/>
  <c r="E1058" i="1"/>
  <c r="D1058" i="1"/>
  <c r="C1058" i="1"/>
  <c r="B1058" i="1"/>
  <c r="I1057" i="1"/>
  <c r="H1057" i="1"/>
  <c r="G1057" i="1"/>
  <c r="F1057" i="1"/>
  <c r="E1057" i="1"/>
  <c r="D1057" i="1"/>
  <c r="C1057" i="1"/>
  <c r="B1057" i="1"/>
  <c r="I1056" i="1"/>
  <c r="H1056" i="1"/>
  <c r="G1056" i="1"/>
  <c r="F1056" i="1"/>
  <c r="E1056" i="1"/>
  <c r="D1056" i="1"/>
  <c r="C1056" i="1"/>
  <c r="B1056" i="1"/>
  <c r="I1055" i="1"/>
  <c r="H1055" i="1"/>
  <c r="G1055" i="1"/>
  <c r="F1055" i="1"/>
  <c r="E1055" i="1"/>
  <c r="D1055" i="1"/>
  <c r="C1055" i="1"/>
  <c r="B1055" i="1"/>
  <c r="I1054" i="1"/>
  <c r="H1054" i="1"/>
  <c r="G1054" i="1"/>
  <c r="F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I1052" i="1"/>
  <c r="H1052" i="1"/>
  <c r="G1052" i="1"/>
  <c r="F1052" i="1"/>
  <c r="E1052" i="1"/>
  <c r="D1052" i="1"/>
  <c r="C1052" i="1"/>
  <c r="B1052" i="1"/>
  <c r="AL1051" i="1"/>
  <c r="I1051" i="1"/>
  <c r="H1051" i="1"/>
  <c r="G1051" i="1"/>
  <c r="F1051" i="1"/>
  <c r="E1051" i="1"/>
  <c r="D1051" i="1"/>
  <c r="C1051" i="1"/>
  <c r="B1051" i="1"/>
  <c r="AL1050" i="1"/>
  <c r="I1050" i="1"/>
  <c r="H1050" i="1"/>
  <c r="G1050" i="1"/>
  <c r="F1050" i="1"/>
  <c r="E1050" i="1"/>
  <c r="D1050" i="1"/>
  <c r="C1050" i="1"/>
  <c r="B1050" i="1"/>
  <c r="AL1049" i="1"/>
  <c r="I1049" i="1"/>
  <c r="H1049" i="1"/>
  <c r="G1049" i="1"/>
  <c r="F1049" i="1"/>
  <c r="E1049" i="1"/>
  <c r="D1049" i="1"/>
  <c r="C1049" i="1"/>
  <c r="B1049" i="1"/>
  <c r="AL1048" i="1"/>
  <c r="I1048" i="1"/>
  <c r="H1048" i="1"/>
  <c r="G1048" i="1"/>
  <c r="F1048" i="1"/>
  <c r="E1048" i="1"/>
  <c r="D1048" i="1"/>
  <c r="C1048" i="1"/>
  <c r="B1048" i="1"/>
  <c r="AL1047" i="1"/>
  <c r="I1047" i="1"/>
  <c r="H1047" i="1"/>
  <c r="G1047" i="1"/>
  <c r="F1047" i="1"/>
  <c r="E1047" i="1"/>
  <c r="D1047" i="1"/>
  <c r="C1047" i="1"/>
  <c r="B1047" i="1"/>
  <c r="AL1046" i="1"/>
  <c r="I1046" i="1"/>
  <c r="H1046" i="1"/>
  <c r="G1046" i="1"/>
  <c r="F1046" i="1"/>
  <c r="E1046" i="1"/>
  <c r="D1046" i="1"/>
  <c r="C1046" i="1"/>
  <c r="B1046" i="1"/>
  <c r="AL1045" i="1"/>
  <c r="I1045" i="1"/>
  <c r="H1045" i="1"/>
  <c r="G1045" i="1"/>
  <c r="F1045" i="1"/>
  <c r="E1045" i="1"/>
  <c r="D1045" i="1"/>
  <c r="C1045" i="1"/>
  <c r="B1045" i="1"/>
  <c r="AL1044" i="1"/>
  <c r="I1044" i="1"/>
  <c r="H1044" i="1"/>
  <c r="G1044" i="1"/>
  <c r="F1044" i="1"/>
  <c r="E1044" i="1"/>
  <c r="D1044" i="1"/>
  <c r="C1044" i="1"/>
  <c r="B1044" i="1"/>
  <c r="AL1043" i="1"/>
  <c r="I1043" i="1"/>
  <c r="H1043" i="1"/>
  <c r="G1043" i="1"/>
  <c r="F1043" i="1"/>
  <c r="E1043" i="1"/>
  <c r="D1043" i="1"/>
  <c r="C1043" i="1"/>
  <c r="B1043" i="1"/>
  <c r="AL1042" i="1"/>
  <c r="I1042" i="1"/>
  <c r="H1042" i="1"/>
  <c r="G1042" i="1"/>
  <c r="F1042" i="1"/>
  <c r="E1042" i="1"/>
  <c r="D1042" i="1"/>
  <c r="C1042" i="1"/>
  <c r="B1042" i="1"/>
  <c r="AL1041" i="1"/>
  <c r="I1041" i="1"/>
  <c r="H1041" i="1"/>
  <c r="G1041" i="1"/>
  <c r="F1041" i="1"/>
  <c r="E1041" i="1"/>
  <c r="D1041" i="1"/>
  <c r="C1041" i="1"/>
  <c r="B1041" i="1"/>
  <c r="AL1040" i="1"/>
  <c r="I1040" i="1"/>
  <c r="H1040" i="1"/>
  <c r="G1040" i="1"/>
  <c r="F1040" i="1"/>
  <c r="E1040" i="1"/>
  <c r="D1040" i="1"/>
  <c r="C1040" i="1"/>
  <c r="B1040" i="1"/>
  <c r="AL1039" i="1"/>
  <c r="I1039" i="1"/>
  <c r="H1039" i="1"/>
  <c r="G1039" i="1"/>
  <c r="F1039" i="1"/>
  <c r="E1039" i="1"/>
  <c r="D1039" i="1"/>
  <c r="C1039" i="1"/>
  <c r="B1039" i="1"/>
  <c r="AL1038" i="1"/>
  <c r="I1038" i="1"/>
  <c r="H1038" i="1"/>
  <c r="G1038" i="1"/>
  <c r="F1038" i="1"/>
  <c r="E1038" i="1"/>
  <c r="D1038" i="1"/>
  <c r="C1038" i="1"/>
  <c r="B1038" i="1"/>
  <c r="AL1037" i="1"/>
  <c r="I1037" i="1"/>
  <c r="H1037" i="1"/>
  <c r="G1037" i="1"/>
  <c r="F1037" i="1"/>
  <c r="E1037" i="1"/>
  <c r="D1037" i="1"/>
  <c r="C1037" i="1"/>
  <c r="B1037" i="1"/>
  <c r="AL1036" i="1"/>
  <c r="I1036" i="1"/>
  <c r="H1036" i="1"/>
  <c r="G1036" i="1"/>
  <c r="F1036" i="1"/>
  <c r="E1036" i="1"/>
  <c r="D1036" i="1"/>
  <c r="C1036" i="1"/>
  <c r="B1036" i="1"/>
  <c r="AL1035" i="1"/>
  <c r="I1035" i="1"/>
  <c r="H1035" i="1"/>
  <c r="G1035" i="1"/>
  <c r="F1035" i="1"/>
  <c r="E1035" i="1"/>
  <c r="D1035" i="1"/>
  <c r="C1035" i="1"/>
  <c r="B1035" i="1"/>
  <c r="AL1034" i="1"/>
  <c r="I1034" i="1"/>
  <c r="H1034" i="1"/>
  <c r="G1034" i="1"/>
  <c r="F1034" i="1"/>
  <c r="E1034" i="1"/>
  <c r="D1034" i="1"/>
  <c r="C1034" i="1"/>
  <c r="B1034" i="1"/>
  <c r="AL1033" i="1"/>
  <c r="I1033" i="1"/>
  <c r="H1033" i="1"/>
  <c r="G1033" i="1"/>
  <c r="F1033" i="1"/>
  <c r="E1033" i="1"/>
  <c r="D1033" i="1"/>
  <c r="C1033" i="1"/>
  <c r="B1033" i="1"/>
  <c r="AL1032" i="1"/>
  <c r="I1032" i="1"/>
  <c r="H1032" i="1"/>
  <c r="G1032" i="1"/>
  <c r="F1032" i="1"/>
  <c r="E1032" i="1"/>
  <c r="D1032" i="1"/>
  <c r="C1032" i="1"/>
  <c r="B1032" i="1"/>
  <c r="AL1031" i="1"/>
  <c r="I1031" i="1"/>
  <c r="H1031" i="1"/>
  <c r="G1031" i="1"/>
  <c r="F1031" i="1"/>
  <c r="E1031" i="1"/>
  <c r="D1031" i="1"/>
  <c r="C1031" i="1"/>
  <c r="B1031" i="1"/>
  <c r="AL1030" i="1"/>
  <c r="I1030" i="1"/>
  <c r="H1030" i="1"/>
  <c r="G1030" i="1"/>
  <c r="F1030" i="1"/>
  <c r="E1030" i="1"/>
  <c r="D1030" i="1"/>
  <c r="C1030" i="1"/>
  <c r="B1030" i="1"/>
  <c r="AL1029" i="1"/>
  <c r="I1029" i="1"/>
  <c r="H1029" i="1"/>
  <c r="G1029" i="1"/>
  <c r="F1029" i="1"/>
  <c r="E1029" i="1"/>
  <c r="D1029" i="1"/>
  <c r="C1029" i="1"/>
  <c r="B1029" i="1"/>
  <c r="AL1028" i="1"/>
  <c r="I1028" i="1"/>
  <c r="H1028" i="1"/>
  <c r="G1028" i="1"/>
  <c r="F1028" i="1"/>
  <c r="E1028" i="1"/>
  <c r="D1028" i="1"/>
  <c r="C1028" i="1"/>
  <c r="B1028" i="1"/>
  <c r="I1027" i="1"/>
  <c r="H1027" i="1"/>
  <c r="G1027" i="1"/>
  <c r="F1027" i="1"/>
  <c r="E1027" i="1"/>
  <c r="D1027" i="1"/>
  <c r="C1027" i="1"/>
  <c r="B1027" i="1"/>
  <c r="I1026" i="1"/>
  <c r="H1026" i="1"/>
  <c r="G1026" i="1"/>
  <c r="F1026" i="1"/>
  <c r="E1026" i="1"/>
  <c r="D1026" i="1"/>
  <c r="C1026" i="1"/>
  <c r="B1026" i="1"/>
  <c r="AL1025" i="1"/>
  <c r="I1025" i="1"/>
  <c r="H1025" i="1"/>
  <c r="G1025" i="1"/>
  <c r="F1025" i="1"/>
  <c r="E1025" i="1"/>
  <c r="D1025" i="1"/>
  <c r="C1025" i="1"/>
  <c r="B1025" i="1"/>
  <c r="AL1024" i="1"/>
  <c r="I1024" i="1"/>
  <c r="H1024" i="1"/>
  <c r="G1024" i="1"/>
  <c r="F1024" i="1"/>
  <c r="E1024" i="1"/>
  <c r="D1024" i="1"/>
  <c r="C1024" i="1"/>
  <c r="B1024" i="1"/>
  <c r="AL1023" i="1"/>
  <c r="I1023" i="1"/>
  <c r="H1023" i="1"/>
  <c r="G1023" i="1"/>
  <c r="F1023" i="1"/>
  <c r="E1023" i="1"/>
  <c r="D1023" i="1"/>
  <c r="C1023" i="1"/>
  <c r="B1023" i="1"/>
  <c r="AL1022" i="1"/>
  <c r="I1022" i="1"/>
  <c r="H1022" i="1"/>
  <c r="G1022" i="1"/>
  <c r="F1022" i="1"/>
  <c r="E1022" i="1"/>
  <c r="D1022" i="1"/>
  <c r="C1022" i="1"/>
  <c r="B1022" i="1"/>
  <c r="AL1021" i="1"/>
  <c r="I1021" i="1"/>
  <c r="H1021" i="1"/>
  <c r="G1021" i="1"/>
  <c r="F1021" i="1"/>
  <c r="E1021" i="1"/>
  <c r="D1021" i="1"/>
  <c r="C1021" i="1"/>
  <c r="B1021" i="1"/>
  <c r="AL1020" i="1"/>
  <c r="I1020" i="1"/>
  <c r="H1020" i="1"/>
  <c r="G1020" i="1"/>
  <c r="F1020" i="1"/>
  <c r="E1020" i="1"/>
  <c r="D1020" i="1"/>
  <c r="C1020" i="1"/>
  <c r="B1020" i="1"/>
  <c r="I1019" i="1"/>
  <c r="H1019" i="1"/>
  <c r="G1019" i="1"/>
  <c r="F1019" i="1"/>
  <c r="E1019" i="1"/>
  <c r="D1019" i="1"/>
  <c r="C1019" i="1"/>
  <c r="B1019" i="1"/>
  <c r="I1018" i="1"/>
  <c r="H1018" i="1"/>
  <c r="G1018" i="1"/>
  <c r="F1018" i="1"/>
  <c r="E1018" i="1"/>
  <c r="D1018" i="1"/>
  <c r="C1018" i="1"/>
  <c r="B1018" i="1"/>
  <c r="AL1017" i="1"/>
  <c r="I1017" i="1"/>
  <c r="H1017" i="1"/>
  <c r="G1017" i="1"/>
  <c r="F1017" i="1"/>
  <c r="E1017" i="1"/>
  <c r="D1017" i="1"/>
  <c r="C1017" i="1"/>
  <c r="B1017" i="1"/>
  <c r="AL1016" i="1"/>
  <c r="I1016" i="1"/>
  <c r="H1016" i="1"/>
  <c r="G1016" i="1"/>
  <c r="F1016" i="1"/>
  <c r="E1016" i="1"/>
  <c r="D1016" i="1"/>
  <c r="C1016" i="1"/>
  <c r="B1016" i="1"/>
  <c r="AL1015" i="1"/>
  <c r="I1015" i="1"/>
  <c r="H1015" i="1"/>
  <c r="G1015" i="1"/>
  <c r="F1015" i="1"/>
  <c r="E1015" i="1"/>
  <c r="D1015" i="1"/>
  <c r="C1015" i="1"/>
  <c r="B1015" i="1"/>
  <c r="I1014" i="1"/>
  <c r="H1014" i="1"/>
  <c r="G1014" i="1"/>
  <c r="F1014" i="1"/>
  <c r="E1014" i="1"/>
  <c r="D1014" i="1"/>
  <c r="C1014" i="1"/>
  <c r="B1014" i="1"/>
  <c r="AL1013" i="1"/>
  <c r="I1013" i="1"/>
  <c r="H1013" i="1"/>
  <c r="G1013" i="1"/>
  <c r="F1013" i="1"/>
  <c r="E1013" i="1"/>
  <c r="D1013" i="1"/>
  <c r="C1013" i="1"/>
  <c r="B1013" i="1"/>
  <c r="AL1012" i="1"/>
  <c r="I1012" i="1"/>
  <c r="H1012" i="1"/>
  <c r="G1012" i="1"/>
  <c r="F1012" i="1"/>
  <c r="E1012" i="1"/>
  <c r="D1012" i="1"/>
  <c r="C1012" i="1"/>
  <c r="B1012" i="1"/>
  <c r="I1011" i="1"/>
  <c r="H1011" i="1"/>
  <c r="G1011" i="1"/>
  <c r="F1011" i="1"/>
  <c r="E1011" i="1"/>
  <c r="D1011" i="1"/>
  <c r="C1011" i="1"/>
  <c r="B1011" i="1"/>
  <c r="I1010" i="1"/>
  <c r="H1010" i="1"/>
  <c r="G1010" i="1"/>
  <c r="F1010" i="1"/>
  <c r="E1010" i="1"/>
  <c r="D1010" i="1"/>
  <c r="C1010" i="1"/>
  <c r="B1010" i="1"/>
  <c r="AL1009" i="1"/>
  <c r="I1009" i="1"/>
  <c r="H1009" i="1"/>
  <c r="G1009" i="1"/>
  <c r="F1009" i="1"/>
  <c r="E1009" i="1"/>
  <c r="D1009" i="1"/>
  <c r="C1009" i="1"/>
  <c r="B1009" i="1"/>
  <c r="AL1008" i="1"/>
  <c r="I1008" i="1"/>
  <c r="H1008" i="1"/>
  <c r="G1008" i="1"/>
  <c r="F1008" i="1"/>
  <c r="E1008" i="1"/>
  <c r="D1008" i="1"/>
  <c r="C1008" i="1"/>
  <c r="B1008" i="1"/>
  <c r="AL1007" i="1"/>
  <c r="I1007" i="1"/>
  <c r="H1007" i="1"/>
  <c r="G1007" i="1"/>
  <c r="F1007" i="1"/>
  <c r="E1007" i="1"/>
  <c r="D1007" i="1"/>
  <c r="C1007" i="1"/>
  <c r="B1007" i="1"/>
  <c r="AL1006" i="1"/>
  <c r="I1006" i="1"/>
  <c r="H1006" i="1"/>
  <c r="G1006" i="1"/>
  <c r="F1006" i="1"/>
  <c r="E1006" i="1"/>
  <c r="D1006" i="1"/>
  <c r="C1006" i="1"/>
  <c r="B1006" i="1"/>
  <c r="AL1005" i="1"/>
  <c r="I1005" i="1"/>
  <c r="H1005" i="1"/>
  <c r="G1005" i="1"/>
  <c r="F1005" i="1"/>
  <c r="E1005" i="1"/>
  <c r="D1005" i="1"/>
  <c r="C1005" i="1"/>
  <c r="B1005" i="1"/>
  <c r="AL1004" i="1"/>
  <c r="I1004" i="1"/>
  <c r="H1004" i="1"/>
  <c r="G1004" i="1"/>
  <c r="F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I1002" i="1"/>
  <c r="H1002" i="1"/>
  <c r="G1002" i="1"/>
  <c r="F1002" i="1"/>
  <c r="E1002" i="1"/>
  <c r="D1002" i="1"/>
  <c r="C1002" i="1"/>
  <c r="B1002" i="1"/>
  <c r="I1001" i="1"/>
  <c r="H1001" i="1"/>
  <c r="G1001" i="1"/>
  <c r="F1001" i="1"/>
  <c r="E1001" i="1"/>
  <c r="D1001" i="1"/>
  <c r="C1001" i="1"/>
  <c r="B1001" i="1"/>
  <c r="I1000" i="1"/>
  <c r="H1000" i="1"/>
  <c r="G1000" i="1"/>
  <c r="F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I998" i="1"/>
  <c r="H998" i="1"/>
  <c r="G998" i="1"/>
  <c r="F998" i="1"/>
  <c r="E998" i="1"/>
  <c r="D998" i="1"/>
  <c r="C998" i="1"/>
  <c r="B998" i="1"/>
  <c r="I997" i="1"/>
  <c r="H997" i="1"/>
  <c r="G997" i="1"/>
  <c r="F997" i="1"/>
  <c r="E997" i="1"/>
  <c r="D997" i="1"/>
  <c r="C997" i="1"/>
  <c r="B997" i="1"/>
  <c r="I996" i="1"/>
  <c r="H996" i="1"/>
  <c r="G996" i="1"/>
  <c r="F996" i="1"/>
  <c r="E996" i="1"/>
  <c r="D996" i="1"/>
  <c r="C996" i="1"/>
  <c r="B996" i="1"/>
  <c r="AL995" i="1"/>
  <c r="I995" i="1"/>
  <c r="H995" i="1"/>
  <c r="G995" i="1"/>
  <c r="F995" i="1"/>
  <c r="E995" i="1"/>
  <c r="D995" i="1"/>
  <c r="C995" i="1"/>
  <c r="B995" i="1"/>
  <c r="AL994" i="1"/>
  <c r="I994" i="1"/>
  <c r="H994" i="1"/>
  <c r="G994" i="1"/>
  <c r="F994" i="1"/>
  <c r="E994" i="1"/>
  <c r="D994" i="1"/>
  <c r="C994" i="1"/>
  <c r="B994" i="1"/>
  <c r="AL993" i="1"/>
  <c r="I993" i="1"/>
  <c r="H993" i="1"/>
  <c r="G993" i="1"/>
  <c r="F993" i="1"/>
  <c r="E993" i="1"/>
  <c r="D993" i="1"/>
  <c r="C993" i="1"/>
  <c r="B993" i="1"/>
  <c r="AL992" i="1"/>
  <c r="I992" i="1"/>
  <c r="H992" i="1"/>
  <c r="G992" i="1"/>
  <c r="F992" i="1"/>
  <c r="E992" i="1"/>
  <c r="D992" i="1"/>
  <c r="C992" i="1"/>
  <c r="B992" i="1"/>
  <c r="AL991" i="1"/>
  <c r="I991" i="1"/>
  <c r="H991" i="1"/>
  <c r="G991" i="1"/>
  <c r="F991" i="1"/>
  <c r="E991" i="1"/>
  <c r="D991" i="1"/>
  <c r="C991" i="1"/>
  <c r="B991" i="1"/>
  <c r="AL990" i="1"/>
  <c r="I990" i="1"/>
  <c r="H990" i="1"/>
  <c r="G990" i="1"/>
  <c r="F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I988" i="1"/>
  <c r="H988" i="1"/>
  <c r="G988" i="1"/>
  <c r="F988" i="1"/>
  <c r="E988" i="1"/>
  <c r="D988" i="1"/>
  <c r="C988" i="1"/>
  <c r="B988" i="1"/>
  <c r="I987" i="1"/>
  <c r="H987" i="1"/>
  <c r="G987" i="1"/>
  <c r="F987" i="1"/>
  <c r="E987" i="1"/>
  <c r="D987" i="1"/>
  <c r="C987" i="1"/>
  <c r="B987" i="1"/>
  <c r="I986" i="1"/>
  <c r="H986" i="1"/>
  <c r="G986" i="1"/>
  <c r="F986" i="1"/>
  <c r="E986" i="1"/>
  <c r="D986" i="1"/>
  <c r="C986" i="1"/>
  <c r="B986" i="1"/>
  <c r="I985" i="1"/>
  <c r="H985" i="1"/>
  <c r="G985" i="1"/>
  <c r="F985" i="1"/>
  <c r="E985" i="1"/>
  <c r="D985" i="1"/>
  <c r="C985" i="1"/>
  <c r="B985" i="1"/>
  <c r="I984" i="1"/>
  <c r="H984" i="1"/>
  <c r="G984" i="1"/>
  <c r="F984" i="1"/>
  <c r="E984" i="1"/>
  <c r="D984" i="1"/>
  <c r="C984" i="1"/>
  <c r="B984" i="1"/>
  <c r="AL983" i="1"/>
  <c r="I983" i="1"/>
  <c r="H983" i="1"/>
  <c r="G983" i="1"/>
  <c r="F983" i="1"/>
  <c r="E983" i="1"/>
  <c r="D983" i="1"/>
  <c r="C983" i="1"/>
  <c r="B983" i="1"/>
  <c r="AL982" i="1"/>
  <c r="I982" i="1"/>
  <c r="H982" i="1"/>
  <c r="G982" i="1"/>
  <c r="F982" i="1"/>
  <c r="E982" i="1"/>
  <c r="D982" i="1"/>
  <c r="C982" i="1"/>
  <c r="B982" i="1"/>
  <c r="AL981" i="1"/>
  <c r="I981" i="1"/>
  <c r="H981" i="1"/>
  <c r="G981" i="1"/>
  <c r="F981" i="1"/>
  <c r="E981" i="1"/>
  <c r="D981" i="1"/>
  <c r="C981" i="1"/>
  <c r="B981" i="1"/>
  <c r="AL980" i="1"/>
  <c r="I980" i="1"/>
  <c r="H980" i="1"/>
  <c r="G980" i="1"/>
  <c r="F980" i="1"/>
  <c r="E980" i="1"/>
  <c r="D980" i="1"/>
  <c r="C980" i="1"/>
  <c r="B980" i="1"/>
  <c r="AL979" i="1"/>
  <c r="I979" i="1"/>
  <c r="H979" i="1"/>
  <c r="G979" i="1"/>
  <c r="F979" i="1"/>
  <c r="E979" i="1"/>
  <c r="D979" i="1"/>
  <c r="C979" i="1"/>
  <c r="B979" i="1"/>
  <c r="AL978" i="1"/>
  <c r="I978" i="1"/>
  <c r="H978" i="1"/>
  <c r="G978" i="1"/>
  <c r="F978" i="1"/>
  <c r="E978" i="1"/>
  <c r="D978" i="1"/>
  <c r="C978" i="1"/>
  <c r="B978" i="1"/>
  <c r="AL977" i="1"/>
  <c r="I977" i="1"/>
  <c r="H977" i="1"/>
  <c r="G977" i="1"/>
  <c r="F977" i="1"/>
  <c r="E977" i="1"/>
  <c r="D977" i="1"/>
  <c r="C977" i="1"/>
  <c r="B977" i="1"/>
  <c r="AL976" i="1"/>
  <c r="I976" i="1"/>
  <c r="H976" i="1"/>
  <c r="G976" i="1"/>
  <c r="F976" i="1"/>
  <c r="E976" i="1"/>
  <c r="D976" i="1"/>
  <c r="C976" i="1"/>
  <c r="B976" i="1"/>
  <c r="AL975" i="1"/>
  <c r="I975" i="1"/>
  <c r="H975" i="1"/>
  <c r="G975" i="1"/>
  <c r="F975" i="1"/>
  <c r="E975" i="1"/>
  <c r="D975" i="1"/>
  <c r="C975" i="1"/>
  <c r="B975" i="1"/>
  <c r="AL974" i="1"/>
  <c r="I974" i="1"/>
  <c r="H974" i="1"/>
  <c r="G974" i="1"/>
  <c r="F974" i="1"/>
  <c r="E974" i="1"/>
  <c r="D974" i="1"/>
  <c r="C974" i="1"/>
  <c r="B974" i="1"/>
  <c r="AL973" i="1"/>
  <c r="I973" i="1"/>
  <c r="H973" i="1"/>
  <c r="G973" i="1"/>
  <c r="F973" i="1"/>
  <c r="E973" i="1"/>
  <c r="D973" i="1"/>
  <c r="C973" i="1"/>
  <c r="B973" i="1"/>
  <c r="AL972" i="1"/>
  <c r="I972" i="1"/>
  <c r="H972" i="1"/>
  <c r="G972" i="1"/>
  <c r="F972" i="1"/>
  <c r="E972" i="1"/>
  <c r="D972" i="1"/>
  <c r="C972" i="1"/>
  <c r="B972" i="1"/>
  <c r="AL971" i="1"/>
  <c r="I971" i="1"/>
  <c r="H971" i="1"/>
  <c r="G971" i="1"/>
  <c r="F971" i="1"/>
  <c r="E971" i="1"/>
  <c r="D971" i="1"/>
  <c r="C971" i="1"/>
  <c r="B971" i="1"/>
  <c r="AL970" i="1"/>
  <c r="I970" i="1"/>
  <c r="H970" i="1"/>
  <c r="G970" i="1"/>
  <c r="F970" i="1"/>
  <c r="E970" i="1"/>
  <c r="D970" i="1"/>
  <c r="C970" i="1"/>
  <c r="B970" i="1"/>
  <c r="AL969" i="1"/>
  <c r="I969" i="1"/>
  <c r="H969" i="1"/>
  <c r="G969" i="1"/>
  <c r="F969" i="1"/>
  <c r="E969" i="1"/>
  <c r="D969" i="1"/>
  <c r="C969" i="1"/>
  <c r="B969" i="1"/>
  <c r="AL968" i="1"/>
  <c r="I968" i="1"/>
  <c r="H968" i="1"/>
  <c r="G968" i="1"/>
  <c r="F968" i="1"/>
  <c r="E968" i="1"/>
  <c r="D968" i="1"/>
  <c r="C968" i="1"/>
  <c r="B968" i="1"/>
  <c r="AL967" i="1"/>
  <c r="I967" i="1"/>
  <c r="H967" i="1"/>
  <c r="G967" i="1"/>
  <c r="F967" i="1"/>
  <c r="E967" i="1"/>
  <c r="D967" i="1"/>
  <c r="C967" i="1"/>
  <c r="B967" i="1"/>
  <c r="AL966" i="1"/>
  <c r="I966" i="1"/>
  <c r="H966" i="1"/>
  <c r="G966" i="1"/>
  <c r="F966" i="1"/>
  <c r="E966" i="1"/>
  <c r="D966" i="1"/>
  <c r="C966" i="1"/>
  <c r="B966" i="1"/>
  <c r="I965" i="1"/>
  <c r="H965" i="1"/>
  <c r="G965" i="1"/>
  <c r="F965" i="1"/>
  <c r="E965" i="1"/>
  <c r="D965" i="1"/>
  <c r="C965" i="1"/>
  <c r="B965" i="1"/>
  <c r="I964" i="1"/>
  <c r="H964" i="1"/>
  <c r="G964" i="1"/>
  <c r="F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I962" i="1"/>
  <c r="H962" i="1"/>
  <c r="G962" i="1"/>
  <c r="F962" i="1"/>
  <c r="E962" i="1"/>
  <c r="D962" i="1"/>
  <c r="C962" i="1"/>
  <c r="B962" i="1"/>
  <c r="I961" i="1"/>
  <c r="H961" i="1"/>
  <c r="G961" i="1"/>
  <c r="F961" i="1"/>
  <c r="E961" i="1"/>
  <c r="D961" i="1"/>
  <c r="C961" i="1"/>
  <c r="B961" i="1"/>
  <c r="I960" i="1"/>
  <c r="H960" i="1"/>
  <c r="G960" i="1"/>
  <c r="F960" i="1"/>
  <c r="E960" i="1"/>
  <c r="D960" i="1"/>
  <c r="C960" i="1"/>
  <c r="B960" i="1"/>
  <c r="I959" i="1"/>
  <c r="H959" i="1"/>
  <c r="G959" i="1"/>
  <c r="F959" i="1"/>
  <c r="E959" i="1"/>
  <c r="D959" i="1"/>
  <c r="C959" i="1"/>
  <c r="B959" i="1"/>
  <c r="I958" i="1"/>
  <c r="H958" i="1"/>
  <c r="G958" i="1"/>
  <c r="F958" i="1"/>
  <c r="E958" i="1"/>
  <c r="D958" i="1"/>
  <c r="C958" i="1"/>
  <c r="B958" i="1"/>
  <c r="I957" i="1"/>
  <c r="H957" i="1"/>
  <c r="G957" i="1"/>
  <c r="F957" i="1"/>
  <c r="E957" i="1"/>
  <c r="D957" i="1"/>
  <c r="C957" i="1"/>
  <c r="B957" i="1"/>
  <c r="I956" i="1"/>
  <c r="H956" i="1"/>
  <c r="G956" i="1"/>
  <c r="F956" i="1"/>
  <c r="E956" i="1"/>
  <c r="D956" i="1"/>
  <c r="C956" i="1"/>
  <c r="B956" i="1"/>
  <c r="I955" i="1"/>
  <c r="H955" i="1"/>
  <c r="G955" i="1"/>
  <c r="F955" i="1"/>
  <c r="E955" i="1"/>
  <c r="D955" i="1"/>
  <c r="C955" i="1"/>
  <c r="B955" i="1"/>
  <c r="I954" i="1"/>
  <c r="H954" i="1"/>
  <c r="G954" i="1"/>
  <c r="F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I952" i="1"/>
  <c r="H952" i="1"/>
  <c r="G952" i="1"/>
  <c r="F952" i="1"/>
  <c r="E952" i="1"/>
  <c r="D952" i="1"/>
  <c r="C952" i="1"/>
  <c r="B952" i="1"/>
  <c r="I951" i="1"/>
  <c r="H951" i="1"/>
  <c r="G951" i="1"/>
  <c r="F951" i="1"/>
  <c r="E951" i="1"/>
  <c r="D951" i="1"/>
  <c r="C951" i="1"/>
  <c r="B951" i="1"/>
  <c r="I950" i="1"/>
  <c r="H950" i="1"/>
  <c r="G950" i="1"/>
  <c r="F950" i="1"/>
  <c r="E950" i="1"/>
  <c r="D950" i="1"/>
  <c r="C950" i="1"/>
  <c r="B950" i="1"/>
  <c r="I949" i="1"/>
  <c r="H949" i="1"/>
  <c r="G949" i="1"/>
  <c r="F949" i="1"/>
  <c r="E949" i="1"/>
  <c r="D949" i="1"/>
  <c r="C949" i="1"/>
  <c r="B949" i="1"/>
  <c r="AL948" i="1"/>
  <c r="I948" i="1"/>
  <c r="H948" i="1"/>
  <c r="G948" i="1"/>
  <c r="F948" i="1"/>
  <c r="E948" i="1"/>
  <c r="D948" i="1"/>
  <c r="C948" i="1"/>
  <c r="B948" i="1"/>
  <c r="AL947" i="1"/>
  <c r="I947" i="1"/>
  <c r="H947" i="1"/>
  <c r="G947" i="1"/>
  <c r="F947" i="1"/>
  <c r="E947" i="1"/>
  <c r="D947" i="1"/>
  <c r="C947" i="1"/>
  <c r="B947" i="1"/>
  <c r="AL946" i="1"/>
  <c r="I946" i="1"/>
  <c r="H946" i="1"/>
  <c r="G946" i="1"/>
  <c r="F946" i="1"/>
  <c r="E946" i="1"/>
  <c r="D946" i="1"/>
  <c r="C946" i="1"/>
  <c r="B946" i="1"/>
  <c r="AL945" i="1"/>
  <c r="I945" i="1"/>
  <c r="H945" i="1"/>
  <c r="G945" i="1"/>
  <c r="F945" i="1"/>
  <c r="E945" i="1"/>
  <c r="D945" i="1"/>
  <c r="C945" i="1"/>
  <c r="B945" i="1"/>
  <c r="AL944" i="1"/>
  <c r="I944" i="1"/>
  <c r="H944" i="1"/>
  <c r="G944" i="1"/>
  <c r="F944" i="1"/>
  <c r="E944" i="1"/>
  <c r="D944" i="1"/>
  <c r="C944" i="1"/>
  <c r="B944" i="1"/>
  <c r="AL943" i="1"/>
  <c r="I943" i="1"/>
  <c r="H943" i="1"/>
  <c r="G943" i="1"/>
  <c r="F943" i="1"/>
  <c r="E943" i="1"/>
  <c r="D943" i="1"/>
  <c r="C943" i="1"/>
  <c r="B943" i="1"/>
  <c r="AL942" i="1"/>
  <c r="I942" i="1"/>
  <c r="H942" i="1"/>
  <c r="G942" i="1"/>
  <c r="F942" i="1"/>
  <c r="E942" i="1"/>
  <c r="D942" i="1"/>
  <c r="C942" i="1"/>
  <c r="B942" i="1"/>
  <c r="AL941" i="1"/>
  <c r="I941" i="1"/>
  <c r="H941" i="1"/>
  <c r="G941" i="1"/>
  <c r="F941" i="1"/>
  <c r="E941" i="1"/>
  <c r="D941" i="1"/>
  <c r="C941" i="1"/>
  <c r="B941" i="1"/>
  <c r="AL940" i="1"/>
  <c r="I940" i="1"/>
  <c r="H940" i="1"/>
  <c r="G940" i="1"/>
  <c r="F940" i="1"/>
  <c r="E940" i="1"/>
  <c r="D940" i="1"/>
  <c r="C940" i="1"/>
  <c r="B940" i="1"/>
  <c r="AL939" i="1"/>
  <c r="I939" i="1"/>
  <c r="H939" i="1"/>
  <c r="G939" i="1"/>
  <c r="F939" i="1"/>
  <c r="E939" i="1"/>
  <c r="D939" i="1"/>
  <c r="C939" i="1"/>
  <c r="B939" i="1"/>
  <c r="AL938" i="1"/>
  <c r="I938" i="1"/>
  <c r="H938" i="1"/>
  <c r="G938" i="1"/>
  <c r="F938" i="1"/>
  <c r="E938" i="1"/>
  <c r="D938" i="1"/>
  <c r="C938" i="1"/>
  <c r="B938" i="1"/>
  <c r="AL937" i="1"/>
  <c r="I937" i="1"/>
  <c r="H937" i="1"/>
  <c r="G937" i="1"/>
  <c r="F937" i="1"/>
  <c r="E937" i="1"/>
  <c r="D937" i="1"/>
  <c r="C937" i="1"/>
  <c r="B937" i="1"/>
  <c r="AL936" i="1"/>
  <c r="I936" i="1"/>
  <c r="H936" i="1"/>
  <c r="G936" i="1"/>
  <c r="F936" i="1"/>
  <c r="E936" i="1"/>
  <c r="D936" i="1"/>
  <c r="C936" i="1"/>
  <c r="B936" i="1"/>
  <c r="AL935" i="1"/>
  <c r="I935" i="1"/>
  <c r="H935" i="1"/>
  <c r="G935" i="1"/>
  <c r="F935" i="1"/>
  <c r="E935" i="1"/>
  <c r="D935" i="1"/>
  <c r="C935" i="1"/>
  <c r="B935" i="1"/>
  <c r="AL934" i="1"/>
  <c r="I934" i="1"/>
  <c r="H934" i="1"/>
  <c r="G934" i="1"/>
  <c r="F934" i="1"/>
  <c r="E934" i="1"/>
  <c r="D934" i="1"/>
  <c r="C934" i="1"/>
  <c r="B934" i="1"/>
  <c r="AL933" i="1"/>
  <c r="I933" i="1"/>
  <c r="H933" i="1"/>
  <c r="G933" i="1"/>
  <c r="F933" i="1"/>
  <c r="E933" i="1"/>
  <c r="D933" i="1"/>
  <c r="C933" i="1"/>
  <c r="B933" i="1"/>
  <c r="AL932" i="1"/>
  <c r="I932" i="1"/>
  <c r="H932" i="1"/>
  <c r="G932" i="1"/>
  <c r="F932" i="1"/>
  <c r="E932" i="1"/>
  <c r="D932" i="1"/>
  <c r="C932" i="1"/>
  <c r="B932" i="1"/>
  <c r="AL931" i="1"/>
  <c r="I931" i="1"/>
  <c r="H931" i="1"/>
  <c r="G931" i="1"/>
  <c r="F931" i="1"/>
  <c r="E931" i="1"/>
  <c r="D931" i="1"/>
  <c r="C931" i="1"/>
  <c r="B931" i="1"/>
  <c r="I930" i="1"/>
  <c r="H930" i="1"/>
  <c r="G930" i="1"/>
  <c r="F930" i="1"/>
  <c r="E930" i="1"/>
  <c r="D930" i="1"/>
  <c r="C930" i="1"/>
  <c r="B930" i="1"/>
  <c r="I929" i="1"/>
  <c r="H929" i="1"/>
  <c r="G929" i="1"/>
  <c r="F929" i="1"/>
  <c r="E929" i="1"/>
  <c r="D929" i="1"/>
  <c r="C929" i="1"/>
  <c r="B929" i="1"/>
  <c r="I928" i="1"/>
  <c r="H928" i="1"/>
  <c r="G928" i="1"/>
  <c r="F928" i="1"/>
  <c r="E928" i="1"/>
  <c r="D928" i="1"/>
  <c r="C928" i="1"/>
  <c r="B928" i="1"/>
  <c r="I927" i="1"/>
  <c r="H927" i="1"/>
  <c r="G927" i="1"/>
  <c r="F927" i="1"/>
  <c r="E927" i="1"/>
  <c r="D927" i="1"/>
  <c r="C927" i="1"/>
  <c r="B927" i="1"/>
  <c r="I926" i="1"/>
  <c r="H926" i="1"/>
  <c r="G926" i="1"/>
  <c r="F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I924" i="1"/>
  <c r="H924" i="1"/>
  <c r="G924" i="1"/>
  <c r="F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I922" i="1"/>
  <c r="H922" i="1"/>
  <c r="G922" i="1"/>
  <c r="F922" i="1"/>
  <c r="E922" i="1"/>
  <c r="D922" i="1"/>
  <c r="C922" i="1"/>
  <c r="B922" i="1"/>
  <c r="I921" i="1"/>
  <c r="H921" i="1"/>
  <c r="G921" i="1"/>
  <c r="F921" i="1"/>
  <c r="E921" i="1"/>
  <c r="D921" i="1"/>
  <c r="C921" i="1"/>
  <c r="B921" i="1"/>
  <c r="I920" i="1"/>
  <c r="H920" i="1"/>
  <c r="G920" i="1"/>
  <c r="F920" i="1"/>
  <c r="E920" i="1"/>
  <c r="D920" i="1"/>
  <c r="C920" i="1"/>
  <c r="B920" i="1"/>
  <c r="I919" i="1"/>
  <c r="H919" i="1"/>
  <c r="G919" i="1"/>
  <c r="F919" i="1"/>
  <c r="E919" i="1"/>
  <c r="D919" i="1"/>
  <c r="C919" i="1"/>
  <c r="B919" i="1"/>
  <c r="I918" i="1"/>
  <c r="H918" i="1"/>
  <c r="G918" i="1"/>
  <c r="F918" i="1"/>
  <c r="E918" i="1"/>
  <c r="D918" i="1"/>
  <c r="C918" i="1"/>
  <c r="B918" i="1"/>
  <c r="I917" i="1"/>
  <c r="H917" i="1"/>
  <c r="G917" i="1"/>
  <c r="F917" i="1"/>
  <c r="E917" i="1"/>
  <c r="D917" i="1"/>
  <c r="C917" i="1"/>
  <c r="B917" i="1"/>
  <c r="I916" i="1"/>
  <c r="H916" i="1"/>
  <c r="G916" i="1"/>
  <c r="F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I914" i="1"/>
  <c r="H914" i="1"/>
  <c r="G914" i="1"/>
  <c r="F914" i="1"/>
  <c r="E914" i="1"/>
  <c r="D914" i="1"/>
  <c r="C914" i="1"/>
  <c r="B914" i="1"/>
  <c r="I913" i="1"/>
  <c r="H913" i="1"/>
  <c r="G913" i="1"/>
  <c r="F913" i="1"/>
  <c r="E913" i="1"/>
  <c r="D913" i="1"/>
  <c r="C913" i="1"/>
  <c r="B913" i="1"/>
  <c r="AL912" i="1"/>
  <c r="I912" i="1"/>
  <c r="H912" i="1"/>
  <c r="G912" i="1"/>
  <c r="F912" i="1"/>
  <c r="E912" i="1"/>
  <c r="D912" i="1"/>
  <c r="C912" i="1"/>
  <c r="B912" i="1"/>
  <c r="I911" i="1"/>
  <c r="H911" i="1"/>
  <c r="G911" i="1"/>
  <c r="F911" i="1"/>
  <c r="E911" i="1"/>
  <c r="D911" i="1"/>
  <c r="C911" i="1"/>
  <c r="B911" i="1"/>
  <c r="I910" i="1"/>
  <c r="H910" i="1"/>
  <c r="G910" i="1"/>
  <c r="F910" i="1"/>
  <c r="E910" i="1"/>
  <c r="D910" i="1"/>
  <c r="C910" i="1"/>
  <c r="B910" i="1"/>
  <c r="I909" i="1"/>
  <c r="H909" i="1"/>
  <c r="G909" i="1"/>
  <c r="F909" i="1"/>
  <c r="E909" i="1"/>
  <c r="D909" i="1"/>
  <c r="C909" i="1"/>
  <c r="B909" i="1"/>
  <c r="I908" i="1"/>
  <c r="H908" i="1"/>
  <c r="G908" i="1"/>
  <c r="F908" i="1"/>
  <c r="E908" i="1"/>
  <c r="D908" i="1"/>
  <c r="C908" i="1"/>
  <c r="B908" i="1"/>
  <c r="I907" i="1"/>
  <c r="H907" i="1"/>
  <c r="G907" i="1"/>
  <c r="F907" i="1"/>
  <c r="E907" i="1"/>
  <c r="D907" i="1"/>
  <c r="C907" i="1"/>
  <c r="B907" i="1"/>
  <c r="I906" i="1"/>
  <c r="H906" i="1"/>
  <c r="G906" i="1"/>
  <c r="F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I904" i="1"/>
  <c r="H904" i="1"/>
  <c r="G904" i="1"/>
  <c r="F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I902" i="1"/>
  <c r="H902" i="1"/>
  <c r="G902" i="1"/>
  <c r="F902" i="1"/>
  <c r="E902" i="1"/>
  <c r="D902" i="1"/>
  <c r="C902" i="1"/>
  <c r="B902" i="1"/>
  <c r="I901" i="1"/>
  <c r="H901" i="1"/>
  <c r="G901" i="1"/>
  <c r="F901" i="1"/>
  <c r="E901" i="1"/>
  <c r="D901" i="1"/>
  <c r="C901" i="1"/>
  <c r="B901" i="1"/>
  <c r="I900" i="1"/>
  <c r="H900" i="1"/>
  <c r="G900" i="1"/>
  <c r="F900" i="1"/>
  <c r="E900" i="1"/>
  <c r="D900" i="1"/>
  <c r="C900" i="1"/>
  <c r="B900" i="1"/>
  <c r="I899" i="1"/>
  <c r="H899" i="1"/>
  <c r="G899" i="1"/>
  <c r="F899" i="1"/>
  <c r="E899" i="1"/>
  <c r="D899" i="1"/>
  <c r="C899" i="1"/>
  <c r="B899" i="1"/>
  <c r="I898" i="1"/>
  <c r="H898" i="1"/>
  <c r="G898" i="1"/>
  <c r="F898" i="1"/>
  <c r="E898" i="1"/>
  <c r="D898" i="1"/>
  <c r="C898" i="1"/>
  <c r="B898" i="1"/>
  <c r="I897" i="1"/>
  <c r="H897" i="1"/>
  <c r="G897" i="1"/>
  <c r="F897" i="1"/>
  <c r="E897" i="1"/>
  <c r="D897" i="1"/>
  <c r="C897" i="1"/>
  <c r="B897" i="1"/>
  <c r="I896" i="1"/>
  <c r="H896" i="1"/>
  <c r="G896" i="1"/>
  <c r="F896" i="1"/>
  <c r="E896" i="1"/>
  <c r="D896" i="1"/>
  <c r="C896" i="1"/>
  <c r="B896" i="1"/>
  <c r="I895" i="1"/>
  <c r="H895" i="1"/>
  <c r="G895" i="1"/>
  <c r="F895" i="1"/>
  <c r="E895" i="1"/>
  <c r="D895" i="1"/>
  <c r="C895" i="1"/>
  <c r="B895" i="1"/>
  <c r="I894" i="1"/>
  <c r="H894" i="1"/>
  <c r="G894" i="1"/>
  <c r="F894" i="1"/>
  <c r="E894" i="1"/>
  <c r="D894" i="1"/>
  <c r="C894" i="1"/>
  <c r="B894" i="1"/>
  <c r="I893" i="1"/>
  <c r="H893" i="1"/>
  <c r="G893" i="1"/>
  <c r="F893" i="1"/>
  <c r="E893" i="1"/>
  <c r="D893" i="1"/>
  <c r="C893" i="1"/>
  <c r="B893" i="1"/>
  <c r="I892" i="1"/>
  <c r="H892" i="1"/>
  <c r="G892" i="1"/>
  <c r="F892" i="1"/>
  <c r="E892" i="1"/>
  <c r="D892" i="1"/>
  <c r="C892" i="1"/>
  <c r="B892" i="1"/>
  <c r="I891" i="1"/>
  <c r="H891" i="1"/>
  <c r="G891" i="1"/>
  <c r="F891" i="1"/>
  <c r="E891" i="1"/>
  <c r="D891" i="1"/>
  <c r="C891" i="1"/>
  <c r="B891" i="1"/>
  <c r="I890" i="1"/>
  <c r="H890" i="1"/>
  <c r="G890" i="1"/>
  <c r="F890" i="1"/>
  <c r="E890" i="1"/>
  <c r="D890" i="1"/>
  <c r="C890" i="1"/>
  <c r="B890" i="1"/>
  <c r="I889" i="1"/>
  <c r="H889" i="1"/>
  <c r="G889" i="1"/>
  <c r="F889" i="1"/>
  <c r="E889" i="1"/>
  <c r="D889" i="1"/>
  <c r="C889" i="1"/>
  <c r="B889" i="1"/>
  <c r="I888" i="1"/>
  <c r="H888" i="1"/>
  <c r="G888" i="1"/>
  <c r="F888" i="1"/>
  <c r="E888" i="1"/>
  <c r="D888" i="1"/>
  <c r="C888" i="1"/>
  <c r="B888" i="1"/>
  <c r="I887" i="1"/>
  <c r="H887" i="1"/>
  <c r="G887" i="1"/>
  <c r="F887" i="1"/>
  <c r="E887" i="1"/>
  <c r="D887" i="1"/>
  <c r="C887" i="1"/>
  <c r="B887" i="1"/>
  <c r="I886" i="1"/>
  <c r="H886" i="1"/>
  <c r="G886" i="1"/>
  <c r="F886" i="1"/>
  <c r="E886" i="1"/>
  <c r="D886" i="1"/>
  <c r="C886" i="1"/>
  <c r="B886" i="1"/>
  <c r="AL885" i="1"/>
  <c r="I885" i="1"/>
  <c r="H885" i="1"/>
  <c r="G885" i="1"/>
  <c r="F885" i="1"/>
  <c r="E885" i="1"/>
  <c r="D885" i="1"/>
  <c r="C885" i="1"/>
  <c r="B885" i="1"/>
  <c r="AL884" i="1"/>
  <c r="I884" i="1"/>
  <c r="H884" i="1"/>
  <c r="G884" i="1"/>
  <c r="F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AL882" i="1"/>
  <c r="I882" i="1"/>
  <c r="H882" i="1"/>
  <c r="G882" i="1"/>
  <c r="F882" i="1"/>
  <c r="E882" i="1"/>
  <c r="D882" i="1"/>
  <c r="C882" i="1"/>
  <c r="B882" i="1"/>
  <c r="AL881" i="1"/>
  <c r="I881" i="1"/>
  <c r="H881" i="1"/>
  <c r="G881" i="1"/>
  <c r="F881" i="1"/>
  <c r="E881" i="1"/>
  <c r="D881" i="1"/>
  <c r="C881" i="1"/>
  <c r="B881" i="1"/>
  <c r="AL880" i="1"/>
  <c r="I880" i="1"/>
  <c r="H880" i="1"/>
  <c r="G880" i="1"/>
  <c r="F880" i="1"/>
  <c r="E880" i="1"/>
  <c r="D880" i="1"/>
  <c r="C880" i="1"/>
  <c r="B880" i="1"/>
  <c r="I879" i="1"/>
  <c r="H879" i="1"/>
  <c r="G879" i="1"/>
  <c r="F879" i="1"/>
  <c r="E879" i="1"/>
  <c r="D879" i="1"/>
  <c r="C879" i="1"/>
  <c r="B879" i="1"/>
  <c r="I878" i="1"/>
  <c r="H878" i="1"/>
  <c r="G878" i="1"/>
  <c r="F878" i="1"/>
  <c r="E878" i="1"/>
  <c r="D878" i="1"/>
  <c r="C878" i="1"/>
  <c r="B878" i="1"/>
  <c r="I877" i="1"/>
  <c r="H877" i="1"/>
  <c r="G877" i="1"/>
  <c r="F877" i="1"/>
  <c r="E877" i="1"/>
  <c r="D877" i="1"/>
  <c r="C877" i="1"/>
  <c r="B877" i="1"/>
  <c r="I876" i="1"/>
  <c r="H876" i="1"/>
  <c r="G876" i="1"/>
  <c r="F876" i="1"/>
  <c r="E876" i="1"/>
  <c r="D876" i="1"/>
  <c r="C876" i="1"/>
  <c r="B876" i="1"/>
  <c r="I875" i="1"/>
  <c r="H875" i="1"/>
  <c r="G875" i="1"/>
  <c r="F875" i="1"/>
  <c r="E875" i="1"/>
  <c r="D875" i="1"/>
  <c r="C875" i="1"/>
  <c r="B875" i="1"/>
  <c r="AL874" i="1"/>
  <c r="I874" i="1"/>
  <c r="H874" i="1"/>
  <c r="G874" i="1"/>
  <c r="F874" i="1"/>
  <c r="E874" i="1"/>
  <c r="D874" i="1"/>
  <c r="C874" i="1"/>
  <c r="B874" i="1"/>
  <c r="AL873" i="1"/>
  <c r="I873" i="1"/>
  <c r="H873" i="1"/>
  <c r="G873" i="1"/>
  <c r="F873" i="1"/>
  <c r="E873" i="1"/>
  <c r="D873" i="1"/>
  <c r="C873" i="1"/>
  <c r="B873" i="1"/>
  <c r="AL872" i="1"/>
  <c r="I872" i="1"/>
  <c r="H872" i="1"/>
  <c r="G872" i="1"/>
  <c r="F872" i="1"/>
  <c r="E872" i="1"/>
  <c r="D872" i="1"/>
  <c r="C872" i="1"/>
  <c r="B872" i="1"/>
  <c r="AL871" i="1"/>
  <c r="I871" i="1"/>
  <c r="H871" i="1"/>
  <c r="G871" i="1"/>
  <c r="F871" i="1"/>
  <c r="E871" i="1"/>
  <c r="D871" i="1"/>
  <c r="C871" i="1"/>
  <c r="B871" i="1"/>
  <c r="I870" i="1"/>
  <c r="H870" i="1"/>
  <c r="G870" i="1"/>
  <c r="F870" i="1"/>
  <c r="E870" i="1"/>
  <c r="D870" i="1"/>
  <c r="C870" i="1"/>
  <c r="B870" i="1"/>
  <c r="I869" i="1"/>
  <c r="H869" i="1"/>
  <c r="G869" i="1"/>
  <c r="F869" i="1"/>
  <c r="E869" i="1"/>
  <c r="D869" i="1"/>
  <c r="C869" i="1"/>
  <c r="B869" i="1"/>
  <c r="I868" i="1"/>
  <c r="H868" i="1"/>
  <c r="G868" i="1"/>
  <c r="F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I866" i="1"/>
  <c r="H866" i="1"/>
  <c r="G866" i="1"/>
  <c r="F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I864" i="1"/>
  <c r="H864" i="1"/>
  <c r="G864" i="1"/>
  <c r="F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I862" i="1"/>
  <c r="H862" i="1"/>
  <c r="G862" i="1"/>
  <c r="F862" i="1"/>
  <c r="E862" i="1"/>
  <c r="D862" i="1"/>
  <c r="C862" i="1"/>
  <c r="B862" i="1"/>
  <c r="I861" i="1"/>
  <c r="H861" i="1"/>
  <c r="G861" i="1"/>
  <c r="F861" i="1"/>
  <c r="E861" i="1"/>
  <c r="D861" i="1"/>
  <c r="C861" i="1"/>
  <c r="B861" i="1"/>
  <c r="I860" i="1"/>
  <c r="H860" i="1"/>
  <c r="G860" i="1"/>
  <c r="F860" i="1"/>
  <c r="E860" i="1"/>
  <c r="D860" i="1"/>
  <c r="C860" i="1"/>
  <c r="B860" i="1"/>
  <c r="I859" i="1"/>
  <c r="H859" i="1"/>
  <c r="G859" i="1"/>
  <c r="F859" i="1"/>
  <c r="E859" i="1"/>
  <c r="D859" i="1"/>
  <c r="C859" i="1"/>
  <c r="B859" i="1"/>
  <c r="I858" i="1"/>
  <c r="H858" i="1"/>
  <c r="G858" i="1"/>
  <c r="F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I856" i="1"/>
  <c r="H856" i="1"/>
  <c r="G856" i="1"/>
  <c r="F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AL854" i="1"/>
  <c r="I854" i="1"/>
  <c r="H854" i="1"/>
  <c r="G854" i="1"/>
  <c r="F854" i="1"/>
  <c r="E854" i="1"/>
  <c r="D854" i="1"/>
  <c r="C854" i="1"/>
  <c r="B854" i="1"/>
  <c r="AL853" i="1"/>
  <c r="I853" i="1"/>
  <c r="H853" i="1"/>
  <c r="G853" i="1"/>
  <c r="F853" i="1"/>
  <c r="E853" i="1"/>
  <c r="D853" i="1"/>
  <c r="C853" i="1"/>
  <c r="B853" i="1"/>
  <c r="AL852" i="1"/>
  <c r="I852" i="1"/>
  <c r="H852" i="1"/>
  <c r="G852" i="1"/>
  <c r="F852" i="1"/>
  <c r="E852" i="1"/>
  <c r="D852" i="1"/>
  <c r="C852" i="1"/>
  <c r="B852" i="1"/>
  <c r="AL851" i="1"/>
  <c r="I851" i="1"/>
  <c r="H851" i="1"/>
  <c r="G851" i="1"/>
  <c r="F851" i="1"/>
  <c r="E851" i="1"/>
  <c r="D851" i="1"/>
  <c r="C851" i="1"/>
  <c r="B851" i="1"/>
  <c r="AL850" i="1"/>
  <c r="I850" i="1"/>
  <c r="H850" i="1"/>
  <c r="G850" i="1"/>
  <c r="F850" i="1"/>
  <c r="E850" i="1"/>
  <c r="D850" i="1"/>
  <c r="C850" i="1"/>
  <c r="B850" i="1"/>
  <c r="AL849" i="1"/>
  <c r="I849" i="1"/>
  <c r="H849" i="1"/>
  <c r="G849" i="1"/>
  <c r="F849" i="1"/>
  <c r="E849" i="1"/>
  <c r="D849" i="1"/>
  <c r="C849" i="1"/>
  <c r="B849" i="1"/>
  <c r="AL848" i="1"/>
  <c r="I848" i="1"/>
  <c r="H848" i="1"/>
  <c r="G848" i="1"/>
  <c r="F848" i="1"/>
  <c r="E848" i="1"/>
  <c r="D848" i="1"/>
  <c r="C848" i="1"/>
  <c r="B848" i="1"/>
  <c r="AL847" i="1"/>
  <c r="I847" i="1"/>
  <c r="H847" i="1"/>
  <c r="G847" i="1"/>
  <c r="F847" i="1"/>
  <c r="E847" i="1"/>
  <c r="D847" i="1"/>
  <c r="C847" i="1"/>
  <c r="B847" i="1"/>
  <c r="AL846" i="1"/>
  <c r="I846" i="1"/>
  <c r="H846" i="1"/>
  <c r="G846" i="1"/>
  <c r="F846" i="1"/>
  <c r="E846" i="1"/>
  <c r="D846" i="1"/>
  <c r="C846" i="1"/>
  <c r="B846" i="1"/>
  <c r="AL845" i="1"/>
  <c r="I845" i="1"/>
  <c r="H845" i="1"/>
  <c r="G845" i="1"/>
  <c r="F845" i="1"/>
  <c r="E845" i="1"/>
  <c r="D845" i="1"/>
  <c r="C845" i="1"/>
  <c r="B845" i="1"/>
  <c r="AL844" i="1"/>
  <c r="I844" i="1"/>
  <c r="H844" i="1"/>
  <c r="G844" i="1"/>
  <c r="F844" i="1"/>
  <c r="E844" i="1"/>
  <c r="D844" i="1"/>
  <c r="C844" i="1"/>
  <c r="B844" i="1"/>
  <c r="AL843" i="1"/>
  <c r="I843" i="1"/>
  <c r="H843" i="1"/>
  <c r="G843" i="1"/>
  <c r="F843" i="1"/>
  <c r="E843" i="1"/>
  <c r="D843" i="1"/>
  <c r="C843" i="1"/>
  <c r="B843" i="1"/>
  <c r="AL842" i="1"/>
  <c r="I842" i="1"/>
  <c r="H842" i="1"/>
  <c r="G842" i="1"/>
  <c r="F842" i="1"/>
  <c r="E842" i="1"/>
  <c r="D842" i="1"/>
  <c r="C842" i="1"/>
  <c r="B842" i="1"/>
  <c r="AL841" i="1"/>
  <c r="I841" i="1"/>
  <c r="H841" i="1"/>
  <c r="G841" i="1"/>
  <c r="F841" i="1"/>
  <c r="E841" i="1"/>
  <c r="D841" i="1"/>
  <c r="C841" i="1"/>
  <c r="B841" i="1"/>
  <c r="I840" i="1"/>
  <c r="H840" i="1"/>
  <c r="G840" i="1"/>
  <c r="F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I838" i="1"/>
  <c r="H838" i="1"/>
  <c r="G838" i="1"/>
  <c r="F838" i="1"/>
  <c r="E838" i="1"/>
  <c r="D838" i="1"/>
  <c r="C838" i="1"/>
  <c r="B838" i="1"/>
  <c r="I837" i="1"/>
  <c r="H837" i="1"/>
  <c r="G837" i="1"/>
  <c r="F837" i="1"/>
  <c r="E837" i="1"/>
  <c r="D837" i="1"/>
  <c r="C837" i="1"/>
  <c r="B837" i="1"/>
  <c r="I836" i="1"/>
  <c r="H836" i="1"/>
  <c r="G836" i="1"/>
  <c r="F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I834" i="1"/>
  <c r="H834" i="1"/>
  <c r="G834" i="1"/>
  <c r="F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I832" i="1"/>
  <c r="H832" i="1"/>
  <c r="G832" i="1"/>
  <c r="F832" i="1"/>
  <c r="E832" i="1"/>
  <c r="D832" i="1"/>
  <c r="C832" i="1"/>
  <c r="B832" i="1"/>
  <c r="I831" i="1"/>
  <c r="H831" i="1"/>
  <c r="G831" i="1"/>
  <c r="F831" i="1"/>
  <c r="E831" i="1"/>
  <c r="D831" i="1"/>
  <c r="C831" i="1"/>
  <c r="B831" i="1"/>
  <c r="I830" i="1"/>
  <c r="H830" i="1"/>
  <c r="G830" i="1"/>
  <c r="F830" i="1"/>
  <c r="E830" i="1"/>
  <c r="D830" i="1"/>
  <c r="C830" i="1"/>
  <c r="B830" i="1"/>
  <c r="I829" i="1"/>
  <c r="H829" i="1"/>
  <c r="G829" i="1"/>
  <c r="F829" i="1"/>
  <c r="E829" i="1"/>
  <c r="D829" i="1"/>
  <c r="C829" i="1"/>
  <c r="B829" i="1"/>
  <c r="I828" i="1"/>
  <c r="H828" i="1"/>
  <c r="G828" i="1"/>
  <c r="F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I826" i="1"/>
  <c r="H826" i="1"/>
  <c r="G826" i="1"/>
  <c r="F826" i="1"/>
  <c r="E826" i="1"/>
  <c r="D826" i="1"/>
  <c r="C826" i="1"/>
  <c r="B826" i="1"/>
  <c r="I825" i="1"/>
  <c r="H825" i="1"/>
  <c r="G825" i="1"/>
  <c r="F825" i="1"/>
  <c r="E825" i="1"/>
  <c r="D825" i="1"/>
  <c r="C825" i="1"/>
  <c r="B825" i="1"/>
  <c r="AL824" i="1"/>
  <c r="I824" i="1"/>
  <c r="H824" i="1"/>
  <c r="G824" i="1"/>
  <c r="F824" i="1"/>
  <c r="E824" i="1"/>
  <c r="D824" i="1"/>
  <c r="C824" i="1"/>
  <c r="B824" i="1"/>
  <c r="AL823" i="1"/>
  <c r="I823" i="1"/>
  <c r="H823" i="1"/>
  <c r="G823" i="1"/>
  <c r="F823" i="1"/>
  <c r="E823" i="1"/>
  <c r="D823" i="1"/>
  <c r="C823" i="1"/>
  <c r="B823" i="1"/>
  <c r="AL822" i="1"/>
  <c r="I822" i="1"/>
  <c r="H822" i="1"/>
  <c r="G822" i="1"/>
  <c r="F822" i="1"/>
  <c r="E822" i="1"/>
  <c r="D822" i="1"/>
  <c r="C822" i="1"/>
  <c r="B822" i="1"/>
  <c r="I821" i="1"/>
  <c r="H821" i="1"/>
  <c r="G821" i="1"/>
  <c r="F821" i="1"/>
  <c r="E821" i="1"/>
  <c r="D821" i="1"/>
  <c r="C821" i="1"/>
  <c r="B821" i="1"/>
  <c r="AL820" i="1"/>
  <c r="I820" i="1"/>
  <c r="H820" i="1"/>
  <c r="G820" i="1"/>
  <c r="F820" i="1"/>
  <c r="E820" i="1"/>
  <c r="D820" i="1"/>
  <c r="C820" i="1"/>
  <c r="B820" i="1"/>
  <c r="AL819" i="1"/>
  <c r="I819" i="1"/>
  <c r="H819" i="1"/>
  <c r="G819" i="1"/>
  <c r="F819" i="1"/>
  <c r="E819" i="1"/>
  <c r="D819" i="1"/>
  <c r="C819" i="1"/>
  <c r="B819" i="1"/>
  <c r="I818" i="1"/>
  <c r="H818" i="1"/>
  <c r="G818" i="1"/>
  <c r="F818" i="1"/>
  <c r="E818" i="1"/>
  <c r="D818" i="1"/>
  <c r="C818" i="1"/>
  <c r="B818" i="1"/>
  <c r="I817" i="1"/>
  <c r="H817" i="1"/>
  <c r="G817" i="1"/>
  <c r="F817" i="1"/>
  <c r="E817" i="1"/>
  <c r="D817" i="1"/>
  <c r="C817" i="1"/>
  <c r="B817" i="1"/>
  <c r="I816" i="1"/>
  <c r="H816" i="1"/>
  <c r="G816" i="1"/>
  <c r="F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AL814" i="1"/>
  <c r="AK814" i="1"/>
  <c r="I814" i="1"/>
  <c r="H814" i="1"/>
  <c r="G814" i="1"/>
  <c r="F814" i="1"/>
  <c r="E814" i="1"/>
  <c r="D814" i="1"/>
  <c r="C814" i="1"/>
  <c r="B814" i="1"/>
  <c r="AL813" i="1"/>
  <c r="I813" i="1"/>
  <c r="H813" i="1"/>
  <c r="G813" i="1"/>
  <c r="F813" i="1"/>
  <c r="E813" i="1"/>
  <c r="D813" i="1"/>
  <c r="C813" i="1"/>
  <c r="B813" i="1"/>
  <c r="AL812" i="1"/>
  <c r="I812" i="1"/>
  <c r="H812" i="1"/>
  <c r="G812" i="1"/>
  <c r="F812" i="1"/>
  <c r="E812" i="1"/>
  <c r="D812" i="1"/>
  <c r="C812" i="1"/>
  <c r="B812" i="1"/>
  <c r="I811" i="1"/>
  <c r="H811" i="1"/>
  <c r="G811" i="1"/>
  <c r="F811" i="1"/>
  <c r="E811" i="1"/>
  <c r="D811" i="1"/>
  <c r="C811" i="1"/>
  <c r="B811" i="1"/>
  <c r="AL810" i="1"/>
  <c r="I810" i="1"/>
  <c r="H810" i="1"/>
  <c r="G810" i="1"/>
  <c r="F810" i="1"/>
  <c r="E810" i="1"/>
  <c r="D810" i="1"/>
  <c r="C810" i="1"/>
  <c r="B810" i="1"/>
  <c r="AL809" i="1"/>
  <c r="I809" i="1"/>
  <c r="H809" i="1"/>
  <c r="G809" i="1"/>
  <c r="F809" i="1"/>
  <c r="E809" i="1"/>
  <c r="D809" i="1"/>
  <c r="C809" i="1"/>
  <c r="B809" i="1"/>
  <c r="AL808" i="1"/>
  <c r="I808" i="1"/>
  <c r="H808" i="1"/>
  <c r="G808" i="1"/>
  <c r="F808" i="1"/>
  <c r="E808" i="1"/>
  <c r="D808" i="1"/>
  <c r="C808" i="1"/>
  <c r="B808" i="1"/>
  <c r="AL807" i="1"/>
  <c r="I807" i="1"/>
  <c r="H807" i="1"/>
  <c r="G807" i="1"/>
  <c r="F807" i="1"/>
  <c r="E807" i="1"/>
  <c r="D807" i="1"/>
  <c r="C807" i="1"/>
  <c r="B807" i="1"/>
  <c r="AL806" i="1"/>
  <c r="I806" i="1"/>
  <c r="H806" i="1"/>
  <c r="G806" i="1"/>
  <c r="F806" i="1"/>
  <c r="E806" i="1"/>
  <c r="D806" i="1"/>
  <c r="C806" i="1"/>
  <c r="B806" i="1"/>
  <c r="I805" i="1"/>
  <c r="H805" i="1"/>
  <c r="G805" i="1"/>
  <c r="F805" i="1"/>
  <c r="E805" i="1"/>
  <c r="D805" i="1"/>
  <c r="C805" i="1"/>
  <c r="B805" i="1"/>
  <c r="AL804" i="1"/>
  <c r="I804" i="1"/>
  <c r="H804" i="1"/>
  <c r="G804" i="1"/>
  <c r="F804" i="1"/>
  <c r="E804" i="1"/>
  <c r="D804" i="1"/>
  <c r="C804" i="1"/>
  <c r="B804" i="1"/>
  <c r="AL803" i="1"/>
  <c r="I803" i="1"/>
  <c r="H803" i="1"/>
  <c r="G803" i="1"/>
  <c r="F803" i="1"/>
  <c r="E803" i="1"/>
  <c r="D803" i="1"/>
  <c r="C803" i="1"/>
  <c r="B803" i="1"/>
  <c r="I802" i="1"/>
  <c r="H802" i="1"/>
  <c r="G802" i="1"/>
  <c r="F802" i="1"/>
  <c r="E802" i="1"/>
  <c r="D802" i="1"/>
  <c r="C802" i="1"/>
  <c r="B802" i="1"/>
  <c r="I801" i="1"/>
  <c r="H801" i="1"/>
  <c r="G801" i="1"/>
  <c r="F801" i="1"/>
  <c r="E801" i="1"/>
  <c r="D801" i="1"/>
  <c r="C801" i="1"/>
  <c r="B801" i="1"/>
  <c r="I800" i="1"/>
  <c r="H800" i="1"/>
  <c r="G800" i="1"/>
  <c r="F800" i="1"/>
  <c r="E800" i="1"/>
  <c r="D800" i="1"/>
  <c r="C800" i="1"/>
  <c r="B800" i="1"/>
  <c r="I799" i="1"/>
  <c r="H799" i="1"/>
  <c r="G799" i="1"/>
  <c r="F799" i="1"/>
  <c r="E799" i="1"/>
  <c r="D799" i="1"/>
  <c r="C799" i="1"/>
  <c r="B799" i="1"/>
  <c r="I798" i="1"/>
  <c r="H798" i="1"/>
  <c r="G798" i="1"/>
  <c r="F798" i="1"/>
  <c r="E798" i="1"/>
  <c r="D798" i="1"/>
  <c r="C798" i="1"/>
  <c r="B798" i="1"/>
  <c r="I797" i="1"/>
  <c r="H797" i="1"/>
  <c r="G797" i="1"/>
  <c r="F797" i="1"/>
  <c r="E797" i="1"/>
  <c r="D797" i="1"/>
  <c r="C797" i="1"/>
  <c r="B797" i="1"/>
  <c r="I796" i="1"/>
  <c r="H796" i="1"/>
  <c r="G796" i="1"/>
  <c r="F796" i="1"/>
  <c r="E796" i="1"/>
  <c r="D796" i="1"/>
  <c r="C796" i="1"/>
  <c r="B796" i="1"/>
  <c r="I795" i="1"/>
  <c r="H795" i="1"/>
  <c r="G795" i="1"/>
  <c r="F795" i="1"/>
  <c r="E795" i="1"/>
  <c r="D795" i="1"/>
  <c r="C795" i="1"/>
  <c r="B795" i="1"/>
  <c r="I794" i="1"/>
  <c r="H794" i="1"/>
  <c r="G794" i="1"/>
  <c r="F794" i="1"/>
  <c r="E794" i="1"/>
  <c r="D794" i="1"/>
  <c r="C794" i="1"/>
  <c r="B794" i="1"/>
  <c r="AL793" i="1"/>
  <c r="I793" i="1"/>
  <c r="H793" i="1"/>
  <c r="G793" i="1"/>
  <c r="F793" i="1"/>
  <c r="E793" i="1"/>
  <c r="D793" i="1"/>
  <c r="C793" i="1"/>
  <c r="B793" i="1"/>
  <c r="I792" i="1"/>
  <c r="H792" i="1"/>
  <c r="G792" i="1"/>
  <c r="F792" i="1"/>
  <c r="E792" i="1"/>
  <c r="D792" i="1"/>
  <c r="C792" i="1"/>
  <c r="B792" i="1"/>
  <c r="AL791" i="1"/>
  <c r="I791" i="1"/>
  <c r="H791" i="1"/>
  <c r="G791" i="1"/>
  <c r="F791" i="1"/>
  <c r="E791" i="1"/>
  <c r="D791" i="1"/>
  <c r="C791" i="1"/>
  <c r="B791" i="1"/>
  <c r="AL790" i="1"/>
  <c r="I790" i="1"/>
  <c r="H790" i="1"/>
  <c r="G790" i="1"/>
  <c r="F790" i="1"/>
  <c r="E790" i="1"/>
  <c r="D790" i="1"/>
  <c r="C790" i="1"/>
  <c r="B790" i="1"/>
  <c r="AL789" i="1"/>
  <c r="I789" i="1"/>
  <c r="H789" i="1"/>
  <c r="G789" i="1"/>
  <c r="F789" i="1"/>
  <c r="E789" i="1"/>
  <c r="D789" i="1"/>
  <c r="C789" i="1"/>
  <c r="B789" i="1"/>
  <c r="AL788" i="1"/>
  <c r="I788" i="1"/>
  <c r="H788" i="1"/>
  <c r="G788" i="1"/>
  <c r="F788" i="1"/>
  <c r="E788" i="1"/>
  <c r="D788" i="1"/>
  <c r="C788" i="1"/>
  <c r="B788" i="1"/>
  <c r="AL787" i="1"/>
  <c r="I787" i="1"/>
  <c r="H787" i="1"/>
  <c r="G787" i="1"/>
  <c r="F787" i="1"/>
  <c r="E787" i="1"/>
  <c r="D787" i="1"/>
  <c r="C787" i="1"/>
  <c r="B787" i="1"/>
  <c r="AL786" i="1"/>
  <c r="I786" i="1"/>
  <c r="H786" i="1"/>
  <c r="G786" i="1"/>
  <c r="F786" i="1"/>
  <c r="E786" i="1"/>
  <c r="D786" i="1"/>
  <c r="C786" i="1"/>
  <c r="B786" i="1"/>
  <c r="AL785" i="1"/>
  <c r="I785" i="1"/>
  <c r="H785" i="1"/>
  <c r="G785" i="1"/>
  <c r="F785" i="1"/>
  <c r="E785" i="1"/>
  <c r="D785" i="1"/>
  <c r="C785" i="1"/>
  <c r="B785" i="1"/>
  <c r="AL784" i="1"/>
  <c r="I784" i="1"/>
  <c r="H784" i="1"/>
  <c r="G784" i="1"/>
  <c r="F784" i="1"/>
  <c r="E784" i="1"/>
  <c r="D784" i="1"/>
  <c r="C784" i="1"/>
  <c r="B784" i="1"/>
  <c r="AL783" i="1"/>
  <c r="I783" i="1"/>
  <c r="H783" i="1"/>
  <c r="G783" i="1"/>
  <c r="F783" i="1"/>
  <c r="E783" i="1"/>
  <c r="D783" i="1"/>
  <c r="C783" i="1"/>
  <c r="B783" i="1"/>
  <c r="AL782" i="1"/>
  <c r="I782" i="1"/>
  <c r="H782" i="1"/>
  <c r="G782" i="1"/>
  <c r="F782" i="1"/>
  <c r="E782" i="1"/>
  <c r="D782" i="1"/>
  <c r="C782" i="1"/>
  <c r="B782" i="1"/>
  <c r="AL781" i="1"/>
  <c r="I781" i="1"/>
  <c r="H781" i="1"/>
  <c r="G781" i="1"/>
  <c r="F781" i="1"/>
  <c r="E781" i="1"/>
  <c r="D781" i="1"/>
  <c r="C781" i="1"/>
  <c r="B781" i="1"/>
  <c r="AL780" i="1"/>
  <c r="I780" i="1"/>
  <c r="H780" i="1"/>
  <c r="G780" i="1"/>
  <c r="F780" i="1"/>
  <c r="E780" i="1"/>
  <c r="D780" i="1"/>
  <c r="C780" i="1"/>
  <c r="B780" i="1"/>
  <c r="AL779" i="1"/>
  <c r="I779" i="1"/>
  <c r="H779" i="1"/>
  <c r="G779" i="1"/>
  <c r="F779" i="1"/>
  <c r="E779" i="1"/>
  <c r="D779" i="1"/>
  <c r="C779" i="1"/>
  <c r="B779" i="1"/>
  <c r="AL778" i="1"/>
  <c r="I778" i="1"/>
  <c r="H778" i="1"/>
  <c r="G778" i="1"/>
  <c r="F778" i="1"/>
  <c r="E778" i="1"/>
  <c r="D778" i="1"/>
  <c r="C778" i="1"/>
  <c r="B778" i="1"/>
  <c r="I777" i="1"/>
  <c r="H777" i="1"/>
  <c r="G777" i="1"/>
  <c r="F777" i="1"/>
  <c r="E777" i="1"/>
  <c r="D777" i="1"/>
  <c r="C777" i="1"/>
  <c r="B777" i="1"/>
  <c r="I776" i="1"/>
  <c r="H776" i="1"/>
  <c r="G776" i="1"/>
  <c r="F776" i="1"/>
  <c r="E776" i="1"/>
  <c r="D776" i="1"/>
  <c r="C776" i="1"/>
  <c r="B776" i="1"/>
  <c r="AL775" i="1"/>
  <c r="I775" i="1"/>
  <c r="H775" i="1"/>
  <c r="G775" i="1"/>
  <c r="F775" i="1"/>
  <c r="E775" i="1"/>
  <c r="D775" i="1"/>
  <c r="C775" i="1"/>
  <c r="B775" i="1"/>
  <c r="AL774" i="1"/>
  <c r="I774" i="1"/>
  <c r="H774" i="1"/>
  <c r="G774" i="1"/>
  <c r="F774" i="1"/>
  <c r="E774" i="1"/>
  <c r="D774" i="1"/>
  <c r="C774" i="1"/>
  <c r="B774" i="1"/>
  <c r="AL773" i="1"/>
  <c r="I773" i="1"/>
  <c r="H773" i="1"/>
  <c r="G773" i="1"/>
  <c r="F773" i="1"/>
  <c r="E773" i="1"/>
  <c r="D773" i="1"/>
  <c r="C773" i="1"/>
  <c r="B773" i="1"/>
  <c r="AL772" i="1"/>
  <c r="I772" i="1"/>
  <c r="H772" i="1"/>
  <c r="G772" i="1"/>
  <c r="F772" i="1"/>
  <c r="E772" i="1"/>
  <c r="D772" i="1"/>
  <c r="C772" i="1"/>
  <c r="B772" i="1"/>
  <c r="AL771" i="1"/>
  <c r="I771" i="1"/>
  <c r="H771" i="1"/>
  <c r="G771" i="1"/>
  <c r="F771" i="1"/>
  <c r="E771" i="1"/>
  <c r="D771" i="1"/>
  <c r="C771" i="1"/>
  <c r="B771" i="1"/>
  <c r="AL770" i="1"/>
  <c r="I770" i="1"/>
  <c r="H770" i="1"/>
  <c r="G770" i="1"/>
  <c r="F770" i="1"/>
  <c r="E770" i="1"/>
  <c r="D770" i="1"/>
  <c r="C770" i="1"/>
  <c r="B770" i="1"/>
  <c r="AL769" i="1"/>
  <c r="I769" i="1"/>
  <c r="H769" i="1"/>
  <c r="G769" i="1"/>
  <c r="F769" i="1"/>
  <c r="E769" i="1"/>
  <c r="D769" i="1"/>
  <c r="C769" i="1"/>
  <c r="B769" i="1"/>
  <c r="AL768" i="1"/>
  <c r="I768" i="1"/>
  <c r="H768" i="1"/>
  <c r="G768" i="1"/>
  <c r="F768" i="1"/>
  <c r="E768" i="1"/>
  <c r="D768" i="1"/>
  <c r="C768" i="1"/>
  <c r="B768" i="1"/>
  <c r="AL767" i="1"/>
  <c r="I767" i="1"/>
  <c r="H767" i="1"/>
  <c r="G767" i="1"/>
  <c r="F767" i="1"/>
  <c r="E767" i="1"/>
  <c r="D767" i="1"/>
  <c r="C767" i="1"/>
  <c r="B767" i="1"/>
  <c r="AL766" i="1"/>
  <c r="I766" i="1"/>
  <c r="H766" i="1"/>
  <c r="G766" i="1"/>
  <c r="F766" i="1"/>
  <c r="E766" i="1"/>
  <c r="D766" i="1"/>
  <c r="C766" i="1"/>
  <c r="B766" i="1"/>
  <c r="AL765" i="1"/>
  <c r="I765" i="1"/>
  <c r="H765" i="1"/>
  <c r="G765" i="1"/>
  <c r="F765" i="1"/>
  <c r="E765" i="1"/>
  <c r="D765" i="1"/>
  <c r="C765" i="1"/>
  <c r="B765" i="1"/>
  <c r="AL764" i="1"/>
  <c r="I764" i="1"/>
  <c r="H764" i="1"/>
  <c r="G764" i="1"/>
  <c r="F764" i="1"/>
  <c r="E764" i="1"/>
  <c r="D764" i="1"/>
  <c r="C764" i="1"/>
  <c r="B764" i="1"/>
  <c r="AL763" i="1"/>
  <c r="I763" i="1"/>
  <c r="H763" i="1"/>
  <c r="G763" i="1"/>
  <c r="F763" i="1"/>
  <c r="E763" i="1"/>
  <c r="D763" i="1"/>
  <c r="C763" i="1"/>
  <c r="B763" i="1"/>
  <c r="AL762" i="1"/>
  <c r="I762" i="1"/>
  <c r="H762" i="1"/>
  <c r="G762" i="1"/>
  <c r="F762" i="1"/>
  <c r="E762" i="1"/>
  <c r="D762" i="1"/>
  <c r="C762" i="1"/>
  <c r="B762" i="1"/>
  <c r="AL761" i="1"/>
  <c r="I761" i="1"/>
  <c r="H761" i="1"/>
  <c r="G761" i="1"/>
  <c r="F761" i="1"/>
  <c r="E761" i="1"/>
  <c r="D761" i="1"/>
  <c r="C761" i="1"/>
  <c r="B761" i="1"/>
  <c r="AL760" i="1"/>
  <c r="I760" i="1"/>
  <c r="H760" i="1"/>
  <c r="G760" i="1"/>
  <c r="F760" i="1"/>
  <c r="E760" i="1"/>
  <c r="D760" i="1"/>
  <c r="C760" i="1"/>
  <c r="B760" i="1"/>
  <c r="AL759" i="1"/>
  <c r="I759" i="1"/>
  <c r="H759" i="1"/>
  <c r="G759" i="1"/>
  <c r="F759" i="1"/>
  <c r="E759" i="1"/>
  <c r="D759" i="1"/>
  <c r="C759" i="1"/>
  <c r="B759" i="1"/>
  <c r="AL758" i="1"/>
  <c r="I758" i="1"/>
  <c r="H758" i="1"/>
  <c r="G758" i="1"/>
  <c r="F758" i="1"/>
  <c r="E758" i="1"/>
  <c r="D758" i="1"/>
  <c r="C758" i="1"/>
  <c r="B758" i="1"/>
  <c r="AL757" i="1"/>
  <c r="I757" i="1"/>
  <c r="H757" i="1"/>
  <c r="G757" i="1"/>
  <c r="F757" i="1"/>
  <c r="E757" i="1"/>
  <c r="D757" i="1"/>
  <c r="C757" i="1"/>
  <c r="B757" i="1"/>
  <c r="AL756" i="1"/>
  <c r="I756" i="1"/>
  <c r="H756" i="1"/>
  <c r="G756" i="1"/>
  <c r="F756" i="1"/>
  <c r="E756" i="1"/>
  <c r="D756" i="1"/>
  <c r="C756" i="1"/>
  <c r="B756" i="1"/>
  <c r="AL755" i="1"/>
  <c r="I755" i="1"/>
  <c r="H755" i="1"/>
  <c r="G755" i="1"/>
  <c r="F755" i="1"/>
  <c r="E755" i="1"/>
  <c r="D755" i="1"/>
  <c r="C755" i="1"/>
  <c r="B755" i="1"/>
  <c r="AL754" i="1"/>
  <c r="I754" i="1"/>
  <c r="H754" i="1"/>
  <c r="G754" i="1"/>
  <c r="F754" i="1"/>
  <c r="E754" i="1"/>
  <c r="D754" i="1"/>
  <c r="C754" i="1"/>
  <c r="B754" i="1"/>
  <c r="AL753" i="1"/>
  <c r="I753" i="1"/>
  <c r="H753" i="1"/>
  <c r="G753" i="1"/>
  <c r="F753" i="1"/>
  <c r="E753" i="1"/>
  <c r="D753" i="1"/>
  <c r="C753" i="1"/>
  <c r="B753" i="1"/>
  <c r="I752" i="1"/>
  <c r="H752" i="1"/>
  <c r="G752" i="1"/>
  <c r="F752" i="1"/>
  <c r="E752" i="1"/>
  <c r="D752" i="1"/>
  <c r="C752" i="1"/>
  <c r="B752" i="1"/>
  <c r="AL751" i="1"/>
  <c r="I751" i="1"/>
  <c r="H751" i="1"/>
  <c r="G751" i="1"/>
  <c r="F751" i="1"/>
  <c r="E751" i="1"/>
  <c r="D751" i="1"/>
  <c r="C751" i="1"/>
  <c r="B751" i="1"/>
  <c r="AL750" i="1"/>
  <c r="I750" i="1"/>
  <c r="H750" i="1"/>
  <c r="G750" i="1"/>
  <c r="F750" i="1"/>
  <c r="E750" i="1"/>
  <c r="D750" i="1"/>
  <c r="C750" i="1"/>
  <c r="B750" i="1"/>
  <c r="AL749" i="1"/>
  <c r="I749" i="1"/>
  <c r="H749" i="1"/>
  <c r="G749" i="1"/>
  <c r="F749" i="1"/>
  <c r="E749" i="1"/>
  <c r="D749" i="1"/>
  <c r="C749" i="1"/>
  <c r="B749" i="1"/>
  <c r="AL748" i="1"/>
  <c r="I748" i="1"/>
  <c r="H748" i="1"/>
  <c r="G748" i="1"/>
  <c r="F748" i="1"/>
  <c r="E748" i="1"/>
  <c r="D748" i="1"/>
  <c r="C748" i="1"/>
  <c r="B748" i="1"/>
  <c r="AL747" i="1"/>
  <c r="I747" i="1"/>
  <c r="H747" i="1"/>
  <c r="G747" i="1"/>
  <c r="F747" i="1"/>
  <c r="E747" i="1"/>
  <c r="D747" i="1"/>
  <c r="C747" i="1"/>
  <c r="B747" i="1"/>
  <c r="AL746" i="1"/>
  <c r="I746" i="1"/>
  <c r="H746" i="1"/>
  <c r="G746" i="1"/>
  <c r="F746" i="1"/>
  <c r="E746" i="1"/>
  <c r="D746" i="1"/>
  <c r="C746" i="1"/>
  <c r="B746" i="1"/>
  <c r="I745" i="1"/>
  <c r="H745" i="1"/>
  <c r="G745" i="1"/>
  <c r="F745" i="1"/>
  <c r="E745" i="1"/>
  <c r="D745" i="1"/>
  <c r="C745" i="1"/>
  <c r="B745" i="1"/>
  <c r="I744" i="1"/>
  <c r="H744" i="1"/>
  <c r="G744" i="1"/>
  <c r="F744" i="1"/>
  <c r="E744" i="1"/>
  <c r="D744" i="1"/>
  <c r="C744" i="1"/>
  <c r="B744" i="1"/>
  <c r="I743" i="1"/>
  <c r="H743" i="1"/>
  <c r="G743" i="1"/>
  <c r="F743" i="1"/>
  <c r="E743" i="1"/>
  <c r="D743" i="1"/>
  <c r="C743" i="1"/>
  <c r="B743" i="1"/>
  <c r="I742" i="1"/>
  <c r="H742" i="1"/>
  <c r="G742" i="1"/>
  <c r="F742" i="1"/>
  <c r="E742" i="1"/>
  <c r="D742" i="1"/>
  <c r="C742" i="1"/>
  <c r="B742" i="1"/>
  <c r="I741" i="1"/>
  <c r="H741" i="1"/>
  <c r="G741" i="1"/>
  <c r="F741" i="1"/>
  <c r="E741" i="1"/>
  <c r="D741" i="1"/>
  <c r="C741" i="1"/>
  <c r="B741" i="1"/>
  <c r="I740" i="1"/>
  <c r="H740" i="1"/>
  <c r="G740" i="1"/>
  <c r="F740" i="1"/>
  <c r="E740" i="1"/>
  <c r="D740" i="1"/>
  <c r="C740" i="1"/>
  <c r="B740" i="1"/>
  <c r="I739" i="1"/>
  <c r="H739" i="1"/>
  <c r="G739" i="1"/>
  <c r="F739" i="1"/>
  <c r="E739" i="1"/>
  <c r="D739" i="1"/>
  <c r="C739" i="1"/>
  <c r="B739" i="1"/>
  <c r="AL738" i="1"/>
  <c r="I738" i="1"/>
  <c r="H738" i="1"/>
  <c r="G738" i="1"/>
  <c r="F738" i="1"/>
  <c r="E738" i="1"/>
  <c r="D738" i="1"/>
  <c r="C738" i="1"/>
  <c r="B738" i="1"/>
  <c r="AL737" i="1"/>
  <c r="I737" i="1"/>
  <c r="H737" i="1"/>
  <c r="G737" i="1"/>
  <c r="F737" i="1"/>
  <c r="E737" i="1"/>
  <c r="D737" i="1"/>
  <c r="C737" i="1"/>
  <c r="B737" i="1"/>
  <c r="AL736" i="1"/>
  <c r="I736" i="1"/>
  <c r="H736" i="1"/>
  <c r="G736" i="1"/>
  <c r="F736" i="1"/>
  <c r="E736" i="1"/>
  <c r="D736" i="1"/>
  <c r="C736" i="1"/>
  <c r="B736" i="1"/>
  <c r="AL735" i="1"/>
  <c r="I735" i="1"/>
  <c r="H735" i="1"/>
  <c r="G735" i="1"/>
  <c r="F735" i="1"/>
  <c r="E735" i="1"/>
  <c r="D735" i="1"/>
  <c r="C735" i="1"/>
  <c r="B735" i="1"/>
  <c r="I734" i="1"/>
  <c r="H734" i="1"/>
  <c r="G734" i="1"/>
  <c r="F734" i="1"/>
  <c r="E734" i="1"/>
  <c r="D734" i="1"/>
  <c r="C734" i="1"/>
  <c r="B734" i="1"/>
  <c r="AL733" i="1"/>
  <c r="I733" i="1"/>
  <c r="H733" i="1"/>
  <c r="G733" i="1"/>
  <c r="F733" i="1"/>
  <c r="E733" i="1"/>
  <c r="D733" i="1"/>
  <c r="C733" i="1"/>
  <c r="B733" i="1"/>
  <c r="AL732" i="1"/>
  <c r="I732" i="1"/>
  <c r="H732" i="1"/>
  <c r="G732" i="1"/>
  <c r="F732" i="1"/>
  <c r="E732" i="1"/>
  <c r="D732" i="1"/>
  <c r="C732" i="1"/>
  <c r="B732" i="1"/>
  <c r="AL731" i="1"/>
  <c r="I731" i="1"/>
  <c r="H731" i="1"/>
  <c r="G731" i="1"/>
  <c r="F731" i="1"/>
  <c r="E731" i="1"/>
  <c r="D731" i="1"/>
  <c r="C731" i="1"/>
  <c r="B731" i="1"/>
  <c r="AL730" i="1"/>
  <c r="I730" i="1"/>
  <c r="H730" i="1"/>
  <c r="G730" i="1"/>
  <c r="F730" i="1"/>
  <c r="E730" i="1"/>
  <c r="D730" i="1"/>
  <c r="C730" i="1"/>
  <c r="B730" i="1"/>
  <c r="AL729" i="1"/>
  <c r="AK729" i="1"/>
  <c r="I729" i="1"/>
  <c r="H729" i="1"/>
  <c r="G729" i="1"/>
  <c r="F729" i="1"/>
  <c r="E729" i="1"/>
  <c r="D729" i="1"/>
  <c r="C729" i="1"/>
  <c r="B729" i="1"/>
  <c r="AL728" i="1"/>
  <c r="I728" i="1"/>
  <c r="H728" i="1"/>
  <c r="G728" i="1"/>
  <c r="F728" i="1"/>
  <c r="E728" i="1"/>
  <c r="D728" i="1"/>
  <c r="C728" i="1"/>
  <c r="B728" i="1"/>
  <c r="AL727" i="1"/>
  <c r="I727" i="1"/>
  <c r="H727" i="1"/>
  <c r="G727" i="1"/>
  <c r="F727" i="1"/>
  <c r="E727" i="1"/>
  <c r="D727" i="1"/>
  <c r="C727" i="1"/>
  <c r="B727" i="1"/>
  <c r="AL726" i="1"/>
  <c r="I726" i="1"/>
  <c r="H726" i="1"/>
  <c r="G726" i="1"/>
  <c r="F726" i="1"/>
  <c r="E726" i="1"/>
  <c r="D726" i="1"/>
  <c r="C726" i="1"/>
  <c r="B726" i="1"/>
  <c r="AL725" i="1"/>
  <c r="I725" i="1"/>
  <c r="H725" i="1"/>
  <c r="G725" i="1"/>
  <c r="F725" i="1"/>
  <c r="E725" i="1"/>
  <c r="D725" i="1"/>
  <c r="C725" i="1"/>
  <c r="B725" i="1"/>
  <c r="AL724" i="1"/>
  <c r="I724" i="1"/>
  <c r="H724" i="1"/>
  <c r="G724" i="1"/>
  <c r="F724" i="1"/>
  <c r="E724" i="1"/>
  <c r="D724" i="1"/>
  <c r="C724" i="1"/>
  <c r="B724" i="1"/>
  <c r="AL723" i="1"/>
  <c r="I723" i="1"/>
  <c r="H723" i="1"/>
  <c r="G723" i="1"/>
  <c r="F723" i="1"/>
  <c r="E723" i="1"/>
  <c r="D723" i="1"/>
  <c r="C723" i="1"/>
  <c r="B723" i="1"/>
  <c r="AL722" i="1"/>
  <c r="I722" i="1"/>
  <c r="H722" i="1"/>
  <c r="G722" i="1"/>
  <c r="F722" i="1"/>
  <c r="E722" i="1"/>
  <c r="D722" i="1"/>
  <c r="C722" i="1"/>
  <c r="B722" i="1"/>
  <c r="I721" i="1"/>
  <c r="H721" i="1"/>
  <c r="G721" i="1"/>
  <c r="F721" i="1"/>
  <c r="E721" i="1"/>
  <c r="D721" i="1"/>
  <c r="C721" i="1"/>
  <c r="B721" i="1"/>
  <c r="I720" i="1"/>
  <c r="H720" i="1"/>
  <c r="G720" i="1"/>
  <c r="F720" i="1"/>
  <c r="E720" i="1"/>
  <c r="D720" i="1"/>
  <c r="C720" i="1"/>
  <c r="B720" i="1"/>
  <c r="I719" i="1"/>
  <c r="H719" i="1"/>
  <c r="G719" i="1"/>
  <c r="F719" i="1"/>
  <c r="E719" i="1"/>
  <c r="D719" i="1"/>
  <c r="C719" i="1"/>
  <c r="B719" i="1"/>
  <c r="I718" i="1"/>
  <c r="H718" i="1"/>
  <c r="G718" i="1"/>
  <c r="F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I716" i="1"/>
  <c r="H716" i="1"/>
  <c r="G716" i="1"/>
  <c r="F716" i="1"/>
  <c r="E716" i="1"/>
  <c r="D716" i="1"/>
  <c r="C716" i="1"/>
  <c r="B716" i="1"/>
  <c r="I715" i="1"/>
  <c r="H715" i="1"/>
  <c r="G715" i="1"/>
  <c r="F715" i="1"/>
  <c r="E715" i="1"/>
  <c r="D715" i="1"/>
  <c r="C715" i="1"/>
  <c r="B715" i="1"/>
  <c r="I714" i="1"/>
  <c r="H714" i="1"/>
  <c r="G714" i="1"/>
  <c r="F714" i="1"/>
  <c r="E714" i="1"/>
  <c r="D714" i="1"/>
  <c r="C714" i="1"/>
  <c r="B714" i="1"/>
  <c r="I713" i="1"/>
  <c r="H713" i="1"/>
  <c r="G713" i="1"/>
  <c r="F713" i="1"/>
  <c r="E713" i="1"/>
  <c r="D713" i="1"/>
  <c r="C713" i="1"/>
  <c r="B713" i="1"/>
  <c r="I712" i="1"/>
  <c r="H712" i="1"/>
  <c r="G712" i="1"/>
  <c r="F712" i="1"/>
  <c r="E712" i="1"/>
  <c r="D712" i="1"/>
  <c r="C712" i="1"/>
  <c r="B712" i="1"/>
  <c r="I711" i="1"/>
  <c r="H711" i="1"/>
  <c r="G711" i="1"/>
  <c r="F711" i="1"/>
  <c r="E711" i="1"/>
  <c r="D711" i="1"/>
  <c r="C711" i="1"/>
  <c r="B711" i="1"/>
  <c r="I710" i="1"/>
  <c r="H710" i="1"/>
  <c r="G710" i="1"/>
  <c r="F710" i="1"/>
  <c r="E710" i="1"/>
  <c r="D710" i="1"/>
  <c r="C710" i="1"/>
  <c r="B710" i="1"/>
  <c r="I709" i="1"/>
  <c r="H709" i="1"/>
  <c r="G709" i="1"/>
  <c r="F709" i="1"/>
  <c r="E709" i="1"/>
  <c r="D709" i="1"/>
  <c r="C709" i="1"/>
  <c r="B709" i="1"/>
  <c r="I708" i="1"/>
  <c r="H708" i="1"/>
  <c r="G708" i="1"/>
  <c r="F708" i="1"/>
  <c r="E708" i="1"/>
  <c r="D708" i="1"/>
  <c r="C708" i="1"/>
  <c r="B708" i="1"/>
  <c r="I707" i="1"/>
  <c r="H707" i="1"/>
  <c r="G707" i="1"/>
  <c r="F707" i="1"/>
  <c r="E707" i="1"/>
  <c r="D707" i="1"/>
  <c r="C707" i="1"/>
  <c r="B707" i="1"/>
  <c r="I706" i="1"/>
  <c r="H706" i="1"/>
  <c r="G706" i="1"/>
  <c r="F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I704" i="1"/>
  <c r="H704" i="1"/>
  <c r="G704" i="1"/>
  <c r="F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I702" i="1"/>
  <c r="H702" i="1"/>
  <c r="G702" i="1"/>
  <c r="F702" i="1"/>
  <c r="E702" i="1"/>
  <c r="D702" i="1"/>
  <c r="C702" i="1"/>
  <c r="B702" i="1"/>
  <c r="I701" i="1"/>
  <c r="H701" i="1"/>
  <c r="G701" i="1"/>
  <c r="F701" i="1"/>
  <c r="E701" i="1"/>
  <c r="D701" i="1"/>
  <c r="C701" i="1"/>
  <c r="B701" i="1"/>
  <c r="I700" i="1"/>
  <c r="H700" i="1"/>
  <c r="G700" i="1"/>
  <c r="F700" i="1"/>
  <c r="E700" i="1"/>
  <c r="D700" i="1"/>
  <c r="C700" i="1"/>
  <c r="B700" i="1"/>
  <c r="I699" i="1"/>
  <c r="H699" i="1"/>
  <c r="G699" i="1"/>
  <c r="F699" i="1"/>
  <c r="E699" i="1"/>
  <c r="D699" i="1"/>
  <c r="C699" i="1"/>
  <c r="B699" i="1"/>
  <c r="I698" i="1"/>
  <c r="H698" i="1"/>
  <c r="G698" i="1"/>
  <c r="F698" i="1"/>
  <c r="E698" i="1"/>
  <c r="D698" i="1"/>
  <c r="C698" i="1"/>
  <c r="B698" i="1"/>
  <c r="I697" i="1"/>
  <c r="H697" i="1"/>
  <c r="G697" i="1"/>
  <c r="F697" i="1"/>
  <c r="E697" i="1"/>
  <c r="D697" i="1"/>
  <c r="C697" i="1"/>
  <c r="B697" i="1"/>
  <c r="I696" i="1"/>
  <c r="H696" i="1"/>
  <c r="G696" i="1"/>
  <c r="F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I694" i="1"/>
  <c r="H694" i="1"/>
  <c r="G694" i="1"/>
  <c r="F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I692" i="1"/>
  <c r="H692" i="1"/>
  <c r="G692" i="1"/>
  <c r="F692" i="1"/>
  <c r="E692" i="1"/>
  <c r="D692" i="1"/>
  <c r="C692" i="1"/>
  <c r="B692" i="1"/>
  <c r="I691" i="1"/>
  <c r="H691" i="1"/>
  <c r="G691" i="1"/>
  <c r="F691" i="1"/>
  <c r="E691" i="1"/>
  <c r="D691" i="1"/>
  <c r="C691" i="1"/>
  <c r="B691" i="1"/>
  <c r="I690" i="1"/>
  <c r="H690" i="1"/>
  <c r="G690" i="1"/>
  <c r="F690" i="1"/>
  <c r="E690" i="1"/>
  <c r="D690" i="1"/>
  <c r="C690" i="1"/>
  <c r="B690" i="1"/>
  <c r="I689" i="1"/>
  <c r="H689" i="1"/>
  <c r="G689" i="1"/>
  <c r="F689" i="1"/>
  <c r="E689" i="1"/>
  <c r="D689" i="1"/>
  <c r="C689" i="1"/>
  <c r="B689" i="1"/>
  <c r="I688" i="1"/>
  <c r="H688" i="1"/>
  <c r="G688" i="1"/>
  <c r="F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I686" i="1"/>
  <c r="H686" i="1"/>
  <c r="G686" i="1"/>
  <c r="F686" i="1"/>
  <c r="E686" i="1"/>
  <c r="D686" i="1"/>
  <c r="C686" i="1"/>
  <c r="B686" i="1"/>
  <c r="I685" i="1"/>
  <c r="H685" i="1"/>
  <c r="G685" i="1"/>
  <c r="F685" i="1"/>
  <c r="E685" i="1"/>
  <c r="D685" i="1"/>
  <c r="C685" i="1"/>
  <c r="B685" i="1"/>
  <c r="I684" i="1"/>
  <c r="H684" i="1"/>
  <c r="G684" i="1"/>
  <c r="F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I682" i="1"/>
  <c r="H682" i="1"/>
  <c r="G682" i="1"/>
  <c r="F682" i="1"/>
  <c r="E682" i="1"/>
  <c r="D682" i="1"/>
  <c r="C682" i="1"/>
  <c r="B682" i="1"/>
  <c r="I681" i="1"/>
  <c r="H681" i="1"/>
  <c r="G681" i="1"/>
  <c r="F681" i="1"/>
  <c r="E681" i="1"/>
  <c r="D681" i="1"/>
  <c r="C681" i="1"/>
  <c r="B681" i="1"/>
  <c r="I680" i="1"/>
  <c r="H680" i="1"/>
  <c r="G680" i="1"/>
  <c r="F680" i="1"/>
  <c r="E680" i="1"/>
  <c r="D680" i="1"/>
  <c r="C680" i="1"/>
  <c r="B680" i="1"/>
  <c r="I679" i="1"/>
  <c r="H679" i="1"/>
  <c r="G679" i="1"/>
  <c r="F679" i="1"/>
  <c r="E679" i="1"/>
  <c r="D679" i="1"/>
  <c r="C679" i="1"/>
  <c r="B679" i="1"/>
  <c r="I678" i="1"/>
  <c r="H678" i="1"/>
  <c r="G678" i="1"/>
  <c r="F678" i="1"/>
  <c r="E678" i="1"/>
  <c r="D678" i="1"/>
  <c r="C678" i="1"/>
  <c r="B678" i="1"/>
  <c r="I677" i="1"/>
  <c r="H677" i="1"/>
  <c r="G677" i="1"/>
  <c r="F677" i="1"/>
  <c r="E677" i="1"/>
  <c r="D677" i="1"/>
  <c r="C677" i="1"/>
  <c r="B677" i="1"/>
  <c r="I676" i="1"/>
  <c r="H676" i="1"/>
  <c r="G676" i="1"/>
  <c r="F676" i="1"/>
  <c r="E676" i="1"/>
  <c r="D676" i="1"/>
  <c r="C676" i="1"/>
  <c r="B676" i="1"/>
  <c r="I675" i="1"/>
  <c r="H675" i="1"/>
  <c r="G675" i="1"/>
  <c r="F675" i="1"/>
  <c r="E675" i="1"/>
  <c r="D675" i="1"/>
  <c r="C675" i="1"/>
  <c r="B675" i="1"/>
  <c r="I674" i="1"/>
  <c r="H674" i="1"/>
  <c r="G674" i="1"/>
  <c r="F674" i="1"/>
  <c r="E674" i="1"/>
  <c r="D674" i="1"/>
  <c r="C674" i="1"/>
  <c r="B674" i="1"/>
  <c r="I673" i="1"/>
  <c r="H673" i="1"/>
  <c r="G673" i="1"/>
  <c r="F673" i="1"/>
  <c r="E673" i="1"/>
  <c r="D673" i="1"/>
  <c r="C673" i="1"/>
  <c r="B673" i="1"/>
  <c r="I672" i="1"/>
  <c r="H672" i="1"/>
  <c r="G672" i="1"/>
  <c r="F672" i="1"/>
  <c r="E672" i="1"/>
  <c r="D672" i="1"/>
  <c r="C672" i="1"/>
  <c r="B672" i="1"/>
  <c r="I671" i="1"/>
  <c r="H671" i="1"/>
  <c r="G671" i="1"/>
  <c r="F671" i="1"/>
  <c r="E671" i="1"/>
  <c r="D671" i="1"/>
  <c r="C671" i="1"/>
  <c r="B671" i="1"/>
  <c r="I670" i="1"/>
  <c r="H670" i="1"/>
  <c r="G670" i="1"/>
  <c r="F670" i="1"/>
  <c r="E670" i="1"/>
  <c r="D670" i="1"/>
  <c r="C670" i="1"/>
  <c r="B670" i="1"/>
  <c r="I669" i="1"/>
  <c r="H669" i="1"/>
  <c r="G669" i="1"/>
  <c r="F669" i="1"/>
  <c r="E669" i="1"/>
  <c r="D669" i="1"/>
  <c r="C669" i="1"/>
  <c r="B669" i="1"/>
  <c r="I668" i="1"/>
  <c r="H668" i="1"/>
  <c r="G668" i="1"/>
  <c r="F668" i="1"/>
  <c r="E668" i="1"/>
  <c r="D668" i="1"/>
  <c r="C668" i="1"/>
  <c r="B668" i="1"/>
  <c r="I667" i="1"/>
  <c r="H667" i="1"/>
  <c r="G667" i="1"/>
  <c r="F667" i="1"/>
  <c r="E667" i="1"/>
  <c r="D667" i="1"/>
  <c r="C667" i="1"/>
  <c r="B667" i="1"/>
  <c r="I666" i="1"/>
  <c r="H666" i="1"/>
  <c r="G666" i="1"/>
  <c r="F666" i="1"/>
  <c r="E666" i="1"/>
  <c r="D666" i="1"/>
  <c r="C666" i="1"/>
  <c r="B666" i="1"/>
  <c r="I665" i="1"/>
  <c r="H665" i="1"/>
  <c r="G665" i="1"/>
  <c r="F665" i="1"/>
  <c r="E665" i="1"/>
  <c r="D665" i="1"/>
  <c r="C665" i="1"/>
  <c r="B665" i="1"/>
  <c r="I664" i="1"/>
  <c r="H664" i="1"/>
  <c r="G664" i="1"/>
  <c r="F664" i="1"/>
  <c r="E664" i="1"/>
  <c r="D664" i="1"/>
  <c r="C664" i="1"/>
  <c r="B664" i="1"/>
  <c r="I663" i="1"/>
  <c r="H663" i="1"/>
  <c r="G663" i="1"/>
  <c r="F663" i="1"/>
  <c r="E663" i="1"/>
  <c r="D663" i="1"/>
  <c r="C663" i="1"/>
  <c r="B663" i="1"/>
  <c r="I662" i="1"/>
  <c r="H662" i="1"/>
  <c r="G662" i="1"/>
  <c r="F662" i="1"/>
  <c r="E662" i="1"/>
  <c r="D662" i="1"/>
  <c r="C662" i="1"/>
  <c r="B662" i="1"/>
  <c r="I661" i="1"/>
  <c r="H661" i="1"/>
  <c r="G661" i="1"/>
  <c r="F661" i="1"/>
  <c r="E661" i="1"/>
  <c r="D661" i="1"/>
  <c r="C661" i="1"/>
  <c r="B661" i="1"/>
  <c r="I660" i="1"/>
  <c r="H660" i="1"/>
  <c r="G660" i="1"/>
  <c r="F660" i="1"/>
  <c r="E660" i="1"/>
  <c r="D660" i="1"/>
  <c r="C660" i="1"/>
  <c r="B660" i="1"/>
  <c r="I659" i="1"/>
  <c r="H659" i="1"/>
  <c r="G659" i="1"/>
  <c r="F659" i="1"/>
  <c r="E659" i="1"/>
  <c r="D659" i="1"/>
  <c r="C659" i="1"/>
  <c r="B659" i="1"/>
  <c r="I658" i="1"/>
  <c r="H658" i="1"/>
  <c r="G658" i="1"/>
  <c r="F658" i="1"/>
  <c r="E658" i="1"/>
  <c r="D658" i="1"/>
  <c r="C658" i="1"/>
  <c r="B658" i="1"/>
  <c r="I657" i="1"/>
  <c r="H657" i="1"/>
  <c r="G657" i="1"/>
  <c r="F657" i="1"/>
  <c r="E657" i="1"/>
  <c r="D657" i="1"/>
  <c r="C657" i="1"/>
  <c r="B657" i="1"/>
  <c r="I656" i="1"/>
  <c r="H656" i="1"/>
  <c r="G656" i="1"/>
  <c r="F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I654" i="1"/>
  <c r="H654" i="1"/>
  <c r="G654" i="1"/>
  <c r="F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I652" i="1"/>
  <c r="H652" i="1"/>
  <c r="G652" i="1"/>
  <c r="F652" i="1"/>
  <c r="E652" i="1"/>
  <c r="D652" i="1"/>
  <c r="C652" i="1"/>
  <c r="B652" i="1"/>
  <c r="I651" i="1"/>
  <c r="H651" i="1"/>
  <c r="G651" i="1"/>
  <c r="F651" i="1"/>
  <c r="E651" i="1"/>
  <c r="D651" i="1"/>
  <c r="C651" i="1"/>
  <c r="B651" i="1"/>
  <c r="I650" i="1"/>
  <c r="H650" i="1"/>
  <c r="G650" i="1"/>
  <c r="F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I648" i="1"/>
  <c r="H648" i="1"/>
  <c r="G648" i="1"/>
  <c r="F648" i="1"/>
  <c r="E648" i="1"/>
  <c r="D648" i="1"/>
  <c r="C648" i="1"/>
  <c r="B648" i="1"/>
  <c r="I647" i="1"/>
  <c r="H647" i="1"/>
  <c r="G647" i="1"/>
  <c r="F647" i="1"/>
  <c r="E647" i="1"/>
  <c r="D647" i="1"/>
  <c r="C647" i="1"/>
  <c r="B647" i="1"/>
  <c r="I646" i="1"/>
  <c r="H646" i="1"/>
  <c r="G646" i="1"/>
  <c r="F646" i="1"/>
  <c r="E646" i="1"/>
  <c r="D646" i="1"/>
  <c r="C646" i="1"/>
  <c r="B646" i="1"/>
  <c r="I645" i="1"/>
  <c r="H645" i="1"/>
  <c r="G645" i="1"/>
  <c r="F645" i="1"/>
  <c r="E645" i="1"/>
  <c r="D645" i="1"/>
  <c r="C645" i="1"/>
  <c r="B645" i="1"/>
  <c r="I644" i="1"/>
  <c r="H644" i="1"/>
  <c r="G644" i="1"/>
  <c r="F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I642" i="1"/>
  <c r="H642" i="1"/>
  <c r="G642" i="1"/>
  <c r="F642" i="1"/>
  <c r="E642" i="1"/>
  <c r="D642" i="1"/>
  <c r="C642" i="1"/>
  <c r="B642" i="1"/>
  <c r="I641" i="1"/>
  <c r="H641" i="1"/>
  <c r="G641" i="1"/>
  <c r="F641" i="1"/>
  <c r="E641" i="1"/>
  <c r="D641" i="1"/>
  <c r="C641" i="1"/>
  <c r="B641" i="1"/>
  <c r="I640" i="1"/>
  <c r="H640" i="1"/>
  <c r="G640" i="1"/>
  <c r="F640" i="1"/>
  <c r="E640" i="1"/>
  <c r="D640" i="1"/>
  <c r="C640" i="1"/>
  <c r="B640" i="1"/>
  <c r="I639" i="1"/>
  <c r="H639" i="1"/>
  <c r="G639" i="1"/>
  <c r="F639" i="1"/>
  <c r="E639" i="1"/>
  <c r="D639" i="1"/>
  <c r="C639" i="1"/>
  <c r="B639" i="1"/>
  <c r="I638" i="1"/>
  <c r="H638" i="1"/>
  <c r="G638" i="1"/>
  <c r="F638" i="1"/>
  <c r="E638" i="1"/>
  <c r="D638" i="1"/>
  <c r="C638" i="1"/>
  <c r="B638" i="1"/>
  <c r="I637" i="1"/>
  <c r="H637" i="1"/>
  <c r="G637" i="1"/>
  <c r="F637" i="1"/>
  <c r="E637" i="1"/>
  <c r="D637" i="1"/>
  <c r="C637" i="1"/>
  <c r="B637" i="1"/>
  <c r="I636" i="1"/>
  <c r="H636" i="1"/>
  <c r="G636" i="1"/>
  <c r="F636" i="1"/>
  <c r="E636" i="1"/>
  <c r="D636" i="1"/>
  <c r="C636" i="1"/>
  <c r="B636" i="1"/>
  <c r="I635" i="1"/>
  <c r="H635" i="1"/>
  <c r="G635" i="1"/>
  <c r="F635" i="1"/>
  <c r="E635" i="1"/>
  <c r="D635" i="1"/>
  <c r="C635" i="1"/>
  <c r="B635" i="1"/>
  <c r="I634" i="1"/>
  <c r="H634" i="1"/>
  <c r="G634" i="1"/>
  <c r="F634" i="1"/>
  <c r="E634" i="1"/>
  <c r="D634" i="1"/>
  <c r="C634" i="1"/>
  <c r="B634" i="1"/>
  <c r="I633" i="1"/>
  <c r="H633" i="1"/>
  <c r="G633" i="1"/>
  <c r="F633" i="1"/>
  <c r="E633" i="1"/>
  <c r="D633" i="1"/>
  <c r="C633" i="1"/>
  <c r="B633" i="1"/>
  <c r="I632" i="1"/>
  <c r="H632" i="1"/>
  <c r="G632" i="1"/>
  <c r="F632" i="1"/>
  <c r="E632" i="1"/>
  <c r="D632" i="1"/>
  <c r="C632" i="1"/>
  <c r="B632" i="1"/>
  <c r="I631" i="1"/>
  <c r="H631" i="1"/>
  <c r="G631" i="1"/>
  <c r="F631" i="1"/>
  <c r="E631" i="1"/>
  <c r="D631" i="1"/>
  <c r="C631" i="1"/>
  <c r="B631" i="1"/>
  <c r="AL630" i="1"/>
  <c r="I630" i="1"/>
  <c r="H630" i="1"/>
  <c r="G630" i="1"/>
  <c r="F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I628" i="1"/>
  <c r="H628" i="1"/>
  <c r="G628" i="1"/>
  <c r="F628" i="1"/>
  <c r="E628" i="1"/>
  <c r="D628" i="1"/>
  <c r="C628" i="1"/>
  <c r="B628" i="1"/>
  <c r="AL627" i="1"/>
  <c r="I627" i="1"/>
  <c r="H627" i="1"/>
  <c r="G627" i="1"/>
  <c r="F627" i="1"/>
  <c r="E627" i="1"/>
  <c r="D627" i="1"/>
  <c r="C627" i="1"/>
  <c r="B627" i="1"/>
  <c r="I626" i="1"/>
  <c r="H626" i="1"/>
  <c r="G626" i="1"/>
  <c r="F626" i="1"/>
  <c r="E626" i="1"/>
  <c r="D626" i="1"/>
  <c r="C626" i="1"/>
  <c r="B626" i="1"/>
  <c r="I625" i="1"/>
  <c r="H625" i="1"/>
  <c r="G625" i="1"/>
  <c r="F625" i="1"/>
  <c r="E625" i="1"/>
  <c r="D625" i="1"/>
  <c r="C625" i="1"/>
  <c r="B625" i="1"/>
  <c r="I624" i="1"/>
  <c r="H624" i="1"/>
  <c r="G624" i="1"/>
  <c r="F624" i="1"/>
  <c r="E624" i="1"/>
  <c r="D624" i="1"/>
  <c r="C624" i="1"/>
  <c r="B624" i="1"/>
  <c r="AL623" i="1"/>
  <c r="I623" i="1"/>
  <c r="H623" i="1"/>
  <c r="G623" i="1"/>
  <c r="F623" i="1"/>
  <c r="E623" i="1"/>
  <c r="D623" i="1"/>
  <c r="C623" i="1"/>
  <c r="B623" i="1"/>
  <c r="I622" i="1"/>
  <c r="H622" i="1"/>
  <c r="G622" i="1"/>
  <c r="F622" i="1"/>
  <c r="E622" i="1"/>
  <c r="D622" i="1"/>
  <c r="C622" i="1"/>
  <c r="B622" i="1"/>
  <c r="I621" i="1"/>
  <c r="H621" i="1"/>
  <c r="G621" i="1"/>
  <c r="F621" i="1"/>
  <c r="E621" i="1"/>
  <c r="D621" i="1"/>
  <c r="C621" i="1"/>
  <c r="B621" i="1"/>
  <c r="I620" i="1"/>
  <c r="H620" i="1"/>
  <c r="G620" i="1"/>
  <c r="F620" i="1"/>
  <c r="E620" i="1"/>
  <c r="D620" i="1"/>
  <c r="C620" i="1"/>
  <c r="B620" i="1"/>
  <c r="AL619" i="1"/>
  <c r="I619" i="1"/>
  <c r="H619" i="1"/>
  <c r="G619" i="1"/>
  <c r="F619" i="1"/>
  <c r="E619" i="1"/>
  <c r="D619" i="1"/>
  <c r="C619" i="1"/>
  <c r="B619" i="1"/>
  <c r="I618" i="1"/>
  <c r="H618" i="1"/>
  <c r="G618" i="1"/>
  <c r="F618" i="1"/>
  <c r="E618" i="1"/>
  <c r="D618" i="1"/>
  <c r="C618" i="1"/>
  <c r="B618" i="1"/>
  <c r="AL617" i="1"/>
  <c r="I617" i="1"/>
  <c r="H617" i="1"/>
  <c r="G617" i="1"/>
  <c r="F617" i="1"/>
  <c r="E617" i="1"/>
  <c r="D617" i="1"/>
  <c r="C617" i="1"/>
  <c r="B617" i="1"/>
  <c r="I616" i="1"/>
  <c r="H616" i="1"/>
  <c r="G616" i="1"/>
  <c r="F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I614" i="1"/>
  <c r="H614" i="1"/>
  <c r="G614" i="1"/>
  <c r="F614" i="1"/>
  <c r="E614" i="1"/>
  <c r="D614" i="1"/>
  <c r="C614" i="1"/>
  <c r="B614" i="1"/>
  <c r="I613" i="1"/>
  <c r="H613" i="1"/>
  <c r="G613" i="1"/>
  <c r="F613" i="1"/>
  <c r="E613" i="1"/>
  <c r="D613" i="1"/>
  <c r="C613" i="1"/>
  <c r="B613" i="1"/>
  <c r="I612" i="1"/>
  <c r="H612" i="1"/>
  <c r="G612" i="1"/>
  <c r="F612" i="1"/>
  <c r="E612" i="1"/>
  <c r="D612" i="1"/>
  <c r="C612" i="1"/>
  <c r="B612" i="1"/>
  <c r="I611" i="1"/>
  <c r="H611" i="1"/>
  <c r="G611" i="1"/>
  <c r="F611" i="1"/>
  <c r="E611" i="1"/>
  <c r="D611" i="1"/>
  <c r="C611" i="1"/>
  <c r="B611" i="1"/>
  <c r="AL610" i="1"/>
  <c r="I610" i="1"/>
  <c r="H610" i="1"/>
  <c r="G610" i="1"/>
  <c r="F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AL608" i="1"/>
  <c r="I608" i="1"/>
  <c r="H608" i="1"/>
  <c r="G608" i="1"/>
  <c r="F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I606" i="1"/>
  <c r="H606" i="1"/>
  <c r="G606" i="1"/>
  <c r="F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AL604" i="1"/>
  <c r="I604" i="1"/>
  <c r="H604" i="1"/>
  <c r="G604" i="1"/>
  <c r="F604" i="1"/>
  <c r="E604" i="1"/>
  <c r="D604" i="1"/>
  <c r="C604" i="1"/>
  <c r="B604" i="1"/>
  <c r="I603" i="1"/>
  <c r="H603" i="1"/>
  <c r="G603" i="1"/>
  <c r="F603" i="1"/>
  <c r="E603" i="1"/>
  <c r="D603" i="1"/>
  <c r="C603" i="1"/>
  <c r="B603" i="1"/>
  <c r="I602" i="1"/>
  <c r="H602" i="1"/>
  <c r="G602" i="1"/>
  <c r="F602" i="1"/>
  <c r="E602" i="1"/>
  <c r="D602" i="1"/>
  <c r="C602" i="1"/>
  <c r="B602" i="1"/>
  <c r="AL601" i="1"/>
  <c r="I601" i="1"/>
  <c r="H601" i="1"/>
  <c r="G601" i="1"/>
  <c r="F601" i="1"/>
  <c r="E601" i="1"/>
  <c r="D601" i="1"/>
  <c r="C601" i="1"/>
  <c r="B601" i="1"/>
  <c r="I600" i="1"/>
  <c r="H600" i="1"/>
  <c r="G600" i="1"/>
  <c r="F600" i="1"/>
  <c r="E600" i="1"/>
  <c r="D600" i="1"/>
  <c r="C600" i="1"/>
  <c r="B600" i="1"/>
  <c r="I599" i="1"/>
  <c r="H599" i="1"/>
  <c r="G599" i="1"/>
  <c r="F599" i="1"/>
  <c r="E599" i="1"/>
  <c r="D599" i="1"/>
  <c r="C599" i="1"/>
  <c r="B599" i="1"/>
  <c r="I598" i="1"/>
  <c r="H598" i="1"/>
  <c r="G598" i="1"/>
  <c r="F598" i="1"/>
  <c r="E598" i="1"/>
  <c r="D598" i="1"/>
  <c r="C598" i="1"/>
  <c r="B598" i="1"/>
  <c r="I597" i="1"/>
  <c r="H597" i="1"/>
  <c r="G597" i="1"/>
  <c r="F597" i="1"/>
  <c r="E597" i="1"/>
  <c r="D597" i="1"/>
  <c r="C597" i="1"/>
  <c r="B597" i="1"/>
  <c r="I596" i="1"/>
  <c r="H596" i="1"/>
  <c r="G596" i="1"/>
  <c r="F596" i="1"/>
  <c r="E596" i="1"/>
  <c r="D596" i="1"/>
  <c r="C596" i="1"/>
  <c r="B596" i="1"/>
  <c r="I595" i="1"/>
  <c r="H595" i="1"/>
  <c r="G595" i="1"/>
  <c r="F595" i="1"/>
  <c r="E595" i="1"/>
  <c r="D595" i="1"/>
  <c r="C595" i="1"/>
  <c r="B595" i="1"/>
  <c r="I594" i="1"/>
  <c r="H594" i="1"/>
  <c r="G594" i="1"/>
  <c r="F594" i="1"/>
  <c r="E594" i="1"/>
  <c r="D594" i="1"/>
  <c r="C594" i="1"/>
  <c r="B594" i="1"/>
  <c r="I593" i="1"/>
  <c r="H593" i="1"/>
  <c r="G593" i="1"/>
  <c r="F593" i="1"/>
  <c r="E593" i="1"/>
  <c r="D593" i="1"/>
  <c r="C593" i="1"/>
  <c r="B593" i="1"/>
  <c r="I592" i="1"/>
  <c r="H592" i="1"/>
  <c r="G592" i="1"/>
  <c r="F592" i="1"/>
  <c r="E592" i="1"/>
  <c r="D592" i="1"/>
  <c r="C592" i="1"/>
  <c r="B592" i="1"/>
  <c r="I591" i="1"/>
  <c r="H591" i="1"/>
  <c r="G591" i="1"/>
  <c r="F591" i="1"/>
  <c r="E591" i="1"/>
  <c r="D591" i="1"/>
  <c r="C591" i="1"/>
  <c r="B591" i="1"/>
  <c r="I590" i="1"/>
  <c r="H590" i="1"/>
  <c r="G590" i="1"/>
  <c r="F590" i="1"/>
  <c r="E590" i="1"/>
  <c r="D590" i="1"/>
  <c r="C590" i="1"/>
  <c r="B590" i="1"/>
  <c r="I589" i="1"/>
  <c r="H589" i="1"/>
  <c r="G589" i="1"/>
  <c r="F589" i="1"/>
  <c r="E589" i="1"/>
  <c r="D589" i="1"/>
  <c r="C589" i="1"/>
  <c r="B589" i="1"/>
  <c r="I588" i="1"/>
  <c r="H588" i="1"/>
  <c r="G588" i="1"/>
  <c r="F588" i="1"/>
  <c r="E588" i="1"/>
  <c r="D588" i="1"/>
  <c r="C588" i="1"/>
  <c r="B588" i="1"/>
  <c r="I587" i="1"/>
  <c r="H587" i="1"/>
  <c r="G587" i="1"/>
  <c r="F587" i="1"/>
  <c r="E587" i="1"/>
  <c r="D587" i="1"/>
  <c r="C587" i="1"/>
  <c r="B587" i="1"/>
  <c r="I586" i="1"/>
  <c r="H586" i="1"/>
  <c r="G586" i="1"/>
  <c r="F586" i="1"/>
  <c r="E586" i="1"/>
  <c r="D586" i="1"/>
  <c r="C586" i="1"/>
  <c r="B586" i="1"/>
  <c r="I585" i="1"/>
  <c r="H585" i="1"/>
  <c r="G585" i="1"/>
  <c r="F585" i="1"/>
  <c r="E585" i="1"/>
  <c r="D585" i="1"/>
  <c r="C585" i="1"/>
  <c r="B585" i="1"/>
  <c r="I584" i="1"/>
  <c r="H584" i="1"/>
  <c r="G584" i="1"/>
  <c r="F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I582" i="1"/>
  <c r="H582" i="1"/>
  <c r="G582" i="1"/>
  <c r="F582" i="1"/>
  <c r="E582" i="1"/>
  <c r="D582" i="1"/>
  <c r="C582" i="1"/>
  <c r="B582" i="1"/>
  <c r="I581" i="1"/>
  <c r="H581" i="1"/>
  <c r="G581" i="1"/>
  <c r="F581" i="1"/>
  <c r="E581" i="1"/>
  <c r="D581" i="1"/>
  <c r="C581" i="1"/>
  <c r="B581" i="1"/>
  <c r="I580" i="1"/>
  <c r="H580" i="1"/>
  <c r="G580" i="1"/>
  <c r="F580" i="1"/>
  <c r="E580" i="1"/>
  <c r="D580" i="1"/>
  <c r="C580" i="1"/>
  <c r="B580" i="1"/>
  <c r="I579" i="1"/>
  <c r="H579" i="1"/>
  <c r="G579" i="1"/>
  <c r="F579" i="1"/>
  <c r="E579" i="1"/>
  <c r="D579" i="1"/>
  <c r="C579" i="1"/>
  <c r="B579" i="1"/>
  <c r="I578" i="1"/>
  <c r="H578" i="1"/>
  <c r="G578" i="1"/>
  <c r="F578" i="1"/>
  <c r="E578" i="1"/>
  <c r="D578" i="1"/>
  <c r="C578" i="1"/>
  <c r="B578" i="1"/>
  <c r="I577" i="1"/>
  <c r="H577" i="1"/>
  <c r="G577" i="1"/>
  <c r="F577" i="1"/>
  <c r="E577" i="1"/>
  <c r="D577" i="1"/>
  <c r="C577" i="1"/>
  <c r="B577" i="1"/>
  <c r="I576" i="1"/>
  <c r="H576" i="1"/>
  <c r="G576" i="1"/>
  <c r="F576" i="1"/>
  <c r="E576" i="1"/>
  <c r="D576" i="1"/>
  <c r="C576" i="1"/>
  <c r="B576" i="1"/>
  <c r="I575" i="1"/>
  <c r="H575" i="1"/>
  <c r="G575" i="1"/>
  <c r="F575" i="1"/>
  <c r="E575" i="1"/>
  <c r="D575" i="1"/>
  <c r="C575" i="1"/>
  <c r="B575" i="1"/>
  <c r="I574" i="1"/>
  <c r="H574" i="1"/>
  <c r="G574" i="1"/>
  <c r="F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I572" i="1"/>
  <c r="H572" i="1"/>
  <c r="G572" i="1"/>
  <c r="F572" i="1"/>
  <c r="E572" i="1"/>
  <c r="D572" i="1"/>
  <c r="C572" i="1"/>
  <c r="B572" i="1"/>
  <c r="I571" i="1"/>
  <c r="H571" i="1"/>
  <c r="G571" i="1"/>
  <c r="F571" i="1"/>
  <c r="E571" i="1"/>
  <c r="D571" i="1"/>
  <c r="C571" i="1"/>
  <c r="B571" i="1"/>
  <c r="I570" i="1"/>
  <c r="H570" i="1"/>
  <c r="G570" i="1"/>
  <c r="F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I568" i="1"/>
  <c r="H568" i="1"/>
  <c r="G568" i="1"/>
  <c r="F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I566" i="1"/>
  <c r="H566" i="1"/>
  <c r="G566" i="1"/>
  <c r="F566" i="1"/>
  <c r="E566" i="1"/>
  <c r="D566" i="1"/>
  <c r="C566" i="1"/>
  <c r="B566" i="1"/>
  <c r="I565" i="1"/>
  <c r="H565" i="1"/>
  <c r="G565" i="1"/>
  <c r="F565" i="1"/>
  <c r="E565" i="1"/>
  <c r="D565" i="1"/>
  <c r="C565" i="1"/>
  <c r="B565" i="1"/>
  <c r="I564" i="1"/>
  <c r="H564" i="1"/>
  <c r="G564" i="1"/>
  <c r="F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I562" i="1"/>
  <c r="H562" i="1"/>
  <c r="G562" i="1"/>
  <c r="F562" i="1"/>
  <c r="E562" i="1"/>
  <c r="D562" i="1"/>
  <c r="C562" i="1"/>
  <c r="B562" i="1"/>
  <c r="I561" i="1"/>
  <c r="H561" i="1"/>
  <c r="G561" i="1"/>
  <c r="F561" i="1"/>
  <c r="E561" i="1"/>
  <c r="D561" i="1"/>
  <c r="C561" i="1"/>
  <c r="B561" i="1"/>
  <c r="I560" i="1"/>
  <c r="H560" i="1"/>
  <c r="G560" i="1"/>
  <c r="F560" i="1"/>
  <c r="E560" i="1"/>
  <c r="D560" i="1"/>
  <c r="C560" i="1"/>
  <c r="B560" i="1"/>
  <c r="I559" i="1"/>
  <c r="H559" i="1"/>
  <c r="G559" i="1"/>
  <c r="F559" i="1"/>
  <c r="E559" i="1"/>
  <c r="D559" i="1"/>
  <c r="C559" i="1"/>
  <c r="B559" i="1"/>
  <c r="I558" i="1"/>
  <c r="H558" i="1"/>
  <c r="G558" i="1"/>
  <c r="F558" i="1"/>
  <c r="E558" i="1"/>
  <c r="D558" i="1"/>
  <c r="C558" i="1"/>
  <c r="B558" i="1"/>
  <c r="I557" i="1"/>
  <c r="H557" i="1"/>
  <c r="G557" i="1"/>
  <c r="F557" i="1"/>
  <c r="E557" i="1"/>
  <c r="D557" i="1"/>
  <c r="C557" i="1"/>
  <c r="B557" i="1"/>
  <c r="I556" i="1"/>
  <c r="H556" i="1"/>
  <c r="G556" i="1"/>
  <c r="F556" i="1"/>
  <c r="E556" i="1"/>
  <c r="D556" i="1"/>
  <c r="C556" i="1"/>
  <c r="B556" i="1"/>
  <c r="I555" i="1"/>
  <c r="H555" i="1"/>
  <c r="G555" i="1"/>
  <c r="F555" i="1"/>
  <c r="E555" i="1"/>
  <c r="D555" i="1"/>
  <c r="C555" i="1"/>
  <c r="B555" i="1"/>
  <c r="I554" i="1"/>
  <c r="H554" i="1"/>
  <c r="G554" i="1"/>
  <c r="F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I552" i="1"/>
  <c r="H552" i="1"/>
  <c r="G552" i="1"/>
  <c r="F552" i="1"/>
  <c r="E552" i="1"/>
  <c r="D552" i="1"/>
  <c r="C552" i="1"/>
  <c r="B552" i="1"/>
  <c r="I551" i="1"/>
  <c r="H551" i="1"/>
  <c r="G551" i="1"/>
  <c r="F551" i="1"/>
  <c r="E551" i="1"/>
  <c r="D551" i="1"/>
  <c r="C551" i="1"/>
  <c r="B551" i="1"/>
  <c r="I550" i="1"/>
  <c r="H550" i="1"/>
  <c r="G550" i="1"/>
  <c r="F550" i="1"/>
  <c r="E550" i="1"/>
  <c r="D550" i="1"/>
  <c r="C550" i="1"/>
  <c r="B550" i="1"/>
  <c r="I549" i="1"/>
  <c r="H549" i="1"/>
  <c r="G549" i="1"/>
  <c r="F549" i="1"/>
  <c r="E549" i="1"/>
  <c r="D549" i="1"/>
  <c r="C549" i="1"/>
  <c r="B549" i="1"/>
  <c r="I548" i="1"/>
  <c r="H548" i="1"/>
  <c r="G548" i="1"/>
  <c r="F548" i="1"/>
  <c r="E548" i="1"/>
  <c r="D548" i="1"/>
  <c r="C548" i="1"/>
  <c r="B548" i="1"/>
  <c r="I547" i="1"/>
  <c r="H547" i="1"/>
  <c r="G547" i="1"/>
  <c r="F547" i="1"/>
  <c r="E547" i="1"/>
  <c r="D547" i="1"/>
  <c r="C547" i="1"/>
  <c r="B547" i="1"/>
  <c r="I546" i="1"/>
  <c r="H546" i="1"/>
  <c r="G546" i="1"/>
  <c r="F546" i="1"/>
  <c r="E546" i="1"/>
  <c r="D546" i="1"/>
  <c r="C546" i="1"/>
  <c r="B546" i="1"/>
  <c r="I545" i="1"/>
  <c r="H545" i="1"/>
  <c r="G545" i="1"/>
  <c r="F545" i="1"/>
  <c r="E545" i="1"/>
  <c r="D545" i="1"/>
  <c r="C545" i="1"/>
  <c r="B545" i="1"/>
  <c r="I544" i="1"/>
  <c r="H544" i="1"/>
  <c r="G544" i="1"/>
  <c r="F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I542" i="1"/>
  <c r="H542" i="1"/>
  <c r="G542" i="1"/>
  <c r="F542" i="1"/>
  <c r="E542" i="1"/>
  <c r="D542" i="1"/>
  <c r="C542" i="1"/>
  <c r="B542" i="1"/>
  <c r="I541" i="1"/>
  <c r="H541" i="1"/>
  <c r="G541" i="1"/>
  <c r="F541" i="1"/>
  <c r="E541" i="1"/>
  <c r="D541" i="1"/>
  <c r="C541" i="1"/>
  <c r="B541" i="1"/>
  <c r="I540" i="1"/>
  <c r="H540" i="1"/>
  <c r="G540" i="1"/>
  <c r="F540" i="1"/>
  <c r="E540" i="1"/>
  <c r="D540" i="1"/>
  <c r="C540" i="1"/>
  <c r="B540" i="1"/>
  <c r="I539" i="1"/>
  <c r="H539" i="1"/>
  <c r="G539" i="1"/>
  <c r="F539" i="1"/>
  <c r="E539" i="1"/>
  <c r="D539" i="1"/>
  <c r="C539" i="1"/>
  <c r="B539" i="1"/>
  <c r="I538" i="1"/>
  <c r="H538" i="1"/>
  <c r="G538" i="1"/>
  <c r="F538" i="1"/>
  <c r="E538" i="1"/>
  <c r="D538" i="1"/>
  <c r="C538" i="1"/>
  <c r="B538" i="1"/>
  <c r="I537" i="1"/>
  <c r="H537" i="1"/>
  <c r="G537" i="1"/>
  <c r="F537" i="1"/>
  <c r="E537" i="1"/>
  <c r="D537" i="1"/>
  <c r="C537" i="1"/>
  <c r="B537" i="1"/>
  <c r="I536" i="1"/>
  <c r="H536" i="1"/>
  <c r="G536" i="1"/>
  <c r="F536" i="1"/>
  <c r="E536" i="1"/>
  <c r="D536" i="1"/>
  <c r="C536" i="1"/>
  <c r="B536" i="1"/>
  <c r="I535" i="1"/>
  <c r="H535" i="1"/>
  <c r="G535" i="1"/>
  <c r="F535" i="1"/>
  <c r="E535" i="1"/>
  <c r="D535" i="1"/>
  <c r="C535" i="1"/>
  <c r="B535" i="1"/>
  <c r="I534" i="1"/>
  <c r="H534" i="1"/>
  <c r="G534" i="1"/>
  <c r="F534" i="1"/>
  <c r="E534" i="1"/>
  <c r="D534" i="1"/>
  <c r="C534" i="1"/>
  <c r="B534" i="1"/>
  <c r="I533" i="1"/>
  <c r="H533" i="1"/>
  <c r="G533" i="1"/>
  <c r="F533" i="1"/>
  <c r="E533" i="1"/>
  <c r="D533" i="1"/>
  <c r="C533" i="1"/>
  <c r="B533" i="1"/>
  <c r="I532" i="1"/>
  <c r="H532" i="1"/>
  <c r="G532" i="1"/>
  <c r="F532" i="1"/>
  <c r="E532" i="1"/>
  <c r="D532" i="1"/>
  <c r="C532" i="1"/>
  <c r="B532" i="1"/>
  <c r="I531" i="1"/>
  <c r="H531" i="1"/>
  <c r="G531" i="1"/>
  <c r="F531" i="1"/>
  <c r="E531" i="1"/>
  <c r="D531" i="1"/>
  <c r="C531" i="1"/>
  <c r="B531" i="1"/>
  <c r="I530" i="1"/>
  <c r="H530" i="1"/>
  <c r="G530" i="1"/>
  <c r="F530" i="1"/>
  <c r="E530" i="1"/>
  <c r="D530" i="1"/>
  <c r="C530" i="1"/>
  <c r="B530" i="1"/>
  <c r="I529" i="1"/>
  <c r="H529" i="1"/>
  <c r="G529" i="1"/>
  <c r="F529" i="1"/>
  <c r="E529" i="1"/>
  <c r="D529" i="1"/>
  <c r="C529" i="1"/>
  <c r="B529" i="1"/>
  <c r="I528" i="1"/>
  <c r="H528" i="1"/>
  <c r="G528" i="1"/>
  <c r="F528" i="1"/>
  <c r="E528" i="1"/>
  <c r="D528" i="1"/>
  <c r="C528" i="1"/>
  <c r="B528" i="1"/>
  <c r="I527" i="1"/>
  <c r="H527" i="1"/>
  <c r="G527" i="1"/>
  <c r="F527" i="1"/>
  <c r="E527" i="1"/>
  <c r="D527" i="1"/>
  <c r="C527" i="1"/>
  <c r="B527" i="1"/>
  <c r="I526" i="1"/>
  <c r="H526" i="1"/>
  <c r="G526" i="1"/>
  <c r="F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I524" i="1"/>
  <c r="H524" i="1"/>
  <c r="G524" i="1"/>
  <c r="F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I522" i="1"/>
  <c r="H522" i="1"/>
  <c r="G522" i="1"/>
  <c r="F522" i="1"/>
  <c r="E522" i="1"/>
  <c r="D522" i="1"/>
  <c r="C522" i="1"/>
  <c r="B522" i="1"/>
  <c r="I521" i="1"/>
  <c r="H521" i="1"/>
  <c r="G521" i="1"/>
  <c r="F521" i="1"/>
  <c r="E521" i="1"/>
  <c r="D521" i="1"/>
  <c r="C521" i="1"/>
  <c r="B521" i="1"/>
  <c r="I520" i="1"/>
  <c r="H520" i="1"/>
  <c r="G520" i="1"/>
  <c r="F520" i="1"/>
  <c r="E520" i="1"/>
  <c r="D520" i="1"/>
  <c r="C520" i="1"/>
  <c r="B520" i="1"/>
  <c r="I519" i="1"/>
  <c r="H519" i="1"/>
  <c r="G519" i="1"/>
  <c r="F519" i="1"/>
  <c r="E519" i="1"/>
  <c r="D519" i="1"/>
  <c r="C519" i="1"/>
  <c r="B519" i="1"/>
  <c r="I518" i="1"/>
  <c r="H518" i="1"/>
  <c r="G518" i="1"/>
  <c r="F518" i="1"/>
  <c r="E518" i="1"/>
  <c r="D518" i="1"/>
  <c r="C518" i="1"/>
  <c r="B518" i="1"/>
  <c r="I517" i="1"/>
  <c r="H517" i="1"/>
  <c r="G517" i="1"/>
  <c r="F517" i="1"/>
  <c r="E517" i="1"/>
  <c r="D517" i="1"/>
  <c r="C517" i="1"/>
  <c r="B517" i="1"/>
  <c r="I516" i="1"/>
  <c r="H516" i="1"/>
  <c r="G516" i="1"/>
  <c r="F516" i="1"/>
  <c r="E516" i="1"/>
  <c r="D516" i="1"/>
  <c r="C516" i="1"/>
  <c r="B516" i="1"/>
  <c r="I515" i="1"/>
  <c r="H515" i="1"/>
  <c r="G515" i="1"/>
  <c r="F515" i="1"/>
  <c r="E515" i="1"/>
  <c r="D515" i="1"/>
  <c r="C515" i="1"/>
  <c r="B515" i="1"/>
  <c r="I514" i="1"/>
  <c r="H514" i="1"/>
  <c r="G514" i="1"/>
  <c r="F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I512" i="1"/>
  <c r="H512" i="1"/>
  <c r="G512" i="1"/>
  <c r="F512" i="1"/>
  <c r="E512" i="1"/>
  <c r="D512" i="1"/>
  <c r="C512" i="1"/>
  <c r="B512" i="1"/>
  <c r="I511" i="1"/>
  <c r="H511" i="1"/>
  <c r="G511" i="1"/>
  <c r="F511" i="1"/>
  <c r="E511" i="1"/>
  <c r="D511" i="1"/>
  <c r="C511" i="1"/>
  <c r="B511" i="1"/>
  <c r="I510" i="1"/>
  <c r="H510" i="1"/>
  <c r="G510" i="1"/>
  <c r="F510" i="1"/>
  <c r="E510" i="1"/>
  <c r="D510" i="1"/>
  <c r="C510" i="1"/>
  <c r="B510" i="1"/>
  <c r="I509" i="1"/>
  <c r="H509" i="1"/>
  <c r="G509" i="1"/>
  <c r="F509" i="1"/>
  <c r="E509" i="1"/>
  <c r="D509" i="1"/>
  <c r="C509" i="1"/>
  <c r="B509" i="1"/>
  <c r="I508" i="1"/>
  <c r="H508" i="1"/>
  <c r="G508" i="1"/>
  <c r="F508" i="1"/>
  <c r="E508" i="1"/>
  <c r="D508" i="1"/>
  <c r="C508" i="1"/>
  <c r="B508" i="1"/>
  <c r="I507" i="1"/>
  <c r="H507" i="1"/>
  <c r="G507" i="1"/>
  <c r="F507" i="1"/>
  <c r="E507" i="1"/>
  <c r="D507" i="1"/>
  <c r="C507" i="1"/>
  <c r="B507" i="1"/>
  <c r="I506" i="1"/>
  <c r="H506" i="1"/>
  <c r="G506" i="1"/>
  <c r="F506" i="1"/>
  <c r="E506" i="1"/>
  <c r="D506" i="1"/>
  <c r="C506" i="1"/>
  <c r="B506" i="1"/>
  <c r="I505" i="1"/>
  <c r="H505" i="1"/>
  <c r="G505" i="1"/>
  <c r="F505" i="1"/>
  <c r="E505" i="1"/>
  <c r="D505" i="1"/>
  <c r="C505" i="1"/>
  <c r="B505" i="1"/>
  <c r="I504" i="1"/>
  <c r="H504" i="1"/>
  <c r="G504" i="1"/>
  <c r="F504" i="1"/>
  <c r="E504" i="1"/>
  <c r="D504" i="1"/>
  <c r="C504" i="1"/>
  <c r="B504" i="1"/>
  <c r="I503" i="1"/>
  <c r="H503" i="1"/>
  <c r="G503" i="1"/>
  <c r="F503" i="1"/>
  <c r="E503" i="1"/>
  <c r="D503" i="1"/>
  <c r="C503" i="1"/>
  <c r="B503" i="1"/>
  <c r="I502" i="1"/>
  <c r="H502" i="1"/>
  <c r="G502" i="1"/>
  <c r="F502" i="1"/>
  <c r="E502" i="1"/>
  <c r="D502" i="1"/>
  <c r="C502" i="1"/>
  <c r="B502" i="1"/>
  <c r="I501" i="1"/>
  <c r="H501" i="1"/>
  <c r="G501" i="1"/>
  <c r="F501" i="1"/>
  <c r="E501" i="1"/>
  <c r="D501" i="1"/>
  <c r="C501" i="1"/>
  <c r="B501" i="1"/>
  <c r="I500" i="1"/>
  <c r="H500" i="1"/>
  <c r="G500" i="1"/>
  <c r="F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I498" i="1"/>
  <c r="H498" i="1"/>
  <c r="G498" i="1"/>
  <c r="F498" i="1"/>
  <c r="E498" i="1"/>
  <c r="D498" i="1"/>
  <c r="C498" i="1"/>
  <c r="B498" i="1"/>
  <c r="I497" i="1"/>
  <c r="H497" i="1"/>
  <c r="G497" i="1"/>
  <c r="F497" i="1"/>
  <c r="E497" i="1"/>
  <c r="D497" i="1"/>
  <c r="C497" i="1"/>
  <c r="B497" i="1"/>
  <c r="I496" i="1"/>
  <c r="H496" i="1"/>
  <c r="G496" i="1"/>
  <c r="F496" i="1"/>
  <c r="E496" i="1"/>
  <c r="D496" i="1"/>
  <c r="C496" i="1"/>
  <c r="B496" i="1"/>
  <c r="I495" i="1"/>
  <c r="H495" i="1"/>
  <c r="G495" i="1"/>
  <c r="F495" i="1"/>
  <c r="E495" i="1"/>
  <c r="D495" i="1"/>
  <c r="C495" i="1"/>
  <c r="B495" i="1"/>
  <c r="I494" i="1"/>
  <c r="H494" i="1"/>
  <c r="G494" i="1"/>
  <c r="F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I492" i="1"/>
  <c r="H492" i="1"/>
  <c r="G492" i="1"/>
  <c r="F492" i="1"/>
  <c r="E492" i="1"/>
  <c r="D492" i="1"/>
  <c r="C492" i="1"/>
  <c r="B492" i="1"/>
  <c r="I491" i="1"/>
  <c r="H491" i="1"/>
  <c r="G491" i="1"/>
  <c r="F491" i="1"/>
  <c r="E491" i="1"/>
  <c r="D491" i="1"/>
  <c r="C491" i="1"/>
  <c r="B491" i="1"/>
  <c r="I490" i="1"/>
  <c r="H490" i="1"/>
  <c r="G490" i="1"/>
  <c r="F490" i="1"/>
  <c r="E490" i="1"/>
  <c r="D490" i="1"/>
  <c r="C490" i="1"/>
  <c r="B490" i="1"/>
  <c r="I489" i="1"/>
  <c r="H489" i="1"/>
  <c r="G489" i="1"/>
  <c r="F489" i="1"/>
  <c r="E489" i="1"/>
  <c r="D489" i="1"/>
  <c r="C489" i="1"/>
  <c r="B489" i="1"/>
  <c r="I488" i="1"/>
  <c r="H488" i="1"/>
  <c r="G488" i="1"/>
  <c r="F488" i="1"/>
  <c r="E488" i="1"/>
  <c r="D488" i="1"/>
  <c r="C488" i="1"/>
  <c r="B488" i="1"/>
  <c r="I487" i="1"/>
  <c r="H487" i="1"/>
  <c r="G487" i="1"/>
  <c r="F487" i="1"/>
  <c r="E487" i="1"/>
  <c r="D487" i="1"/>
  <c r="C487" i="1"/>
  <c r="B487" i="1"/>
  <c r="I486" i="1"/>
  <c r="H486" i="1"/>
  <c r="G486" i="1"/>
  <c r="F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I484" i="1"/>
  <c r="H484" i="1"/>
  <c r="G484" i="1"/>
  <c r="F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I482" i="1"/>
  <c r="H482" i="1"/>
  <c r="G482" i="1"/>
  <c r="F482" i="1"/>
  <c r="E482" i="1"/>
  <c r="D482" i="1"/>
  <c r="C482" i="1"/>
  <c r="B482" i="1"/>
  <c r="AL481" i="1"/>
  <c r="I481" i="1"/>
  <c r="H481" i="1"/>
  <c r="G481" i="1"/>
  <c r="F481" i="1"/>
  <c r="E481" i="1"/>
  <c r="D481" i="1"/>
  <c r="C481" i="1"/>
  <c r="B481" i="1"/>
  <c r="I480" i="1"/>
  <c r="H480" i="1"/>
  <c r="G480" i="1"/>
  <c r="F480" i="1"/>
  <c r="E480" i="1"/>
  <c r="D480" i="1"/>
  <c r="C480" i="1"/>
  <c r="B480" i="1"/>
  <c r="I479" i="1"/>
  <c r="H479" i="1"/>
  <c r="G479" i="1"/>
  <c r="F479" i="1"/>
  <c r="E479" i="1"/>
  <c r="D479" i="1"/>
  <c r="C479" i="1"/>
  <c r="B479" i="1"/>
  <c r="I478" i="1"/>
  <c r="H478" i="1"/>
  <c r="G478" i="1"/>
  <c r="F478" i="1"/>
  <c r="E478" i="1"/>
  <c r="D478" i="1"/>
  <c r="C478" i="1"/>
  <c r="B478" i="1"/>
  <c r="I477" i="1"/>
  <c r="H477" i="1"/>
  <c r="G477" i="1"/>
  <c r="F477" i="1"/>
  <c r="E477" i="1"/>
  <c r="D477" i="1"/>
  <c r="C477" i="1"/>
  <c r="B477" i="1"/>
  <c r="AL476" i="1"/>
  <c r="I476" i="1"/>
  <c r="H476" i="1"/>
  <c r="G476" i="1"/>
  <c r="F476" i="1"/>
  <c r="E476" i="1"/>
  <c r="D476" i="1"/>
  <c r="C476" i="1"/>
  <c r="B476" i="1"/>
  <c r="AL475" i="1"/>
  <c r="I475" i="1"/>
  <c r="H475" i="1"/>
  <c r="G475" i="1"/>
  <c r="F475" i="1"/>
  <c r="E475" i="1"/>
  <c r="D475" i="1"/>
  <c r="C475" i="1"/>
  <c r="B475" i="1"/>
  <c r="AL474" i="1"/>
  <c r="I474" i="1"/>
  <c r="H474" i="1"/>
  <c r="G474" i="1"/>
  <c r="F474" i="1"/>
  <c r="E474" i="1"/>
  <c r="D474" i="1"/>
  <c r="C474" i="1"/>
  <c r="B474" i="1"/>
  <c r="AL473" i="1"/>
  <c r="I473" i="1"/>
  <c r="H473" i="1"/>
  <c r="G473" i="1"/>
  <c r="F473" i="1"/>
  <c r="E473" i="1"/>
  <c r="D473" i="1"/>
  <c r="C473" i="1"/>
  <c r="B473" i="1"/>
  <c r="AL472" i="1"/>
  <c r="I472" i="1"/>
  <c r="H472" i="1"/>
  <c r="G472" i="1"/>
  <c r="F472" i="1"/>
  <c r="E472" i="1"/>
  <c r="D472" i="1"/>
  <c r="C472" i="1"/>
  <c r="B472" i="1"/>
  <c r="AL471" i="1"/>
  <c r="I471" i="1"/>
  <c r="H471" i="1"/>
  <c r="G471" i="1"/>
  <c r="F471" i="1"/>
  <c r="E471" i="1"/>
  <c r="D471" i="1"/>
  <c r="C471" i="1"/>
  <c r="B471" i="1"/>
  <c r="AL470" i="1"/>
  <c r="I470" i="1"/>
  <c r="H470" i="1"/>
  <c r="G470" i="1"/>
  <c r="F470" i="1"/>
  <c r="E470" i="1"/>
  <c r="D470" i="1"/>
  <c r="C470" i="1"/>
  <c r="B470" i="1"/>
  <c r="I469" i="1"/>
  <c r="H469" i="1"/>
  <c r="G469" i="1"/>
  <c r="F469" i="1"/>
  <c r="E469" i="1"/>
  <c r="D469" i="1"/>
  <c r="C469" i="1"/>
  <c r="B469" i="1"/>
  <c r="I468" i="1"/>
  <c r="H468" i="1"/>
  <c r="G468" i="1"/>
  <c r="F468" i="1"/>
  <c r="E468" i="1"/>
  <c r="D468" i="1"/>
  <c r="C468" i="1"/>
  <c r="B468" i="1"/>
  <c r="I467" i="1"/>
  <c r="H467" i="1"/>
  <c r="G467" i="1"/>
  <c r="F467" i="1"/>
  <c r="E467" i="1"/>
  <c r="D467" i="1"/>
  <c r="C467" i="1"/>
  <c r="B467" i="1"/>
  <c r="I466" i="1"/>
  <c r="H466" i="1"/>
  <c r="G466" i="1"/>
  <c r="F466" i="1"/>
  <c r="E466" i="1"/>
  <c r="D466" i="1"/>
  <c r="C466" i="1"/>
  <c r="B466" i="1"/>
  <c r="AL465" i="1"/>
  <c r="I465" i="1"/>
  <c r="H465" i="1"/>
  <c r="G465" i="1"/>
  <c r="F465" i="1"/>
  <c r="E465" i="1"/>
  <c r="D465" i="1"/>
  <c r="C465" i="1"/>
  <c r="B465" i="1"/>
  <c r="AL464" i="1"/>
  <c r="I464" i="1"/>
  <c r="H464" i="1"/>
  <c r="G464" i="1"/>
  <c r="F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I462" i="1"/>
  <c r="H462" i="1"/>
  <c r="G462" i="1"/>
  <c r="F462" i="1"/>
  <c r="E462" i="1"/>
  <c r="D462" i="1"/>
  <c r="C462" i="1"/>
  <c r="B462" i="1"/>
  <c r="I461" i="1"/>
  <c r="H461" i="1"/>
  <c r="G461" i="1"/>
  <c r="F461" i="1"/>
  <c r="E461" i="1"/>
  <c r="D461" i="1"/>
  <c r="C461" i="1"/>
  <c r="B461" i="1"/>
  <c r="I460" i="1"/>
  <c r="H460" i="1"/>
  <c r="G460" i="1"/>
  <c r="F460" i="1"/>
  <c r="E460" i="1"/>
  <c r="D460" i="1"/>
  <c r="C460" i="1"/>
  <c r="B460" i="1"/>
  <c r="I459" i="1"/>
  <c r="H459" i="1"/>
  <c r="G459" i="1"/>
  <c r="F459" i="1"/>
  <c r="E459" i="1"/>
  <c r="D459" i="1"/>
  <c r="C459" i="1"/>
  <c r="B459" i="1"/>
  <c r="I458" i="1"/>
  <c r="H458" i="1"/>
  <c r="G458" i="1"/>
  <c r="F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AL456" i="1"/>
  <c r="I456" i="1"/>
  <c r="H456" i="1"/>
  <c r="G456" i="1"/>
  <c r="F456" i="1"/>
  <c r="E456" i="1"/>
  <c r="D456" i="1"/>
  <c r="C456" i="1"/>
  <c r="B456" i="1"/>
  <c r="AL455" i="1"/>
  <c r="I455" i="1"/>
  <c r="H455" i="1"/>
  <c r="G455" i="1"/>
  <c r="F455" i="1"/>
  <c r="E455" i="1"/>
  <c r="D455" i="1"/>
  <c r="C455" i="1"/>
  <c r="B455" i="1"/>
  <c r="AL454" i="1"/>
  <c r="I454" i="1"/>
  <c r="H454" i="1"/>
  <c r="G454" i="1"/>
  <c r="F454" i="1"/>
  <c r="E454" i="1"/>
  <c r="D454" i="1"/>
  <c r="C454" i="1"/>
  <c r="B454" i="1"/>
  <c r="AL453" i="1"/>
  <c r="I453" i="1"/>
  <c r="H453" i="1"/>
  <c r="G453" i="1"/>
  <c r="F453" i="1"/>
  <c r="E453" i="1"/>
  <c r="D453" i="1"/>
  <c r="C453" i="1"/>
  <c r="B453" i="1"/>
  <c r="I452" i="1"/>
  <c r="H452" i="1"/>
  <c r="G452" i="1"/>
  <c r="F452" i="1"/>
  <c r="E452" i="1"/>
  <c r="D452" i="1"/>
  <c r="C452" i="1"/>
  <c r="B452" i="1"/>
  <c r="I451" i="1"/>
  <c r="H451" i="1"/>
  <c r="G451" i="1"/>
  <c r="F451" i="1"/>
  <c r="E451" i="1"/>
  <c r="D451" i="1"/>
  <c r="C451" i="1"/>
  <c r="B451" i="1"/>
  <c r="I450" i="1"/>
  <c r="H450" i="1"/>
  <c r="G450" i="1"/>
  <c r="F450" i="1"/>
  <c r="E450" i="1"/>
  <c r="D450" i="1"/>
  <c r="C450" i="1"/>
  <c r="B450" i="1"/>
  <c r="AL449" i="1"/>
  <c r="I449" i="1"/>
  <c r="H449" i="1"/>
  <c r="G449" i="1"/>
  <c r="F449" i="1"/>
  <c r="E449" i="1"/>
  <c r="D449" i="1"/>
  <c r="C449" i="1"/>
  <c r="B449" i="1"/>
  <c r="I448" i="1"/>
  <c r="H448" i="1"/>
  <c r="G448" i="1"/>
  <c r="F448" i="1"/>
  <c r="E448" i="1"/>
  <c r="D448" i="1"/>
  <c r="C448" i="1"/>
  <c r="B448" i="1"/>
  <c r="I447" i="1"/>
  <c r="H447" i="1"/>
  <c r="G447" i="1"/>
  <c r="F447" i="1"/>
  <c r="E447" i="1"/>
  <c r="D447" i="1"/>
  <c r="C447" i="1"/>
  <c r="B447" i="1"/>
  <c r="I446" i="1"/>
  <c r="H446" i="1"/>
  <c r="G446" i="1"/>
  <c r="F446" i="1"/>
  <c r="E446" i="1"/>
  <c r="D446" i="1"/>
  <c r="C446" i="1"/>
  <c r="B446" i="1"/>
  <c r="AL445" i="1"/>
  <c r="I445" i="1"/>
  <c r="H445" i="1"/>
  <c r="G445" i="1"/>
  <c r="F445" i="1"/>
  <c r="E445" i="1"/>
  <c r="D445" i="1"/>
  <c r="C445" i="1"/>
  <c r="B445" i="1"/>
  <c r="I444" i="1"/>
  <c r="H444" i="1"/>
  <c r="G444" i="1"/>
  <c r="F444" i="1"/>
  <c r="E444" i="1"/>
  <c r="D444" i="1"/>
  <c r="C444" i="1"/>
  <c r="B444" i="1"/>
  <c r="I443" i="1"/>
  <c r="H443" i="1"/>
  <c r="G443" i="1"/>
  <c r="F443" i="1"/>
  <c r="E443" i="1"/>
  <c r="D443" i="1"/>
  <c r="C443" i="1"/>
  <c r="B443" i="1"/>
  <c r="I442" i="1"/>
  <c r="H442" i="1"/>
  <c r="G442" i="1"/>
  <c r="F442" i="1"/>
  <c r="E442" i="1"/>
  <c r="D442" i="1"/>
  <c r="C442" i="1"/>
  <c r="B442" i="1"/>
  <c r="I441" i="1"/>
  <c r="H441" i="1"/>
  <c r="G441" i="1"/>
  <c r="F441" i="1"/>
  <c r="E441" i="1"/>
  <c r="D441" i="1"/>
  <c r="C441" i="1"/>
  <c r="B441" i="1"/>
  <c r="I440" i="1"/>
  <c r="H440" i="1"/>
  <c r="G440" i="1"/>
  <c r="F440" i="1"/>
  <c r="E440" i="1"/>
  <c r="D440" i="1"/>
  <c r="C440" i="1"/>
  <c r="B440" i="1"/>
  <c r="I439" i="1"/>
  <c r="H439" i="1"/>
  <c r="G439" i="1"/>
  <c r="F439" i="1"/>
  <c r="E439" i="1"/>
  <c r="D439" i="1"/>
  <c r="C439" i="1"/>
  <c r="B439" i="1"/>
  <c r="I438" i="1"/>
  <c r="H438" i="1"/>
  <c r="G438" i="1"/>
  <c r="F438" i="1"/>
  <c r="E438" i="1"/>
  <c r="D438" i="1"/>
  <c r="C438" i="1"/>
  <c r="B438" i="1"/>
  <c r="I437" i="1"/>
  <c r="H437" i="1"/>
  <c r="G437" i="1"/>
  <c r="F437" i="1"/>
  <c r="E437" i="1"/>
  <c r="D437" i="1"/>
  <c r="C437" i="1"/>
  <c r="B437" i="1"/>
  <c r="I436" i="1"/>
  <c r="H436" i="1"/>
  <c r="G436" i="1"/>
  <c r="F436" i="1"/>
  <c r="E436" i="1"/>
  <c r="D436" i="1"/>
  <c r="C436" i="1"/>
  <c r="B436" i="1"/>
  <c r="I435" i="1"/>
  <c r="H435" i="1"/>
  <c r="G435" i="1"/>
  <c r="F435" i="1"/>
  <c r="E435" i="1"/>
  <c r="D435" i="1"/>
  <c r="C435" i="1"/>
  <c r="B435" i="1"/>
  <c r="I434" i="1"/>
  <c r="H434" i="1"/>
  <c r="G434" i="1"/>
  <c r="F434" i="1"/>
  <c r="E434" i="1"/>
  <c r="D434" i="1"/>
  <c r="C434" i="1"/>
  <c r="B434" i="1"/>
  <c r="AL433" i="1"/>
  <c r="I433" i="1"/>
  <c r="H433" i="1"/>
  <c r="G433" i="1"/>
  <c r="F433" i="1"/>
  <c r="E433" i="1"/>
  <c r="D433" i="1"/>
  <c r="C433" i="1"/>
  <c r="B433" i="1"/>
  <c r="I432" i="1"/>
  <c r="H432" i="1"/>
  <c r="G432" i="1"/>
  <c r="F432" i="1"/>
  <c r="E432" i="1"/>
  <c r="D432" i="1"/>
  <c r="C432" i="1"/>
  <c r="B432" i="1"/>
  <c r="I431" i="1"/>
  <c r="H431" i="1"/>
  <c r="G431" i="1"/>
  <c r="F431" i="1"/>
  <c r="E431" i="1"/>
  <c r="D431" i="1"/>
  <c r="C431" i="1"/>
  <c r="B431" i="1"/>
  <c r="I430" i="1"/>
  <c r="H430" i="1"/>
  <c r="G430" i="1"/>
  <c r="F430" i="1"/>
  <c r="E430" i="1"/>
  <c r="D430" i="1"/>
  <c r="C430" i="1"/>
  <c r="B430" i="1"/>
  <c r="AL429" i="1"/>
  <c r="I429" i="1"/>
  <c r="H429" i="1"/>
  <c r="G429" i="1"/>
  <c r="F429" i="1"/>
  <c r="E429" i="1"/>
  <c r="D429" i="1"/>
  <c r="C429" i="1"/>
  <c r="B429" i="1"/>
  <c r="I428" i="1"/>
  <c r="H428" i="1"/>
  <c r="G428" i="1"/>
  <c r="F428" i="1"/>
  <c r="E428" i="1"/>
  <c r="D428" i="1"/>
  <c r="C428" i="1"/>
  <c r="B428" i="1"/>
  <c r="I427" i="1"/>
  <c r="H427" i="1"/>
  <c r="G427" i="1"/>
  <c r="F427" i="1"/>
  <c r="E427" i="1"/>
  <c r="D427" i="1"/>
  <c r="C427" i="1"/>
  <c r="B427" i="1"/>
  <c r="I426" i="1"/>
  <c r="H426" i="1"/>
  <c r="G426" i="1"/>
  <c r="F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I424" i="1"/>
  <c r="H424" i="1"/>
  <c r="G424" i="1"/>
  <c r="F424" i="1"/>
  <c r="E424" i="1"/>
  <c r="D424" i="1"/>
  <c r="C424" i="1"/>
  <c r="B424" i="1"/>
  <c r="AL423" i="1"/>
  <c r="I423" i="1"/>
  <c r="H423" i="1"/>
  <c r="G423" i="1"/>
  <c r="F423" i="1"/>
  <c r="E423" i="1"/>
  <c r="D423" i="1"/>
  <c r="C423" i="1"/>
  <c r="B423" i="1"/>
  <c r="I422" i="1"/>
  <c r="H422" i="1"/>
  <c r="G422" i="1"/>
  <c r="F422" i="1"/>
  <c r="E422" i="1"/>
  <c r="D422" i="1"/>
  <c r="C422" i="1"/>
  <c r="B422" i="1"/>
  <c r="I421" i="1"/>
  <c r="H421" i="1"/>
  <c r="G421" i="1"/>
  <c r="F421" i="1"/>
  <c r="E421" i="1"/>
  <c r="D421" i="1"/>
  <c r="C421" i="1"/>
  <c r="B421" i="1"/>
  <c r="I420" i="1"/>
  <c r="H420" i="1"/>
  <c r="G420" i="1"/>
  <c r="F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I418" i="1"/>
  <c r="H418" i="1"/>
  <c r="G418" i="1"/>
  <c r="F418" i="1"/>
  <c r="E418" i="1"/>
  <c r="D418" i="1"/>
  <c r="C418" i="1"/>
  <c r="B418" i="1"/>
  <c r="AL417" i="1"/>
  <c r="I417" i="1"/>
  <c r="H417" i="1"/>
  <c r="G417" i="1"/>
  <c r="F417" i="1"/>
  <c r="E417" i="1"/>
  <c r="D417" i="1"/>
  <c r="C417" i="1"/>
  <c r="B417" i="1"/>
  <c r="I416" i="1"/>
  <c r="H416" i="1"/>
  <c r="G416" i="1"/>
  <c r="F416" i="1"/>
  <c r="E416" i="1"/>
  <c r="D416" i="1"/>
  <c r="C416" i="1"/>
  <c r="B416" i="1"/>
  <c r="I415" i="1"/>
  <c r="H415" i="1"/>
  <c r="G415" i="1"/>
  <c r="F415" i="1"/>
  <c r="E415" i="1"/>
  <c r="D415" i="1"/>
  <c r="C415" i="1"/>
  <c r="B415" i="1"/>
  <c r="I414" i="1"/>
  <c r="H414" i="1"/>
  <c r="G414" i="1"/>
  <c r="F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I412" i="1"/>
  <c r="H412" i="1"/>
  <c r="G412" i="1"/>
  <c r="F412" i="1"/>
  <c r="E412" i="1"/>
  <c r="D412" i="1"/>
  <c r="C412" i="1"/>
  <c r="B412" i="1"/>
  <c r="I411" i="1"/>
  <c r="H411" i="1"/>
  <c r="G411" i="1"/>
  <c r="F411" i="1"/>
  <c r="E411" i="1"/>
  <c r="D411" i="1"/>
  <c r="C411" i="1"/>
  <c r="B411" i="1"/>
  <c r="AL410" i="1"/>
  <c r="I410" i="1"/>
  <c r="H410" i="1"/>
  <c r="G410" i="1"/>
  <c r="F410" i="1"/>
  <c r="E410" i="1"/>
  <c r="D410" i="1"/>
  <c r="C410" i="1"/>
  <c r="B410" i="1"/>
  <c r="I409" i="1"/>
  <c r="H409" i="1"/>
  <c r="G409" i="1"/>
  <c r="F409" i="1"/>
  <c r="E409" i="1"/>
  <c r="D409" i="1"/>
  <c r="C409" i="1"/>
  <c r="B409" i="1"/>
  <c r="I408" i="1"/>
  <c r="H408" i="1"/>
  <c r="G408" i="1"/>
  <c r="F408" i="1"/>
  <c r="E408" i="1"/>
  <c r="D408" i="1"/>
  <c r="C408" i="1"/>
  <c r="B408" i="1"/>
  <c r="I407" i="1"/>
  <c r="H407" i="1"/>
  <c r="G407" i="1"/>
  <c r="F407" i="1"/>
  <c r="E407" i="1"/>
  <c r="D407" i="1"/>
  <c r="C407" i="1"/>
  <c r="B407" i="1"/>
  <c r="AL406" i="1"/>
  <c r="I406" i="1"/>
  <c r="H406" i="1"/>
  <c r="G406" i="1"/>
  <c r="F406" i="1"/>
  <c r="E406" i="1"/>
  <c r="D406" i="1"/>
  <c r="C406" i="1"/>
  <c r="B406" i="1"/>
  <c r="I405" i="1"/>
  <c r="H405" i="1"/>
  <c r="G405" i="1"/>
  <c r="F405" i="1"/>
  <c r="E405" i="1"/>
  <c r="D405" i="1"/>
  <c r="C405" i="1"/>
  <c r="B405" i="1"/>
  <c r="I404" i="1"/>
  <c r="H404" i="1"/>
  <c r="G404" i="1"/>
  <c r="F404" i="1"/>
  <c r="E404" i="1"/>
  <c r="D404" i="1"/>
  <c r="C404" i="1"/>
  <c r="B404" i="1"/>
  <c r="I403" i="1"/>
  <c r="H403" i="1"/>
  <c r="G403" i="1"/>
  <c r="F403" i="1"/>
  <c r="E403" i="1"/>
  <c r="D403" i="1"/>
  <c r="C403" i="1"/>
  <c r="B403" i="1"/>
  <c r="I402" i="1"/>
  <c r="H402" i="1"/>
  <c r="G402" i="1"/>
  <c r="F402" i="1"/>
  <c r="E402" i="1"/>
  <c r="D402" i="1"/>
  <c r="C402" i="1"/>
  <c r="B402" i="1"/>
  <c r="I401" i="1"/>
  <c r="H401" i="1"/>
  <c r="G401" i="1"/>
  <c r="F401" i="1"/>
  <c r="E401" i="1"/>
  <c r="D401" i="1"/>
  <c r="C401" i="1"/>
  <c r="B401" i="1"/>
  <c r="I400" i="1"/>
  <c r="H400" i="1"/>
  <c r="G400" i="1"/>
  <c r="F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I398" i="1"/>
  <c r="H398" i="1"/>
  <c r="G398" i="1"/>
  <c r="F398" i="1"/>
  <c r="E398" i="1"/>
  <c r="D398" i="1"/>
  <c r="C398" i="1"/>
  <c r="B398" i="1"/>
  <c r="I397" i="1"/>
  <c r="H397" i="1"/>
  <c r="G397" i="1"/>
  <c r="F397" i="1"/>
  <c r="E397" i="1"/>
  <c r="D397" i="1"/>
  <c r="C397" i="1"/>
  <c r="B397" i="1"/>
  <c r="I396" i="1"/>
  <c r="H396" i="1"/>
  <c r="G396" i="1"/>
  <c r="F396" i="1"/>
  <c r="E396" i="1"/>
  <c r="D396" i="1"/>
  <c r="C396" i="1"/>
  <c r="B396" i="1"/>
  <c r="I395" i="1"/>
  <c r="H395" i="1"/>
  <c r="G395" i="1"/>
  <c r="F395" i="1"/>
  <c r="E395" i="1"/>
  <c r="D395" i="1"/>
  <c r="C395" i="1"/>
  <c r="B395" i="1"/>
  <c r="AL394" i="1"/>
  <c r="I394" i="1"/>
  <c r="H394" i="1"/>
  <c r="G394" i="1"/>
  <c r="F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I392" i="1"/>
  <c r="H392" i="1"/>
  <c r="G392" i="1"/>
  <c r="F392" i="1"/>
  <c r="E392" i="1"/>
  <c r="D392" i="1"/>
  <c r="C392" i="1"/>
  <c r="B392" i="1"/>
  <c r="I391" i="1"/>
  <c r="H391" i="1"/>
  <c r="G391" i="1"/>
  <c r="F391" i="1"/>
  <c r="E391" i="1"/>
  <c r="D391" i="1"/>
  <c r="C391" i="1"/>
  <c r="B391" i="1"/>
  <c r="I390" i="1"/>
  <c r="H390" i="1"/>
  <c r="G390" i="1"/>
  <c r="F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I388" i="1"/>
  <c r="H388" i="1"/>
  <c r="G388" i="1"/>
  <c r="F388" i="1"/>
  <c r="E388" i="1"/>
  <c r="D388" i="1"/>
  <c r="C388" i="1"/>
  <c r="B388" i="1"/>
  <c r="I387" i="1"/>
  <c r="H387" i="1"/>
  <c r="G387" i="1"/>
  <c r="F387" i="1"/>
  <c r="E387" i="1"/>
  <c r="D387" i="1"/>
  <c r="C387" i="1"/>
  <c r="B387" i="1"/>
  <c r="I386" i="1"/>
  <c r="H386" i="1"/>
  <c r="G386" i="1"/>
  <c r="F386" i="1"/>
  <c r="E386" i="1"/>
  <c r="D386" i="1"/>
  <c r="C386" i="1"/>
  <c r="B386" i="1"/>
  <c r="I385" i="1"/>
  <c r="H385" i="1"/>
  <c r="G385" i="1"/>
  <c r="F385" i="1"/>
  <c r="E385" i="1"/>
  <c r="D385" i="1"/>
  <c r="C385" i="1"/>
  <c r="B385" i="1"/>
  <c r="I384" i="1"/>
  <c r="H384" i="1"/>
  <c r="G384" i="1"/>
  <c r="F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I382" i="1"/>
  <c r="H382" i="1"/>
  <c r="G382" i="1"/>
  <c r="F382" i="1"/>
  <c r="E382" i="1"/>
  <c r="D382" i="1"/>
  <c r="C382" i="1"/>
  <c r="B382" i="1"/>
  <c r="I381" i="1"/>
  <c r="H381" i="1"/>
  <c r="G381" i="1"/>
  <c r="F381" i="1"/>
  <c r="E381" i="1"/>
  <c r="D381" i="1"/>
  <c r="C381" i="1"/>
  <c r="B381" i="1"/>
  <c r="I380" i="1"/>
  <c r="H380" i="1"/>
  <c r="G380" i="1"/>
  <c r="F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I378" i="1"/>
  <c r="H378" i="1"/>
  <c r="G378" i="1"/>
  <c r="F378" i="1"/>
  <c r="E378" i="1"/>
  <c r="D378" i="1"/>
  <c r="C378" i="1"/>
  <c r="B378" i="1"/>
  <c r="I377" i="1"/>
  <c r="H377" i="1"/>
  <c r="G377" i="1"/>
  <c r="F377" i="1"/>
  <c r="E377" i="1"/>
  <c r="D377" i="1"/>
  <c r="C377" i="1"/>
  <c r="B377" i="1"/>
  <c r="I376" i="1"/>
  <c r="H376" i="1"/>
  <c r="G376" i="1"/>
  <c r="F376" i="1"/>
  <c r="E376" i="1"/>
  <c r="D376" i="1"/>
  <c r="C376" i="1"/>
  <c r="B376" i="1"/>
  <c r="I375" i="1"/>
  <c r="H375" i="1"/>
  <c r="G375" i="1"/>
  <c r="F375" i="1"/>
  <c r="E375" i="1"/>
  <c r="D375" i="1"/>
  <c r="C375" i="1"/>
  <c r="B375" i="1"/>
  <c r="I374" i="1"/>
  <c r="H374" i="1"/>
  <c r="G374" i="1"/>
  <c r="F374" i="1"/>
  <c r="E374" i="1"/>
  <c r="D374" i="1"/>
  <c r="C374" i="1"/>
  <c r="B374" i="1"/>
  <c r="AL373" i="1"/>
  <c r="I373" i="1"/>
  <c r="H373" i="1"/>
  <c r="G373" i="1"/>
  <c r="F373" i="1"/>
  <c r="E373" i="1"/>
  <c r="D373" i="1"/>
  <c r="C373" i="1"/>
  <c r="B373" i="1"/>
  <c r="I372" i="1"/>
  <c r="H372" i="1"/>
  <c r="G372" i="1"/>
  <c r="F372" i="1"/>
  <c r="E372" i="1"/>
  <c r="D372" i="1"/>
  <c r="C372" i="1"/>
  <c r="B372" i="1"/>
  <c r="AL371" i="1"/>
  <c r="I371" i="1"/>
  <c r="H371" i="1"/>
  <c r="G371" i="1"/>
  <c r="F371" i="1"/>
  <c r="E371" i="1"/>
  <c r="D371" i="1"/>
  <c r="C371" i="1"/>
  <c r="B371" i="1"/>
  <c r="I370" i="1"/>
  <c r="H370" i="1"/>
  <c r="G370" i="1"/>
  <c r="F370" i="1"/>
  <c r="E370" i="1"/>
  <c r="D370" i="1"/>
  <c r="C370" i="1"/>
  <c r="B370" i="1"/>
  <c r="I369" i="1"/>
  <c r="H369" i="1"/>
  <c r="G369" i="1"/>
  <c r="F369" i="1"/>
  <c r="E369" i="1"/>
  <c r="D369" i="1"/>
  <c r="C369" i="1"/>
  <c r="B369" i="1"/>
  <c r="I368" i="1"/>
  <c r="H368" i="1"/>
  <c r="G368" i="1"/>
  <c r="F368" i="1"/>
  <c r="E368" i="1"/>
  <c r="D368" i="1"/>
  <c r="C368" i="1"/>
  <c r="B368" i="1"/>
  <c r="I367" i="1"/>
  <c r="H367" i="1"/>
  <c r="G367" i="1"/>
  <c r="F367" i="1"/>
  <c r="E367" i="1"/>
  <c r="D367" i="1"/>
  <c r="C367" i="1"/>
  <c r="B367" i="1"/>
  <c r="I366" i="1"/>
  <c r="H366" i="1"/>
  <c r="G366" i="1"/>
  <c r="F366" i="1"/>
  <c r="E366" i="1"/>
  <c r="D366" i="1"/>
  <c r="C366" i="1"/>
  <c r="B366" i="1"/>
  <c r="I365" i="1"/>
  <c r="H365" i="1"/>
  <c r="G365" i="1"/>
  <c r="F365" i="1"/>
  <c r="E365" i="1"/>
  <c r="D365" i="1"/>
  <c r="C365" i="1"/>
  <c r="B365" i="1"/>
  <c r="I364" i="1"/>
  <c r="H364" i="1"/>
  <c r="G364" i="1"/>
  <c r="F364" i="1"/>
  <c r="E364" i="1"/>
  <c r="D364" i="1"/>
  <c r="C364" i="1"/>
  <c r="B364" i="1"/>
  <c r="I363" i="1"/>
  <c r="H363" i="1"/>
  <c r="G363" i="1"/>
  <c r="F363" i="1"/>
  <c r="E363" i="1"/>
  <c r="D363" i="1"/>
  <c r="C363" i="1"/>
  <c r="B363" i="1"/>
  <c r="I362" i="1"/>
  <c r="H362" i="1"/>
  <c r="G362" i="1"/>
  <c r="F362" i="1"/>
  <c r="E362" i="1"/>
  <c r="D362" i="1"/>
  <c r="C362" i="1"/>
  <c r="B362" i="1"/>
  <c r="I361" i="1"/>
  <c r="H361" i="1"/>
  <c r="G361" i="1"/>
  <c r="F361" i="1"/>
  <c r="E361" i="1"/>
  <c r="D361" i="1"/>
  <c r="C361" i="1"/>
  <c r="B361" i="1"/>
  <c r="AL360" i="1"/>
  <c r="I360" i="1"/>
  <c r="H360" i="1"/>
  <c r="G360" i="1"/>
  <c r="F360" i="1"/>
  <c r="E360" i="1"/>
  <c r="D360" i="1"/>
  <c r="C360" i="1"/>
  <c r="B360" i="1"/>
  <c r="I359" i="1"/>
  <c r="H359" i="1"/>
  <c r="G359" i="1"/>
  <c r="F359" i="1"/>
  <c r="E359" i="1"/>
  <c r="D359" i="1"/>
  <c r="C359" i="1"/>
  <c r="B359" i="1"/>
  <c r="I358" i="1"/>
  <c r="H358" i="1"/>
  <c r="G358" i="1"/>
  <c r="F358" i="1"/>
  <c r="E358" i="1"/>
  <c r="D358" i="1"/>
  <c r="C358" i="1"/>
  <c r="B358" i="1"/>
  <c r="I357" i="1"/>
  <c r="H357" i="1"/>
  <c r="G357" i="1"/>
  <c r="F357" i="1"/>
  <c r="E357" i="1"/>
  <c r="D357" i="1"/>
  <c r="C357" i="1"/>
  <c r="B357" i="1"/>
  <c r="I356" i="1"/>
  <c r="H356" i="1"/>
  <c r="G356" i="1"/>
  <c r="F356" i="1"/>
  <c r="E356" i="1"/>
  <c r="D356" i="1"/>
  <c r="C356" i="1"/>
  <c r="B356" i="1"/>
  <c r="I355" i="1"/>
  <c r="H355" i="1"/>
  <c r="G355" i="1"/>
  <c r="F355" i="1"/>
  <c r="E355" i="1"/>
  <c r="D355" i="1"/>
  <c r="C355" i="1"/>
  <c r="B355" i="1"/>
  <c r="AL354" i="1"/>
  <c r="I354" i="1"/>
  <c r="H354" i="1"/>
  <c r="G354" i="1"/>
  <c r="F354" i="1"/>
  <c r="E354" i="1"/>
  <c r="D354" i="1"/>
  <c r="C354" i="1"/>
  <c r="B354" i="1"/>
  <c r="I353" i="1"/>
  <c r="H353" i="1"/>
  <c r="G353" i="1"/>
  <c r="F353" i="1"/>
  <c r="E353" i="1"/>
  <c r="D353" i="1"/>
  <c r="C353" i="1"/>
  <c r="B353" i="1"/>
  <c r="I352" i="1"/>
  <c r="H352" i="1"/>
  <c r="G352" i="1"/>
  <c r="F352" i="1"/>
  <c r="E352" i="1"/>
  <c r="D352" i="1"/>
  <c r="C352" i="1"/>
  <c r="B352" i="1"/>
  <c r="I351" i="1"/>
  <c r="H351" i="1"/>
  <c r="G351" i="1"/>
  <c r="F351" i="1"/>
  <c r="E351" i="1"/>
  <c r="D351" i="1"/>
  <c r="C351" i="1"/>
  <c r="B351" i="1"/>
  <c r="AL350" i="1"/>
  <c r="I350" i="1"/>
  <c r="H350" i="1"/>
  <c r="G350" i="1"/>
  <c r="F350" i="1"/>
  <c r="E350" i="1"/>
  <c r="D350" i="1"/>
  <c r="C350" i="1"/>
  <c r="B350" i="1"/>
  <c r="I349" i="1"/>
  <c r="H349" i="1"/>
  <c r="G349" i="1"/>
  <c r="F349" i="1"/>
  <c r="E349" i="1"/>
  <c r="D349" i="1"/>
  <c r="C349" i="1"/>
  <c r="B349" i="1"/>
  <c r="I348" i="1"/>
  <c r="H348" i="1"/>
  <c r="G348" i="1"/>
  <c r="F348" i="1"/>
  <c r="E348" i="1"/>
  <c r="D348" i="1"/>
  <c r="C348" i="1"/>
  <c r="B348" i="1"/>
  <c r="I347" i="1"/>
  <c r="H347" i="1"/>
  <c r="G347" i="1"/>
  <c r="F347" i="1"/>
  <c r="E347" i="1"/>
  <c r="D347" i="1"/>
  <c r="C347" i="1"/>
  <c r="B347" i="1"/>
  <c r="I346" i="1"/>
  <c r="H346" i="1"/>
  <c r="G346" i="1"/>
  <c r="F346" i="1"/>
  <c r="E346" i="1"/>
  <c r="D346" i="1"/>
  <c r="C346" i="1"/>
  <c r="B346" i="1"/>
  <c r="I345" i="1"/>
  <c r="H345" i="1"/>
  <c r="G345" i="1"/>
  <c r="F345" i="1"/>
  <c r="E345" i="1"/>
  <c r="D345" i="1"/>
  <c r="C345" i="1"/>
  <c r="B345" i="1"/>
  <c r="I344" i="1"/>
  <c r="H344" i="1"/>
  <c r="G344" i="1"/>
  <c r="F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AL342" i="1"/>
  <c r="I342" i="1"/>
  <c r="H342" i="1"/>
  <c r="G342" i="1"/>
  <c r="F342" i="1"/>
  <c r="E342" i="1"/>
  <c r="D342" i="1"/>
  <c r="C342" i="1"/>
  <c r="B342" i="1"/>
  <c r="I341" i="1"/>
  <c r="H341" i="1"/>
  <c r="G341" i="1"/>
  <c r="F341" i="1"/>
  <c r="E341" i="1"/>
  <c r="D341" i="1"/>
  <c r="C341" i="1"/>
  <c r="B341" i="1"/>
  <c r="I340" i="1"/>
  <c r="H340" i="1"/>
  <c r="G340" i="1"/>
  <c r="F340" i="1"/>
  <c r="E340" i="1"/>
  <c r="D340" i="1"/>
  <c r="C340" i="1"/>
  <c r="B340" i="1"/>
  <c r="I339" i="1"/>
  <c r="H339" i="1"/>
  <c r="G339" i="1"/>
  <c r="F339" i="1"/>
  <c r="E339" i="1"/>
  <c r="D339" i="1"/>
  <c r="C339" i="1"/>
  <c r="B339" i="1"/>
  <c r="I338" i="1"/>
  <c r="H338" i="1"/>
  <c r="G338" i="1"/>
  <c r="F338" i="1"/>
  <c r="E338" i="1"/>
  <c r="D338" i="1"/>
  <c r="C338" i="1"/>
  <c r="B338" i="1"/>
  <c r="I337" i="1"/>
  <c r="H337" i="1"/>
  <c r="G337" i="1"/>
  <c r="F337" i="1"/>
  <c r="E337" i="1"/>
  <c r="D337" i="1"/>
  <c r="C337" i="1"/>
  <c r="B337" i="1"/>
  <c r="I336" i="1"/>
  <c r="H336" i="1"/>
  <c r="G336" i="1"/>
  <c r="F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AL334" i="1"/>
  <c r="I334" i="1"/>
  <c r="H334" i="1"/>
  <c r="G334" i="1"/>
  <c r="F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I332" i="1"/>
  <c r="H332" i="1"/>
  <c r="G332" i="1"/>
  <c r="F332" i="1"/>
  <c r="E332" i="1"/>
  <c r="D332" i="1"/>
  <c r="C332" i="1"/>
  <c r="B332" i="1"/>
  <c r="I331" i="1"/>
  <c r="H331" i="1"/>
  <c r="G331" i="1"/>
  <c r="F331" i="1"/>
  <c r="E331" i="1"/>
  <c r="D331" i="1"/>
  <c r="C331" i="1"/>
  <c r="B331" i="1"/>
  <c r="I330" i="1"/>
  <c r="H330" i="1"/>
  <c r="G330" i="1"/>
  <c r="F330" i="1"/>
  <c r="E330" i="1"/>
  <c r="D330" i="1"/>
  <c r="C330" i="1"/>
  <c r="B330" i="1"/>
  <c r="I329" i="1"/>
  <c r="H329" i="1"/>
  <c r="G329" i="1"/>
  <c r="F329" i="1"/>
  <c r="E329" i="1"/>
  <c r="D329" i="1"/>
  <c r="C329" i="1"/>
  <c r="B329" i="1"/>
  <c r="I328" i="1"/>
  <c r="H328" i="1"/>
  <c r="G328" i="1"/>
  <c r="F328" i="1"/>
  <c r="E328" i="1"/>
  <c r="D328" i="1"/>
  <c r="C328" i="1"/>
  <c r="B328" i="1"/>
  <c r="I327" i="1"/>
  <c r="H327" i="1"/>
  <c r="G327" i="1"/>
  <c r="F327" i="1"/>
  <c r="E327" i="1"/>
  <c r="D327" i="1"/>
  <c r="C327" i="1"/>
  <c r="B327" i="1"/>
  <c r="I326" i="1"/>
  <c r="H326" i="1"/>
  <c r="G326" i="1"/>
  <c r="F326" i="1"/>
  <c r="E326" i="1"/>
  <c r="D326" i="1"/>
  <c r="C326" i="1"/>
  <c r="B326" i="1"/>
  <c r="I325" i="1"/>
  <c r="H325" i="1"/>
  <c r="G325" i="1"/>
  <c r="F325" i="1"/>
  <c r="E325" i="1"/>
  <c r="D325" i="1"/>
  <c r="C325" i="1"/>
  <c r="B325" i="1"/>
  <c r="I324" i="1"/>
  <c r="H324" i="1"/>
  <c r="G324" i="1"/>
  <c r="F324" i="1"/>
  <c r="E324" i="1"/>
  <c r="D324" i="1"/>
  <c r="C324" i="1"/>
  <c r="B324" i="1"/>
  <c r="I323" i="1"/>
  <c r="H323" i="1"/>
  <c r="G323" i="1"/>
  <c r="F323" i="1"/>
  <c r="E323" i="1"/>
  <c r="D323" i="1"/>
  <c r="C323" i="1"/>
  <c r="B323" i="1"/>
  <c r="I322" i="1"/>
  <c r="H322" i="1"/>
  <c r="G322" i="1"/>
  <c r="F322" i="1"/>
  <c r="E322" i="1"/>
  <c r="D322" i="1"/>
  <c r="C322" i="1"/>
  <c r="B322" i="1"/>
  <c r="I321" i="1"/>
  <c r="H321" i="1"/>
  <c r="G321" i="1"/>
  <c r="F321" i="1"/>
  <c r="E321" i="1"/>
  <c r="D321" i="1"/>
  <c r="C321" i="1"/>
  <c r="B321" i="1"/>
  <c r="I320" i="1"/>
  <c r="H320" i="1"/>
  <c r="G320" i="1"/>
  <c r="F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I318" i="1"/>
  <c r="H318" i="1"/>
  <c r="G318" i="1"/>
  <c r="F318" i="1"/>
  <c r="E318" i="1"/>
  <c r="D318" i="1"/>
  <c r="C318" i="1"/>
  <c r="B318" i="1"/>
  <c r="I317" i="1"/>
  <c r="H317" i="1"/>
  <c r="G317" i="1"/>
  <c r="F317" i="1"/>
  <c r="E317" i="1"/>
  <c r="D317" i="1"/>
  <c r="C317" i="1"/>
  <c r="B317" i="1"/>
  <c r="I316" i="1"/>
  <c r="H316" i="1"/>
  <c r="G316" i="1"/>
  <c r="F316" i="1"/>
  <c r="E316" i="1"/>
  <c r="D316" i="1"/>
  <c r="C316" i="1"/>
  <c r="B316" i="1"/>
  <c r="I315" i="1"/>
  <c r="H315" i="1"/>
  <c r="G315" i="1"/>
  <c r="F315" i="1"/>
  <c r="E315" i="1"/>
  <c r="D315" i="1"/>
  <c r="C315" i="1"/>
  <c r="B315" i="1"/>
  <c r="I314" i="1"/>
  <c r="H314" i="1"/>
  <c r="G314" i="1"/>
  <c r="F314" i="1"/>
  <c r="E314" i="1"/>
  <c r="D314" i="1"/>
  <c r="C314" i="1"/>
  <c r="B314" i="1"/>
  <c r="I313" i="1"/>
  <c r="H313" i="1"/>
  <c r="G313" i="1"/>
  <c r="F313" i="1"/>
  <c r="E313" i="1"/>
  <c r="D313" i="1"/>
  <c r="C313" i="1"/>
  <c r="B313" i="1"/>
  <c r="I312" i="1"/>
  <c r="H312" i="1"/>
  <c r="G312" i="1"/>
  <c r="F312" i="1"/>
  <c r="E312" i="1"/>
  <c r="D312" i="1"/>
  <c r="C312" i="1"/>
  <c r="B312" i="1"/>
  <c r="I311" i="1"/>
  <c r="H311" i="1"/>
  <c r="G311" i="1"/>
  <c r="F311" i="1"/>
  <c r="E311" i="1"/>
  <c r="D311" i="1"/>
  <c r="C311" i="1"/>
  <c r="B311" i="1"/>
  <c r="AL310" i="1"/>
  <c r="I310" i="1"/>
  <c r="H310" i="1"/>
  <c r="G310" i="1"/>
  <c r="F310" i="1"/>
  <c r="E310" i="1"/>
  <c r="D310" i="1"/>
  <c r="C310" i="1"/>
  <c r="B310" i="1"/>
  <c r="I309" i="1"/>
  <c r="H309" i="1"/>
  <c r="G309" i="1"/>
  <c r="F309" i="1"/>
  <c r="E309" i="1"/>
  <c r="D309" i="1"/>
  <c r="C309" i="1"/>
  <c r="B309" i="1"/>
  <c r="I308" i="1"/>
  <c r="H308" i="1"/>
  <c r="G308" i="1"/>
  <c r="F308" i="1"/>
  <c r="E308" i="1"/>
  <c r="D308" i="1"/>
  <c r="C308" i="1"/>
  <c r="B308" i="1"/>
  <c r="I307" i="1"/>
  <c r="H307" i="1"/>
  <c r="G307" i="1"/>
  <c r="F307" i="1"/>
  <c r="E307" i="1"/>
  <c r="D307" i="1"/>
  <c r="C307" i="1"/>
  <c r="B307" i="1"/>
  <c r="AL306" i="1"/>
  <c r="I306" i="1"/>
  <c r="H306" i="1"/>
  <c r="G306" i="1"/>
  <c r="F306" i="1"/>
  <c r="E306" i="1"/>
  <c r="D306" i="1"/>
  <c r="C306" i="1"/>
  <c r="B306" i="1"/>
  <c r="AL305" i="1"/>
  <c r="I305" i="1"/>
  <c r="H305" i="1"/>
  <c r="G305" i="1"/>
  <c r="F305" i="1"/>
  <c r="E305" i="1"/>
  <c r="D305" i="1"/>
  <c r="C305" i="1"/>
  <c r="B305" i="1"/>
  <c r="I304" i="1"/>
  <c r="H304" i="1"/>
  <c r="G304" i="1"/>
  <c r="F304" i="1"/>
  <c r="E304" i="1"/>
  <c r="D304" i="1"/>
  <c r="C304" i="1"/>
  <c r="B304" i="1"/>
  <c r="I303" i="1"/>
  <c r="H303" i="1"/>
  <c r="G303" i="1"/>
  <c r="F303" i="1"/>
  <c r="E303" i="1"/>
  <c r="D303" i="1"/>
  <c r="C303" i="1"/>
  <c r="B303" i="1"/>
  <c r="I302" i="1"/>
  <c r="H302" i="1"/>
  <c r="G302" i="1"/>
  <c r="F302" i="1"/>
  <c r="E302" i="1"/>
  <c r="D302" i="1"/>
  <c r="C302" i="1"/>
  <c r="B302" i="1"/>
  <c r="I301" i="1"/>
  <c r="H301" i="1"/>
  <c r="G301" i="1"/>
  <c r="F301" i="1"/>
  <c r="E301" i="1"/>
  <c r="D301" i="1"/>
  <c r="C301" i="1"/>
  <c r="B301" i="1"/>
  <c r="I300" i="1"/>
  <c r="H300" i="1"/>
  <c r="G300" i="1"/>
  <c r="F300" i="1"/>
  <c r="E300" i="1"/>
  <c r="D300" i="1"/>
  <c r="C300" i="1"/>
  <c r="B300" i="1"/>
  <c r="I299" i="1"/>
  <c r="H299" i="1"/>
  <c r="G299" i="1"/>
  <c r="F299" i="1"/>
  <c r="E299" i="1"/>
  <c r="D299" i="1"/>
  <c r="C299" i="1"/>
  <c r="B299" i="1"/>
  <c r="I298" i="1"/>
  <c r="H298" i="1"/>
  <c r="G298" i="1"/>
  <c r="F298" i="1"/>
  <c r="E298" i="1"/>
  <c r="D298" i="1"/>
  <c r="C298" i="1"/>
  <c r="B298" i="1"/>
  <c r="I297" i="1"/>
  <c r="H297" i="1"/>
  <c r="G297" i="1"/>
  <c r="F297" i="1"/>
  <c r="E297" i="1"/>
  <c r="D297" i="1"/>
  <c r="C297" i="1"/>
  <c r="B297" i="1"/>
  <c r="I296" i="1"/>
  <c r="H296" i="1"/>
  <c r="G296" i="1"/>
  <c r="F296" i="1"/>
  <c r="E296" i="1"/>
  <c r="D296" i="1"/>
  <c r="C296" i="1"/>
  <c r="B296" i="1"/>
  <c r="I295" i="1"/>
  <c r="H295" i="1"/>
  <c r="G295" i="1"/>
  <c r="F295" i="1"/>
  <c r="E295" i="1"/>
  <c r="D295" i="1"/>
  <c r="C295" i="1"/>
  <c r="B295" i="1"/>
  <c r="I294" i="1"/>
  <c r="H294" i="1"/>
  <c r="G294" i="1"/>
  <c r="F294" i="1"/>
  <c r="E294" i="1"/>
  <c r="D294" i="1"/>
  <c r="C294" i="1"/>
  <c r="B294" i="1"/>
  <c r="I293" i="1"/>
  <c r="H293" i="1"/>
  <c r="G293" i="1"/>
  <c r="F293" i="1"/>
  <c r="E293" i="1"/>
  <c r="D293" i="1"/>
  <c r="C293" i="1"/>
  <c r="B293" i="1"/>
  <c r="I292" i="1"/>
  <c r="H292" i="1"/>
  <c r="G292" i="1"/>
  <c r="F292" i="1"/>
  <c r="E292" i="1"/>
  <c r="D292" i="1"/>
  <c r="C292" i="1"/>
  <c r="B292" i="1"/>
  <c r="I291" i="1"/>
  <c r="H291" i="1"/>
  <c r="G291" i="1"/>
  <c r="F291" i="1"/>
  <c r="E291" i="1"/>
  <c r="D291" i="1"/>
  <c r="C291" i="1"/>
  <c r="B291" i="1"/>
  <c r="AL290" i="1"/>
  <c r="I290" i="1"/>
  <c r="H290" i="1"/>
  <c r="G290" i="1"/>
  <c r="F290" i="1"/>
  <c r="E290" i="1"/>
  <c r="D290" i="1"/>
  <c r="C290" i="1"/>
  <c r="B290" i="1"/>
  <c r="AL289" i="1"/>
  <c r="I289" i="1"/>
  <c r="H289" i="1"/>
  <c r="G289" i="1"/>
  <c r="F289" i="1"/>
  <c r="E289" i="1"/>
  <c r="D289" i="1"/>
  <c r="C289" i="1"/>
  <c r="B289" i="1"/>
  <c r="I288" i="1"/>
  <c r="H288" i="1"/>
  <c r="G288" i="1"/>
  <c r="F288" i="1"/>
  <c r="E288" i="1"/>
  <c r="D288" i="1"/>
  <c r="C288" i="1"/>
  <c r="B288" i="1"/>
  <c r="I287" i="1"/>
  <c r="H287" i="1"/>
  <c r="G287" i="1"/>
  <c r="F287" i="1"/>
  <c r="E287" i="1"/>
  <c r="D287" i="1"/>
  <c r="C287" i="1"/>
  <c r="B287" i="1"/>
  <c r="I286" i="1"/>
  <c r="H286" i="1"/>
  <c r="G286" i="1"/>
  <c r="F286" i="1"/>
  <c r="E286" i="1"/>
  <c r="D286" i="1"/>
  <c r="C286" i="1"/>
  <c r="B286" i="1"/>
  <c r="I285" i="1"/>
  <c r="H285" i="1"/>
  <c r="G285" i="1"/>
  <c r="F285" i="1"/>
  <c r="E285" i="1"/>
  <c r="D285" i="1"/>
  <c r="C285" i="1"/>
  <c r="B285" i="1"/>
  <c r="I284" i="1"/>
  <c r="H284" i="1"/>
  <c r="G284" i="1"/>
  <c r="F284" i="1"/>
  <c r="E284" i="1"/>
  <c r="D284" i="1"/>
  <c r="C284" i="1"/>
  <c r="B284" i="1"/>
  <c r="AL283" i="1"/>
  <c r="I283" i="1"/>
  <c r="H283" i="1"/>
  <c r="G283" i="1"/>
  <c r="F283" i="1"/>
  <c r="E283" i="1"/>
  <c r="D283" i="1"/>
  <c r="C283" i="1"/>
  <c r="B283" i="1"/>
  <c r="I282" i="1"/>
  <c r="H282" i="1"/>
  <c r="G282" i="1"/>
  <c r="F282" i="1"/>
  <c r="E282" i="1"/>
  <c r="D282" i="1"/>
  <c r="C282" i="1"/>
  <c r="B282" i="1"/>
  <c r="I281" i="1"/>
  <c r="H281" i="1"/>
  <c r="G281" i="1"/>
  <c r="F281" i="1"/>
  <c r="E281" i="1"/>
  <c r="D281" i="1"/>
  <c r="C281" i="1"/>
  <c r="B281" i="1"/>
  <c r="I280" i="1"/>
  <c r="H280" i="1"/>
  <c r="G280" i="1"/>
  <c r="F280" i="1"/>
  <c r="E280" i="1"/>
  <c r="D280" i="1"/>
  <c r="C280" i="1"/>
  <c r="B280" i="1"/>
  <c r="I279" i="1"/>
  <c r="H279" i="1"/>
  <c r="G279" i="1"/>
  <c r="F279" i="1"/>
  <c r="E279" i="1"/>
  <c r="D279" i="1"/>
  <c r="C279" i="1"/>
  <c r="B279" i="1"/>
  <c r="I278" i="1"/>
  <c r="H278" i="1"/>
  <c r="G278" i="1"/>
  <c r="F278" i="1"/>
  <c r="E278" i="1"/>
  <c r="D278" i="1"/>
  <c r="C278" i="1"/>
  <c r="B278" i="1"/>
  <c r="I277" i="1"/>
  <c r="H277" i="1"/>
  <c r="G277" i="1"/>
  <c r="F277" i="1"/>
  <c r="E277" i="1"/>
  <c r="D277" i="1"/>
  <c r="C277" i="1"/>
  <c r="B277" i="1"/>
  <c r="I276" i="1"/>
  <c r="H276" i="1"/>
  <c r="G276" i="1"/>
  <c r="F276" i="1"/>
  <c r="E276" i="1"/>
  <c r="D276" i="1"/>
  <c r="C276" i="1"/>
  <c r="B276" i="1"/>
  <c r="I275" i="1"/>
  <c r="H275" i="1"/>
  <c r="G275" i="1"/>
  <c r="F275" i="1"/>
  <c r="E275" i="1"/>
  <c r="D275" i="1"/>
  <c r="C275" i="1"/>
  <c r="B275" i="1"/>
  <c r="I274" i="1"/>
  <c r="H274" i="1"/>
  <c r="G274" i="1"/>
  <c r="F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I272" i="1"/>
  <c r="H272" i="1"/>
  <c r="G272" i="1"/>
  <c r="F272" i="1"/>
  <c r="E272" i="1"/>
  <c r="D272" i="1"/>
  <c r="C272" i="1"/>
  <c r="B272" i="1"/>
  <c r="I271" i="1"/>
  <c r="H271" i="1"/>
  <c r="G271" i="1"/>
  <c r="F271" i="1"/>
  <c r="E271" i="1"/>
  <c r="D271" i="1"/>
  <c r="C271" i="1"/>
  <c r="B271" i="1"/>
  <c r="I270" i="1"/>
  <c r="H270" i="1"/>
  <c r="G270" i="1"/>
  <c r="F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I268" i="1"/>
  <c r="H268" i="1"/>
  <c r="G268" i="1"/>
  <c r="F268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I266" i="1"/>
  <c r="H266" i="1"/>
  <c r="G266" i="1"/>
  <c r="F266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I264" i="1"/>
  <c r="H264" i="1"/>
  <c r="G264" i="1"/>
  <c r="F264" i="1"/>
  <c r="E264" i="1"/>
  <c r="D264" i="1"/>
  <c r="C264" i="1"/>
  <c r="B264" i="1"/>
  <c r="AL263" i="1"/>
  <c r="I263" i="1"/>
  <c r="H263" i="1"/>
  <c r="G263" i="1"/>
  <c r="F263" i="1"/>
  <c r="E263" i="1"/>
  <c r="D263" i="1"/>
  <c r="C263" i="1"/>
  <c r="B263" i="1"/>
  <c r="AL262" i="1"/>
  <c r="I262" i="1"/>
  <c r="H262" i="1"/>
  <c r="G262" i="1"/>
  <c r="F262" i="1"/>
  <c r="E262" i="1"/>
  <c r="D262" i="1"/>
  <c r="C262" i="1"/>
  <c r="B262" i="1"/>
  <c r="I261" i="1"/>
  <c r="H261" i="1"/>
  <c r="G261" i="1"/>
  <c r="F261" i="1"/>
  <c r="E261" i="1"/>
  <c r="D261" i="1"/>
  <c r="C261" i="1"/>
  <c r="B261" i="1"/>
  <c r="AL260" i="1"/>
  <c r="I260" i="1"/>
  <c r="H260" i="1"/>
  <c r="G260" i="1"/>
  <c r="F260" i="1"/>
  <c r="E260" i="1"/>
  <c r="D260" i="1"/>
  <c r="C260" i="1"/>
  <c r="B260" i="1"/>
  <c r="AL259" i="1"/>
  <c r="I259" i="1"/>
  <c r="H259" i="1"/>
  <c r="G259" i="1"/>
  <c r="F259" i="1"/>
  <c r="E259" i="1"/>
  <c r="D259" i="1"/>
  <c r="C259" i="1"/>
  <c r="B259" i="1"/>
  <c r="AL258" i="1"/>
  <c r="I258" i="1"/>
  <c r="H258" i="1"/>
  <c r="G258" i="1"/>
  <c r="F258" i="1"/>
  <c r="E258" i="1"/>
  <c r="D258" i="1"/>
  <c r="C258" i="1"/>
  <c r="B258" i="1"/>
  <c r="AL257" i="1"/>
  <c r="I257" i="1"/>
  <c r="H257" i="1"/>
  <c r="G257" i="1"/>
  <c r="F257" i="1"/>
  <c r="E257" i="1"/>
  <c r="D257" i="1"/>
  <c r="C257" i="1"/>
  <c r="B257" i="1"/>
  <c r="I256" i="1"/>
  <c r="H256" i="1"/>
  <c r="G256" i="1"/>
  <c r="F256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I254" i="1"/>
  <c r="H254" i="1"/>
  <c r="G254" i="1"/>
  <c r="F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2" i="1"/>
  <c r="H252" i="1"/>
  <c r="G252" i="1"/>
  <c r="F252" i="1"/>
  <c r="E252" i="1"/>
  <c r="D252" i="1"/>
  <c r="C252" i="1"/>
  <c r="B252" i="1"/>
  <c r="I251" i="1"/>
  <c r="H251" i="1"/>
  <c r="G251" i="1"/>
  <c r="F251" i="1"/>
  <c r="E251" i="1"/>
  <c r="D251" i="1"/>
  <c r="C251" i="1"/>
  <c r="B251" i="1"/>
  <c r="I250" i="1"/>
  <c r="H250" i="1"/>
  <c r="G250" i="1"/>
  <c r="F250" i="1"/>
  <c r="E250" i="1"/>
  <c r="D250" i="1"/>
  <c r="C250" i="1"/>
  <c r="B250" i="1"/>
  <c r="I249" i="1"/>
  <c r="H249" i="1"/>
  <c r="G249" i="1"/>
  <c r="F249" i="1"/>
  <c r="E249" i="1"/>
  <c r="D249" i="1"/>
  <c r="C249" i="1"/>
  <c r="B249" i="1"/>
  <c r="I248" i="1"/>
  <c r="H248" i="1"/>
  <c r="G248" i="1"/>
  <c r="F248" i="1"/>
  <c r="E248" i="1"/>
  <c r="D248" i="1"/>
  <c r="C248" i="1"/>
  <c r="B248" i="1"/>
  <c r="I247" i="1"/>
  <c r="H247" i="1"/>
  <c r="G247" i="1"/>
  <c r="F247" i="1"/>
  <c r="E247" i="1"/>
  <c r="D247" i="1"/>
  <c r="C247" i="1"/>
  <c r="B247" i="1"/>
  <c r="I246" i="1"/>
  <c r="H246" i="1"/>
  <c r="G246" i="1"/>
  <c r="F246" i="1"/>
  <c r="E246" i="1"/>
  <c r="D246" i="1"/>
  <c r="C246" i="1"/>
  <c r="B246" i="1"/>
  <c r="I245" i="1"/>
  <c r="H245" i="1"/>
  <c r="G245" i="1"/>
  <c r="F245" i="1"/>
  <c r="E245" i="1"/>
  <c r="D245" i="1"/>
  <c r="C245" i="1"/>
  <c r="B245" i="1"/>
  <c r="I244" i="1"/>
  <c r="H244" i="1"/>
  <c r="G244" i="1"/>
  <c r="F244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2" i="1"/>
  <c r="H242" i="1"/>
  <c r="G242" i="1"/>
  <c r="F242" i="1"/>
  <c r="E242" i="1"/>
  <c r="D242" i="1"/>
  <c r="C242" i="1"/>
  <c r="B242" i="1"/>
  <c r="I241" i="1"/>
  <c r="H241" i="1"/>
  <c r="G241" i="1"/>
  <c r="F241" i="1"/>
  <c r="E241" i="1"/>
  <c r="D241" i="1"/>
  <c r="C241" i="1"/>
  <c r="B241" i="1"/>
  <c r="I240" i="1"/>
  <c r="H240" i="1"/>
  <c r="G240" i="1"/>
  <c r="F240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I238" i="1"/>
  <c r="H238" i="1"/>
  <c r="G238" i="1"/>
  <c r="F238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I236" i="1"/>
  <c r="H236" i="1"/>
  <c r="G236" i="1"/>
  <c r="F236" i="1"/>
  <c r="E236" i="1"/>
  <c r="D236" i="1"/>
  <c r="C236" i="1"/>
  <c r="B236" i="1"/>
  <c r="I235" i="1"/>
  <c r="H235" i="1"/>
  <c r="G235" i="1"/>
  <c r="F235" i="1"/>
  <c r="E235" i="1"/>
  <c r="D235" i="1"/>
  <c r="C235" i="1"/>
  <c r="B235" i="1"/>
  <c r="I234" i="1"/>
  <c r="H234" i="1"/>
  <c r="G234" i="1"/>
  <c r="F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I232" i="1"/>
  <c r="H232" i="1"/>
  <c r="G232" i="1"/>
  <c r="F232" i="1"/>
  <c r="E232" i="1"/>
  <c r="D232" i="1"/>
  <c r="C232" i="1"/>
  <c r="B232" i="1"/>
  <c r="I231" i="1"/>
  <c r="H231" i="1"/>
  <c r="G231" i="1"/>
  <c r="F231" i="1"/>
  <c r="E231" i="1"/>
  <c r="D231" i="1"/>
  <c r="C231" i="1"/>
  <c r="B231" i="1"/>
  <c r="I230" i="1"/>
  <c r="H230" i="1"/>
  <c r="G230" i="1"/>
  <c r="F230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I228" i="1"/>
  <c r="H228" i="1"/>
  <c r="G228" i="1"/>
  <c r="F228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I226" i="1"/>
  <c r="H226" i="1"/>
  <c r="G226" i="1"/>
  <c r="F226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I224" i="1"/>
  <c r="H224" i="1"/>
  <c r="G224" i="1"/>
  <c r="F224" i="1"/>
  <c r="E224" i="1"/>
  <c r="D224" i="1"/>
  <c r="C224" i="1"/>
  <c r="B224" i="1"/>
  <c r="I223" i="1"/>
  <c r="H223" i="1"/>
  <c r="G223" i="1"/>
  <c r="F223" i="1"/>
  <c r="E223" i="1"/>
  <c r="D223" i="1"/>
  <c r="C223" i="1"/>
  <c r="B223" i="1"/>
  <c r="I222" i="1"/>
  <c r="H222" i="1"/>
  <c r="G222" i="1"/>
  <c r="F222" i="1"/>
  <c r="E222" i="1"/>
  <c r="D222" i="1"/>
  <c r="C222" i="1"/>
  <c r="B222" i="1"/>
  <c r="I221" i="1"/>
  <c r="H221" i="1"/>
  <c r="G221" i="1"/>
  <c r="F221" i="1"/>
  <c r="E221" i="1"/>
  <c r="D221" i="1"/>
  <c r="C221" i="1"/>
  <c r="B221" i="1"/>
  <c r="I220" i="1"/>
  <c r="H220" i="1"/>
  <c r="G220" i="1"/>
  <c r="F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I218" i="1"/>
  <c r="H218" i="1"/>
  <c r="G218" i="1"/>
  <c r="F218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I216" i="1"/>
  <c r="H216" i="1"/>
  <c r="G216" i="1"/>
  <c r="F216" i="1"/>
  <c r="E216" i="1"/>
  <c r="D216" i="1"/>
  <c r="C216" i="1"/>
  <c r="B216" i="1"/>
  <c r="I215" i="1"/>
  <c r="H215" i="1"/>
  <c r="G215" i="1"/>
  <c r="F215" i="1"/>
  <c r="E215" i="1"/>
  <c r="D215" i="1"/>
  <c r="C215" i="1"/>
  <c r="B215" i="1"/>
  <c r="I214" i="1"/>
  <c r="H214" i="1"/>
  <c r="G214" i="1"/>
  <c r="F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2" i="1"/>
  <c r="H212" i="1"/>
  <c r="G212" i="1"/>
  <c r="F212" i="1"/>
  <c r="E212" i="1"/>
  <c r="D212" i="1"/>
  <c r="C212" i="1"/>
  <c r="B212" i="1"/>
  <c r="I211" i="1"/>
  <c r="H211" i="1"/>
  <c r="G211" i="1"/>
  <c r="F211" i="1"/>
  <c r="E211" i="1"/>
  <c r="D211" i="1"/>
  <c r="C211" i="1"/>
  <c r="B211" i="1"/>
  <c r="I210" i="1"/>
  <c r="H210" i="1"/>
  <c r="G210" i="1"/>
  <c r="F210" i="1"/>
  <c r="E210" i="1"/>
  <c r="D210" i="1"/>
  <c r="C210" i="1"/>
  <c r="B210" i="1"/>
  <c r="I209" i="1"/>
  <c r="H209" i="1"/>
  <c r="G209" i="1"/>
  <c r="F209" i="1"/>
  <c r="E209" i="1"/>
  <c r="D209" i="1"/>
  <c r="C209" i="1"/>
  <c r="B209" i="1"/>
  <c r="I208" i="1"/>
  <c r="H208" i="1"/>
  <c r="G208" i="1"/>
  <c r="F208" i="1"/>
  <c r="E208" i="1"/>
  <c r="D208" i="1"/>
  <c r="C208" i="1"/>
  <c r="B208" i="1"/>
  <c r="I207" i="1"/>
  <c r="H207" i="1"/>
  <c r="G207" i="1"/>
  <c r="F207" i="1"/>
  <c r="E207" i="1"/>
  <c r="D207" i="1"/>
  <c r="C207" i="1"/>
  <c r="B207" i="1"/>
  <c r="I206" i="1"/>
  <c r="H206" i="1"/>
  <c r="G206" i="1"/>
  <c r="F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I204" i="1"/>
  <c r="H204" i="1"/>
  <c r="G204" i="1"/>
  <c r="F204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2" i="1"/>
  <c r="H202" i="1"/>
  <c r="G202" i="1"/>
  <c r="F202" i="1"/>
  <c r="E202" i="1"/>
  <c r="D202" i="1"/>
  <c r="C202" i="1"/>
  <c r="B202" i="1"/>
  <c r="I201" i="1"/>
  <c r="H201" i="1"/>
  <c r="G201" i="1"/>
  <c r="F201" i="1"/>
  <c r="E201" i="1"/>
  <c r="D201" i="1"/>
  <c r="C201" i="1"/>
  <c r="B201" i="1"/>
  <c r="I200" i="1"/>
  <c r="H200" i="1"/>
  <c r="G200" i="1"/>
  <c r="F200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I198" i="1"/>
  <c r="H198" i="1"/>
  <c r="G198" i="1"/>
  <c r="F198" i="1"/>
  <c r="E198" i="1"/>
  <c r="D198" i="1"/>
  <c r="C198" i="1"/>
  <c r="B198" i="1"/>
  <c r="I197" i="1"/>
  <c r="H197" i="1"/>
  <c r="G197" i="1"/>
  <c r="F197" i="1"/>
  <c r="E197" i="1"/>
  <c r="D197" i="1"/>
  <c r="C197" i="1"/>
  <c r="B197" i="1"/>
  <c r="I196" i="1"/>
  <c r="H196" i="1"/>
  <c r="G196" i="1"/>
  <c r="F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I194" i="1"/>
  <c r="H194" i="1"/>
  <c r="G194" i="1"/>
  <c r="F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I192" i="1"/>
  <c r="H192" i="1"/>
  <c r="G192" i="1"/>
  <c r="F192" i="1"/>
  <c r="E192" i="1"/>
  <c r="D192" i="1"/>
  <c r="C192" i="1"/>
  <c r="B192" i="1"/>
  <c r="I191" i="1"/>
  <c r="H191" i="1"/>
  <c r="G191" i="1"/>
  <c r="F191" i="1"/>
  <c r="E191" i="1"/>
  <c r="D191" i="1"/>
  <c r="C191" i="1"/>
  <c r="B191" i="1"/>
  <c r="I190" i="1"/>
  <c r="H190" i="1"/>
  <c r="G190" i="1"/>
  <c r="F190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I188" i="1"/>
  <c r="H188" i="1"/>
  <c r="G188" i="1"/>
  <c r="F188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I186" i="1"/>
  <c r="H186" i="1"/>
  <c r="G186" i="1"/>
  <c r="F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I184" i="1"/>
  <c r="H184" i="1"/>
  <c r="G184" i="1"/>
  <c r="F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I182" i="1"/>
  <c r="H182" i="1"/>
  <c r="G182" i="1"/>
  <c r="F182" i="1"/>
  <c r="E182" i="1"/>
  <c r="D182" i="1"/>
  <c r="C182" i="1"/>
  <c r="B182" i="1"/>
  <c r="I181" i="1"/>
  <c r="H181" i="1"/>
  <c r="G181" i="1"/>
  <c r="F181" i="1"/>
  <c r="E181" i="1"/>
  <c r="D181" i="1"/>
  <c r="C181" i="1"/>
  <c r="B181" i="1"/>
  <c r="I180" i="1"/>
  <c r="H180" i="1"/>
  <c r="G180" i="1"/>
  <c r="F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I178" i="1"/>
  <c r="H178" i="1"/>
  <c r="G178" i="1"/>
  <c r="F178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I176" i="1"/>
  <c r="H176" i="1"/>
  <c r="G176" i="1"/>
  <c r="F176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I174" i="1"/>
  <c r="H174" i="1"/>
  <c r="G174" i="1"/>
  <c r="F174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2" i="1"/>
  <c r="H172" i="1"/>
  <c r="G172" i="1"/>
  <c r="F172" i="1"/>
  <c r="E172" i="1"/>
  <c r="D172" i="1"/>
  <c r="C172" i="1"/>
  <c r="B172" i="1"/>
  <c r="I171" i="1"/>
  <c r="H171" i="1"/>
  <c r="G171" i="1"/>
  <c r="F171" i="1"/>
  <c r="E171" i="1"/>
  <c r="D171" i="1"/>
  <c r="C171" i="1"/>
  <c r="B171" i="1"/>
  <c r="I170" i="1"/>
  <c r="H170" i="1"/>
  <c r="G170" i="1"/>
  <c r="F170" i="1"/>
  <c r="E170" i="1"/>
  <c r="D170" i="1"/>
  <c r="C170" i="1"/>
  <c r="B170" i="1"/>
  <c r="I169" i="1"/>
  <c r="H169" i="1"/>
  <c r="G169" i="1"/>
  <c r="F169" i="1"/>
  <c r="E169" i="1"/>
  <c r="D169" i="1"/>
  <c r="C169" i="1"/>
  <c r="B169" i="1"/>
  <c r="I168" i="1"/>
  <c r="H168" i="1"/>
  <c r="G168" i="1"/>
  <c r="F168" i="1"/>
  <c r="E168" i="1"/>
  <c r="D168" i="1"/>
  <c r="C168" i="1"/>
  <c r="B168" i="1"/>
  <c r="I167" i="1"/>
  <c r="H167" i="1"/>
  <c r="G167" i="1"/>
  <c r="F167" i="1"/>
  <c r="E167" i="1"/>
  <c r="D167" i="1"/>
  <c r="C167" i="1"/>
  <c r="B167" i="1"/>
  <c r="I166" i="1"/>
  <c r="H166" i="1"/>
  <c r="G166" i="1"/>
  <c r="F166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I164" i="1"/>
  <c r="H164" i="1"/>
  <c r="G164" i="1"/>
  <c r="F164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2" i="1"/>
  <c r="H162" i="1"/>
  <c r="G162" i="1"/>
  <c r="F162" i="1"/>
  <c r="E162" i="1"/>
  <c r="D162" i="1"/>
  <c r="C162" i="1"/>
  <c r="B162" i="1"/>
  <c r="I161" i="1"/>
  <c r="H161" i="1"/>
  <c r="G161" i="1"/>
  <c r="F161" i="1"/>
  <c r="E161" i="1"/>
  <c r="D161" i="1"/>
  <c r="C161" i="1"/>
  <c r="B161" i="1"/>
  <c r="I160" i="1"/>
  <c r="H160" i="1"/>
  <c r="G160" i="1"/>
  <c r="F160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I158" i="1"/>
  <c r="H158" i="1"/>
  <c r="G158" i="1"/>
  <c r="F158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I156" i="1"/>
  <c r="H156" i="1"/>
  <c r="G156" i="1"/>
  <c r="F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I154" i="1"/>
  <c r="H154" i="1"/>
  <c r="G154" i="1"/>
  <c r="F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I152" i="1"/>
  <c r="H152" i="1"/>
  <c r="G152" i="1"/>
  <c r="F152" i="1"/>
  <c r="E152" i="1"/>
  <c r="D152" i="1"/>
  <c r="C152" i="1"/>
  <c r="B152" i="1"/>
  <c r="I151" i="1"/>
  <c r="H151" i="1"/>
  <c r="G151" i="1"/>
  <c r="F151" i="1"/>
  <c r="E151" i="1"/>
  <c r="D151" i="1"/>
  <c r="C151" i="1"/>
  <c r="B151" i="1"/>
  <c r="I150" i="1"/>
  <c r="H150" i="1"/>
  <c r="G150" i="1"/>
  <c r="F150" i="1"/>
  <c r="E150" i="1"/>
  <c r="D150" i="1"/>
  <c r="C150" i="1"/>
  <c r="B150" i="1"/>
  <c r="I149" i="1"/>
  <c r="H149" i="1"/>
  <c r="G149" i="1"/>
  <c r="F149" i="1"/>
  <c r="E149" i="1"/>
  <c r="D149" i="1"/>
  <c r="C149" i="1"/>
  <c r="B149" i="1"/>
  <c r="I148" i="1"/>
  <c r="H148" i="1"/>
  <c r="G148" i="1"/>
  <c r="F148" i="1"/>
  <c r="E148" i="1"/>
  <c r="D148" i="1"/>
  <c r="C148" i="1"/>
  <c r="B148" i="1"/>
  <c r="I147" i="1"/>
  <c r="H147" i="1"/>
  <c r="G147" i="1"/>
  <c r="F147" i="1"/>
  <c r="E147" i="1"/>
  <c r="D147" i="1"/>
  <c r="C147" i="1"/>
  <c r="B147" i="1"/>
  <c r="I146" i="1"/>
  <c r="H146" i="1"/>
  <c r="G146" i="1"/>
  <c r="F146" i="1"/>
  <c r="E146" i="1"/>
  <c r="D146" i="1"/>
  <c r="C146" i="1"/>
  <c r="B146" i="1"/>
  <c r="I145" i="1"/>
  <c r="H145" i="1"/>
  <c r="G145" i="1"/>
  <c r="F145" i="1"/>
  <c r="E145" i="1"/>
  <c r="D145" i="1"/>
  <c r="C145" i="1"/>
  <c r="B145" i="1"/>
  <c r="I144" i="1"/>
  <c r="H144" i="1"/>
  <c r="G144" i="1"/>
  <c r="F144" i="1"/>
  <c r="E144" i="1"/>
  <c r="D144" i="1"/>
  <c r="C144" i="1"/>
  <c r="B144" i="1"/>
  <c r="I143" i="1"/>
  <c r="H143" i="1"/>
  <c r="G143" i="1"/>
  <c r="F143" i="1"/>
  <c r="E143" i="1"/>
  <c r="D143" i="1"/>
  <c r="C143" i="1"/>
  <c r="B143" i="1"/>
  <c r="I142" i="1"/>
  <c r="H142" i="1"/>
  <c r="G142" i="1"/>
  <c r="F142" i="1"/>
  <c r="E142" i="1"/>
  <c r="D142" i="1"/>
  <c r="C142" i="1"/>
  <c r="B142" i="1"/>
  <c r="I141" i="1"/>
  <c r="H141" i="1"/>
  <c r="G141" i="1"/>
  <c r="F141" i="1"/>
  <c r="E141" i="1"/>
  <c r="D141" i="1"/>
  <c r="C141" i="1"/>
  <c r="B141" i="1"/>
  <c r="I140" i="1"/>
  <c r="H140" i="1"/>
  <c r="G140" i="1"/>
  <c r="F140" i="1"/>
  <c r="E140" i="1"/>
  <c r="D140" i="1"/>
  <c r="C140" i="1"/>
  <c r="B140" i="1"/>
  <c r="I139" i="1"/>
  <c r="H139" i="1"/>
  <c r="G139" i="1"/>
  <c r="F139" i="1"/>
  <c r="E139" i="1"/>
  <c r="D139" i="1"/>
  <c r="C139" i="1"/>
  <c r="B139" i="1"/>
  <c r="I138" i="1"/>
  <c r="H138" i="1"/>
  <c r="G138" i="1"/>
  <c r="F138" i="1"/>
  <c r="E138" i="1"/>
  <c r="D138" i="1"/>
  <c r="C138" i="1"/>
  <c r="B138" i="1"/>
  <c r="I137" i="1"/>
  <c r="H137" i="1"/>
  <c r="G137" i="1"/>
  <c r="F137" i="1"/>
  <c r="E137" i="1"/>
  <c r="D137" i="1"/>
  <c r="C137" i="1"/>
  <c r="B137" i="1"/>
  <c r="I136" i="1"/>
  <c r="H136" i="1"/>
  <c r="G136" i="1"/>
  <c r="F136" i="1"/>
  <c r="E136" i="1"/>
  <c r="D136" i="1"/>
  <c r="C136" i="1"/>
  <c r="B136" i="1"/>
  <c r="I135" i="1"/>
  <c r="H135" i="1"/>
  <c r="G135" i="1"/>
  <c r="F135" i="1"/>
  <c r="E135" i="1"/>
  <c r="D135" i="1"/>
  <c r="C135" i="1"/>
  <c r="B135" i="1"/>
  <c r="I134" i="1"/>
  <c r="H134" i="1"/>
  <c r="G134" i="1"/>
  <c r="F134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32" i="1"/>
  <c r="H132" i="1"/>
  <c r="G132" i="1"/>
  <c r="F132" i="1"/>
  <c r="E132" i="1"/>
  <c r="D132" i="1"/>
  <c r="C132" i="1"/>
  <c r="B132" i="1"/>
  <c r="I131" i="1"/>
  <c r="H131" i="1"/>
  <c r="G131" i="1"/>
  <c r="F131" i="1"/>
  <c r="E131" i="1"/>
  <c r="D131" i="1"/>
  <c r="C131" i="1"/>
  <c r="B131" i="1"/>
  <c r="I130" i="1"/>
  <c r="H130" i="1"/>
  <c r="G130" i="1"/>
  <c r="F130" i="1"/>
  <c r="E130" i="1"/>
  <c r="D130" i="1"/>
  <c r="C130" i="1"/>
  <c r="B130" i="1"/>
  <c r="I129" i="1"/>
  <c r="H129" i="1"/>
  <c r="G129" i="1"/>
  <c r="F129" i="1"/>
  <c r="E129" i="1"/>
  <c r="D129" i="1"/>
  <c r="C129" i="1"/>
  <c r="B129" i="1"/>
  <c r="I128" i="1"/>
  <c r="H128" i="1"/>
  <c r="G128" i="1"/>
  <c r="F128" i="1"/>
  <c r="E128" i="1"/>
  <c r="D128" i="1"/>
  <c r="C128" i="1"/>
  <c r="B128" i="1"/>
  <c r="I127" i="1"/>
  <c r="H127" i="1"/>
  <c r="G127" i="1"/>
  <c r="F127" i="1"/>
  <c r="E127" i="1"/>
  <c r="D127" i="1"/>
  <c r="C127" i="1"/>
  <c r="B127" i="1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AL124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I120" i="1"/>
  <c r="H120" i="1"/>
  <c r="G120" i="1"/>
  <c r="F120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I76" i="1"/>
  <c r="H76" i="1"/>
  <c r="G76" i="1"/>
  <c r="F76" i="1"/>
  <c r="E76" i="1"/>
  <c r="D76" i="1"/>
  <c r="C76" i="1"/>
  <c r="B76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I66" i="1"/>
  <c r="H66" i="1"/>
  <c r="G66" i="1"/>
  <c r="F66" i="1"/>
  <c r="E66" i="1"/>
  <c r="D66" i="1"/>
  <c r="C66" i="1"/>
  <c r="B66" i="1"/>
  <c r="I65" i="1"/>
  <c r="H65" i="1"/>
  <c r="G65" i="1"/>
  <c r="F65" i="1"/>
  <c r="E65" i="1"/>
  <c r="D65" i="1"/>
  <c r="C65" i="1"/>
  <c r="B65" i="1"/>
  <c r="I64" i="1"/>
  <c r="H64" i="1"/>
  <c r="G64" i="1"/>
  <c r="F64" i="1"/>
  <c r="E64" i="1"/>
  <c r="D64" i="1"/>
  <c r="C64" i="1"/>
  <c r="B64" i="1"/>
  <c r="I63" i="1"/>
  <c r="H63" i="1"/>
  <c r="G63" i="1"/>
  <c r="F63" i="1"/>
  <c r="E63" i="1"/>
  <c r="D63" i="1"/>
  <c r="C63" i="1"/>
  <c r="B63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8" i="1"/>
  <c r="I57" i="1"/>
  <c r="H57" i="1"/>
  <c r="G57" i="1"/>
  <c r="F57" i="1"/>
  <c r="E57" i="1"/>
  <c r="D57" i="1"/>
  <c r="C57" i="1"/>
  <c r="B57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>
  <authors>
    <author/>
  </authors>
  <commentList>
    <comment ref="O3" authorId="0">
      <text>
        <r>
          <rPr>
            <sz val="10"/>
            <color rgb="FF000000"/>
            <rFont val="Arial"/>
          </rPr>
          <t>Rsheet directly after removal from AJA</t>
        </r>
      </text>
    </comment>
    <comment ref="AS3" authorId="0">
      <text>
        <r>
          <rPr>
            <sz val="10"/>
            <color rgb="FF000000"/>
            <rFont val="Arial"/>
          </rPr>
          <t>Rsheet directly before Tc measurement</t>
        </r>
      </text>
    </comment>
    <comment ref="AU3" authorId="0">
      <text>
        <r>
          <rPr>
            <sz val="10"/>
            <color rgb="FF000000"/>
            <rFont val="Arial"/>
          </rPr>
          <t>Slots three and six in the new chuck are 'open', all else are closed</t>
        </r>
      </text>
    </comment>
    <comment ref="BE3" authorId="0">
      <text>
        <r>
          <rPr>
            <sz val="10"/>
            <color rgb="FF000000"/>
            <rFont val="Arial"/>
          </rPr>
          <t>This is a measured value from a representative sample. Not the nominal value but also not measured for each individual sample</t>
        </r>
      </text>
    </comment>
    <comment ref="K4" authorId="0">
      <text>
        <r>
          <rPr>
            <sz val="10"/>
            <color rgb="FF000000"/>
            <rFont val="Arial"/>
          </rPr>
          <t>Calculated by KAS on xx/xx/xx --AEDane Thursday, March 08, 2012 11:16:24 AM</t>
        </r>
      </text>
    </comment>
    <comment ref="G28" authorId="0">
      <text>
        <r>
          <rPr>
            <sz val="10"/>
            <color rgb="FF000000"/>
            <rFont val="Arial"/>
          </rPr>
          <t>Gun 3 Shortened, we are now using a new gun. DDF011-DDF012 are now in the main chamber--dodo.defazio Thursday, March 08, 2012 5:15:02 PM</t>
        </r>
      </text>
    </comment>
    <comment ref="B40" authorId="0">
      <text>
        <r>
          <rPr>
            <sz val="10"/>
            <color rgb="FF000000"/>
            <rFont val="Arial"/>
          </rPr>
          <t>DDF019-026 too thin, current setpoint bug  --dodo.defazio Thursday, March 15, 2012 4:33:25 PM</t>
        </r>
      </text>
    </comment>
    <comment ref="C64" authorId="0">
      <text>
        <r>
          <rPr>
            <sz val="10"/>
            <color rgb="FF000000"/>
            <rFont val="Arial"/>
          </rPr>
          <t>SPD001-004 Rotation Off --dodo.defazio domenica 18 marzo 2012 11:56:31</t>
        </r>
      </text>
    </comment>
    <comment ref="C80" authorId="0">
      <text>
        <r>
          <rPr>
            <sz val="10"/>
            <color rgb="FF000000"/>
            <rFont val="Arial"/>
          </rPr>
          <t>SPD017-020 are DDF019-022 deposited on the other side--dodo.defazio giovedì 22 marzo 2012 22:25:44</t>
        </r>
      </text>
    </comment>
    <comment ref="C84" authorId="0">
      <text>
        <r>
          <rPr>
            <sz val="10"/>
            <color rgb="FF000000"/>
            <rFont val="Arial"/>
          </rPr>
          <t>SPD021-024 are DDF023-026 deposited on the other side --dodo.defazio Friday, March 23, 2012 10:03:22 AM</t>
        </r>
      </text>
    </comment>
    <comment ref="P86" authorId="0">
      <text>
        <r>
          <rPr>
            <sz val="10"/>
            <color rgb="FF000000"/>
            <rFont val="Arial"/>
          </rPr>
          <t>Hysteresis was noticed in this measurement. Tc of 11.53 going up and 11.56 going down. --AEDane Monday, April 02, 2012 8:14:38 PM</t>
        </r>
      </text>
    </comment>
    <comment ref="P87" authorId="0">
      <text>
        <r>
          <rPr>
            <sz val="10"/>
            <color rgb="FF000000"/>
            <rFont val="Arial"/>
          </rPr>
          <t>Hysteresis: Tc=11.54 UP and 11.59 Down --AEDane Monday, April 02, 2012 8:16:54 PM</t>
        </r>
      </text>
    </comment>
    <comment ref="E108" authorId="0">
      <text>
        <r>
          <rPr>
            <sz val="10"/>
            <color rgb="FF000000"/>
            <rFont val="Arial"/>
          </rPr>
          <t>These samples can be used if we'll need a dual face deposition. --dodo.defazio Friday, April 20, 2012 5:09:04 PM</t>
        </r>
      </text>
    </comment>
    <comment ref="O128" authorId="0">
      <text>
        <r>
          <rPr>
            <sz val="10"/>
            <color rgb="FF000000"/>
            <rFont val="Arial"/>
          </rPr>
          <t>New Correction Factor --dodo.defazio Friday, April 20, 2012 12:00:53 PM</t>
        </r>
      </text>
    </comment>
    <comment ref="E133" authorId="0">
      <text>
        <r>
          <rPr>
            <sz val="10"/>
            <color rgb="FF000000"/>
            <rFont val="Arial"/>
          </rPr>
          <t>3sccm N2 and 1.5mTorr pressure--dodo.defazio Friday, April 20, 2012 3:08:32 PM</t>
        </r>
      </text>
    </comment>
    <comment ref="E137" authorId="0">
      <text>
        <r>
          <rPr>
            <sz val="10"/>
            <color rgb="FF000000"/>
            <rFont val="Arial"/>
          </rPr>
          <t>6sccm N2 and 4.5mTorr pressure --dodo.defazio Friday, April 20, 2012 3:09:14 PM</t>
        </r>
      </text>
    </comment>
    <comment ref="E142" authorId="0">
      <text>
        <r>
          <rPr>
            <sz val="10"/>
            <color rgb="FF000000"/>
            <rFont val="Arial"/>
          </rPr>
          <t>6sccm N2 and 4.5mTorr --dodo.defazio lunedì 23 aprile 2012 22:41:01</t>
        </r>
      </text>
    </comment>
    <comment ref="E146" authorId="0">
      <text>
        <r>
          <rPr>
            <sz val="10"/>
            <color rgb="FF000000"/>
            <rFont val="Arial"/>
          </rPr>
          <t>6sccm N2 and 1.5mTorr  --dodo.defazio Wednesday, April 25, 2012 11:53:05 AM</t>
        </r>
      </text>
    </comment>
    <comment ref="E154" authorId="0">
      <text>
        <r>
          <rPr>
            <sz val="10"/>
            <color rgb="FF000000"/>
            <rFont val="Arial"/>
          </rPr>
          <t>Too thin samples, oxide on the target  --dodo.defazio Friday, April 27, 2012 2:38:55 PM</t>
        </r>
      </text>
    </comment>
    <comment ref="E162" authorId="0">
      <text>
        <r>
          <rPr>
            <sz val="10"/>
            <color rgb="FF000000"/>
            <rFont val="Arial"/>
          </rPr>
          <t>3sccm N2 and 4.5mTorr   --dodo.defazio Friday, April 27, 2012 5:25:53 PM</t>
        </r>
      </text>
    </comment>
    <comment ref="E166" authorId="0">
      <text>
        <r>
          <rPr>
            <sz val="10"/>
            <color rgb="FF000000"/>
            <rFont val="Arial"/>
          </rPr>
          <t>4.5sccm N2 and 3mTorr --dodo.defazio Saturday, April 28, 2012 12:39:07 PM</t>
        </r>
      </text>
    </comment>
    <comment ref="C206" authorId="0">
      <text>
        <r>
          <rPr>
            <sz val="10"/>
            <color rgb="FF000000"/>
            <rFont val="Arial"/>
          </rPr>
          <t>2.5mTorr Total Pressure</t>
        </r>
      </text>
    </comment>
    <comment ref="A258" authorId="0">
      <text>
        <r>
          <rPr>
            <sz val="10"/>
            <color rgb="FF000000"/>
            <rFont val="Arial"/>
          </rPr>
          <t>dirty samples</t>
        </r>
      </text>
    </comment>
    <comment ref="Q265" authorId="0">
      <text>
        <r>
          <rPr>
            <sz val="10"/>
            <color rgb="FF000000"/>
            <rFont val="Arial"/>
          </rPr>
          <t>This is an estimation; 4 wire measurement failed, had to switch to 2 wire.</t>
        </r>
      </text>
    </comment>
    <comment ref="E270" authorId="0">
      <text>
        <r>
          <rPr>
            <sz val="10"/>
            <color rgb="FF000000"/>
            <rFont val="Arial"/>
          </rPr>
          <t>3sccm N2 and 4.5mTorr --dodo.defazio Friday, May 18, 2012 12:49:07 PM</t>
        </r>
      </text>
    </comment>
    <comment ref="E278" authorId="0">
      <text>
        <r>
          <rPr>
            <sz val="10"/>
            <color rgb="FF000000"/>
            <rFont val="Arial"/>
          </rPr>
          <t>4.5sccm N2 and 3mTorr</t>
        </r>
      </text>
    </comment>
    <comment ref="P285" authorId="0">
      <text>
        <r>
          <rPr>
            <sz val="10"/>
            <color rgb="FF000000"/>
            <rFont val="Arial"/>
          </rPr>
          <t>After TMAH soak the Tc was measured to be 13.0K</t>
        </r>
      </text>
    </comment>
    <comment ref="Q285" authorId="0">
      <text>
        <r>
          <rPr>
            <sz val="10"/>
            <color rgb="FF000000"/>
            <rFont val="Arial"/>
          </rPr>
          <t>After TMAH soak, RRR was relatively unchanged, equal to 0.94.</t>
        </r>
      </text>
    </comment>
    <comment ref="E290" authorId="0">
      <text>
        <r>
          <rPr>
            <sz val="10"/>
            <color rgb="FF000000"/>
            <rFont val="Arial"/>
          </rPr>
          <t>6sccm N2 and 1.5mTorr</t>
        </r>
      </text>
    </comment>
    <comment ref="E294" authorId="0">
      <text>
        <r>
          <rPr>
            <sz val="10"/>
            <color rgb="FF000000"/>
            <rFont val="Arial"/>
          </rPr>
          <t>6sccm N2 and 4.5mTorr pressure</t>
        </r>
      </text>
    </comment>
    <comment ref="E298" authorId="0">
      <text>
        <r>
          <rPr>
            <sz val="10"/>
            <color rgb="FF000000"/>
            <rFont val="Arial"/>
          </rPr>
          <t>6sccm N2 and 4.5mTorr pressure</t>
        </r>
      </text>
    </comment>
    <comment ref="E302" authorId="0">
      <text>
        <r>
          <rPr>
            <sz val="10"/>
            <color rgb="FF000000"/>
            <rFont val="Arial"/>
          </rPr>
          <t>3 sccm N2 and 1.5mTorr pressure, Brown samples</t>
        </r>
      </text>
    </comment>
    <comment ref="E310" authorId="0">
      <text>
        <r>
          <rPr>
            <sz val="10"/>
            <color rgb="FF000000"/>
            <rFont val="Arial"/>
          </rPr>
          <t>3 sccm N2 and 1.5mTorr pressure, Brown samples</t>
        </r>
      </text>
    </comment>
    <comment ref="E318" authorId="0">
      <text>
        <r>
          <rPr>
            <sz val="10"/>
            <color rgb="FF000000"/>
            <rFont val="Arial"/>
          </rPr>
          <t>7.5 sccm N2 and 3mTorr pressure</t>
        </r>
      </text>
    </comment>
    <comment ref="AG326" authorId="0">
      <text>
        <r>
          <rPr>
            <sz val="10"/>
            <color rgb="FF000000"/>
            <rFont val="Arial"/>
          </rPr>
          <t>We are not Tc'ing SiNx films at Faraz's request; he needs all for fabrication.</t>
        </r>
      </text>
    </comment>
    <comment ref="E345" authorId="0">
      <text>
        <r>
          <rPr>
            <sz val="10"/>
            <color rgb="FF000000"/>
            <rFont val="Arial"/>
          </rPr>
          <t>4.5 sccm N2 and 6mTorr pressure</t>
        </r>
      </text>
    </comment>
    <comment ref="E347" authorId="0">
      <text>
        <r>
          <rPr>
            <sz val="10"/>
            <color rgb="FF000000"/>
            <rFont val="Arial"/>
          </rPr>
          <t>4.5 sccm N2 and 6mTorr pressure</t>
        </r>
      </text>
    </comment>
    <comment ref="B355" authorId="0">
      <text>
        <r>
          <rPr>
            <sz val="10"/>
            <color rgb="FF000000"/>
            <rFont val="Arial"/>
          </rPr>
          <t xml:space="preserve">All the Tc vs Thickness samples will be grown with 5.3 sccm of nitrogen and total pressure = 3.2mTorr </t>
        </r>
      </text>
    </comment>
    <comment ref="E400" authorId="0">
      <text>
        <r>
          <rPr>
            <sz val="10"/>
            <color rgb="FF000000"/>
            <rFont val="Arial"/>
          </rPr>
          <t>Sheet resistances too high for array</t>
        </r>
      </text>
    </comment>
    <comment ref="E439" authorId="0">
      <text>
        <r>
          <rPr>
            <sz val="10"/>
            <color rgb="FF000000"/>
            <rFont val="Arial"/>
          </rPr>
          <t>3mTorr pressure and 4.5sccm of nitrogen</t>
        </r>
      </text>
    </comment>
    <comment ref="A625" authorId="0">
      <text>
        <r>
          <rPr>
            <sz val="10"/>
            <color rgb="FF000000"/>
            <rFont val="Arial"/>
          </rPr>
          <t>Chuck C1 and plate CP1 are now engraved so their relative position should be the same in subsequent depositions</t>
        </r>
      </text>
    </comment>
    <comment ref="G661" authorId="0">
      <text>
        <r>
          <rPr>
            <sz val="10"/>
            <color rgb="FF000000"/>
            <rFont val="Arial"/>
          </rPr>
          <t>Note: max speed of sample holder in AJA is 20RMP -&gt; the period of one revolution is then 3 seconds. All deposition times from here out should be multiples of 3 seconds.</t>
        </r>
      </text>
    </comment>
    <comment ref="A689" authorId="0">
      <text>
        <r>
          <rPr>
            <sz val="10"/>
            <color rgb="FF000000"/>
            <rFont val="Arial"/>
          </rPr>
          <t>First Deposition after replacing the target. See Maintenance log for details.</t>
        </r>
      </text>
    </comment>
    <comment ref="AC697" authorId="0">
      <text>
        <r>
          <rPr>
            <sz val="10"/>
            <color rgb="FF000000"/>
            <rFont val="Arial"/>
          </rPr>
          <t>sample dropped film down before optical measurements; likely incorrect.</t>
        </r>
      </text>
    </comment>
    <comment ref="AS701" authorId="0">
      <text>
        <r>
          <rPr>
            <sz val="10"/>
            <color rgb="FF000000"/>
            <rFont val="Arial"/>
          </rPr>
          <t>Tc measurement taken 2-3 hours after rsheet meas; rsheet meas not repeated prior to Tc test.</t>
        </r>
      </text>
    </comment>
    <comment ref="AS702" authorId="0">
      <text>
        <r>
          <rPr>
            <sz val="10"/>
            <color rgb="FF000000"/>
            <rFont val="Arial"/>
          </rPr>
          <t>Tc measurement taken 2-3 hours after rsheet meas; rsheet meas not repeated prior to Tc test.</t>
        </r>
      </text>
    </comment>
    <comment ref="AC729" authorId="0">
      <text>
        <r>
          <rPr>
            <sz val="10"/>
            <color rgb="FF000000"/>
            <rFont val="Arial"/>
          </rPr>
          <t>Sample may be too thick to measure. Basing thickness on absorption leads to 10.784 nm thickness</t>
        </r>
      </text>
    </comment>
    <comment ref="AC740" authorId="0">
      <text>
        <r>
          <rPr>
            <sz val="10"/>
            <color rgb="FF000000"/>
            <rFont val="Arial"/>
          </rPr>
          <t>remeasured after ~1 hour: 2.75nm</t>
        </r>
      </text>
    </comment>
    <comment ref="AC741" authorId="0">
      <text>
        <r>
          <rPr>
            <sz val="10"/>
            <color rgb="FF000000"/>
            <rFont val="Arial"/>
          </rPr>
          <t>Remeasured after ~1 hour: 2.78nm</t>
        </r>
      </text>
    </comment>
    <comment ref="AC742" authorId="0">
      <text>
        <r>
          <rPr>
            <sz val="10"/>
            <color rgb="FF000000"/>
            <rFont val="Arial"/>
          </rPr>
          <t>Remeasured after ~1 hour: 2.76nm</t>
        </r>
      </text>
    </comment>
    <comment ref="AS742" authorId="0">
      <text>
        <r>
          <rPr>
            <sz val="10"/>
            <color rgb="FF000000"/>
            <rFont val="Arial"/>
          </rPr>
          <t>Taken to be same as initial; few minutes time delay between</t>
        </r>
      </text>
    </comment>
    <comment ref="AC743" authorId="0">
      <text>
        <r>
          <rPr>
            <sz val="10"/>
            <color rgb="FF000000"/>
            <rFont val="Arial"/>
          </rPr>
          <t>Remeasured after ~1 hour: 2.76nm</t>
        </r>
      </text>
    </comment>
    <comment ref="P749" authorId="0">
      <text>
        <r>
          <rPr>
            <sz val="10"/>
            <color rgb="FF000000"/>
            <rFont val="Arial"/>
          </rPr>
          <t>At 4.2K sample appeared to be transitioning; Tc &lt;4.2K.</t>
        </r>
      </text>
    </comment>
    <comment ref="G801" authorId="0">
      <text>
        <r>
          <rPr>
            <sz val="10"/>
            <color rgb="FF000000"/>
            <rFont val="Arial"/>
          </rPr>
          <t>This was 600; does not match AJA log. Corrected to match AJA log.</t>
        </r>
      </text>
    </comment>
    <comment ref="P803" authorId="0">
      <text>
        <r>
          <rPr>
            <sz val="10"/>
            <color rgb="FF000000"/>
            <rFont val="Arial"/>
          </rPr>
          <t>5.9 according to fit; 5.7 from data taken while turning cryo on and off (cryo seems to be able to momentarily reach lower temps than it can reach in steady state)</t>
        </r>
      </text>
    </comment>
    <comment ref="AC864" authorId="0">
      <text>
        <r>
          <rPr>
            <sz val="10"/>
            <color rgb="FF000000"/>
            <rFont val="Arial"/>
          </rPr>
          <t>I'm worried about these measurements; reflectometere may need some maintenance. Reflectometer confirmed to be OK.</t>
        </r>
      </text>
    </comment>
    <comment ref="AC865" authorId="0">
      <text>
        <r>
          <rPr>
            <sz val="10"/>
            <color rgb="FF000000"/>
            <rFont val="Arial"/>
          </rPr>
          <t>I'm worried about these measurements; reflectometere may need some maintenance.</t>
        </r>
      </text>
    </comment>
    <comment ref="AC866" authorId="0">
      <text>
        <r>
          <rPr>
            <sz val="10"/>
            <color rgb="FF000000"/>
            <rFont val="Arial"/>
          </rPr>
          <t>I'm worried about these measurements; reflectometere may need some maintenance.</t>
        </r>
      </text>
    </comment>
    <comment ref="G922" authorId="0">
      <text>
        <r>
          <rPr>
            <sz val="10"/>
            <color rgb="FF000000"/>
            <rFont val="Arial"/>
          </rPr>
          <t>30 sec dep at room temp before heating, then 60 normal deposition (20 min heat soak then dep)</t>
        </r>
      </text>
    </comment>
    <comment ref="G926" authorId="0">
      <text>
        <r>
          <rPr>
            <sz val="10"/>
            <color rgb="FF000000"/>
            <rFont val="Arial"/>
          </rPr>
          <t>30 sec dep at room temp before heating, then 60 normal deposition (20 min heat soak then dep)</t>
        </r>
      </text>
    </comment>
    <comment ref="G930" authorId="0">
      <text>
        <r>
          <rPr>
            <sz val="10"/>
            <color rgb="FF000000"/>
            <rFont val="Arial"/>
          </rPr>
          <t>30 sec dep at room temp before heating, then 60 normal deposition (20 min heat soak then dep)</t>
        </r>
      </text>
    </comment>
    <comment ref="G934" authorId="0">
      <text>
        <r>
          <rPr>
            <sz val="10"/>
            <color rgb="FF000000"/>
            <rFont val="Arial"/>
          </rPr>
          <t>30 sec dep at room temp before heating, then 60 normal deposition (20 min heat soak then dep)</t>
        </r>
      </text>
    </comment>
    <comment ref="G952" authorId="0">
      <text>
        <r>
          <rPr>
            <sz val="10"/>
            <color rgb="FF000000"/>
            <rFont val="Arial"/>
          </rPr>
          <t>30 sec dep at room temp before heating, then 60 normal deposition (20 min heat soak then dep)</t>
        </r>
      </text>
    </comment>
    <comment ref="P965" authorId="0">
      <text>
        <r>
          <rPr>
            <sz val="10"/>
            <color rgb="FF000000"/>
            <rFont val="Arial"/>
          </rPr>
          <t>Did not transition down to 4K; did not show signs of transitioning between 4 and 20K</t>
        </r>
      </text>
    </comment>
    <comment ref="P1000" authorId="0">
      <text>
        <r>
          <rPr>
            <sz val="10"/>
            <color rgb="FF000000"/>
            <rFont val="Arial"/>
          </rPr>
          <t>Sample was transitioning around 5K; Tc estimated to be about 4.5K by eye.</t>
        </r>
      </text>
    </comment>
    <comment ref="P1019" authorId="0">
      <text>
        <r>
          <rPr>
            <sz val="10"/>
            <color rgb="FF000000"/>
            <rFont val="Arial"/>
          </rPr>
          <t>Tc taken after backside absorber was RIE'd for 200 seconds</t>
        </r>
      </text>
    </comment>
    <comment ref="P1020" authorId="0">
      <text>
        <r>
          <rPr>
            <sz val="10"/>
            <color rgb="FF000000"/>
            <rFont val="Arial"/>
          </rPr>
          <t>Tc taken after backside absorber was RIE'd for 200 seconds</t>
        </r>
      </text>
    </comment>
    <comment ref="AU1076" authorId="0">
      <text>
        <r>
          <rPr>
            <sz val="10"/>
            <color rgb="FF000000"/>
            <rFont val="Arial"/>
          </rPr>
          <t>Samples from run 324 will not have the right marking for these slots; the plate was upside down for coating</t>
        </r>
      </text>
    </comment>
    <comment ref="BE1187" authorId="0">
      <text>
        <r>
          <rPr>
            <sz val="10"/>
            <color rgb="FF000000"/>
            <rFont val="Arial"/>
          </rPr>
          <t>measured on wafer that was adjacent during growth, by Jim on NSL ellipsometer. Needs to be independently verified.</t>
        </r>
      </text>
    </comment>
    <comment ref="AO1228" authorId="0">
      <text>
        <r>
          <rPr>
            <sz val="10"/>
            <color rgb="FF000000"/>
            <rFont val="Arial"/>
          </rPr>
          <t>This is an estimate; Adam's program returned NaN, mine gave same # as SPD968 and they both look the same.</t>
        </r>
      </text>
    </comment>
    <comment ref="AO1233" authorId="0">
      <text>
        <r>
          <rPr>
            <sz val="10"/>
            <color rgb="FF000000"/>
            <rFont val="Arial"/>
          </rPr>
          <t>estimate, like SPD969</t>
        </r>
      </text>
    </comment>
    <comment ref="E1283" authorId="0">
      <text>
        <r>
          <rPr>
            <sz val="10"/>
            <color rgb="FF000000"/>
            <rFont val="Arial"/>
          </rPr>
          <t>And Run 371</t>
        </r>
      </text>
    </comment>
    <comment ref="E1284" authorId="0">
      <text>
        <r>
          <rPr>
            <sz val="10"/>
            <color rgb="FF000000"/>
            <rFont val="Arial"/>
          </rPr>
          <t>and run 371</t>
        </r>
      </text>
    </comment>
    <comment ref="AM1428" authorId="0">
      <text>
        <r>
          <rPr>
            <sz val="10"/>
            <color rgb="FF000000"/>
            <rFont val="Arial"/>
          </rPr>
          <t>There was an error in the process; as a result these films were deposited with no nitrogen.</t>
        </r>
      </text>
    </comment>
    <comment ref="BG1462" authorId="0">
      <text>
        <r>
          <rPr>
            <sz val="10"/>
            <color rgb="FF000000"/>
            <rFont val="Arial"/>
          </rPr>
          <t>after RIE'ing NbN absorber off of backside</t>
        </r>
      </text>
    </comment>
    <comment ref="A1482" authorId="0">
      <text>
        <r>
          <rPr>
            <sz val="10"/>
            <color rgb="FF000000"/>
            <rFont val="Arial"/>
          </rPr>
          <t>This process failed; one of the heat lamps died</t>
        </r>
      </text>
    </comment>
    <comment ref="BG1497" authorId="0">
      <text>
        <r>
          <rPr>
            <sz val="10"/>
            <color rgb="FF000000"/>
            <rFont val="Arial"/>
          </rPr>
          <t>This number is surprisingly close to the sum of the thicknesses from the runs it was in with...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V117" authorId="0">
      <text>
        <r>
          <rPr>
            <sz val="10"/>
            <color rgb="FF000000"/>
            <rFont val="Arial"/>
          </rPr>
          <t>On HAK097 and 098 the films should have the same dimensions as all else (1cm diameter) but the substrate is much larger --AEDane Tuesday, March 20, 2012 3:16:24 PM</t>
        </r>
      </text>
    </comment>
    <comment ref="J186" authorId="0">
      <text>
        <r>
          <rPr>
            <sz val="10"/>
            <color rgb="FF000000"/>
            <rFont val="Arial"/>
          </rPr>
          <t>New Sample Holder</t>
        </r>
      </text>
    </comment>
    <comment ref="K545" authorId="0">
      <text>
        <r>
          <rPr>
            <sz val="10"/>
            <color rgb="FF000000"/>
            <rFont val="Arial"/>
          </rPr>
          <t>mixed MgO and SiN deposition. Uniformity of SiN looks good.</t>
        </r>
      </text>
    </comment>
    <comment ref="A598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599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600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601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602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603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604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  <comment ref="A605" authorId="0">
      <text>
        <r>
          <rPr>
            <sz val="10"/>
            <color rgb="FF000000"/>
            <rFont val="Arial"/>
          </rPr>
          <t>I retook these values shortly after this when noticing that the Rs was much lower prior to Tc'ing SPD604; the new values are listed as the inital 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91" authorId="0">
      <text>
        <r>
          <rPr>
            <sz val="10"/>
            <color rgb="FF000000"/>
            <rFont val="Arial"/>
          </rPr>
          <t>dirty samples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2" authorId="0">
      <text>
        <r>
          <rPr>
            <sz val="10"/>
            <color rgb="FF000000"/>
            <rFont val="Arial"/>
          </rPr>
          <t>From IV measurement, @ probe current --AEDane Thursday, March 08, 2012 6:14:06 PM</t>
        </r>
      </text>
    </comment>
    <comment ref="V2" authorId="0">
      <text>
        <r>
          <rPr>
            <sz val="10"/>
            <color rgb="FF000000"/>
            <rFont val="Arial"/>
          </rPr>
          <t>Example: vikas' dipstick, remington, keithley 2400 --AEDane Thursday, March 08, 2012 6:16:22 PM</t>
        </r>
      </text>
    </comment>
    <comment ref="Z3" authorId="0">
      <text>
        <r>
          <rPr>
            <sz val="10"/>
            <color rgb="FF000000"/>
            <rFont val="Arial"/>
          </rPr>
          <t>Run 1000 through 1007 are the corrected and averaged results of three measurements each; raw data in 'Rsheet Data' --AEDane Thursday, March 08, 2012 6:28:37 PM</t>
        </r>
      </text>
    </comment>
    <comment ref="F25" authorId="0">
      <text>
        <r>
          <rPr>
            <sz val="10"/>
            <color rgb="FF000000"/>
            <rFont val="Arial"/>
          </rPr>
          <t>Hysteresis was noticed in this measurement. Tc of 11.53 going up and 11.56 going down. --AEDane Monday, April 02, 2012 8:14:38 PM</t>
        </r>
      </text>
    </comment>
    <comment ref="F26" authorId="0">
      <text>
        <r>
          <rPr>
            <sz val="10"/>
            <color rgb="FF000000"/>
            <rFont val="Arial"/>
          </rPr>
          <t>Hysteresis: Tc=11.54 UP and 11.59 Down --AEDane Monday, April 02, 2012 8:16:54 PM</t>
        </r>
      </text>
    </comment>
  </commentList>
</comments>
</file>

<file path=xl/sharedStrings.xml><?xml version="1.0" encoding="utf-8"?>
<sst xmlns="http://schemas.openxmlformats.org/spreadsheetml/2006/main" count="9471" uniqueCount="2299">
  <si>
    <t>Sample Name:</t>
  </si>
  <si>
    <t>At a glance:</t>
  </si>
  <si>
    <t>Status:</t>
  </si>
  <si>
    <t>Notes:</t>
  </si>
  <si>
    <t>Process ID:</t>
  </si>
  <si>
    <t>Used By:</t>
  </si>
  <si>
    <t>Deposition Parameters:</t>
  </si>
  <si>
    <t>Thickness Measurements:</t>
  </si>
  <si>
    <t>Resistance Measurements:</t>
  </si>
  <si>
    <t>Substrate:</t>
  </si>
  <si>
    <t>d (nm)</t>
  </si>
  <si>
    <t>Rs</t>
  </si>
  <si>
    <t>Tc</t>
  </si>
  <si>
    <t>Delta Tc</t>
  </si>
  <si>
    <t>Rho</t>
  </si>
  <si>
    <t>RRR</t>
  </si>
  <si>
    <t>Rho*Tc</t>
  </si>
  <si>
    <t>Deposition Date:</t>
  </si>
  <si>
    <t>Run #:</t>
  </si>
  <si>
    <t>SiNx or SiO2 Thickness (nm):</t>
  </si>
  <si>
    <t>Chuck Slot:</t>
  </si>
  <si>
    <t>Temperature (C):</t>
  </si>
  <si>
    <t>Deposition Time (s)</t>
  </si>
  <si>
    <t>Current setpoint (mA) -or- Power setpoint (W)</t>
  </si>
  <si>
    <t>Nitrogen Flow (sccm)</t>
  </si>
  <si>
    <t>Argon Flow (sccm)</t>
  </si>
  <si>
    <t>Pressure (mTorr)</t>
  </si>
  <si>
    <t>Chuck Height (mm)</t>
  </si>
  <si>
    <t>Pre-deposition Spark Power (W)</t>
  </si>
  <si>
    <t>Peak Power, Shutter Open (W)</t>
  </si>
  <si>
    <t>Reflectance:</t>
  </si>
  <si>
    <t>Transmittance:</t>
  </si>
  <si>
    <t>Absorptance:</t>
  </si>
  <si>
    <t>Synthesis Protocol:</t>
  </si>
  <si>
    <t>Thickness (nm) (Visible Trans)</t>
  </si>
  <si>
    <t>Thickness (nm) (IR Trans)</t>
  </si>
  <si>
    <t>R_sheet Initial</t>
  </si>
  <si>
    <t>R_sheet_Tc</t>
  </si>
  <si>
    <t>T_C</t>
  </si>
  <si>
    <t>Delta T_C</t>
  </si>
  <si>
    <t>rho (uOhm*cm):</t>
  </si>
  <si>
    <t>rho*Tc (Ohm*nm*K):</t>
  </si>
  <si>
    <t>deposition rate (nm/min):</t>
  </si>
  <si>
    <t>Exclude (Y if yes else ''):</t>
  </si>
  <si>
    <t>ANM023</t>
  </si>
  <si>
    <t>Adam Fab</t>
  </si>
  <si>
    <t>MgO</t>
  </si>
  <si>
    <t>based on T</t>
  </si>
  <si>
    <t>Extracted via MATLAB</t>
  </si>
  <si>
    <t>ANM024</t>
  </si>
  <si>
    <t>ANM025</t>
  </si>
  <si>
    <t>ANM026</t>
  </si>
  <si>
    <t>measured w/ In</t>
  </si>
  <si>
    <t>Tc Meas</t>
  </si>
  <si>
    <t>manual</t>
  </si>
  <si>
    <t>ANM027</t>
  </si>
  <si>
    <t>Najafi Fab</t>
  </si>
  <si>
    <t>ANM028</t>
  </si>
  <si>
    <t>ANM029</t>
  </si>
  <si>
    <t>ANM030</t>
  </si>
  <si>
    <t>ANM031</t>
  </si>
  <si>
    <t>ANM032</t>
  </si>
  <si>
    <t>ANM033</t>
  </si>
  <si>
    <t>ANM034</t>
  </si>
  <si>
    <t>ANM035</t>
  </si>
  <si>
    <t>ANM036</t>
  </si>
  <si>
    <t>DDF001</t>
  </si>
  <si>
    <t>Single-run variability (Tc) tests</t>
  </si>
  <si>
    <t>DDF002</t>
  </si>
  <si>
    <t>DDF003</t>
  </si>
  <si>
    <t>DDF004</t>
  </si>
  <si>
    <t>DDF005</t>
  </si>
  <si>
    <t>DDF006</t>
  </si>
  <si>
    <t>DDF007</t>
  </si>
  <si>
    <t>DDF008</t>
  </si>
  <si>
    <t>DDF009</t>
  </si>
  <si>
    <t>Thickness/rate test</t>
  </si>
  <si>
    <t>DDF010</t>
  </si>
  <si>
    <t>DDF011BAD</t>
  </si>
  <si>
    <t>DDF012BAD</t>
  </si>
  <si>
    <t>HAK111</t>
  </si>
  <si>
    <t>in dry box</t>
  </si>
  <si>
    <t>unknown</t>
  </si>
  <si>
    <t>NA</t>
  </si>
  <si>
    <t>HAK112</t>
  </si>
  <si>
    <t>HAK109</t>
  </si>
  <si>
    <t>DDF011</t>
  </si>
  <si>
    <t>Ready for Tc; ON HOLD</t>
  </si>
  <si>
    <t>Thickness/rate test; Tc Meas</t>
  </si>
  <si>
    <t>DDF012</t>
  </si>
  <si>
    <t>Sputtered @ half-power</t>
  </si>
  <si>
    <t>DDF013</t>
  </si>
  <si>
    <t>DDF014</t>
  </si>
  <si>
    <t>DDF015</t>
  </si>
  <si>
    <t>QZ checking w/ DDF</t>
  </si>
  <si>
    <t>Thickness/rate test; TMAH etching rate</t>
  </si>
  <si>
    <t>DDF016</t>
  </si>
  <si>
    <t>DDF017</t>
  </si>
  <si>
    <t>DDF018</t>
  </si>
  <si>
    <t>DDF019</t>
  </si>
  <si>
    <t>will be dep. on both sides</t>
  </si>
  <si>
    <t>Reproducibility Test at R.T.</t>
  </si>
  <si>
    <t>DDF020</t>
  </si>
  <si>
    <t>DDF021</t>
  </si>
  <si>
    <t>DDF022</t>
  </si>
  <si>
    <t>DDF023</t>
  </si>
  <si>
    <t>DDF024</t>
  </si>
  <si>
    <t>DDF025</t>
  </si>
  <si>
    <t>DDF026</t>
  </si>
  <si>
    <t>DDF027</t>
  </si>
  <si>
    <t>Rs-Thickness Correlation?</t>
  </si>
  <si>
    <t>DDF028</t>
  </si>
  <si>
    <t>DDF029</t>
  </si>
  <si>
    <t>DDF030</t>
  </si>
  <si>
    <t>DDF031</t>
  </si>
  <si>
    <t>DDF032</t>
  </si>
  <si>
    <t>DDF033</t>
  </si>
  <si>
    <t>DDF034</t>
  </si>
  <si>
    <t>DDF035</t>
  </si>
  <si>
    <t>FOX-14 dose test</t>
  </si>
  <si>
    <t>DDF036</t>
  </si>
  <si>
    <t>DDF037</t>
  </si>
  <si>
    <t>DDF038</t>
  </si>
  <si>
    <t>DDF039</t>
  </si>
  <si>
    <t>DDF040</t>
  </si>
  <si>
    <t>DDF041</t>
  </si>
  <si>
    <t>DDF042</t>
  </si>
  <si>
    <t>SPD001</t>
  </si>
  <si>
    <t>SPD002</t>
  </si>
  <si>
    <t>SPD003</t>
  </si>
  <si>
    <t>SPD004</t>
  </si>
  <si>
    <t>Rs-Thickness Correlation? Released to Fab</t>
  </si>
  <si>
    <t>SPD005</t>
  </si>
  <si>
    <t>Released to Fab</t>
  </si>
  <si>
    <t>Detectors / width tests</t>
  </si>
  <si>
    <t>AM</t>
  </si>
  <si>
    <t>SPD006</t>
  </si>
  <si>
    <t>Detectors(?)</t>
  </si>
  <si>
    <t>FN</t>
  </si>
  <si>
    <t>SPD007</t>
  </si>
  <si>
    <t>Trash</t>
  </si>
  <si>
    <t>QZ</t>
  </si>
  <si>
    <t>SPD008</t>
  </si>
  <si>
    <t>Detectors</t>
  </si>
  <si>
    <t>AM/QZ</t>
  </si>
  <si>
    <t>SPD009</t>
  </si>
  <si>
    <t>SPD010</t>
  </si>
  <si>
    <t>SPD011</t>
  </si>
  <si>
    <t>SPD012</t>
  </si>
  <si>
    <t>Resist spun upside down</t>
  </si>
  <si>
    <t>SPD013</t>
  </si>
  <si>
    <t>SPD014</t>
  </si>
  <si>
    <t>SPD015</t>
  </si>
  <si>
    <t>SPD016</t>
  </si>
  <si>
    <t>SPD017</t>
  </si>
  <si>
    <t>Deposited on Both Sides; Full Low Temp Meas</t>
  </si>
  <si>
    <t>Manual</t>
  </si>
  <si>
    <t>SPD018</t>
  </si>
  <si>
    <t>SPD019</t>
  </si>
  <si>
    <t>SPD020</t>
  </si>
  <si>
    <t>SPD021</t>
  </si>
  <si>
    <t>SPD022</t>
  </si>
  <si>
    <t>SPD023</t>
  </si>
  <si>
    <t>SPD024</t>
  </si>
  <si>
    <t>SPD025</t>
  </si>
  <si>
    <t>Needs backside NbN removed</t>
  </si>
  <si>
    <t>Deposited on Both Sides; Optical and Resistance measurements</t>
  </si>
  <si>
    <t>57-58</t>
  </si>
  <si>
    <t>20-800</t>
  </si>
  <si>
    <t>30-55</t>
  </si>
  <si>
    <t>SPD026</t>
  </si>
  <si>
    <t>Elionix</t>
  </si>
  <si>
    <t>SPD027</t>
  </si>
  <si>
    <t>Deposited on Both Sides</t>
  </si>
  <si>
    <t>SPD028</t>
  </si>
  <si>
    <t>SPD029</t>
  </si>
  <si>
    <t>59-60</t>
  </si>
  <si>
    <t>SPD030</t>
  </si>
  <si>
    <t>SPD031</t>
  </si>
  <si>
    <t>SPD032</t>
  </si>
  <si>
    <t>SPD033</t>
  </si>
  <si>
    <t>61-62</t>
  </si>
  <si>
    <t>SPD034</t>
  </si>
  <si>
    <t>SPD035</t>
  </si>
  <si>
    <t>SPD036</t>
  </si>
  <si>
    <t>SPD037</t>
  </si>
  <si>
    <t>Fab</t>
  </si>
  <si>
    <t>SiNx</t>
  </si>
  <si>
    <t>SPD038</t>
  </si>
  <si>
    <t>SPD039</t>
  </si>
  <si>
    <t>SPD040</t>
  </si>
  <si>
    <t>SPD041</t>
  </si>
  <si>
    <t>Rs vs Time Meas.</t>
  </si>
  <si>
    <t>64-65</t>
  </si>
  <si>
    <t>30-65</t>
  </si>
  <si>
    <t>SPD042</t>
  </si>
  <si>
    <t>SPD043</t>
  </si>
  <si>
    <t>SPD044</t>
  </si>
  <si>
    <t>SPD045</t>
  </si>
  <si>
    <t>Deposition Rate Test</t>
  </si>
  <si>
    <t>SPD046</t>
  </si>
  <si>
    <t>SPD047</t>
  </si>
  <si>
    <t>SPD048</t>
  </si>
  <si>
    <t>SPD049</t>
  </si>
  <si>
    <t>poor HSQ spin/trash</t>
  </si>
  <si>
    <t>Seeking 600Ohm/Square Rs</t>
  </si>
  <si>
    <t>KS</t>
  </si>
  <si>
    <t>SPD050</t>
  </si>
  <si>
    <t>HSQ dose test</t>
  </si>
  <si>
    <t>SPD051</t>
  </si>
  <si>
    <t>liftoff</t>
  </si>
  <si>
    <t>SPD052</t>
  </si>
  <si>
    <t>SPD053</t>
  </si>
  <si>
    <t>Adam fab</t>
  </si>
  <si>
    <t>SPD054</t>
  </si>
  <si>
    <t>Self-oscillation tests</t>
  </si>
  <si>
    <t>SPD055</t>
  </si>
  <si>
    <t>fab on hold while testing backlog</t>
  </si>
  <si>
    <t>SPD056</t>
  </si>
  <si>
    <t>measured with T and R</t>
  </si>
  <si>
    <t>2.8218, 2.7289</t>
  </si>
  <si>
    <t>SPD057</t>
  </si>
  <si>
    <t>SPD058</t>
  </si>
  <si>
    <t>SPD059</t>
  </si>
  <si>
    <t>SPD060</t>
  </si>
  <si>
    <t>SPD061</t>
  </si>
  <si>
    <t>Tc testing done.</t>
  </si>
  <si>
    <t>Optical and Tc Meas</t>
  </si>
  <si>
    <t>SPD062</t>
  </si>
  <si>
    <t>Elionix; Liftoff Failed</t>
  </si>
  <si>
    <t>SPD063</t>
  </si>
  <si>
    <t>SPD064</t>
  </si>
  <si>
    <t>SPD065</t>
  </si>
  <si>
    <t>SPD066</t>
  </si>
  <si>
    <t>SPD067</t>
  </si>
  <si>
    <t>SPD068</t>
  </si>
  <si>
    <t>SPD069</t>
  </si>
  <si>
    <t>SPD070</t>
  </si>
  <si>
    <t>SPD071</t>
  </si>
  <si>
    <t>SPD072</t>
  </si>
  <si>
    <t>SPD073</t>
  </si>
  <si>
    <t>SPD074</t>
  </si>
  <si>
    <t>SPD075</t>
  </si>
  <si>
    <t>SPD076</t>
  </si>
  <si>
    <t>HAK097/HAK098</t>
  </si>
  <si>
    <t>SPD077</t>
  </si>
  <si>
    <t>SPD078</t>
  </si>
  <si>
    <t>SPD079</t>
  </si>
  <si>
    <t>16,6</t>
  </si>
  <si>
    <t>SPD080</t>
  </si>
  <si>
    <t>SPD081</t>
  </si>
  <si>
    <t>SPD082</t>
  </si>
  <si>
    <t>SPD083</t>
  </si>
  <si>
    <t>SPD084</t>
  </si>
  <si>
    <t>SPD085</t>
  </si>
  <si>
    <t>SPD086</t>
  </si>
  <si>
    <t>SPD087</t>
  </si>
  <si>
    <t>SPD088</t>
  </si>
  <si>
    <t>lost</t>
  </si>
  <si>
    <t>SPD089</t>
  </si>
  <si>
    <t>SPD090</t>
  </si>
  <si>
    <t>SPD091</t>
  </si>
  <si>
    <t>SPD092</t>
  </si>
  <si>
    <t>SPD093</t>
  </si>
  <si>
    <t>SPD094</t>
  </si>
  <si>
    <t>SPD095</t>
  </si>
  <si>
    <t>SPD096</t>
  </si>
  <si>
    <t>SPD097</t>
  </si>
  <si>
    <t>SPD098</t>
  </si>
  <si>
    <t>SPD099</t>
  </si>
  <si>
    <t>SPD100</t>
  </si>
  <si>
    <t>SPD101</t>
  </si>
  <si>
    <t>SPD102</t>
  </si>
  <si>
    <t>SPD103</t>
  </si>
  <si>
    <t>SPD104</t>
  </si>
  <si>
    <t>SPD105</t>
  </si>
  <si>
    <t>SPD106</t>
  </si>
  <si>
    <t>SPD107</t>
  </si>
  <si>
    <t>SPD108</t>
  </si>
  <si>
    <t>SPD109</t>
  </si>
  <si>
    <t>SPD110</t>
  </si>
  <si>
    <t>SPD111</t>
  </si>
  <si>
    <t>SPD112</t>
  </si>
  <si>
    <t>SPD113</t>
  </si>
  <si>
    <t>Tc Measurements</t>
  </si>
  <si>
    <t>SPD114</t>
  </si>
  <si>
    <t>SPD115</t>
  </si>
  <si>
    <t>SPD116</t>
  </si>
  <si>
    <t>GSD001</t>
  </si>
  <si>
    <t>30% Power Thickness Test</t>
  </si>
  <si>
    <t>Glass</t>
  </si>
  <si>
    <t>GSD002</t>
  </si>
  <si>
    <t>GSD003</t>
  </si>
  <si>
    <t>GSD004</t>
  </si>
  <si>
    <t>GSD005</t>
  </si>
  <si>
    <t>GSD006</t>
  </si>
  <si>
    <t>GSD007</t>
  </si>
  <si>
    <t>GSD008</t>
  </si>
  <si>
    <t>GSD009</t>
  </si>
  <si>
    <t>GSD010</t>
  </si>
  <si>
    <t>GSD011</t>
  </si>
  <si>
    <t>GSD012</t>
  </si>
  <si>
    <t>GSD013</t>
  </si>
  <si>
    <t>GSD014</t>
  </si>
  <si>
    <t>GSD015</t>
  </si>
  <si>
    <t>GSD016</t>
  </si>
  <si>
    <t>GSD017</t>
  </si>
  <si>
    <t>GSD018</t>
  </si>
  <si>
    <t>GSD019</t>
  </si>
  <si>
    <t>GSD020</t>
  </si>
  <si>
    <t>Tc measured</t>
  </si>
  <si>
    <t>GSD021</t>
  </si>
  <si>
    <t>GSD022</t>
  </si>
  <si>
    <t>GSD023</t>
  </si>
  <si>
    <t>GSD024</t>
  </si>
  <si>
    <t>GSD025</t>
  </si>
  <si>
    <t>GSD026</t>
  </si>
  <si>
    <t>GSD027</t>
  </si>
  <si>
    <t>GSD028</t>
  </si>
  <si>
    <t>GSD029</t>
  </si>
  <si>
    <t>GSD030</t>
  </si>
  <si>
    <t>GSD031</t>
  </si>
  <si>
    <t>GSD032</t>
  </si>
  <si>
    <t>GSD033</t>
  </si>
  <si>
    <t>GSD034</t>
  </si>
  <si>
    <t>GSD035</t>
  </si>
  <si>
    <t>GSD036</t>
  </si>
  <si>
    <t>SPD117</t>
  </si>
  <si>
    <t>Reproducibility Test at 30% Power</t>
  </si>
  <si>
    <t>SPD118</t>
  </si>
  <si>
    <t>SPD119</t>
  </si>
  <si>
    <t>SPD120</t>
  </si>
  <si>
    <t>SPD121</t>
  </si>
  <si>
    <t>Clean film for pinning dose</t>
  </si>
  <si>
    <t>SPD122</t>
  </si>
  <si>
    <t>SPD123</t>
  </si>
  <si>
    <t>SPD124</t>
  </si>
  <si>
    <t>SPD125</t>
  </si>
  <si>
    <t>Reproducibility Test at 30% Power (Dual Face)</t>
  </si>
  <si>
    <t>96-97</t>
  </si>
  <si>
    <t>Sapphire</t>
  </si>
  <si>
    <t>100-150</t>
  </si>
  <si>
    <t>SPD126</t>
  </si>
  <si>
    <t>SPD127</t>
  </si>
  <si>
    <t>SPD128</t>
  </si>
  <si>
    <t>SPD129</t>
  </si>
  <si>
    <t>98-99</t>
  </si>
  <si>
    <t>SPD130</t>
  </si>
  <si>
    <t>SPD131</t>
  </si>
  <si>
    <t>SPD132</t>
  </si>
  <si>
    <t>SPD133</t>
  </si>
  <si>
    <t>100-101</t>
  </si>
  <si>
    <t>SPD134</t>
  </si>
  <si>
    <t>SPD135</t>
  </si>
  <si>
    <t>SPD136</t>
  </si>
  <si>
    <t>SPD137BAD</t>
  </si>
  <si>
    <t>102-103</t>
  </si>
  <si>
    <t>100-50</t>
  </si>
  <si>
    <t>SPD138BAD</t>
  </si>
  <si>
    <t>SPD139BAD</t>
  </si>
  <si>
    <t>SPD140BAD</t>
  </si>
  <si>
    <t>SPD141</t>
  </si>
  <si>
    <t>104-105</t>
  </si>
  <si>
    <t>100-80</t>
  </si>
  <si>
    <t>SPD142</t>
  </si>
  <si>
    <t>SPD143</t>
  </si>
  <si>
    <t>SPD144</t>
  </si>
  <si>
    <t>GSD037</t>
  </si>
  <si>
    <t>Very different parameter test</t>
  </si>
  <si>
    <t>GSD038</t>
  </si>
  <si>
    <t>GSD039</t>
  </si>
  <si>
    <t>GSD040</t>
  </si>
  <si>
    <t>SPD145</t>
  </si>
  <si>
    <t>Tc Testing Done</t>
  </si>
  <si>
    <t>600 Ohms/Square Deposition for Tc Meas</t>
  </si>
  <si>
    <t>MATLAB</t>
  </si>
  <si>
    <t>SPD146</t>
  </si>
  <si>
    <t>SPD147</t>
  </si>
  <si>
    <t>SPD148</t>
  </si>
  <si>
    <t>SPD149</t>
  </si>
  <si>
    <t>SPD150</t>
  </si>
  <si>
    <t>SPD151</t>
  </si>
  <si>
    <t>SPD152</t>
  </si>
  <si>
    <t>Tc testing done</t>
  </si>
  <si>
    <t>SPD153</t>
  </si>
  <si>
    <t>Optimization of Growth Parameters</t>
  </si>
  <si>
    <t>SPD154</t>
  </si>
  <si>
    <t>SPD155</t>
  </si>
  <si>
    <t>SPD156</t>
  </si>
  <si>
    <t>SPD157</t>
  </si>
  <si>
    <t>SPD158</t>
  </si>
  <si>
    <t>SPD159</t>
  </si>
  <si>
    <t>SPD160</t>
  </si>
  <si>
    <t>SPD161</t>
  </si>
  <si>
    <t>SPD162</t>
  </si>
  <si>
    <t>SPD163</t>
  </si>
  <si>
    <t>SPD164</t>
  </si>
  <si>
    <t>SPD165</t>
  </si>
  <si>
    <t>SPD166</t>
  </si>
  <si>
    <t>SPD167</t>
  </si>
  <si>
    <t>SPD168</t>
  </si>
  <si>
    <t>SPD169</t>
  </si>
  <si>
    <t>SPD170</t>
  </si>
  <si>
    <t>SPD171</t>
  </si>
  <si>
    <t>SPD172</t>
  </si>
  <si>
    <t>Tc testing done and repeated after TMAH soak</t>
  </si>
  <si>
    <t>SPD173</t>
  </si>
  <si>
    <t>SPD174</t>
  </si>
  <si>
    <t>SPD175</t>
  </si>
  <si>
    <t>SPD176</t>
  </si>
  <si>
    <t>SPD177</t>
  </si>
  <si>
    <t>SPD178</t>
  </si>
  <si>
    <t>SPD179</t>
  </si>
  <si>
    <t>SPD180</t>
  </si>
  <si>
    <t>SPD181</t>
  </si>
  <si>
    <t>SPD182</t>
  </si>
  <si>
    <t>SPD183</t>
  </si>
  <si>
    <t>SPD184</t>
  </si>
  <si>
    <t>SPD185</t>
  </si>
  <si>
    <t>SPD186</t>
  </si>
  <si>
    <t>SPD187</t>
  </si>
  <si>
    <t>SPD188</t>
  </si>
  <si>
    <t>SPD189</t>
  </si>
  <si>
    <t>SPD190</t>
  </si>
  <si>
    <t>SPD191</t>
  </si>
  <si>
    <t>SPD192</t>
  </si>
  <si>
    <t>SPD193</t>
  </si>
  <si>
    <t>&lt; 4.2</t>
  </si>
  <si>
    <t>-</t>
  </si>
  <si>
    <t>SPD194</t>
  </si>
  <si>
    <t>SPD195</t>
  </si>
  <si>
    <t>SPD196</t>
  </si>
  <si>
    <t>SPD197</t>
  </si>
  <si>
    <t>SPD198</t>
  </si>
  <si>
    <t>SPD199</t>
  </si>
  <si>
    <t>SPD200</t>
  </si>
  <si>
    <t>SPD201</t>
  </si>
  <si>
    <t>SPD202</t>
  </si>
  <si>
    <t>SPD203</t>
  </si>
  <si>
    <t>SPD204</t>
  </si>
  <si>
    <t>SPD205</t>
  </si>
  <si>
    <t>Etching Test</t>
  </si>
  <si>
    <t>SPD206</t>
  </si>
  <si>
    <t>SPD207</t>
  </si>
  <si>
    <t>SPD208</t>
  </si>
  <si>
    <t>SPD209</t>
  </si>
  <si>
    <t>SPD210</t>
  </si>
  <si>
    <t>SPD211</t>
  </si>
  <si>
    <t>SPD212</t>
  </si>
  <si>
    <t>SPD213</t>
  </si>
  <si>
    <t>SPD214</t>
  </si>
  <si>
    <t>SPD215</t>
  </si>
  <si>
    <t>SPD216</t>
  </si>
  <si>
    <t>SPD217</t>
  </si>
  <si>
    <t>SPD218</t>
  </si>
  <si>
    <t>SPD219</t>
  </si>
  <si>
    <t>SPD220</t>
  </si>
  <si>
    <t>SPD221</t>
  </si>
  <si>
    <t>SPD222</t>
  </si>
  <si>
    <t>SPD223</t>
  </si>
  <si>
    <t>SPD224</t>
  </si>
  <si>
    <t>SPD225</t>
  </si>
  <si>
    <t>SPD226</t>
  </si>
  <si>
    <t>SPD227</t>
  </si>
  <si>
    <t>SPD228</t>
  </si>
  <si>
    <t>SPD229</t>
  </si>
  <si>
    <t>SPD230</t>
  </si>
  <si>
    <t>SPD231</t>
  </si>
  <si>
    <t>SPD232</t>
  </si>
  <si>
    <t>Oxidation Study</t>
  </si>
  <si>
    <t>SPD233</t>
  </si>
  <si>
    <t>SPD234</t>
  </si>
  <si>
    <t>SPD235</t>
  </si>
  <si>
    <t>SPD236</t>
  </si>
  <si>
    <t>SPD237</t>
  </si>
  <si>
    <t>SPD238</t>
  </si>
  <si>
    <t>Tc vs Thickness</t>
  </si>
  <si>
    <t>SPD239</t>
  </si>
  <si>
    <t>SPD240</t>
  </si>
  <si>
    <t>SPD241</t>
  </si>
  <si>
    <t>SPD242</t>
  </si>
  <si>
    <t>SPD243</t>
  </si>
  <si>
    <t>SPD244</t>
  </si>
  <si>
    <t>SPD245</t>
  </si>
  <si>
    <t>SPD246</t>
  </si>
  <si>
    <t>SPD247</t>
  </si>
  <si>
    <t>Tc vs Thickness and Array</t>
  </si>
  <si>
    <t>SPD248</t>
  </si>
  <si>
    <t>SPD249</t>
  </si>
  <si>
    <t>Tc vs Thickness and Detectors</t>
  </si>
  <si>
    <t>SPD250</t>
  </si>
  <si>
    <t>SPD251</t>
  </si>
  <si>
    <t>SPD253</t>
  </si>
  <si>
    <t>SPD254</t>
  </si>
  <si>
    <t>SPD255</t>
  </si>
  <si>
    <t>SPD256</t>
  </si>
  <si>
    <t>SPD257</t>
  </si>
  <si>
    <t>SPD258</t>
  </si>
  <si>
    <t>SPD259</t>
  </si>
  <si>
    <t>SPD260</t>
  </si>
  <si>
    <t>SPD261</t>
  </si>
  <si>
    <t>SPD262</t>
  </si>
  <si>
    <t>SPD263</t>
  </si>
  <si>
    <t>SPD264</t>
  </si>
  <si>
    <t>SPD265</t>
  </si>
  <si>
    <t>DF</t>
  </si>
  <si>
    <t>SPD266</t>
  </si>
  <si>
    <t>SPD267</t>
  </si>
  <si>
    <t>SPD268</t>
  </si>
  <si>
    <t>SPD269</t>
  </si>
  <si>
    <t>SPD270</t>
  </si>
  <si>
    <t>SPD271</t>
  </si>
  <si>
    <t>SPD272</t>
  </si>
  <si>
    <t>SPD273</t>
  </si>
  <si>
    <t>SPD274</t>
  </si>
  <si>
    <t>SPD275</t>
  </si>
  <si>
    <t>SPD276</t>
  </si>
  <si>
    <t>Array Fab</t>
  </si>
  <si>
    <t>SPD277</t>
  </si>
  <si>
    <t>SPD278</t>
  </si>
  <si>
    <t>SPD279</t>
  </si>
  <si>
    <t>SPD280</t>
  </si>
  <si>
    <t>SPD281</t>
  </si>
  <si>
    <t>SPD282</t>
  </si>
  <si>
    <t>SPD283</t>
  </si>
  <si>
    <t>SPD284</t>
  </si>
  <si>
    <t>SPD285</t>
  </si>
  <si>
    <t>SPD286</t>
  </si>
  <si>
    <t>SPD287</t>
  </si>
  <si>
    <t>Need AFM / SEM</t>
  </si>
  <si>
    <t>Annealing Experiment</t>
  </si>
  <si>
    <t>AD</t>
  </si>
  <si>
    <t>SPD288</t>
  </si>
  <si>
    <t>SPD289</t>
  </si>
  <si>
    <t>SPD290</t>
  </si>
  <si>
    <t>SPD291</t>
  </si>
  <si>
    <t>SPD292</t>
  </si>
  <si>
    <t>SPD293</t>
  </si>
  <si>
    <t>SPD294</t>
  </si>
  <si>
    <t>SPD295</t>
  </si>
  <si>
    <t>SPD296</t>
  </si>
  <si>
    <t>SPD297</t>
  </si>
  <si>
    <t>SPD298</t>
  </si>
  <si>
    <t>SPD299</t>
  </si>
  <si>
    <t>SPD300</t>
  </si>
  <si>
    <t>Tc taken; needs reflectometer</t>
  </si>
  <si>
    <t>Tc Testing</t>
  </si>
  <si>
    <t>SPD301</t>
  </si>
  <si>
    <t>SPD302</t>
  </si>
  <si>
    <t>SiNx Without Biasing Substrate</t>
  </si>
  <si>
    <t>SPD303</t>
  </si>
  <si>
    <t>Glass Without Biasing Substrate</t>
  </si>
  <si>
    <t>SPD304</t>
  </si>
  <si>
    <t>SPD305</t>
  </si>
  <si>
    <t>SPD306</t>
  </si>
  <si>
    <t>Glass Biasing Substrate</t>
  </si>
  <si>
    <t>SPD307</t>
  </si>
  <si>
    <t>SPD308</t>
  </si>
  <si>
    <t>SPD309</t>
  </si>
  <si>
    <t>SPD310</t>
  </si>
  <si>
    <t>SPD311</t>
  </si>
  <si>
    <t>SPD312</t>
  </si>
  <si>
    <t>SPD313</t>
  </si>
  <si>
    <t>SPD314</t>
  </si>
  <si>
    <t>AR</t>
  </si>
  <si>
    <t>SPD315</t>
  </si>
  <si>
    <t>SPD316</t>
  </si>
  <si>
    <t>SPD317</t>
  </si>
  <si>
    <t>SPD318</t>
  </si>
  <si>
    <t>SPD319</t>
  </si>
  <si>
    <t>SPD320</t>
  </si>
  <si>
    <t>SPD321</t>
  </si>
  <si>
    <t>SPD322</t>
  </si>
  <si>
    <t>XRD with YI</t>
  </si>
  <si>
    <t>Optimization of Growth Parameters on SiNx</t>
  </si>
  <si>
    <t>DF, YI</t>
  </si>
  <si>
    <t>SPD323</t>
  </si>
  <si>
    <t>SPD324</t>
  </si>
  <si>
    <t>SPD325</t>
  </si>
  <si>
    <t>too thick for optical measurements</t>
  </si>
  <si>
    <t>SPD354</t>
  </si>
  <si>
    <t>Examining Bias</t>
  </si>
  <si>
    <t>YI</t>
  </si>
  <si>
    <t>SPD355</t>
  </si>
  <si>
    <t>SPD356</t>
  </si>
  <si>
    <t>SPD357</t>
  </si>
  <si>
    <t>SPD358</t>
  </si>
  <si>
    <t>SPD359</t>
  </si>
  <si>
    <t>SPD360</t>
  </si>
  <si>
    <t>SPD361</t>
  </si>
  <si>
    <t>SPD362</t>
  </si>
  <si>
    <t>Sinx</t>
  </si>
  <si>
    <t>SPD363</t>
  </si>
  <si>
    <t>SPD364</t>
  </si>
  <si>
    <t>SPD365</t>
  </si>
  <si>
    <t>SPD366</t>
  </si>
  <si>
    <t>SPD367</t>
  </si>
  <si>
    <t>SPD368</t>
  </si>
  <si>
    <t>SPD369</t>
  </si>
  <si>
    <t>SPD370</t>
  </si>
  <si>
    <t>SPD371</t>
  </si>
  <si>
    <t>SPD372</t>
  </si>
  <si>
    <t>SPD373</t>
  </si>
  <si>
    <t>SPD374</t>
  </si>
  <si>
    <t>Optimization of Growth Parameters on SiNx; KAS use for baking experiment.</t>
  </si>
  <si>
    <t>SPD375</t>
  </si>
  <si>
    <t>SPD376</t>
  </si>
  <si>
    <t>SPD377</t>
  </si>
  <si>
    <t>SPD378</t>
  </si>
  <si>
    <t>Stress tests</t>
  </si>
  <si>
    <t>SPD379</t>
  </si>
  <si>
    <t>SPD380</t>
  </si>
  <si>
    <t>SPD381</t>
  </si>
  <si>
    <t>SPD382</t>
  </si>
  <si>
    <t>SiNx with Au markers</t>
  </si>
  <si>
    <t>SPD383</t>
  </si>
  <si>
    <t>SPD384</t>
  </si>
  <si>
    <t>SPD252</t>
  </si>
  <si>
    <t/>
  </si>
  <si>
    <t>SPD385</t>
  </si>
  <si>
    <t>SPD386</t>
  </si>
  <si>
    <t>Examining MgO vs Sapphire, cleaned substrate (acid), bottom is colored</t>
  </si>
  <si>
    <t>Al2O3</t>
  </si>
  <si>
    <t>SPD387</t>
  </si>
  <si>
    <t>Examining MgO vs Sapphire, cleaned substrate (acid)</t>
  </si>
  <si>
    <t>SPD388</t>
  </si>
  <si>
    <t>Examining MgO vs Sapphire cleaned with acetone et al, bottom is colored</t>
  </si>
  <si>
    <t>SPD389</t>
  </si>
  <si>
    <t>Examining MgO vs Sapphire cleaned with acetone et al,</t>
  </si>
  <si>
    <t>SPD390</t>
  </si>
  <si>
    <t>SPD391</t>
  </si>
  <si>
    <t>SPD392</t>
  </si>
  <si>
    <t>SPD393</t>
  </si>
  <si>
    <t>SPD394</t>
  </si>
  <si>
    <t>Examining MgO vs Sapphire, bottom is colored</t>
  </si>
  <si>
    <t>SPD395</t>
  </si>
  <si>
    <t>Taken for XRD YI</t>
  </si>
  <si>
    <t>Examining MgO vs Sapphire</t>
  </si>
  <si>
    <t>SPD396</t>
  </si>
  <si>
    <t>SPD397</t>
  </si>
  <si>
    <t>SPD398</t>
  </si>
  <si>
    <t>Removing water layer 160C preheating</t>
  </si>
  <si>
    <t>YI,AR</t>
  </si>
  <si>
    <t>SPD399</t>
  </si>
  <si>
    <t>SPD400</t>
  </si>
  <si>
    <t>SPD401</t>
  </si>
  <si>
    <t>SPD402</t>
  </si>
  <si>
    <t>Reproducing 10% device efficiency conditions</t>
  </si>
  <si>
    <t>SPD403</t>
  </si>
  <si>
    <t>SPD404</t>
  </si>
  <si>
    <t>SPD405</t>
  </si>
  <si>
    <t>SPD410</t>
  </si>
  <si>
    <t>Comparing Al2O3 with MgO in the same batch. Cleaned with- H3PO4:H2SO4 3:1, and acetone+IPA+N2</t>
  </si>
  <si>
    <t>SPD411</t>
  </si>
  <si>
    <t>"</t>
  </si>
  <si>
    <t>SPD412</t>
  </si>
  <si>
    <t>SPD413</t>
  </si>
  <si>
    <t>SPD414</t>
  </si>
  <si>
    <t>SiN same conditions as saturating SPD222</t>
  </si>
  <si>
    <t>RT</t>
  </si>
  <si>
    <t>SPD415</t>
  </si>
  <si>
    <t>" broken into two pieces</t>
  </si>
  <si>
    <t>SInx</t>
  </si>
  <si>
    <t>SPD416</t>
  </si>
  <si>
    <t>SPD417</t>
  </si>
  <si>
    <t>SPD418</t>
  </si>
  <si>
    <t>Ultra-thin MgO films for Zhao</t>
  </si>
  <si>
    <t>SPD419</t>
  </si>
  <si>
    <t>SPD420</t>
  </si>
  <si>
    <t>SPD421</t>
  </si>
  <si>
    <t>SPD422</t>
  </si>
  <si>
    <t>SPD423</t>
  </si>
  <si>
    <t>SPD424</t>
  </si>
  <si>
    <t>SPD425</t>
  </si>
  <si>
    <t>SPD426</t>
  </si>
  <si>
    <t>Examining growth on SiN @ 180C (overshoot 250C).</t>
  </si>
  <si>
    <t>SPD427</t>
  </si>
  <si>
    <t>SPD428</t>
  </si>
  <si>
    <t>SPD429</t>
  </si>
  <si>
    <t>slightly too thick for optical determination</t>
  </si>
  <si>
    <t>~14</t>
  </si>
  <si>
    <t>SPD430</t>
  </si>
  <si>
    <t>Examining the influence of changing Ar:N2 ratio during first 16 sec ("nucleation") and the rest of the growth ("growth"). Growth conditions are constant- 26.5:6 for the rest 108sec. Here, nucleation condition is: 26.5:12</t>
  </si>
  <si>
    <t>SPD431</t>
  </si>
  <si>
    <t>"-Nucleation and growth 26.5:12</t>
  </si>
  <si>
    <t>SPD432</t>
  </si>
  <si>
    <t>SPD433</t>
  </si>
  <si>
    <t>SPD434</t>
  </si>
  <si>
    <t>"-Nucleation and growth 26.5:8</t>
  </si>
  <si>
    <t>SPD435</t>
  </si>
  <si>
    <t>SPD436</t>
  </si>
  <si>
    <t>SPD437</t>
  </si>
  <si>
    <t>SPD438</t>
  </si>
  <si>
    <t>broken into two</t>
  </si>
  <si>
    <t>"-Nucleation and growth 26.5:4</t>
  </si>
  <si>
    <t>SPD439</t>
  </si>
  <si>
    <t>SPD440</t>
  </si>
  <si>
    <t>SPD441</t>
  </si>
  <si>
    <t>SPD442</t>
  </si>
  <si>
    <t>"-Nucleation and growth 26.5:10</t>
  </si>
  <si>
    <t>SPD443</t>
  </si>
  <si>
    <t>SPD444</t>
  </si>
  <si>
    <t>SPD445</t>
  </si>
  <si>
    <t>SPD446</t>
  </si>
  <si>
    <t>"-Nucleation and growth 26.5:2</t>
  </si>
  <si>
    <t>SPD447</t>
  </si>
  <si>
    <t>SPD448</t>
  </si>
  <si>
    <t>SPD449</t>
  </si>
  <si>
    <t>SPD450</t>
  </si>
  <si>
    <t>"-Nucleation and growth 26.5:6 (Control deposition)</t>
  </si>
  <si>
    <t>SPD451</t>
  </si>
  <si>
    <t>SPD452</t>
  </si>
  <si>
    <t>SPD453</t>
  </si>
  <si>
    <t>SPD454</t>
  </si>
  <si>
    <t>"-Nucleation and growth 26.5:0</t>
  </si>
  <si>
    <t>SPD455</t>
  </si>
  <si>
    <t>SPD456</t>
  </si>
  <si>
    <t>SPD457</t>
  </si>
  <si>
    <t>SPD458</t>
  </si>
  <si>
    <t>MgO for Zhao- (sample-target distance was far), samples were cleaned with acetone and IPA</t>
  </si>
  <si>
    <t>SPD459</t>
  </si>
  <si>
    <t>SPD460</t>
  </si>
  <si>
    <t>SPD461</t>
  </si>
  <si>
    <t>SPD462</t>
  </si>
  <si>
    <t>Unknown materials deposited on back. Pressure is high when hearter is on</t>
  </si>
  <si>
    <t>Fab for Array</t>
  </si>
  <si>
    <t>Zhao</t>
  </si>
  <si>
    <t>SPD463</t>
  </si>
  <si>
    <t>SPD464</t>
  </si>
  <si>
    <t>SPD465</t>
  </si>
  <si>
    <t>SPD466</t>
  </si>
  <si>
    <t>Pressure goes up 1e-5 Torr when heater is on</t>
  </si>
  <si>
    <t>SPD467</t>
  </si>
  <si>
    <t>SPD468</t>
  </si>
  <si>
    <t>SPD469</t>
  </si>
  <si>
    <t>SPD470</t>
  </si>
  <si>
    <t>Forgot to clean the target after opening the chamber</t>
  </si>
  <si>
    <t>SPD471</t>
  </si>
  <si>
    <t>SPD472</t>
  </si>
  <si>
    <t>SPD473</t>
  </si>
  <si>
    <t>SPD474</t>
  </si>
  <si>
    <t>maybe bad</t>
  </si>
  <si>
    <t>SPD475</t>
  </si>
  <si>
    <t>maybe bad,used as testing dose</t>
  </si>
  <si>
    <t>SPD476</t>
  </si>
  <si>
    <t>maybe bad, used as line-space pattern</t>
  </si>
  <si>
    <t>SPD477</t>
  </si>
  <si>
    <t>strange shape and color</t>
  </si>
  <si>
    <t>SPD478</t>
  </si>
  <si>
    <t>Go to array</t>
  </si>
  <si>
    <t>SPD479</t>
  </si>
  <si>
    <t>SPD480</t>
  </si>
  <si>
    <t>SPD481</t>
  </si>
  <si>
    <t>SPD482</t>
  </si>
  <si>
    <t>Hold on  for array</t>
  </si>
  <si>
    <t>SPD483</t>
  </si>
  <si>
    <t>SPD484</t>
  </si>
  <si>
    <t>SPD485</t>
  </si>
  <si>
    <t>SPD486</t>
  </si>
  <si>
    <t>Go to  detectors</t>
  </si>
  <si>
    <t>SPD487</t>
  </si>
  <si>
    <t>Go to detectors</t>
  </si>
  <si>
    <t>SPD488</t>
  </si>
  <si>
    <t>SPD489</t>
  </si>
  <si>
    <t>SPD490</t>
  </si>
  <si>
    <t>Go to detector</t>
  </si>
  <si>
    <t>SPD491</t>
  </si>
  <si>
    <t>SPD492</t>
  </si>
  <si>
    <t>Hold on</t>
  </si>
  <si>
    <t>SPD493</t>
  </si>
  <si>
    <t>SPD494</t>
  </si>
  <si>
    <t>Forgot to turn on the rotation</t>
  </si>
  <si>
    <t>Fab for Array; RIE test</t>
  </si>
  <si>
    <t>                  </t>
  </si>
  <si>
    <t>SPD495</t>
  </si>
  <si>
    <t>SPD496</t>
  </si>
  <si>
    <t>Fab for Array. RIE test</t>
  </si>
  <si>
    <t>SPD497</t>
  </si>
  <si>
    <t>SPD498</t>
  </si>
  <si>
    <t>SPD499</t>
  </si>
  <si>
    <t>Hold for Fab</t>
  </si>
  <si>
    <t>SPD500</t>
  </si>
  <si>
    <t>SPD501</t>
  </si>
  <si>
    <t>Rs different a lot from others</t>
  </si>
  <si>
    <t>SPD502</t>
  </si>
  <si>
    <t>SPD503</t>
  </si>
  <si>
    <t>SPD504</t>
  </si>
  <si>
    <t>SPD505</t>
  </si>
  <si>
    <t>SPD506</t>
  </si>
  <si>
    <t>SPD507</t>
  </si>
  <si>
    <t>SPD508</t>
  </si>
  <si>
    <t>SPD509</t>
  </si>
  <si>
    <t>SPD510</t>
  </si>
  <si>
    <t>Contaminated in the edges</t>
  </si>
  <si>
    <t>Substrate was cleaned with acetone+IPA+N2</t>
  </si>
  <si>
    <t>SPD511</t>
  </si>
  <si>
    <t>Contaminated in the edges and scratched</t>
  </si>
  <si>
    <t>SPD512</t>
  </si>
  <si>
    <t>SPD513</t>
  </si>
  <si>
    <t>SPD514</t>
  </si>
  <si>
    <t>Substrate wascleaned with acetone+IPA+N2</t>
  </si>
  <si>
    <t>Examining the contamination in previous samples</t>
  </si>
  <si>
    <t>SPD515</t>
  </si>
  <si>
    <t>SPD516</t>
  </si>
  <si>
    <t>SPD517</t>
  </si>
  <si>
    <t>SPD518</t>
  </si>
  <si>
    <t>In Nitrogen Box; Backside covered in unknown material; did not superconduct</t>
  </si>
  <si>
    <t>Tc measurements</t>
  </si>
  <si>
    <t>&lt;4.2K</t>
  </si>
  <si>
    <t>SPD519</t>
  </si>
  <si>
    <t>In Nitrogen Box; Backside covered in unknown material</t>
  </si>
  <si>
    <t>SPD520</t>
  </si>
  <si>
    <t>SPD521</t>
  </si>
  <si>
    <t>SPD522</t>
  </si>
  <si>
    <t>In Nitrogen Box</t>
  </si>
  <si>
    <t>SPD523</t>
  </si>
  <si>
    <t>SPD524</t>
  </si>
  <si>
    <t>SPD525</t>
  </si>
  <si>
    <t>SPD526</t>
  </si>
  <si>
    <t>SPD527</t>
  </si>
  <si>
    <t>SPD528</t>
  </si>
  <si>
    <t>SPD529</t>
  </si>
  <si>
    <t>SPD530</t>
  </si>
  <si>
    <t>Zhao Fab</t>
  </si>
  <si>
    <t>SPD531</t>
  </si>
  <si>
    <t>SPD532</t>
  </si>
  <si>
    <t>SPD533</t>
  </si>
  <si>
    <t>Zhao, proximity effect correction test</t>
  </si>
  <si>
    <t>SPD534</t>
  </si>
  <si>
    <t>SPD535</t>
  </si>
  <si>
    <t>SPD536</t>
  </si>
  <si>
    <t>SPD537</t>
  </si>
  <si>
    <t>SPD538</t>
  </si>
  <si>
    <t>Tc Measurements. KAS: Heating w/ spun HSQ</t>
  </si>
  <si>
    <t>SPD539</t>
  </si>
  <si>
    <t>KAS: Heating w/ spun HSQ</t>
  </si>
  <si>
    <t>SPD540</t>
  </si>
  <si>
    <t>KAS use for baking experiment.</t>
  </si>
  <si>
    <t>SPD541</t>
  </si>
  <si>
    <t>SPD542</t>
  </si>
  <si>
    <t>SPD543</t>
  </si>
  <si>
    <t>SPD544</t>
  </si>
  <si>
    <t>SPD545</t>
  </si>
  <si>
    <t>Tc Measurements; SEM by YI</t>
  </si>
  <si>
    <t>SPD546</t>
  </si>
  <si>
    <t>SPD547</t>
  </si>
  <si>
    <t>Tc Measurements; QZ: Elionix expose test</t>
  </si>
  <si>
    <t>SPD548</t>
  </si>
  <si>
    <t>SPD549</t>
  </si>
  <si>
    <t>SPD550</t>
  </si>
  <si>
    <t>QZ: PEC experiment</t>
  </si>
  <si>
    <t>SPD551</t>
  </si>
  <si>
    <t>SPD552</t>
  </si>
  <si>
    <t>SPD553</t>
  </si>
  <si>
    <t>SPD554</t>
  </si>
  <si>
    <t>SPD555</t>
  </si>
  <si>
    <t>Tc Measurements. Ellipsometry by KAS. SEM by YI</t>
  </si>
  <si>
    <t>SPD556</t>
  </si>
  <si>
    <t>Ellipsometry by KAS; RIE test QZ</t>
  </si>
  <si>
    <t>SPD557</t>
  </si>
  <si>
    <t>SPD558</t>
  </si>
  <si>
    <t>SPD559</t>
  </si>
  <si>
    <t>SPD560</t>
  </si>
  <si>
    <t>SPD561</t>
  </si>
  <si>
    <t>Used for XPS</t>
  </si>
  <si>
    <t>SPD562</t>
  </si>
  <si>
    <t>SPD563</t>
  </si>
  <si>
    <t>Tc Measurements; Verify Tc in cryostat</t>
  </si>
  <si>
    <t>SPD564</t>
  </si>
  <si>
    <t>SPD565</t>
  </si>
  <si>
    <t>SPD566</t>
  </si>
  <si>
    <t>SPD567</t>
  </si>
  <si>
    <t>SPD568</t>
  </si>
  <si>
    <t>SPD569</t>
  </si>
  <si>
    <t>SPD570</t>
  </si>
  <si>
    <t>SPD571</t>
  </si>
  <si>
    <t>SPD572</t>
  </si>
  <si>
    <t>QZ Fab</t>
  </si>
  <si>
    <t>SPD573</t>
  </si>
  <si>
    <t>SPD574</t>
  </si>
  <si>
    <t>SPD575</t>
  </si>
  <si>
    <t>SPD576</t>
  </si>
  <si>
    <t>SPD577</t>
  </si>
  <si>
    <t>SPD578</t>
  </si>
  <si>
    <t>SEM by YI</t>
  </si>
  <si>
    <t>SPD579</t>
  </si>
  <si>
    <t>SPD580</t>
  </si>
  <si>
    <t>SPD581</t>
  </si>
  <si>
    <t>SPD582</t>
  </si>
  <si>
    <t>Tc Measurements in Cryostat</t>
  </si>
  <si>
    <t>SPD583</t>
  </si>
  <si>
    <t>SPD584</t>
  </si>
  <si>
    <t>SPD585</t>
  </si>
  <si>
    <t>SPD586</t>
  </si>
  <si>
    <t>SPD587</t>
  </si>
  <si>
    <t>SPD588</t>
  </si>
  <si>
    <t>SPD589</t>
  </si>
  <si>
    <t>SPD590</t>
  </si>
  <si>
    <t>Tc w/ Dipstick</t>
  </si>
  <si>
    <t>SINx</t>
  </si>
  <si>
    <t>SPD591</t>
  </si>
  <si>
    <t>SPD592</t>
  </si>
  <si>
    <t>SPD593</t>
  </si>
  <si>
    <t>SPD594</t>
  </si>
  <si>
    <t>SPD595</t>
  </si>
  <si>
    <t>SPD596</t>
  </si>
  <si>
    <t>SPD597</t>
  </si>
  <si>
    <t>SPD598</t>
  </si>
  <si>
    <t>SPD599</t>
  </si>
  <si>
    <t>FN: ICP etch rate test</t>
  </si>
  <si>
    <t>SPD600</t>
  </si>
  <si>
    <t>SPD601</t>
  </si>
  <si>
    <t>SPD602</t>
  </si>
  <si>
    <t>In flux; Tc Cryo</t>
  </si>
  <si>
    <t>SPD603</t>
  </si>
  <si>
    <t>SPD604</t>
  </si>
  <si>
    <t>SPD605</t>
  </si>
  <si>
    <t>SPD606</t>
  </si>
  <si>
    <t>SPD607</t>
  </si>
  <si>
    <t>SPD608</t>
  </si>
  <si>
    <t>SPD609</t>
  </si>
  <si>
    <t>SPD610</t>
  </si>
  <si>
    <t>SPD611</t>
  </si>
  <si>
    <t>SPD612</t>
  </si>
  <si>
    <t>SPD613</t>
  </si>
  <si>
    <t>SPD614</t>
  </si>
  <si>
    <t>KS Fab</t>
  </si>
  <si>
    <t>SPD615</t>
  </si>
  <si>
    <t>SPD616</t>
  </si>
  <si>
    <t>SPD617</t>
  </si>
  <si>
    <t>SPD618</t>
  </si>
  <si>
    <t>FN Fab</t>
  </si>
  <si>
    <t>SPD619</t>
  </si>
  <si>
    <t>SPD620</t>
  </si>
  <si>
    <t>SPD621</t>
  </si>
  <si>
    <t>SPD622</t>
  </si>
  <si>
    <t>RIE calibration, FN</t>
  </si>
  <si>
    <t>SPD623</t>
  </si>
  <si>
    <t>SPD624</t>
  </si>
  <si>
    <t>Raith, YI</t>
  </si>
  <si>
    <t>SPD625</t>
  </si>
  <si>
    <t>SPD626</t>
  </si>
  <si>
    <t>SPD627</t>
  </si>
  <si>
    <t>SPD628</t>
  </si>
  <si>
    <t>SPD629</t>
  </si>
  <si>
    <t>SPD630</t>
  </si>
  <si>
    <t>Deposition failed; samples in AJA during cleaning</t>
  </si>
  <si>
    <t>SPD631</t>
  </si>
  <si>
    <t>SPD632</t>
  </si>
  <si>
    <t>SPD633</t>
  </si>
  <si>
    <t>SPD634</t>
  </si>
  <si>
    <t>Low temperature measurements done in Tc Cryostat</t>
  </si>
  <si>
    <t>SPD635</t>
  </si>
  <si>
    <t>SPD636</t>
  </si>
  <si>
    <t>SPD637</t>
  </si>
  <si>
    <t>SPD638</t>
  </si>
  <si>
    <t>Low temperature measurements done in Tc Cryostat.</t>
  </si>
  <si>
    <t>SPD639</t>
  </si>
  <si>
    <t>SPD640</t>
  </si>
  <si>
    <t>SPD641</t>
  </si>
  <si>
    <t>SPD642</t>
  </si>
  <si>
    <t>First samples with new chuck</t>
  </si>
  <si>
    <t>Y</t>
  </si>
  <si>
    <t>SPD643</t>
  </si>
  <si>
    <t>SPD644</t>
  </si>
  <si>
    <t>SPD645</t>
  </si>
  <si>
    <t>SPD646</t>
  </si>
  <si>
    <t>SPD647</t>
  </si>
  <si>
    <t>SPD648</t>
  </si>
  <si>
    <t>SPD649</t>
  </si>
  <si>
    <t>SPD650</t>
  </si>
  <si>
    <t>SPD651</t>
  </si>
  <si>
    <t>SPD652</t>
  </si>
  <si>
    <t>SPD653</t>
  </si>
  <si>
    <t>SPD654</t>
  </si>
  <si>
    <t>DOE</t>
  </si>
  <si>
    <t>SPD655</t>
  </si>
  <si>
    <t>SPD656</t>
  </si>
  <si>
    <t>SPD657</t>
  </si>
  <si>
    <t>SPD658</t>
  </si>
  <si>
    <t>SPD659</t>
  </si>
  <si>
    <t>SPD660</t>
  </si>
  <si>
    <t>SPD661</t>
  </si>
  <si>
    <t>SPD662</t>
  </si>
  <si>
    <t>SPD663</t>
  </si>
  <si>
    <t>SPD664</t>
  </si>
  <si>
    <t>SPD665</t>
  </si>
  <si>
    <t>SPD666</t>
  </si>
  <si>
    <t>SPD667</t>
  </si>
  <si>
    <t>SPD668</t>
  </si>
  <si>
    <t>SPD669</t>
  </si>
  <si>
    <t>SPD670</t>
  </si>
  <si>
    <t>SPD671</t>
  </si>
  <si>
    <t>SPD672</t>
  </si>
  <si>
    <t>SPD673</t>
  </si>
  <si>
    <t>SPD674</t>
  </si>
  <si>
    <t>SPD675</t>
  </si>
  <si>
    <t>SPD676</t>
  </si>
  <si>
    <t>SPD677</t>
  </si>
  <si>
    <t>SPD678</t>
  </si>
  <si>
    <t>SPD679</t>
  </si>
  <si>
    <t>SPD680</t>
  </si>
  <si>
    <t>SPD681</t>
  </si>
  <si>
    <t>SPD682</t>
  </si>
  <si>
    <t>Reproducibility w/ Mod New C2</t>
  </si>
  <si>
    <t>AED</t>
  </si>
  <si>
    <t>SPD683</t>
  </si>
  <si>
    <t>Reproducibility w/ Mod New C2; Direct Illumination. After serving as the backside absorbed for SPD721 the Rs was ~230</t>
  </si>
  <si>
    <t>SPD684</t>
  </si>
  <si>
    <t>SPD685</t>
  </si>
  <si>
    <t>Reproducibility w/ Mod New C2; Direct Illumination.</t>
  </si>
  <si>
    <t>SPD686</t>
  </si>
  <si>
    <t>FB</t>
  </si>
  <si>
    <t>SPD687</t>
  </si>
  <si>
    <t>SPD688</t>
  </si>
  <si>
    <t>SPD689</t>
  </si>
  <si>
    <t>SPD690</t>
  </si>
  <si>
    <t>SPD691</t>
  </si>
  <si>
    <t>SPD692</t>
  </si>
  <si>
    <t>SPD693</t>
  </si>
  <si>
    <t>SPD694</t>
  </si>
  <si>
    <t>Front Absorber</t>
  </si>
  <si>
    <t>SPD695</t>
  </si>
  <si>
    <t>Front Absorber; Direct Illumination</t>
  </si>
  <si>
    <t>SPD696</t>
  </si>
  <si>
    <t>SPD697</t>
  </si>
  <si>
    <t>SPD698</t>
  </si>
  <si>
    <t>SPD699</t>
  </si>
  <si>
    <t>SPD700</t>
  </si>
  <si>
    <t>SPD701</t>
  </si>
  <si>
    <t>SPD702</t>
  </si>
  <si>
    <t>SPD703</t>
  </si>
  <si>
    <t>SPD704</t>
  </si>
  <si>
    <t>SPD705</t>
  </si>
  <si>
    <t>SPD706</t>
  </si>
  <si>
    <t>KAS</t>
  </si>
  <si>
    <t>SPD707</t>
  </si>
  <si>
    <t>SPD708</t>
  </si>
  <si>
    <t>SPD709</t>
  </si>
  <si>
    <t>SPD710</t>
  </si>
  <si>
    <t>SPD711</t>
  </si>
  <si>
    <t>SPD712</t>
  </si>
  <si>
    <t>Full Anneal: 90s at RT; 0s at HT</t>
  </si>
  <si>
    <t>SPD713</t>
  </si>
  <si>
    <t>Full Anneal: 90s at RT; 0s at HT. Direct Illumination.</t>
  </si>
  <si>
    <t>SPD714</t>
  </si>
  <si>
    <t>SPD715</t>
  </si>
  <si>
    <t>Full Anneal: 90s at RT; 0s at HT. Direct Illumination. Odd looking Tc curve, not smooth.</t>
  </si>
  <si>
    <t>SPD716</t>
  </si>
  <si>
    <t>Full Anneal: 90s at RT; 0s at HT- system failed well after dep was finished; chips should still be ok</t>
  </si>
  <si>
    <t>SPD717</t>
  </si>
  <si>
    <t>Full Anneal: 90s at RT; 0s at HT- system failed well after dep was finished; chips should still be ok. Direct Illumination.</t>
  </si>
  <si>
    <t>SPD718</t>
  </si>
  <si>
    <t>SPD719</t>
  </si>
  <si>
    <t>SPD720</t>
  </si>
  <si>
    <t>SPD682 used as backside absorber</t>
  </si>
  <si>
    <t>SPD721</t>
  </si>
  <si>
    <t>SPD683 used as backside absorber</t>
  </si>
  <si>
    <t>SPD722</t>
  </si>
  <si>
    <t>Same as Front Absorber Runs</t>
  </si>
  <si>
    <t>SPD723</t>
  </si>
  <si>
    <t>Same as Front Absorber. This sample had Direct Illumination.</t>
  </si>
  <si>
    <t>SPD724</t>
  </si>
  <si>
    <t>SPD725</t>
  </si>
  <si>
    <t>SPD726</t>
  </si>
  <si>
    <t>Thick Film / Cleaning. Film looks textured, non-uniform. (these were part of a failed cleaning experiment. Likely texture is linked to cleaning).</t>
  </si>
  <si>
    <t>SPD727</t>
  </si>
  <si>
    <t>Thick Film / Cleaning. Film looks textured, non-uniform (these were part of a failed cleaning experiment. Likely texture is linked to cleaning).</t>
  </si>
  <si>
    <t>SPD728</t>
  </si>
  <si>
    <t>Thick Film / Cleaning. Film looks textured, non-uniform. Direct Optical access (these were part of a failed cleaning experiment. Likely texture is linked to cleaning).</t>
  </si>
  <si>
    <t>SPD729</t>
  </si>
  <si>
    <t>Thick Film / Cleaning. Looks normal unlike other films 726-728.</t>
  </si>
  <si>
    <t>SPD730</t>
  </si>
  <si>
    <t>Thick Film / Cleaning.  Looks normal unlike other films 726-728. Backside absorber. Direct optical access.</t>
  </si>
  <si>
    <t>SPD731</t>
  </si>
  <si>
    <t>Cleaning Experiment</t>
  </si>
  <si>
    <t>SPD732</t>
  </si>
  <si>
    <t>SPD733</t>
  </si>
  <si>
    <t>SPD734</t>
  </si>
  <si>
    <t>SPD735</t>
  </si>
  <si>
    <t>SPD736</t>
  </si>
  <si>
    <t>SPD737</t>
  </si>
  <si>
    <t>In Tc Cryo</t>
  </si>
  <si>
    <t>Films for replicating recent fab success; Plasma failed multiple times, films deposited over three runs.</t>
  </si>
  <si>
    <t>SPD738</t>
  </si>
  <si>
    <t>Films for replicating recent fab success. Plasma failed multiple times, films deposited over three runs.</t>
  </si>
  <si>
    <t>SPD739</t>
  </si>
  <si>
    <t>Films for replicating recent fab success. Direct Optical Access. Plasma failed multiple times, films deposited over three runs.</t>
  </si>
  <si>
    <t>SPD740</t>
  </si>
  <si>
    <t>SPD741</t>
  </si>
  <si>
    <t>SPD742</t>
  </si>
  <si>
    <t>SPD743</t>
  </si>
  <si>
    <t>15 seconds at room temp, then 60 seconds at high temp</t>
  </si>
  <si>
    <t>SPD744</t>
  </si>
  <si>
    <t>15 seconds at room temp, then 60 seconds at high temp. Direct Optical Access</t>
  </si>
  <si>
    <t>SPD745</t>
  </si>
  <si>
    <t>SPD746</t>
  </si>
  <si>
    <t>SPD747</t>
  </si>
  <si>
    <t>Films on SiN for replicating recent fab success.</t>
  </si>
  <si>
    <t>SPD748</t>
  </si>
  <si>
    <t>SPD749</t>
  </si>
  <si>
    <t>Films on SiN for replicating recent fab success. Direct Optical Access.</t>
  </si>
  <si>
    <t>SPD750</t>
  </si>
  <si>
    <t>SPD751</t>
  </si>
  <si>
    <t>SPD752</t>
  </si>
  <si>
    <t>Films on SiN for replicating recent fab success.  Direct Optical Access.</t>
  </si>
  <si>
    <t>SPD753</t>
  </si>
  <si>
    <t>SPD754</t>
  </si>
  <si>
    <t>SPD755</t>
  </si>
  <si>
    <t>SPD756</t>
  </si>
  <si>
    <t>SPD757</t>
  </si>
  <si>
    <t>SPD758</t>
  </si>
  <si>
    <t>SPD759</t>
  </si>
  <si>
    <t>SPD760</t>
  </si>
  <si>
    <t>SPD761</t>
  </si>
  <si>
    <t>SPD762</t>
  </si>
  <si>
    <t>SPD763</t>
  </si>
  <si>
    <t>SPD764</t>
  </si>
  <si>
    <t>SPD765</t>
  </si>
  <si>
    <t>Targeting 500 ohm/sq on RT MgO</t>
  </si>
  <si>
    <t>SPD766</t>
  </si>
  <si>
    <t>SPD767</t>
  </si>
  <si>
    <t>In AJA for Run 294 and 295 covering chuck opening</t>
  </si>
  <si>
    <t>SPD768</t>
  </si>
  <si>
    <t>SPD769</t>
  </si>
  <si>
    <t>Room Temp, low pressure, Uniformity Test</t>
  </si>
  <si>
    <t>SPD770</t>
  </si>
  <si>
    <t>SPD771</t>
  </si>
  <si>
    <t>Room Temp, low pressure, Uniformity Test. DOA</t>
  </si>
  <si>
    <t>SPD772</t>
  </si>
  <si>
    <t>SPD773</t>
  </si>
  <si>
    <t>SPD774</t>
  </si>
  <si>
    <t>SPD775</t>
  </si>
  <si>
    <t>SPD776</t>
  </si>
  <si>
    <t>SPD777</t>
  </si>
  <si>
    <t>SPD778</t>
  </si>
  <si>
    <t>SPD779</t>
  </si>
  <si>
    <t>SPD780</t>
  </si>
  <si>
    <t>SPD781</t>
  </si>
  <si>
    <t>Replicating Vikas' film: Backside deposited at RT for 180s. DOA.</t>
  </si>
  <si>
    <t>SPD782</t>
  </si>
  <si>
    <t>SPD783</t>
  </si>
  <si>
    <t>SPD784</t>
  </si>
  <si>
    <t>SPD785</t>
  </si>
  <si>
    <t>Replicating Vikas' film: Backside deposited at RT for 180s. DOA. On top of sample position, rather than inside.</t>
  </si>
  <si>
    <t>SPD786</t>
  </si>
  <si>
    <t>SPD787</t>
  </si>
  <si>
    <t>Replicating Vikas' film: Backside deposited at RT for 180s. DOA, position 3.</t>
  </si>
  <si>
    <t>SPD788</t>
  </si>
  <si>
    <t>Replicating Vikas' film: Backside deposited at RT for 180s. Position 5.</t>
  </si>
  <si>
    <t>SPD789</t>
  </si>
  <si>
    <t>Replicating Vikas' film: Backside deposited at RT for 180s. DOA. Position 6.</t>
  </si>
  <si>
    <t>SPD790</t>
  </si>
  <si>
    <t>Replicating Vikas' film: DOA, position 3.</t>
  </si>
  <si>
    <t>SPD791</t>
  </si>
  <si>
    <t>Replicating Vikas' film: Position 5.</t>
  </si>
  <si>
    <t>SPD792</t>
  </si>
  <si>
    <t>Replicating Vikas' film: DOA. Position 6. Compare this film to SPD789, they are nominally the same except 792 doesnt have backside absorber</t>
  </si>
  <si>
    <t>SPD793</t>
  </si>
  <si>
    <t>Replicating High Tc NbN on SiN. Position 3. DOA</t>
  </si>
  <si>
    <t>SPD794</t>
  </si>
  <si>
    <t>Replicating High Tc NbN on SiN. Position 6. DOA</t>
  </si>
  <si>
    <t>SPD795</t>
  </si>
  <si>
    <t>Surpassing Vikas' film.</t>
  </si>
  <si>
    <t>SPD796</t>
  </si>
  <si>
    <t>SPD797</t>
  </si>
  <si>
    <t>SPD798</t>
  </si>
  <si>
    <t>SPD799</t>
  </si>
  <si>
    <t>~Reproducing Run 307, aiming for 500 ohms/sq; for KAS fab. DOA</t>
  </si>
  <si>
    <t>SPD800</t>
  </si>
  <si>
    <t>SPD801</t>
  </si>
  <si>
    <t>SPD802</t>
  </si>
  <si>
    <t>SPD803</t>
  </si>
  <si>
    <t>Same as run 292; high Tc NbN on SiN from open slots in chuck</t>
  </si>
  <si>
    <t>SPD804</t>
  </si>
  <si>
    <t>SPD805</t>
  </si>
  <si>
    <t>SPD806</t>
  </si>
  <si>
    <t>SPD807</t>
  </si>
  <si>
    <t>Covering open slots during testing / pulsed deposition; Issues sparking the plasma (4-5 trys before success)</t>
  </si>
  <si>
    <t>SPD808</t>
  </si>
  <si>
    <t>SPD809</t>
  </si>
  <si>
    <t>1st attempt on SiO2; samples slightly cracked on edges</t>
  </si>
  <si>
    <t>SiO2</t>
  </si>
  <si>
    <t>SPD810</t>
  </si>
  <si>
    <t>SiN 'reference'</t>
  </si>
  <si>
    <t>SPD811</t>
  </si>
  <si>
    <t>1st attempt on SiO2; samples slightly cracked on edges. Cracked in half.</t>
  </si>
  <si>
    <t>SPD812</t>
  </si>
  <si>
    <t>SPD813</t>
  </si>
  <si>
    <t>SPD814</t>
  </si>
  <si>
    <t>In AJA</t>
  </si>
  <si>
    <t>For FB fab and whatnot</t>
  </si>
  <si>
    <t>SPD815</t>
  </si>
  <si>
    <t>SPD816</t>
  </si>
  <si>
    <t>SPD817</t>
  </si>
  <si>
    <t>SPD818</t>
  </si>
  <si>
    <t>SPD819</t>
  </si>
  <si>
    <t>SPD820</t>
  </si>
  <si>
    <t>Repeat SiO2 films from Run 316</t>
  </si>
  <si>
    <t>SPD821</t>
  </si>
  <si>
    <t>SPD822</t>
  </si>
  <si>
    <t>SPD823</t>
  </si>
  <si>
    <t>SPD824</t>
  </si>
  <si>
    <t>SPD825</t>
  </si>
  <si>
    <t>CVD SiO2</t>
  </si>
  <si>
    <t>SPD826</t>
  </si>
  <si>
    <t>SPD827</t>
  </si>
  <si>
    <t>SPD828</t>
  </si>
  <si>
    <t>SPD829</t>
  </si>
  <si>
    <t>G on SiO2</t>
  </si>
  <si>
    <t>SPD830</t>
  </si>
  <si>
    <t>SPD831</t>
  </si>
  <si>
    <t>SPD832</t>
  </si>
  <si>
    <t>SPD833</t>
  </si>
  <si>
    <t>In Nitrogen box</t>
  </si>
  <si>
    <t>Thick NbN on MgO; in chamber during system bake; coating plate.</t>
  </si>
  <si>
    <t>SPD834</t>
  </si>
  <si>
    <t>SPD835</t>
  </si>
  <si>
    <t>SPD836</t>
  </si>
  <si>
    <t>Cleaning Target</t>
  </si>
  <si>
    <t>SPD837</t>
  </si>
  <si>
    <t>SPD838</t>
  </si>
  <si>
    <t>SPD839</t>
  </si>
  <si>
    <t>SPD840</t>
  </si>
  <si>
    <t>SPD841</t>
  </si>
  <si>
    <t>SPD842</t>
  </si>
  <si>
    <t>SPD843</t>
  </si>
  <si>
    <t>AJA back to normal?</t>
  </si>
  <si>
    <t>SPD844</t>
  </si>
  <si>
    <t>SPD845</t>
  </si>
  <si>
    <t>SPD846</t>
  </si>
  <si>
    <t>SPD847</t>
  </si>
  <si>
    <t>SPD848</t>
  </si>
  <si>
    <t>SPD849</t>
  </si>
  <si>
    <t>SPD850</t>
  </si>
  <si>
    <t>SPD851</t>
  </si>
  <si>
    <t>SPD852</t>
  </si>
  <si>
    <t>SPD853</t>
  </si>
  <si>
    <t>SPD854</t>
  </si>
  <si>
    <t>SPD855</t>
  </si>
  <si>
    <t>SPD856</t>
  </si>
  <si>
    <t>SPD857</t>
  </si>
  <si>
    <t>SPD858</t>
  </si>
  <si>
    <t>SPD859</t>
  </si>
  <si>
    <t>SPD860</t>
  </si>
  <si>
    <t>SPD861</t>
  </si>
  <si>
    <t>SPD862</t>
  </si>
  <si>
    <t>SPD863</t>
  </si>
  <si>
    <t>SPD864</t>
  </si>
  <si>
    <t>SPD865</t>
  </si>
  <si>
    <t>For FN Fab</t>
  </si>
  <si>
    <t>SPD866</t>
  </si>
  <si>
    <t>SPD867</t>
  </si>
  <si>
    <t>SPD868</t>
  </si>
  <si>
    <t>SPD869</t>
  </si>
  <si>
    <t>SPD870</t>
  </si>
  <si>
    <t>SPD871</t>
  </si>
  <si>
    <t>SPD872</t>
  </si>
  <si>
    <t>SPD873</t>
  </si>
  <si>
    <t>SPD874</t>
  </si>
  <si>
    <t>SPD875</t>
  </si>
  <si>
    <t>SPD876</t>
  </si>
  <si>
    <t>SPD877</t>
  </si>
  <si>
    <t>&lt;7</t>
  </si>
  <si>
    <t>SPD878</t>
  </si>
  <si>
    <t>SPD879</t>
  </si>
  <si>
    <t>SPD880</t>
  </si>
  <si>
    <t>SPD881</t>
  </si>
  <si>
    <t>SPD882</t>
  </si>
  <si>
    <t>SPD883</t>
  </si>
  <si>
    <t>SPD884</t>
  </si>
  <si>
    <t>SPD885</t>
  </si>
  <si>
    <t>SPD886</t>
  </si>
  <si>
    <t>SPD887</t>
  </si>
  <si>
    <t>SPD888</t>
  </si>
  <si>
    <t>SPD889</t>
  </si>
  <si>
    <t>SPD890</t>
  </si>
  <si>
    <t>SPD891</t>
  </si>
  <si>
    <t>SPD892</t>
  </si>
  <si>
    <t>SPD893</t>
  </si>
  <si>
    <t>SPD894</t>
  </si>
  <si>
    <t>For Kristen</t>
  </si>
  <si>
    <t>SPD895</t>
  </si>
  <si>
    <t>SPD896</t>
  </si>
  <si>
    <t>For Kristen, RIE calibration</t>
  </si>
  <si>
    <t>SPD897</t>
  </si>
  <si>
    <t>SPD898</t>
  </si>
  <si>
    <t>SPD899</t>
  </si>
  <si>
    <t>SPD900</t>
  </si>
  <si>
    <t>For FB fab</t>
  </si>
  <si>
    <t>SPD901</t>
  </si>
  <si>
    <t>SPD902</t>
  </si>
  <si>
    <t>SPD903</t>
  </si>
  <si>
    <t>SPD904</t>
  </si>
  <si>
    <t>SPD905</t>
  </si>
  <si>
    <t>SPD906</t>
  </si>
  <si>
    <t>Annealing</t>
  </si>
  <si>
    <t>SPD907</t>
  </si>
  <si>
    <t>SPD908</t>
  </si>
  <si>
    <t>SPD909</t>
  </si>
  <si>
    <t>SPD910</t>
  </si>
  <si>
    <t>SPD911</t>
  </si>
  <si>
    <t>SPD912</t>
  </si>
  <si>
    <t>SPD913</t>
  </si>
  <si>
    <t>SPD914</t>
  </si>
  <si>
    <t>SPD915</t>
  </si>
  <si>
    <t>SPD916</t>
  </si>
  <si>
    <t>SPD917</t>
  </si>
  <si>
    <t>SPD918</t>
  </si>
  <si>
    <t>For KAS fab</t>
  </si>
  <si>
    <t>SPD919</t>
  </si>
  <si>
    <t>SPD920</t>
  </si>
  <si>
    <t>SPD921</t>
  </si>
  <si>
    <t>SPD922</t>
  </si>
  <si>
    <t>SPD923</t>
  </si>
  <si>
    <t>SPD924</t>
  </si>
  <si>
    <t>SPD925</t>
  </si>
  <si>
    <t>SPD926</t>
  </si>
  <si>
    <t>For AED test</t>
  </si>
  <si>
    <t>SPD927</t>
  </si>
  <si>
    <t>SPD928</t>
  </si>
  <si>
    <t>SPD929</t>
  </si>
  <si>
    <t>SPD930</t>
  </si>
  <si>
    <t>SPD931</t>
  </si>
  <si>
    <t>SPD932</t>
  </si>
  <si>
    <t>For FAN Fab</t>
  </si>
  <si>
    <t>SPD933</t>
  </si>
  <si>
    <t>SPD934</t>
  </si>
  <si>
    <t>SPD935</t>
  </si>
  <si>
    <t>SPD936</t>
  </si>
  <si>
    <t>SPD937</t>
  </si>
  <si>
    <t>SPD938</t>
  </si>
  <si>
    <t>SPD939</t>
  </si>
  <si>
    <t>SPD940</t>
  </si>
  <si>
    <t>For KAS Fab</t>
  </si>
  <si>
    <t>SPD941</t>
  </si>
  <si>
    <t>SPD942</t>
  </si>
  <si>
    <t>For KAS Fab. Sample broke during deposition.</t>
  </si>
  <si>
    <t>SPD943</t>
  </si>
  <si>
    <t>SPD944</t>
  </si>
  <si>
    <t>SPD945</t>
  </si>
  <si>
    <t>SPD946</t>
  </si>
  <si>
    <t>Cleaning</t>
  </si>
  <si>
    <t>SPD947</t>
  </si>
  <si>
    <t>SPD948</t>
  </si>
  <si>
    <t>SPD949</t>
  </si>
  <si>
    <t>SPD950</t>
  </si>
  <si>
    <t>SPD951</t>
  </si>
  <si>
    <t>SPD952</t>
  </si>
  <si>
    <t>SPD953</t>
  </si>
  <si>
    <t>SPD954</t>
  </si>
  <si>
    <t>SPD955</t>
  </si>
  <si>
    <t>SPD956</t>
  </si>
  <si>
    <t>SPD957</t>
  </si>
  <si>
    <t>SPD958</t>
  </si>
  <si>
    <t>SPD959</t>
  </si>
  <si>
    <t>SPD960</t>
  </si>
  <si>
    <t>SPD961</t>
  </si>
  <si>
    <t>SPD962</t>
  </si>
  <si>
    <t>Bias Sputtering Experiment.</t>
  </si>
  <si>
    <t>SPD963</t>
  </si>
  <si>
    <t>SPD964</t>
  </si>
  <si>
    <t>SPD965</t>
  </si>
  <si>
    <t>SPD966</t>
  </si>
  <si>
    <t>SPD967</t>
  </si>
  <si>
    <t>SPD968</t>
  </si>
  <si>
    <t>For FB fab. 40W bias sputtering.</t>
  </si>
  <si>
    <t>172 (nom) / 148.5nm w/ n=2.52 (Ellips)</t>
  </si>
  <si>
    <t>SPD969</t>
  </si>
  <si>
    <t>SPD970</t>
  </si>
  <si>
    <t>SPD971</t>
  </si>
  <si>
    <t>SPD972</t>
  </si>
  <si>
    <t>SPD973</t>
  </si>
  <si>
    <t>SPD974</t>
  </si>
  <si>
    <t>40W bias sputtering.</t>
  </si>
  <si>
    <t>SPD975</t>
  </si>
  <si>
    <t>SPD976</t>
  </si>
  <si>
    <t>SPD977</t>
  </si>
  <si>
    <t>SPD978</t>
  </si>
  <si>
    <t>SPD979</t>
  </si>
  <si>
    <t>SPD980</t>
  </si>
  <si>
    <t>In during testing of RF sputtering etc.</t>
  </si>
  <si>
    <t>SPD981</t>
  </si>
  <si>
    <t>SPD982</t>
  </si>
  <si>
    <t>Dep by Yachin</t>
  </si>
  <si>
    <t>SPD983</t>
  </si>
  <si>
    <t>SPD984</t>
  </si>
  <si>
    <t>SPD985</t>
  </si>
  <si>
    <t>SPD986</t>
  </si>
  <si>
    <t>SPD987</t>
  </si>
  <si>
    <t>SPD988</t>
  </si>
  <si>
    <t>MgO RT no bias</t>
  </si>
  <si>
    <t>SPD989</t>
  </si>
  <si>
    <t>LiF</t>
  </si>
  <si>
    <t>SPD990</t>
  </si>
  <si>
    <t>Room temp dep w 40W bias sputtering</t>
  </si>
  <si>
    <t>SPD991</t>
  </si>
  <si>
    <t>SPD992</t>
  </si>
  <si>
    <t>SPD993</t>
  </si>
  <si>
    <t>SPD994</t>
  </si>
  <si>
    <t>SPD995</t>
  </si>
  <si>
    <t>SPD996</t>
  </si>
  <si>
    <t>Nitrogen only, 40W bias sputtering.</t>
  </si>
  <si>
    <t>SPD997</t>
  </si>
  <si>
    <t>SPD998</t>
  </si>
  <si>
    <t>Cleaning, w/ bias sputtering</t>
  </si>
  <si>
    <t>SPD999</t>
  </si>
  <si>
    <t>SPE000</t>
  </si>
  <si>
    <t>no longer in N2 box...</t>
  </si>
  <si>
    <t>SPE001</t>
  </si>
  <si>
    <t>SPE002</t>
  </si>
  <si>
    <t>SPE003</t>
  </si>
  <si>
    <t>SPE004</t>
  </si>
  <si>
    <t>SPE005</t>
  </si>
  <si>
    <t>SPE006</t>
  </si>
  <si>
    <t>SPE007</t>
  </si>
  <si>
    <t>SPE008</t>
  </si>
  <si>
    <t>SPE009</t>
  </si>
  <si>
    <t>SPE010</t>
  </si>
  <si>
    <t>SPE011</t>
  </si>
  <si>
    <t>SPE012</t>
  </si>
  <si>
    <t>SPE013</t>
  </si>
  <si>
    <t>SPE014</t>
  </si>
  <si>
    <t>SPE015</t>
  </si>
  <si>
    <t>SPE016</t>
  </si>
  <si>
    <t>SPE017</t>
  </si>
  <si>
    <t>SPE018</t>
  </si>
  <si>
    <t>Cleaning after system failure</t>
  </si>
  <si>
    <t>dep time</t>
  </si>
  <si>
    <t>SPE019</t>
  </si>
  <si>
    <t>SPE020</t>
  </si>
  <si>
    <t>For Annealing</t>
  </si>
  <si>
    <t>SPE021</t>
  </si>
  <si>
    <t>SPE022</t>
  </si>
  <si>
    <t>SPE023</t>
  </si>
  <si>
    <t>SPE024</t>
  </si>
  <si>
    <t>SPE025</t>
  </si>
  <si>
    <t>SPE026</t>
  </si>
  <si>
    <t>SPE027</t>
  </si>
  <si>
    <t>SPE028</t>
  </si>
  <si>
    <t>~9nm Backside absorber</t>
  </si>
  <si>
    <t>SPE029</t>
  </si>
  <si>
    <t>SPE030</t>
  </si>
  <si>
    <t>SPE031</t>
  </si>
  <si>
    <t>SPE032</t>
  </si>
  <si>
    <t>SPE033</t>
  </si>
  <si>
    <t>SPE034</t>
  </si>
  <si>
    <t>SPE035</t>
  </si>
  <si>
    <t>SPE036</t>
  </si>
  <si>
    <t>SPE037</t>
  </si>
  <si>
    <t>SPE038</t>
  </si>
  <si>
    <t>SPE039</t>
  </si>
  <si>
    <t>For FAN fab</t>
  </si>
  <si>
    <t>SPE040</t>
  </si>
  <si>
    <t>SPE041</t>
  </si>
  <si>
    <t>SPE042</t>
  </si>
  <si>
    <t>SPE043</t>
  </si>
  <si>
    <t>SPE044</t>
  </si>
  <si>
    <t>SPE045</t>
  </si>
  <si>
    <t>SPE046</t>
  </si>
  <si>
    <t>SPE047</t>
  </si>
  <si>
    <t>SPE048</t>
  </si>
  <si>
    <t>SPE049</t>
  </si>
  <si>
    <t>SPE050</t>
  </si>
  <si>
    <t>SPE051</t>
  </si>
  <si>
    <t>SPE052</t>
  </si>
  <si>
    <t>SPE053</t>
  </si>
  <si>
    <t>SPE054</t>
  </si>
  <si>
    <t>SPE055</t>
  </si>
  <si>
    <t>SPE056</t>
  </si>
  <si>
    <t>SPE057</t>
  </si>
  <si>
    <t>SPE058</t>
  </si>
  <si>
    <t>SPE059</t>
  </si>
  <si>
    <t>SPE060</t>
  </si>
  <si>
    <t>SPE061</t>
  </si>
  <si>
    <t>SPE062</t>
  </si>
  <si>
    <t>SPE063</t>
  </si>
  <si>
    <t>For FAN Fab.</t>
  </si>
  <si>
    <t>172 (nom)</t>
  </si>
  <si>
    <t>SPE064</t>
  </si>
  <si>
    <t>SPE065</t>
  </si>
  <si>
    <t>Anneal then Auger.</t>
  </si>
  <si>
    <t>SPE066</t>
  </si>
  <si>
    <t>SPE067</t>
  </si>
  <si>
    <t>SPE068</t>
  </si>
  <si>
    <t>SPE069</t>
  </si>
  <si>
    <t>SPE070</t>
  </si>
  <si>
    <t>SPE071</t>
  </si>
  <si>
    <t>SPE072</t>
  </si>
  <si>
    <t>For YI Fab.</t>
  </si>
  <si>
    <t>SPE073</t>
  </si>
  <si>
    <t>SPE074</t>
  </si>
  <si>
    <t>In situ anneal</t>
  </si>
  <si>
    <t>SPE075</t>
  </si>
  <si>
    <t>SPE076</t>
  </si>
  <si>
    <t>SPE077</t>
  </si>
  <si>
    <t>SPE078</t>
  </si>
  <si>
    <t>SPE079</t>
  </si>
  <si>
    <t>SPE080</t>
  </si>
  <si>
    <t>SPE081</t>
  </si>
  <si>
    <t>SPE082</t>
  </si>
  <si>
    <t>SPE083</t>
  </si>
  <si>
    <t>Added step in 'AED_DOE' to log cooldown; step failed</t>
  </si>
  <si>
    <t>SPE084</t>
  </si>
  <si>
    <t>SPE085</t>
  </si>
  <si>
    <t>SPE086</t>
  </si>
  <si>
    <t>Added 60min cooldown in 30mtorr of Ar, 40 sccm flow rate</t>
  </si>
  <si>
    <t>SPE087</t>
  </si>
  <si>
    <t>SPE088</t>
  </si>
  <si>
    <t>SPE089</t>
  </si>
  <si>
    <t>for jonny</t>
  </si>
  <si>
    <t>n/a</t>
  </si>
  <si>
    <t>SPE090</t>
  </si>
  <si>
    <t>SPE091</t>
  </si>
  <si>
    <t>Using W wire to shadow</t>
  </si>
  <si>
    <t>SPE092</t>
  </si>
  <si>
    <t>SPE093</t>
  </si>
  <si>
    <t>In during cleaning</t>
  </si>
  <si>
    <t>SPE094</t>
  </si>
  <si>
    <t>SPE095</t>
  </si>
  <si>
    <t>for annealing</t>
  </si>
  <si>
    <t>&lt;8</t>
  </si>
  <si>
    <t>SPE096</t>
  </si>
  <si>
    <t>SPE097</t>
  </si>
  <si>
    <t>SPE098</t>
  </si>
  <si>
    <t>SPE099</t>
  </si>
  <si>
    <t>SPE100</t>
  </si>
  <si>
    <t>SPE101</t>
  </si>
  <si>
    <t>Added 60min cooldown in 75mtorr of Ar, 50 sccm flow rate</t>
  </si>
  <si>
    <t>SPE102</t>
  </si>
  <si>
    <t>Added 60min cooldown in 75mtorr of Ar, 50 sccm flow rate</t>
  </si>
  <si>
    <t>SPE103</t>
  </si>
  <si>
    <t>SPE104</t>
  </si>
  <si>
    <t>SPE105</t>
  </si>
  <si>
    <t>process kinda failed; one of the steps had an error in it</t>
  </si>
  <si>
    <t>SPE106</t>
  </si>
  <si>
    <t>process kinda failed; one of the steps had an error in it</t>
  </si>
  <si>
    <t>SPE107</t>
  </si>
  <si>
    <t>SPE108</t>
  </si>
  <si>
    <t>SPE109</t>
  </si>
  <si>
    <t>SPE110</t>
  </si>
  <si>
    <t>SPE111</t>
  </si>
  <si>
    <t>WSi, for jonny's training</t>
  </si>
  <si>
    <t>SPE112</t>
  </si>
  <si>
    <t>SPE113</t>
  </si>
  <si>
    <t>&lt;7.4</t>
  </si>
  <si>
    <t>SPE114</t>
  </si>
  <si>
    <t>SPE115</t>
  </si>
  <si>
    <t>SPE116</t>
  </si>
  <si>
    <t>SPE117</t>
  </si>
  <si>
    <t>SPE118</t>
  </si>
  <si>
    <t>SPE119</t>
  </si>
  <si>
    <t>SPE120</t>
  </si>
  <si>
    <t>SPE121</t>
  </si>
  <si>
    <t>SPE122</t>
  </si>
  <si>
    <t>SPE123</t>
  </si>
  <si>
    <t>SPE124</t>
  </si>
  <si>
    <t>SPE125</t>
  </si>
  <si>
    <t>In during system failure and clean</t>
  </si>
  <si>
    <t>SPE126</t>
  </si>
  <si>
    <t>SPE127</t>
  </si>
  <si>
    <t>SPE128</t>
  </si>
  <si>
    <t>SPE129</t>
  </si>
  <si>
    <t>SPE130</t>
  </si>
  <si>
    <t>SPE131</t>
  </si>
  <si>
    <t>255 (nom)</t>
  </si>
  <si>
    <t>&lt;6.8</t>
  </si>
  <si>
    <t>SPE132</t>
  </si>
  <si>
    <t>SPE133</t>
  </si>
  <si>
    <t>SPE134</t>
  </si>
  <si>
    <t>For KS Fab</t>
  </si>
  <si>
    <t>SPE135</t>
  </si>
  <si>
    <t>SPE136</t>
  </si>
  <si>
    <t>SPE137</t>
  </si>
  <si>
    <t>SPE138</t>
  </si>
  <si>
    <t>SPE139</t>
  </si>
  <si>
    <t>SPE140</t>
  </si>
  <si>
    <t>SPE141</t>
  </si>
  <si>
    <t>SPE142</t>
  </si>
  <si>
    <t>SPE143</t>
  </si>
  <si>
    <t>SPE144</t>
  </si>
  <si>
    <t>SPE145</t>
  </si>
  <si>
    <t>SPE146</t>
  </si>
  <si>
    <t>SPE147</t>
  </si>
  <si>
    <t>SPE148</t>
  </si>
  <si>
    <t>SPE149</t>
  </si>
  <si>
    <t>SPE150</t>
  </si>
  <si>
    <t>SPE151</t>
  </si>
  <si>
    <t>SPE152</t>
  </si>
  <si>
    <t>SPE153</t>
  </si>
  <si>
    <t>SPE154</t>
  </si>
  <si>
    <t>SPE155</t>
  </si>
  <si>
    <t>SPE156</t>
  </si>
  <si>
    <t>SPE157</t>
  </si>
  <si>
    <t>SPE158</t>
  </si>
  <si>
    <t>For TEM by ChungSoo</t>
  </si>
  <si>
    <t>SPE159</t>
  </si>
  <si>
    <t>SPE160</t>
  </si>
  <si>
    <t>SPE161</t>
  </si>
  <si>
    <t>SPE162</t>
  </si>
  <si>
    <t>SPE163</t>
  </si>
  <si>
    <t>SPE164</t>
  </si>
  <si>
    <t>SPE165</t>
  </si>
  <si>
    <t>SPE166</t>
  </si>
  <si>
    <t>SPE167</t>
  </si>
  <si>
    <t>For KAS</t>
  </si>
  <si>
    <t>SPE168</t>
  </si>
  <si>
    <t>For FAN &amp; YI</t>
  </si>
  <si>
    <t>SPE169</t>
  </si>
  <si>
    <t>Target conditioning time reduced from ~6min to ~1min</t>
  </si>
  <si>
    <t>SPE170</t>
  </si>
  <si>
    <t>For FAN &amp; YI. Target conditioning time reduced from ~6min to ~1min</t>
  </si>
  <si>
    <t>SPE171</t>
  </si>
  <si>
    <t>For KAS. Target conditioning time reduced from ~6min to ~1min</t>
  </si>
  <si>
    <t>SPE172-220 (YI &amp; JS)</t>
  </si>
  <si>
    <t>SPE221</t>
  </si>
  <si>
    <t>SPE222</t>
  </si>
  <si>
    <t>SPE223</t>
  </si>
  <si>
    <t>SPE224-254, Yachin &amp; Jonny</t>
  </si>
  <si>
    <t>SPE255</t>
  </si>
  <si>
    <t>For JS, test Tc Cryo</t>
  </si>
  <si>
    <t>Visible/Trans</t>
  </si>
  <si>
    <t>SPE256</t>
  </si>
  <si>
    <t>SPE257</t>
  </si>
  <si>
    <t>SPE258</t>
  </si>
  <si>
    <t>SPE259</t>
  </si>
  <si>
    <t>SPE260</t>
  </si>
  <si>
    <t>SPE261</t>
  </si>
  <si>
    <t>SPE262</t>
  </si>
  <si>
    <t>SPE263</t>
  </si>
  <si>
    <t>SPE264</t>
  </si>
  <si>
    <t>SPE265</t>
  </si>
  <si>
    <t>SPE266</t>
  </si>
  <si>
    <t>SPE267</t>
  </si>
  <si>
    <t>SPE268</t>
  </si>
  <si>
    <t>SPE269</t>
  </si>
  <si>
    <t>SPE270</t>
  </si>
  <si>
    <t>SPE271</t>
  </si>
  <si>
    <t>SPE272</t>
  </si>
  <si>
    <t>SPE273</t>
  </si>
  <si>
    <t>SPE274</t>
  </si>
  <si>
    <t>SPE275</t>
  </si>
  <si>
    <t>SPE276</t>
  </si>
  <si>
    <t>SPE277</t>
  </si>
  <si>
    <t>SPE278</t>
  </si>
  <si>
    <t>SPE279</t>
  </si>
  <si>
    <t>SPE280</t>
  </si>
  <si>
    <t>SPE281</t>
  </si>
  <si>
    <t>SPE282</t>
  </si>
  <si>
    <t>SPE283-310 YI &amp; JS</t>
  </si>
  <si>
    <t>SPE311</t>
  </si>
  <si>
    <t>SPE312</t>
  </si>
  <si>
    <t>SPE313</t>
  </si>
  <si>
    <t>SPE314</t>
  </si>
  <si>
    <t>SPE315</t>
  </si>
  <si>
    <t>2" Al2O3 wafer for FB</t>
  </si>
  <si>
    <t>SPE316</t>
  </si>
  <si>
    <t>Process error; these films are Nb</t>
  </si>
  <si>
    <t>SPE317</t>
  </si>
  <si>
    <t>&lt;4</t>
  </si>
  <si>
    <t>SPE318</t>
  </si>
  <si>
    <t>SPE319</t>
  </si>
  <si>
    <t>SPE320</t>
  </si>
  <si>
    <t>SPE321</t>
  </si>
  <si>
    <t>SPE322</t>
  </si>
  <si>
    <t>SPE323</t>
  </si>
  <si>
    <t>SPE324</t>
  </si>
  <si>
    <t>325-364, YI and JS</t>
  </si>
  <si>
    <t>SPE365</t>
  </si>
  <si>
    <t>SPE366</t>
  </si>
  <si>
    <t>SPE367</t>
  </si>
  <si>
    <t>SPE368</t>
  </si>
  <si>
    <t>SPE369</t>
  </si>
  <si>
    <t>SPE370</t>
  </si>
  <si>
    <t>SPE371</t>
  </si>
  <si>
    <t>SPE372</t>
  </si>
  <si>
    <t>SPE373</t>
  </si>
  <si>
    <t>SPE374</t>
  </si>
  <si>
    <t>SPE375</t>
  </si>
  <si>
    <t>SPE376</t>
  </si>
  <si>
    <t>SPE377</t>
  </si>
  <si>
    <t>~3min 50W bias cleaning during low pressure Ar only presputter</t>
  </si>
  <si>
    <t>SPE378</t>
  </si>
  <si>
    <t>SPE379</t>
  </si>
  <si>
    <t>SPE380</t>
  </si>
  <si>
    <t>SPE381</t>
  </si>
  <si>
    <t>~1min 50W bias cleaning during 30mtorr Ar only spark; ~20nm added on top, after deposition of NbN</t>
  </si>
  <si>
    <t>SPE382</t>
  </si>
  <si>
    <t>SPE383</t>
  </si>
  <si>
    <t>SPE384</t>
  </si>
  <si>
    <t>SPE385</t>
  </si>
  <si>
    <t>SPE386</t>
  </si>
  <si>
    <t>SPE387</t>
  </si>
  <si>
    <t>SPE388</t>
  </si>
  <si>
    <t>SPE389</t>
  </si>
  <si>
    <t>Backside NbN dep'd in run 518. ~3min 50W bias cleaning during low pressure Ar only presputter</t>
  </si>
  <si>
    <t>SPE390</t>
  </si>
  <si>
    <t>SPE391</t>
  </si>
  <si>
    <t>SPE392</t>
  </si>
  <si>
    <t>SPE393</t>
  </si>
  <si>
    <t>SPE394</t>
  </si>
  <si>
    <t>SPE395</t>
  </si>
  <si>
    <t>SPE396</t>
  </si>
  <si>
    <t>SPE397</t>
  </si>
  <si>
    <t>SPE398</t>
  </si>
  <si>
    <t>SPE399</t>
  </si>
  <si>
    <t>SPE400</t>
  </si>
  <si>
    <t>SPE401</t>
  </si>
  <si>
    <t>SPE402</t>
  </si>
  <si>
    <t>SPE403</t>
  </si>
  <si>
    <t>SPE404</t>
  </si>
  <si>
    <t>SPE405</t>
  </si>
  <si>
    <t>SPE406-409, JS + YI</t>
  </si>
  <si>
    <t>SPE410</t>
  </si>
  <si>
    <t>Send ahead; 50W bias cleaning</t>
  </si>
  <si>
    <t>SPE411</t>
  </si>
  <si>
    <t>SPE412</t>
  </si>
  <si>
    <t>replicate run 514; ~3min of 50W bias cleaning</t>
  </si>
  <si>
    <t>SPE413</t>
  </si>
  <si>
    <t>SPE414</t>
  </si>
  <si>
    <t>Optimize RT NbN; bias cleaning (50W, 3min), no bias sputter</t>
  </si>
  <si>
    <t>Optimize RT NbN; bias cleaning (50W, 3min), 50W bias sputter</t>
  </si>
  <si>
    <t>SPE415</t>
  </si>
  <si>
    <t>SPE416</t>
  </si>
  <si>
    <t>SPE417</t>
  </si>
  <si>
    <t>SPE418</t>
  </si>
  <si>
    <t>SPE419</t>
  </si>
  <si>
    <t>SPE420</t>
  </si>
  <si>
    <t>SPE421</t>
  </si>
  <si>
    <t>SPE422</t>
  </si>
  <si>
    <t>SPE423</t>
  </si>
  <si>
    <t>SPE424</t>
  </si>
  <si>
    <t>was in slot 3 during runs 528-533</t>
  </si>
  <si>
    <t>SPE425</t>
  </si>
  <si>
    <t>SPE426</t>
  </si>
  <si>
    <t>SPE427</t>
  </si>
  <si>
    <t>SPE428</t>
  </si>
  <si>
    <t>SPE429</t>
  </si>
  <si>
    <t>SPE430</t>
  </si>
  <si>
    <t>bias cleaning (50W, 3min), 50W bias sputter</t>
  </si>
  <si>
    <t>SPE431-443, JS + YI</t>
  </si>
  <si>
    <t>SPE444</t>
  </si>
  <si>
    <t>1st dep after system repairs; 50W bias clean for 6 min during conditioning</t>
  </si>
  <si>
    <t>SPE445</t>
  </si>
  <si>
    <t>SPE446</t>
  </si>
  <si>
    <t>SPE447</t>
  </si>
  <si>
    <t>50W bias clean for 6 min during conditioning</t>
  </si>
  <si>
    <t>SPE448</t>
  </si>
  <si>
    <t>SPE449</t>
  </si>
  <si>
    <t>SPE450</t>
  </si>
  <si>
    <t>SPE451</t>
  </si>
  <si>
    <t>SPE452</t>
  </si>
  <si>
    <t>SPE453-460, JS</t>
  </si>
  <si>
    <t>SPE461</t>
  </si>
  <si>
    <t>SPE462</t>
  </si>
  <si>
    <t>SPE463</t>
  </si>
  <si>
    <t>SPE464</t>
  </si>
  <si>
    <t>50W bias clean during spark and Ar pre-sputter (~3 min total)</t>
  </si>
  <si>
    <t>SPE465</t>
  </si>
  <si>
    <t>SPE466</t>
  </si>
  <si>
    <t>SPE467</t>
  </si>
  <si>
    <t>SPE468</t>
  </si>
  <si>
    <t>SPE469</t>
  </si>
  <si>
    <t>SPE470</t>
  </si>
  <si>
    <t>SPE471</t>
  </si>
  <si>
    <t>50W bias clean during spark and Ar/ Ar+N2 pre-sputter (~6 min total); 50W bias sputter</t>
  </si>
  <si>
    <t>SPE472</t>
  </si>
  <si>
    <t>SPE473</t>
  </si>
  <si>
    <t>SPE474</t>
  </si>
  <si>
    <t>rho:</t>
  </si>
  <si>
    <t>rho*Tc:</t>
  </si>
  <si>
    <t>deposition rate:</t>
  </si>
  <si>
    <t>d:</t>
  </si>
  <si>
    <t>Rs:</t>
  </si>
  <si>
    <t>d*Tc</t>
  </si>
  <si>
    <t>Sample Code</t>
  </si>
  <si>
    <t>Date:</t>
  </si>
  <si>
    <t>Raw V/I #1</t>
  </si>
  <si>
    <t>Raw V/I #2</t>
  </si>
  <si>
    <t>Raw V/I #3</t>
  </si>
  <si>
    <t>Raw V/I #4</t>
  </si>
  <si>
    <t>Correction Factor</t>
  </si>
  <si>
    <t>Corrected #1</t>
  </si>
  <si>
    <t>Corrected #2</t>
  </si>
  <si>
    <t>Corrected #3</t>
  </si>
  <si>
    <t>Corrected #4</t>
  </si>
  <si>
    <t>Average:</t>
  </si>
  <si>
    <t>Run Average:</t>
  </si>
  <si>
    <t>Error on Average</t>
  </si>
  <si>
    <t>ANM001</t>
  </si>
  <si>
    <t>ANM002</t>
  </si>
  <si>
    <t>ANM005</t>
  </si>
  <si>
    <t>ANM006</t>
  </si>
  <si>
    <t>ANM007</t>
  </si>
  <si>
    <t>ANM008</t>
  </si>
  <si>
    <t>ANM009</t>
  </si>
  <si>
    <t>ANM010</t>
  </si>
  <si>
    <t>ANM011</t>
  </si>
  <si>
    <t>ANM012</t>
  </si>
  <si>
    <t>DTM003</t>
  </si>
  <si>
    <t>HAK132</t>
  </si>
  <si>
    <t>HAK133</t>
  </si>
  <si>
    <t>HAK134</t>
  </si>
  <si>
    <t>HAK136</t>
  </si>
  <si>
    <t>HAK138</t>
  </si>
  <si>
    <t>HAK139</t>
  </si>
  <si>
    <t>HAK140</t>
  </si>
  <si>
    <t>HAK141</t>
  </si>
  <si>
    <t>KAS015</t>
  </si>
  <si>
    <t>KAS016</t>
  </si>
  <si>
    <t>KAS017</t>
  </si>
  <si>
    <t>KAS018</t>
  </si>
  <si>
    <t>KAS007</t>
  </si>
  <si>
    <t>KAS008</t>
  </si>
  <si>
    <t>KAS009</t>
  </si>
  <si>
    <t>LMS103</t>
  </si>
  <si>
    <t>LMS121</t>
  </si>
  <si>
    <t>LMS125</t>
  </si>
  <si>
    <t>LMS133</t>
  </si>
  <si>
    <t>LMS134</t>
  </si>
  <si>
    <t>LMS137</t>
  </si>
  <si>
    <t>LMS141</t>
  </si>
  <si>
    <t>LMS142</t>
  </si>
  <si>
    <t>LMS145</t>
  </si>
  <si>
    <t>LMS153</t>
  </si>
  <si>
    <t>LMS157</t>
  </si>
  <si>
    <t>LMS165</t>
  </si>
  <si>
    <t>LMS166</t>
  </si>
  <si>
    <t>LMS167</t>
  </si>
  <si>
    <t>LMS169</t>
  </si>
  <si>
    <t>LMS185</t>
  </si>
  <si>
    <t>LMS188</t>
  </si>
  <si>
    <t>LMS189</t>
  </si>
  <si>
    <t>LMS192</t>
  </si>
  <si>
    <t>LMS193</t>
  </si>
  <si>
    <t>LMS197</t>
  </si>
  <si>
    <t>LMS198</t>
  </si>
  <si>
    <t>LMS212</t>
  </si>
  <si>
    <t>QYZ005</t>
  </si>
  <si>
    <t>HAK097</t>
  </si>
  <si>
    <t>HAK098</t>
  </si>
  <si>
    <t>SPD-465</t>
  </si>
  <si>
    <t>SPD-466</t>
  </si>
  <si>
    <t>SPD-467</t>
  </si>
  <si>
    <t>SPD-468</t>
  </si>
  <si>
    <t>SPD-469</t>
  </si>
  <si>
    <t>SPD-470</t>
  </si>
  <si>
    <t>SPD-471</t>
  </si>
  <si>
    <t>SPD-472</t>
  </si>
  <si>
    <t>SPD-473</t>
  </si>
  <si>
    <t>SPD-474</t>
  </si>
  <si>
    <t>SPD-475</t>
  </si>
  <si>
    <t>SPD-476</t>
  </si>
  <si>
    <t>SPD-477</t>
  </si>
  <si>
    <t>SPD-478</t>
  </si>
  <si>
    <t>SPD-479</t>
  </si>
  <si>
    <t>SPD-480</t>
  </si>
  <si>
    <t>SPD-481</t>
  </si>
  <si>
    <t>SPD-482</t>
  </si>
  <si>
    <t>SPD-483</t>
  </si>
  <si>
    <t>SPD-484</t>
  </si>
  <si>
    <t>SPD-485</t>
  </si>
  <si>
    <t>SPD-486</t>
  </si>
  <si>
    <t>SPD-487</t>
  </si>
  <si>
    <t>SPD-488</t>
  </si>
  <si>
    <t>SPD-489</t>
  </si>
  <si>
    <t>SPD-490</t>
  </si>
  <si>
    <t>SPD-491</t>
  </si>
  <si>
    <t>SPD-492</t>
  </si>
  <si>
    <t>SPD-493</t>
  </si>
  <si>
    <t>SPD-494</t>
  </si>
  <si>
    <t>SPD-495</t>
  </si>
  <si>
    <t>SPD-496</t>
  </si>
  <si>
    <t>SPD-497</t>
  </si>
  <si>
    <t>SPD-498</t>
  </si>
  <si>
    <t>SPD-499</t>
  </si>
  <si>
    <t>SPD-500</t>
  </si>
  <si>
    <t>SPD-501</t>
  </si>
  <si>
    <t>SPD96</t>
  </si>
  <si>
    <t>SPE020a</t>
  </si>
  <si>
    <t>SPE021a</t>
  </si>
  <si>
    <t>fill</t>
  </si>
  <si>
    <t>SPE023a</t>
  </si>
  <si>
    <t>SPE024a</t>
  </si>
  <si>
    <t>SPE025a</t>
  </si>
  <si>
    <t>SPE027a</t>
  </si>
  <si>
    <t>SPE028a</t>
  </si>
  <si>
    <t>SPE029a</t>
  </si>
  <si>
    <t>SPE030a</t>
  </si>
  <si>
    <t>SPE031a</t>
  </si>
  <si>
    <t>SPE032a</t>
  </si>
  <si>
    <t>SPE033a</t>
  </si>
  <si>
    <t>SPE034a</t>
  </si>
  <si>
    <t>Sin_wafer_001</t>
  </si>
  <si>
    <t>RTP-SPE095</t>
  </si>
  <si>
    <t>RTP-SPE096</t>
  </si>
  <si>
    <t>RTP-SPE097</t>
  </si>
  <si>
    <t>RTP-SPE100</t>
  </si>
  <si>
    <t>RTP-SPE107</t>
  </si>
  <si>
    <t>RTP-SPE108</t>
  </si>
  <si>
    <t>RTP-113</t>
  </si>
  <si>
    <t>RTP-114</t>
  </si>
  <si>
    <t>RTP-117</t>
  </si>
  <si>
    <t>RTP-118</t>
  </si>
  <si>
    <t>RTP-119</t>
  </si>
  <si>
    <t>RTP-120</t>
  </si>
  <si>
    <t>NWL008</t>
  </si>
  <si>
    <t>run466 (failed)</t>
  </si>
  <si>
    <t>NWL015</t>
  </si>
  <si>
    <t>WSI000</t>
  </si>
  <si>
    <t>WSi002-peice0</t>
  </si>
  <si>
    <t>WSi002-peice</t>
  </si>
  <si>
    <t>Data Taken by CL to compare thickness measured with IR and visible transm.</t>
  </si>
  <si>
    <t>SPD#</t>
  </si>
  <si>
    <t>Initial Tc</t>
  </si>
  <si>
    <t>Recent Tc</t>
  </si>
  <si>
    <t>Previous Thickness</t>
  </si>
  <si>
    <t>Thickness</t>
  </si>
  <si>
    <t>Thickness % change</t>
  </si>
  <si>
    <t>Absorp. Coeff</t>
  </si>
  <si>
    <t>Trans. Coeff</t>
  </si>
  <si>
    <t>Reflec. Coeff</t>
  </si>
  <si>
    <t>Avg. Sheet Resistance (not adjusted)</t>
  </si>
  <si>
    <t>Rsheet:</t>
  </si>
  <si>
    <t>Rsheet_old:</t>
  </si>
  <si>
    <t>Rsheet,  % change:</t>
  </si>
  <si>
    <t>Rho OLD</t>
  </si>
  <si>
    <t>Rho New</t>
  </si>
  <si>
    <t>Rho change:</t>
  </si>
  <si>
    <t>IR Trans %</t>
  </si>
  <si>
    <t>IR thickness</t>
  </si>
  <si>
    <t>~7</t>
  </si>
  <si>
    <t>mean:</t>
  </si>
  <si>
    <t>st dev:</t>
  </si>
  <si>
    <t>In Nitrogen box?</t>
  </si>
  <si>
    <t>no</t>
  </si>
  <si>
    <t>Total films in Nitrogen box:</t>
  </si>
  <si>
    <t>yes</t>
  </si>
  <si>
    <t>black tape residue</t>
  </si>
  <si>
    <t>patterned</t>
  </si>
  <si>
    <t>somewhat clean, residue from old plate</t>
  </si>
  <si>
    <t>partially etched</t>
  </si>
  <si>
    <t>clean</t>
  </si>
  <si>
    <t>somewhat clean</t>
  </si>
  <si>
    <t>appear damaged</t>
  </si>
  <si>
    <t>dirty</t>
  </si>
  <si>
    <t>etched</t>
  </si>
  <si>
    <t>black marker</t>
  </si>
  <si>
    <t>patterned, no gold?</t>
  </si>
  <si>
    <t>broken</t>
  </si>
  <si>
    <t>glass slide</t>
  </si>
  <si>
    <t>mostly clean</t>
  </si>
  <si>
    <t>chipped corner</t>
  </si>
  <si>
    <t>dirty / cracked</t>
  </si>
  <si>
    <t>very thick</t>
  </si>
  <si>
    <t>used for auger?</t>
  </si>
  <si>
    <t>patterned?</t>
  </si>
  <si>
    <t>SPD-462</t>
  </si>
  <si>
    <t>SPD-463</t>
  </si>
  <si>
    <t>SPD-464</t>
  </si>
  <si>
    <t>SPD-502</t>
  </si>
  <si>
    <t>SPD-503</t>
  </si>
  <si>
    <t>SPD-504</t>
  </si>
  <si>
    <t>SPD-505</t>
  </si>
  <si>
    <t>SPD-506</t>
  </si>
  <si>
    <t>SPD-507</t>
  </si>
  <si>
    <t>SPD-508</t>
  </si>
  <si>
    <t>SPD-509</t>
  </si>
  <si>
    <t>SPD-510</t>
  </si>
  <si>
    <t>SPD-511</t>
  </si>
  <si>
    <t>SPD-512</t>
  </si>
  <si>
    <t>SPD-513</t>
  </si>
  <si>
    <t>SPD-514</t>
  </si>
  <si>
    <t>SPD-515</t>
  </si>
  <si>
    <t>SPD-516</t>
  </si>
  <si>
    <t>SPD-517</t>
  </si>
  <si>
    <t>SPD-518</t>
  </si>
  <si>
    <t>SPD-519</t>
  </si>
  <si>
    <t>SPD-520</t>
  </si>
  <si>
    <t>SPD-521</t>
  </si>
  <si>
    <t>surface dirty /indium</t>
  </si>
  <si>
    <t>ANM015</t>
  </si>
  <si>
    <t>Coated in resist? Yellow</t>
  </si>
  <si>
    <t>ANM016</t>
  </si>
  <si>
    <t>DTM005</t>
  </si>
  <si>
    <t>no film?</t>
  </si>
  <si>
    <t>DTM006</t>
  </si>
  <si>
    <t>Dirty, on Sin ?</t>
  </si>
  <si>
    <t>ANM017</t>
  </si>
  <si>
    <t>Clover leaf resistance pattern</t>
  </si>
  <si>
    <t>ANM019</t>
  </si>
  <si>
    <t>LMS172</t>
  </si>
  <si>
    <t>LMS196</t>
  </si>
  <si>
    <t>split in half</t>
  </si>
  <si>
    <t>etched somewhat (auger?)</t>
  </si>
  <si>
    <t>LMS199</t>
  </si>
  <si>
    <t>LMS200</t>
  </si>
  <si>
    <t>LMS171</t>
  </si>
  <si>
    <t>small piece remaining</t>
  </si>
  <si>
    <t>LMS149</t>
  </si>
  <si>
    <t>slight dust</t>
  </si>
  <si>
    <t>LMS150</t>
  </si>
  <si>
    <t>LMS151</t>
  </si>
  <si>
    <t>LMS152</t>
  </si>
  <si>
    <t>LMS154</t>
  </si>
  <si>
    <t>LMS155</t>
  </si>
  <si>
    <t>LMS156</t>
  </si>
  <si>
    <t>LMS158</t>
  </si>
  <si>
    <t>LMS159</t>
  </si>
  <si>
    <t>LMS160</t>
  </si>
  <si>
    <t>dusty</t>
  </si>
  <si>
    <t>LMS168</t>
  </si>
  <si>
    <t>LMS170</t>
  </si>
  <si>
    <t>LMS173</t>
  </si>
  <si>
    <t>clean; very thin</t>
  </si>
  <si>
    <t>LMS174</t>
  </si>
  <si>
    <t>LMS175</t>
  </si>
  <si>
    <t>LMS176</t>
  </si>
  <si>
    <t>LMS177</t>
  </si>
  <si>
    <t>LMS178</t>
  </si>
  <si>
    <t>LMS179</t>
  </si>
  <si>
    <t>LMS180</t>
  </si>
  <si>
    <t>LMS181</t>
  </si>
  <si>
    <t>LMS182</t>
  </si>
  <si>
    <t>LMS183</t>
  </si>
  <si>
    <t>LMS184</t>
  </si>
  <si>
    <t>clean; look thick</t>
  </si>
  <si>
    <t>LMS186</t>
  </si>
  <si>
    <t>LMS187</t>
  </si>
  <si>
    <t>LMS190</t>
  </si>
  <si>
    <t>LMS191</t>
  </si>
  <si>
    <t>dirty, look thick</t>
  </si>
  <si>
    <t>LMS194</t>
  </si>
  <si>
    <t>LMS195</t>
  </si>
  <si>
    <t>LMS002</t>
  </si>
  <si>
    <t>LMS004</t>
  </si>
  <si>
    <t>thick coating of gold</t>
  </si>
  <si>
    <t>LMS007</t>
  </si>
  <si>
    <t>slightly dusty</t>
  </si>
  <si>
    <t>LMS008</t>
  </si>
  <si>
    <t>LMS009</t>
  </si>
  <si>
    <t>LMS010</t>
  </si>
  <si>
    <t>LMS011</t>
  </si>
  <si>
    <t>LMS012</t>
  </si>
  <si>
    <t>LMS013</t>
  </si>
  <si>
    <t>LMS014</t>
  </si>
  <si>
    <t>LMS015</t>
  </si>
  <si>
    <t>LMS016</t>
  </si>
  <si>
    <t>LMS017</t>
  </si>
  <si>
    <t>clean; somewhat thin; marks due to old plate</t>
  </si>
  <si>
    <t>LMS018</t>
  </si>
  <si>
    <t>LMS019</t>
  </si>
  <si>
    <t>LMS020</t>
  </si>
  <si>
    <t>LMS021</t>
  </si>
  <si>
    <t>LMS022</t>
  </si>
  <si>
    <t>LMS023</t>
  </si>
  <si>
    <t>LMS024</t>
  </si>
  <si>
    <t>LMS025</t>
  </si>
  <si>
    <t>LMS026</t>
  </si>
  <si>
    <t>LMS027</t>
  </si>
  <si>
    <t>LMS028</t>
  </si>
  <si>
    <t>LMS029</t>
  </si>
  <si>
    <t>LMS030</t>
  </si>
  <si>
    <t>LMS031</t>
  </si>
  <si>
    <t>LMS032</t>
  </si>
  <si>
    <t>LMS033</t>
  </si>
  <si>
    <t>clean; thin</t>
  </si>
  <si>
    <t>LMS034</t>
  </si>
  <si>
    <t>LMS035</t>
  </si>
  <si>
    <t>LMS036</t>
  </si>
  <si>
    <t>LMS037</t>
  </si>
  <si>
    <t>LMS038</t>
  </si>
  <si>
    <t>LMS039</t>
  </si>
  <si>
    <t>LMS040</t>
  </si>
  <si>
    <t>LMS041</t>
  </si>
  <si>
    <t>LMS042</t>
  </si>
  <si>
    <t>LMS043</t>
  </si>
  <si>
    <t>LMS044</t>
  </si>
  <si>
    <t>LMS101</t>
  </si>
  <si>
    <t>clean, very thin</t>
  </si>
  <si>
    <t>LMS102</t>
  </si>
  <si>
    <t>LMS104</t>
  </si>
  <si>
    <t>LMS105</t>
  </si>
  <si>
    <t>LMS106</t>
  </si>
  <si>
    <t>LMS107</t>
  </si>
  <si>
    <t>LMS108</t>
  </si>
  <si>
    <t>LMS109</t>
  </si>
  <si>
    <t>LMS110</t>
  </si>
  <si>
    <t>LMS111</t>
  </si>
  <si>
    <t>LMS112</t>
  </si>
  <si>
    <t>LMS113</t>
  </si>
  <si>
    <t>LMS114</t>
  </si>
  <si>
    <t>LMS115</t>
  </si>
  <si>
    <t>LMS116</t>
  </si>
  <si>
    <t>LMS117</t>
  </si>
  <si>
    <t>LMS118</t>
  </si>
  <si>
    <t>LMS119</t>
  </si>
  <si>
    <t>LMS120</t>
  </si>
  <si>
    <t>LMS122</t>
  </si>
  <si>
    <t>LMS123</t>
  </si>
  <si>
    <t>LMS124</t>
  </si>
  <si>
    <t>LMS126</t>
  </si>
  <si>
    <t>LMS127</t>
  </si>
  <si>
    <t>LMS128</t>
  </si>
  <si>
    <t>LMS129</t>
  </si>
  <si>
    <t>LMS130</t>
  </si>
  <si>
    <t>LMS131</t>
  </si>
  <si>
    <t>LMS132</t>
  </si>
  <si>
    <t>LMS135</t>
  </si>
  <si>
    <t>LMS136</t>
  </si>
  <si>
    <t>LMS138</t>
  </si>
  <si>
    <t>LMS139</t>
  </si>
  <si>
    <t>LMS140</t>
  </si>
  <si>
    <t>LMS143</t>
  </si>
  <si>
    <t>LMS144</t>
  </si>
  <si>
    <t>LMS146</t>
  </si>
  <si>
    <t>LMS147</t>
  </si>
  <si>
    <t>LMS148</t>
  </si>
  <si>
    <t>KAS001</t>
  </si>
  <si>
    <t>KAS002</t>
  </si>
  <si>
    <t>damaged</t>
  </si>
  <si>
    <t>KAS003</t>
  </si>
  <si>
    <t>KAS004</t>
  </si>
  <si>
    <t>KAS005</t>
  </si>
  <si>
    <t>Used for Auger, XPS?</t>
  </si>
  <si>
    <t>KAS006</t>
  </si>
  <si>
    <t>KAS010</t>
  </si>
  <si>
    <t>KAS011</t>
  </si>
  <si>
    <t>very thin</t>
  </si>
  <si>
    <t>KAS012</t>
  </si>
  <si>
    <t>KAS013</t>
  </si>
  <si>
    <t>KAS014</t>
  </si>
  <si>
    <t>KAS019</t>
  </si>
  <si>
    <t>KAS020</t>
  </si>
  <si>
    <t>KAS021</t>
  </si>
  <si>
    <t>cloudy / dirty</t>
  </si>
  <si>
    <t>residue from old plate</t>
  </si>
  <si>
    <t>HAK007</t>
  </si>
  <si>
    <t>scratched</t>
  </si>
  <si>
    <t>HAK012</t>
  </si>
  <si>
    <t>slight dirt, very thick</t>
  </si>
  <si>
    <t>HAK013</t>
  </si>
  <si>
    <t>HAK014</t>
  </si>
  <si>
    <t>HAK015</t>
  </si>
  <si>
    <t>HAK016</t>
  </si>
  <si>
    <t>HAK017</t>
  </si>
  <si>
    <t>HAK018</t>
  </si>
  <si>
    <t>HAK019</t>
  </si>
  <si>
    <t>HAK020</t>
  </si>
  <si>
    <t>HAK021</t>
  </si>
  <si>
    <t>HAK022</t>
  </si>
  <si>
    <t>HAK023</t>
  </si>
  <si>
    <t>HAK024</t>
  </si>
  <si>
    <t>HAK025</t>
  </si>
  <si>
    <t>HAK026</t>
  </si>
  <si>
    <t>HAK027</t>
  </si>
  <si>
    <t>some etching?</t>
  </si>
  <si>
    <t>HAK030</t>
  </si>
  <si>
    <t>devices</t>
  </si>
  <si>
    <t>HAK???</t>
  </si>
  <si>
    <t>devices, no label</t>
  </si>
  <si>
    <t>HAK041</t>
  </si>
  <si>
    <t>HAK042</t>
  </si>
  <si>
    <t>scratched, dirty</t>
  </si>
  <si>
    <t>HAK118</t>
  </si>
  <si>
    <t>clean, thick</t>
  </si>
  <si>
    <t>HAK119</t>
  </si>
  <si>
    <t>HAK135</t>
  </si>
  <si>
    <t>SPD326</t>
  </si>
  <si>
    <t>SPD328</t>
  </si>
  <si>
    <t>SPD329</t>
  </si>
  <si>
    <t>SPD330</t>
  </si>
  <si>
    <t>SPD331</t>
  </si>
  <si>
    <t>SPD332</t>
  </si>
  <si>
    <t>SPD333</t>
  </si>
  <si>
    <t>SPD334</t>
  </si>
  <si>
    <t>SPD335</t>
  </si>
  <si>
    <t>SPD336</t>
  </si>
  <si>
    <t>SPD337</t>
  </si>
  <si>
    <t>SPD338</t>
  </si>
  <si>
    <t>SPD339</t>
  </si>
  <si>
    <t>SPD340</t>
  </si>
  <si>
    <t>SPD341</t>
  </si>
  <si>
    <t>SPD342</t>
  </si>
  <si>
    <t>SPD343</t>
  </si>
  <si>
    <t>SPD344</t>
  </si>
  <si>
    <t>SPD345</t>
  </si>
  <si>
    <t>SPD346</t>
  </si>
  <si>
    <t>SPD347</t>
  </si>
  <si>
    <t>SPD348</t>
  </si>
  <si>
    <t>SPD349</t>
  </si>
  <si>
    <t>SPD350</t>
  </si>
  <si>
    <t>SPD351</t>
  </si>
  <si>
    <t>SPD352</t>
  </si>
  <si>
    <t>SPD353</t>
  </si>
  <si>
    <t>Sample Code:</t>
  </si>
  <si>
    <t>Measurement Date:</t>
  </si>
  <si>
    <t>Start Time:</t>
  </si>
  <si>
    <t>Meas Protocol:</t>
  </si>
  <si>
    <t>Measurement Devices:</t>
  </si>
  <si>
    <t>Probe_Current (uA):</t>
  </si>
  <si>
    <t>R_sheet:</t>
  </si>
  <si>
    <t>R296K</t>
  </si>
  <si>
    <t>R20K</t>
  </si>
  <si>
    <t>RRR (Calc'd)</t>
  </si>
  <si>
    <t>Associated Files</t>
  </si>
  <si>
    <t>R_sheet Only</t>
  </si>
  <si>
    <t>Remington, Keithley 2400</t>
  </si>
  <si>
    <t>Quick_Tc</t>
  </si>
  <si>
    <t>Remington, Keithley 2400, Vikas' Dipstick</t>
  </si>
  <si>
    <t>Protocols:</t>
  </si>
  <si>
    <t>Description:</t>
  </si>
  <si>
    <t>Full Tc</t>
  </si>
  <si>
    <t>Tc Measurement: cooldown, hysteresis test (below Tc to 21K), R v T for 10, 100 &amp; 1000uA, warmup</t>
  </si>
  <si>
    <t>Quick Tc</t>
  </si>
  <si>
    <t>Tc Measurement: cooldown, hysteresis test (below Tc to 21K), warmup</t>
  </si>
  <si>
    <t>300K Rsheet</t>
  </si>
  <si>
    <t>At least 3x measurements of Rs using Remington 4 pt probe</t>
  </si>
  <si>
    <t>Reflectometry</t>
  </si>
  <si>
    <t>Deposition</t>
  </si>
  <si>
    <t>samplecode</t>
  </si>
  <si>
    <t>criticalTemp</t>
  </si>
  <si>
    <t>Rtwenty</t>
  </si>
  <si>
    <t>Rroom</t>
  </si>
  <si>
    <t>RRR:</t>
  </si>
  <si>
    <t>Rsheet</t>
  </si>
  <si>
    <t>Transmittance</t>
  </si>
  <si>
    <t>Deposition Time (s):</t>
  </si>
  <si>
    <t>Deposition current (actual, mA)</t>
  </si>
  <si>
    <t>Deposition Temp (C):</t>
  </si>
  <si>
    <t>Si</t>
  </si>
  <si>
    <t>delta Tc</t>
  </si>
  <si>
    <t>Tc (manual)</t>
  </si>
  <si>
    <t>Delta Tc (Manual)</t>
  </si>
  <si>
    <t>Tc Error</t>
  </si>
  <si>
    <t>Delta Tc Error</t>
  </si>
  <si>
    <t>Delta Tc if small Tc error</t>
  </si>
  <si>
    <t>NaN</t>
  </si>
  <si>
    <t>DTM007</t>
  </si>
  <si>
    <t>KAS15U</t>
  </si>
  <si>
    <t>KAS16U</t>
  </si>
  <si>
    <t>KAS17U</t>
  </si>
  <si>
    <t>KAS18U</t>
  </si>
  <si>
    <t>KAS7UP</t>
  </si>
  <si>
    <t>KAS8UP</t>
  </si>
  <si>
    <t>filepath</t>
  </si>
  <si>
    <t>multiple FPs</t>
  </si>
  <si>
    <t>multiple Tc</t>
  </si>
  <si>
    <t>multiple R20</t>
  </si>
  <si>
    <t>multiple Rroom</t>
  </si>
  <si>
    <t>C:\Users\Andrew\Desktop\QNN_Work\Data (Resistance Setup)_(copied 022612)\Feb 08 2012\ANM001COOL10u-EW-Tc Data-Feb082012-1523.txt</t>
  </si>
  <si>
    <t>C:\Users\Andrew\Desktop\QNN_Work\Data (Resistance Setup)_(copied 022612)\Feb 08 2012\ANM002COOL10u-EW-Tc Data-Feb082012-1523.txt</t>
  </si>
  <si>
    <t>C:\Users\Andrew\Desktop\QNN_Work\Data (Resistance Setup)_(copied 022612)\Feb 08 2012\ANM005COOL100u-EW-Tc Data-Feb082012-1712.txt</t>
  </si>
  <si>
    <t>C:\Users\Andrew\Desktop\QNN_Work\Data (Resistance Setup)_(copied 022612)\Feb 08 2012\ANM006COOL100u-EW-Tc Data-Feb082012-1712.txt</t>
  </si>
  <si>
    <t>C:\Users\Andrew\Desktop\QNN_Work\Data (Resistance Setup)_(copied 022612)\Feb 08 2012\ANM007COOL100u-EW-Tc Data-Feb082012-2035.txt</t>
  </si>
  <si>
    <t>C:\Users\Andrew\Desktop\QNN_Work\Data (Resistance Setup)_(copied 022612)\Feb 08 2012\ANM008COOL100u-EW-Tc Data-Feb082012-2035.txt</t>
  </si>
  <si>
    <t>C:\Users\Andrew\Desktop\QNN_Work\Data (Resistance Setup)_(copied 022612)\Feb 13 2012\ANM009COOL100u-EW-Tc Data-Feb132012-1656.txt</t>
  </si>
  <si>
    <t>C:\Users\Andrew\Desktop\QNN_Work\Data (Resistance Setup)_(copied 022612)\Feb 13 2012\ANM010COOL100u-EW-Tc Data-Feb132012-1656.txt</t>
  </si>
  <si>
    <t>C:\Users\Andrew\Desktop\QNN_Work\Data (Resistance Setup)_(copied 022612)\Feb 13 2012\ANM011COOL100u-EW-Tc Data-Feb132012-1903.txt</t>
  </si>
  <si>
    <t>C:\Users\Andrew\Desktop\QNN_Work\Data (Resistance Setup)_(copied 022612)\Feb 13 2012\ANM012COOL100u-EW-Tc Data-Feb132012-1903.txt</t>
  </si>
  <si>
    <t>C:\Users\Andrew\Desktop\QNN_Work\Data (Resistance Setup)_(copied 022612)\Feb 08 2012\DTM003COOL100u-NS-Tc Data-Feb082012-1328.txt</t>
  </si>
  <si>
    <t>C:\Users\Andrew\Desktop\QNN_Work\Data (Resistance Setup)_(copied 022612)\Jan 26 2012\HAK132COOL100u-NS-Tc Data-Jan262012-1856.txt</t>
  </si>
  <si>
    <t>C:\Users\Andrew\Desktop\QNN_Work\Data (Resistance Setup)_(copied 022612)\Jan 27 2012\HAK133controlledcool-EW-Tc Data-Jan272012-1803.txt</t>
  </si>
  <si>
    <t>C:\Users\Andrew\Desktop\QNN_Work\Data (Resistance Setup)_(copied 022612)\Jan 28 2012\HAK134COOL100u-NS-Tc Data-Jan282012-1700.txt</t>
  </si>
  <si>
    <t>C:\Users\Andrew\Desktop\QNN_Work\Data (Resistance Setup)_(copied 022612)\Feb 01 2012\HAK136IV300K-EW-IV Data-Feb012012-1501.txt</t>
  </si>
  <si>
    <t>C:\Users\Andrew\Desktop\QNN_Work\Data (Resistance Setup)_(copied 022612)\Feb 03 2012\HAK138COOL100u-NEWS-Tc Data-Feb032012-1732.txt</t>
  </si>
  <si>
    <t>C:\Users\Andrew\Desktop\QNN_Work\Data (Resistance Setup)_(copied 022612)\Feb 03 2012\HAK139COOL100u-NEWS-Tc Data-Feb032012-1732.txt</t>
  </si>
  <si>
    <t>C:\Users\Andrew\Desktop\QNN_Work\Data (Resistance Setup)_(copied 022612)\Feb 06 2012\HAK140COOL100u-NEWS-Tc Data-Feb062012-1451.txt</t>
  </si>
  <si>
    <t>C:\Users\Andrew\Desktop\QNN_Work\Data (Resistance Setup)_(copied 022612)\Feb 06 2012\HAK141COOL100u-NEWS-Tc Data-Feb062012-1451.txt</t>
  </si>
  <si>
    <t>C:\Users\Andrew\Desktop\QNN_Work\Data (Resistance Setup)_(copied 022612)\Feb 07 2012\KAS15COOL100u-EW-Tc Data-Feb072012-1648.txt</t>
  </si>
  <si>
    <t>C:\Users\Andrew\Desktop\QNN_Work\Data (Resistance Setup)_(copied 022612)\Feb 07 2012\KAS16COOL100u-EW-Tc Data-Feb072012-1648.txt</t>
  </si>
  <si>
    <t>C:\Users\Andrew\Desktop\QNN_Work\Data (Resistance Setup)_(copied 022612)\Feb 07 2012\KAS17COOL50u-EW-Tc Data-Feb072012-2019.txt</t>
  </si>
  <si>
    <t>C:\Users\Andrew\Desktop\QNN_Work\Data (Resistance Setup)_(copied 022612)\Feb 07 2012\KAS18COOL50u-EW-Tc Data-Feb072012-2019.txt</t>
  </si>
  <si>
    <t>C:\Users\Andrew\Desktop\QNN_Work\Data (Resistance Setup)_(copied 022612)\Jan 24 2012\KAS7COOL50u-EW-Tc Data-Jan242012-2033.txt</t>
  </si>
  <si>
    <t>C:\Users\Andrew\Desktop\QNN_Work\Data (Resistance Setup)_(copied 022612)\Jan 24 2012\KAS8COOL50u-EW-Tc Data-Jan242012-2033.txt</t>
  </si>
  <si>
    <t>C:\Users\Andrew\Desktop\QNN_Work\Data (Resistance Setup)_(copied 022612)\Jan 26 2012\KAS9DOWN1u-EW-Tc Data-Jan262012-2102.txt</t>
  </si>
  <si>
    <t>C:\Users\Andrew\Desktop\QNN_Work\Data (Resistance Setup)_(copied 022612)\Jan 03 2012\LMS1-EW-IV Data-Jan032012-1636.txt</t>
  </si>
  <si>
    <t>C:\Users\Andrew\Desktop\QNN_Work\Data (Resistance Setup)_(copied 022612)\Jan 24 2012\LMS121COOL50u-NS-Tc Data-Jan242012-1605.txt</t>
  </si>
  <si>
    <t>C:\Users\Andrew\Desktop\QNN_Work\Data (Resistance Setup)_(copied 022612)\Jan 24 2012\LMS125COOL50u-NS-Tc Data-Jan242012-1605.txt</t>
  </si>
  <si>
    <t>C:\Users\Andrew\Desktop\QNN_Work\Data (Resistance Setup)_(copied 022612)\Dec 22 2011\LMS133 EW (detailed zoom)-IV Data-Dec222011-2032.txt</t>
  </si>
  <si>
    <t>C:\Users\Andrew\Desktop\QNN_Work\Data (Resistance Setup)_(copied 022612)\Jan 11 2012\LMS134-EW-IV Data-Jan112012-1652.txt</t>
  </si>
  <si>
    <t>C:\Users\Andrew\Desktop\QNN_Work\Data (Resistance Setup)_(copied 022612)\Jan 10 2012\LMS137-EW-IV Data-Jan102012-1421.txt</t>
  </si>
  <si>
    <t>C:\Users\Andrew\Desktop\QNN_Work\Data (Resistance Setup)_(copied 022612)\Jan 10 2012\LMS141-EW-IV Data-Jan102012-1415.txt</t>
  </si>
  <si>
    <t>C:\Users\Andrew\Desktop\QNN_Work\Data (Resistance Setup)_(copied 022612)\Jan 11 2012\LMS142-EW-IV Data-Jan112012-1655.txt</t>
  </si>
  <si>
    <t>C:\Users\Andrew\Desktop\QNN_Work\Data (Resistance Setup)_(copied 022612)\Jan 09 2012\LMS145-NS-Tc Data-Jan092012-1853.txt</t>
  </si>
  <si>
    <t>C:\Users\Andrew\Desktop\QNN_Work\Data (Resistance Setup)_(copied 022612)\Jan 09 2012\LMS153-EW-IV Data-Jan092012-1334.txt</t>
  </si>
  <si>
    <t>C:\Users\Andrew\Desktop\QNN_Work\Data (Resistance Setup)_(copied 022612)\Jan 09 2012\LMS157-NS-Tc Data-Jan092012-1853.txt</t>
  </si>
  <si>
    <t>C:\Users\Andrew\Desktop\QNN_Work\Data (Resistance Setup)_(copied 022612)\Dec 30 2011\LMS165norange-NS-IV Data-Dec302011-1710.txt</t>
  </si>
  <si>
    <t>C:\Users\Andrew\Desktop\QNN_Work\Data (Resistance Setup)_(copied 022612)\Jan 02 2012\LMS166-EW-IV Data-Jan022012-1325.txt</t>
  </si>
  <si>
    <t>C:\Users\Andrew\Desktop\QNN_Work\Data (Resistance Setup)_(copied 022612)\Jan 13 2012\LMS167ATC50u-NS-Tc Data-Jan132012-1539.txt</t>
  </si>
  <si>
    <t>C:\Users\Andrew\Desktop\QNN_Work\Data (Resistance Setup)_(copied 022612)\Dec 30 2011\LMS169-NS-Tc Data-Dec302011-1805.txt</t>
  </si>
  <si>
    <t>C:\Users\Andrew\Desktop\QNN_Work\Data (Resistance Setup)_(copied 022612)\Jan 12 2012\LMS185-EW-IV Data-Jan122012-1239.txt</t>
  </si>
  <si>
    <t>C:\Users\Andrew\Desktop\QNN_Work\Data (Resistance Setup)_(copied 022612)\Jan 17 2012\LMS188COOL-NS-Tc Data-Jan172012-1528.txt</t>
  </si>
  <si>
    <t>C:\Users\Andrew\Desktop\QNN_Work\Data (Resistance Setup)_(copied 022612)\Jan 12 2012\LMS189-EW-IV Data-Jan122012-1236.txt</t>
  </si>
  <si>
    <t>C:\Users\Andrew\Desktop\QNN_Work\Data (Resistance Setup)_(copied 022612)\Jan 17 2012\LMS192COOL-NS-Tc Data-Jan172012-1528.txt</t>
  </si>
  <si>
    <t>C:\Users\Andrew\Desktop\QNN_Work\Data (Resistance Setup)_(copied 022612)\Jan 09 2012\LMS193-EW-IV Data-Jan092012-1323.txt</t>
  </si>
  <si>
    <t>C:\Users\Andrew\Desktop\QNN_Work\Data (Resistance Setup)_(copied 022612)\Jan 13 2012\LMS197ATC50u-NS-Tc Data-Jan132012-1539.txt</t>
  </si>
  <si>
    <t>C:\Users\Andrew\Desktop\QNN_Work\Data (Resistance Setup)_(copied 022612)\Jan 31 2012\LMS198-rampto20k-Tc Data-Jan312012-1707.txt</t>
  </si>
  <si>
    <t>C:\Users\Andrew\Desktop\QNN_Work\Data (Resistance Setup)_(copied 022612)\Jan 24 2012\2LMS121COOL50u-NS-Tc Data-Jan242012-1629.txt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</si>
</sst>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#,##0.0"/>
    <numFmt numFmtId="166" formatCode="m/d/yyyy;@"/>
    <numFmt numFmtId="167" formatCode="h:mm:ss;@"/>
    <numFmt numFmtId="168" formatCode="#,##0.0000"/>
  </numFmts>
  <fonts count="279" x14ac:knownFonts="1">
    <font>
      <sz val="10"/>
      <color rgb="FF00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trike/>
      <sz val="10"/>
      <color rgb="FF674EA7"/>
      <name val="Arial"/>
    </font>
    <font>
      <strike/>
      <sz val="10"/>
      <color rgb="FF674EA7"/>
      <name val="Arial"/>
    </font>
    <font>
      <b/>
      <sz val="10"/>
      <color rgb="FF000000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999999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674EA7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CC0000"/>
      <name val="Arial"/>
    </font>
    <font>
      <sz val="10"/>
      <color rgb="FF000000"/>
      <name val="Arial"/>
    </font>
    <font>
      <sz val="10"/>
      <color rgb="FFCC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CC0000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999999"/>
      <name val="Arial"/>
    </font>
    <font>
      <sz val="10"/>
      <color rgb="FF999999"/>
      <name val="Arial"/>
    </font>
    <font>
      <sz val="10"/>
      <color rgb="FF000000"/>
      <name val="Arial"/>
    </font>
    <font>
      <strike/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CC0000"/>
      <name val="Arial"/>
    </font>
    <font>
      <sz val="10"/>
      <color rgb="FF45818E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999999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CC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45818E"/>
      <name val="Arial"/>
    </font>
    <font>
      <sz val="10"/>
      <color rgb="FFFF0000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CC0000"/>
      <name val="Arial"/>
    </font>
    <font>
      <b/>
      <sz val="10"/>
      <color rgb="FF000000"/>
      <name val="Arial"/>
    </font>
    <font>
      <sz val="10"/>
      <color rgb="FFCC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000000"/>
      <name val="Arial"/>
    </font>
    <font>
      <strike/>
      <sz val="10"/>
      <color rgb="FF674EA7"/>
      <name val="Arial"/>
    </font>
    <font>
      <sz val="10"/>
      <color rgb="FF000000"/>
      <name val="Arial"/>
    </font>
    <font>
      <strike/>
      <sz val="10"/>
      <color rgb="FF674EA7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000000"/>
      <name val="Arial"/>
    </font>
    <font>
      <strike/>
      <sz val="10"/>
      <color rgb="FF674EA7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CC0000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B7B7B7"/>
      <name val="Arial"/>
    </font>
    <font>
      <sz val="10"/>
      <color rgb="FF000000"/>
      <name val="Arial"/>
    </font>
    <font>
      <sz val="10"/>
      <color rgb="FF45818E"/>
      <name val="Arial"/>
    </font>
    <font>
      <b/>
      <sz val="10"/>
      <color rgb="FF000000"/>
      <name val="Arial"/>
    </font>
    <font>
      <sz val="10"/>
      <color rgb="FF674EA7"/>
      <name val="Arial"/>
    </font>
    <font>
      <sz val="10"/>
      <color rgb="FF45818E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CC0000"/>
      <name val="Arial"/>
    </font>
    <font>
      <sz val="10"/>
      <color rgb="FFCC0000"/>
      <name val="Arial"/>
    </font>
    <font>
      <strike/>
      <sz val="10"/>
      <color rgb="FF674EA7"/>
      <name val="Arial"/>
    </font>
    <font>
      <strike/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B7B7B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674EA7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trike/>
      <sz val="10"/>
      <color rgb="FF674EA7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CC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000000"/>
      <name val="Arial"/>
    </font>
    <font>
      <strike/>
      <sz val="10"/>
      <color rgb="FF674EA7"/>
      <name val="Arial"/>
    </font>
    <font>
      <sz val="10"/>
      <color rgb="FF45818E"/>
      <name val="Arial"/>
    </font>
    <font>
      <b/>
      <sz val="10"/>
      <color rgb="FF000000"/>
      <name val="Arial"/>
    </font>
    <font>
      <strike/>
      <sz val="10"/>
      <color rgb="FF674EA7"/>
      <name val="Arial"/>
    </font>
    <font>
      <sz val="10"/>
      <color rgb="FF000000"/>
      <name val="Arial"/>
    </font>
    <font>
      <sz val="10"/>
      <color rgb="FF45818E"/>
      <name val="Arial"/>
    </font>
    <font>
      <b/>
      <sz val="10"/>
      <color rgb="FF00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CC0000"/>
      <name val="Arial"/>
    </font>
    <font>
      <sz val="10"/>
      <color rgb="FF45818E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b/>
      <sz val="10"/>
      <color rgb="FF000000"/>
      <name val="Arial"/>
    </font>
    <font>
      <strike/>
      <sz val="10"/>
      <color rgb="FF674EA7"/>
      <name val="Arial"/>
    </font>
    <font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999999"/>
      <name val="Arial"/>
    </font>
    <font>
      <sz val="10"/>
      <color rgb="FFCC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b/>
      <sz val="10"/>
      <color rgb="FF000000"/>
      <name val="Arial"/>
    </font>
    <font>
      <sz val="10"/>
      <color rgb="FF45818E"/>
      <name val="Arial"/>
    </font>
    <font>
      <strike/>
      <sz val="10"/>
      <color rgb="FF674EA7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674EA7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45818E"/>
      <name val="Arial"/>
    </font>
    <font>
      <b/>
      <sz val="10"/>
      <color rgb="FF000000"/>
      <name val="Arial"/>
    </font>
    <font>
      <strike/>
      <sz val="10"/>
      <color rgb="FF674EA7"/>
      <name val="Arial"/>
    </font>
    <font>
      <sz val="10"/>
      <color rgb="FF674EA7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trike/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674EA7"/>
      <name val="Arial"/>
    </font>
    <font>
      <b/>
      <sz val="10"/>
      <color rgb="FF000000"/>
      <name val="Arial"/>
    </font>
    <font>
      <strike/>
      <sz val="10"/>
      <color rgb="FF674EA7"/>
      <name val="Arial"/>
    </font>
    <font>
      <sz val="10"/>
      <color rgb="FF674EA7"/>
      <name val="Arial"/>
    </font>
    <font>
      <sz val="10"/>
      <color rgb="FF000000"/>
      <name val="Arial"/>
    </font>
    <font>
      <sz val="10"/>
      <color rgb="FF45818E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0"/>
      <color rgb="FF999999"/>
      <name val="Arial"/>
    </font>
    <font>
      <sz val="10"/>
      <color rgb="FF674EA7"/>
      <name val="Arial"/>
    </font>
    <font>
      <sz val="10"/>
      <color rgb="FFCC0000"/>
      <name val="Arial"/>
    </font>
    <font>
      <sz val="10"/>
      <color rgb="FF674EA7"/>
      <name val="Arial"/>
    </font>
    <font>
      <sz val="10"/>
      <color rgb="FFFF0000"/>
      <name val="Arial"/>
    </font>
    <font>
      <sz val="10"/>
      <color rgb="FF45818E"/>
      <name val="Arial"/>
    </font>
    <font>
      <sz val="10"/>
      <color rgb="FF000000"/>
      <name val="Arial"/>
    </font>
    <font>
      <sz val="10"/>
      <color rgb="FFCC000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B7B7B7"/>
      <name val="Arial"/>
    </font>
    <font>
      <sz val="10"/>
      <color rgb="FF999999"/>
      <name val="Arial"/>
    </font>
    <font>
      <sz val="10"/>
      <color rgb="FF45818E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434"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" fontId="0" fillId="2" borderId="6" xfId="0" applyNumberFormat="1" applyFill="1" applyBorder="1" applyAlignment="1">
      <alignment horizontal="center" vertical="center" wrapText="1"/>
    </xf>
    <xf numFmtId="4" fontId="0" fillId="2" borderId="0" xfId="0" applyNumberFormat="1" applyFill="1" applyAlignment="1">
      <alignment horizontal="center" wrapText="1"/>
    </xf>
    <xf numFmtId="166" fontId="5" fillId="2" borderId="7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9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/>
    </xf>
    <xf numFmtId="166" fontId="11" fillId="2" borderId="7" xfId="0" applyNumberFormat="1" applyFont="1" applyFill="1" applyBorder="1" applyAlignment="1">
      <alignment horizontal="center" vertical="center" wrapText="1"/>
    </xf>
    <xf numFmtId="165" fontId="12" fillId="2" borderId="11" xfId="0" applyNumberFormat="1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horizontal="center" vertical="center" wrapText="1"/>
    </xf>
    <xf numFmtId="10" fontId="13" fillId="0" borderId="0" xfId="0" applyNumberFormat="1" applyFont="1" applyAlignment="1">
      <alignment wrapText="1"/>
    </xf>
    <xf numFmtId="166" fontId="0" fillId="2" borderId="7" xfId="0" applyNumberForma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0" fontId="18" fillId="3" borderId="4" xfId="0" applyFont="1" applyFill="1" applyBorder="1" applyAlignment="1">
      <alignment horizontal="center" vertical="center" wrapText="1"/>
    </xf>
    <xf numFmtId="165" fontId="0" fillId="2" borderId="18" xfId="0" applyNumberForma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165" fontId="20" fillId="2" borderId="0" xfId="0" applyNumberFormat="1" applyFont="1" applyFill="1" applyAlignment="1">
      <alignment horizontal="center" vertical="center" wrapText="1"/>
    </xf>
    <xf numFmtId="4" fontId="0" fillId="2" borderId="4" xfId="0" applyNumberFormat="1" applyFill="1" applyBorder="1" applyAlignment="1">
      <alignment horizontal="center" wrapText="1"/>
    </xf>
    <xf numFmtId="4" fontId="21" fillId="2" borderId="6" xfId="0" applyNumberFormat="1" applyFont="1" applyFill="1" applyBorder="1" applyAlignment="1">
      <alignment horizontal="center" vertical="center" wrapText="1"/>
    </xf>
    <xf numFmtId="165" fontId="0" fillId="2" borderId="11" xfId="0" applyNumberFormat="1" applyFill="1" applyBorder="1" applyAlignment="1">
      <alignment horizontal="center" vertical="center" wrapText="1"/>
    </xf>
    <xf numFmtId="4" fontId="22" fillId="2" borderId="7" xfId="0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165" fontId="0" fillId="2" borderId="17" xfId="0" applyNumberFormat="1" applyFill="1" applyBorder="1" applyAlignment="1">
      <alignment horizontal="center" wrapText="1"/>
    </xf>
    <xf numFmtId="0" fontId="24" fillId="2" borderId="20" xfId="0" applyFont="1" applyFill="1" applyBorder="1" applyAlignment="1">
      <alignment horizontal="center" vertical="center" wrapText="1"/>
    </xf>
    <xf numFmtId="4" fontId="25" fillId="2" borderId="0" xfId="0" applyNumberFormat="1" applyFont="1" applyFill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 wrapText="1"/>
    </xf>
    <xf numFmtId="4" fontId="27" fillId="2" borderId="8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wrapText="1"/>
    </xf>
    <xf numFmtId="0" fontId="28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166" fontId="0" fillId="0" borderId="21" xfId="0" applyNumberFormat="1" applyBorder="1" applyAlignment="1">
      <alignment wrapText="1"/>
    </xf>
    <xf numFmtId="0" fontId="30" fillId="2" borderId="2" xfId="0" applyFont="1" applyFill="1" applyBorder="1" applyAlignment="1">
      <alignment horizontal="center" vertical="center" wrapText="1"/>
    </xf>
    <xf numFmtId="165" fontId="31" fillId="2" borderId="0" xfId="0" applyNumberFormat="1" applyFont="1" applyFill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32" fillId="2" borderId="1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4" fontId="0" fillId="2" borderId="8" xfId="0" applyNumberForma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166" fontId="35" fillId="2" borderId="7" xfId="0" applyNumberFormat="1" applyFont="1" applyFill="1" applyBorder="1" applyAlignment="1">
      <alignment horizontal="center" vertical="center" wrapText="1"/>
    </xf>
    <xf numFmtId="4" fontId="36" fillId="2" borderId="4" xfId="0" applyNumberFormat="1" applyFont="1" applyFill="1" applyBorder="1" applyAlignment="1">
      <alignment horizontal="center" vertical="center" wrapText="1"/>
    </xf>
    <xf numFmtId="0" fontId="37" fillId="3" borderId="0" xfId="0" applyFont="1" applyFill="1" applyAlignment="1">
      <alignment horizontal="center" vertical="center" wrapText="1"/>
    </xf>
    <xf numFmtId="4" fontId="38" fillId="2" borderId="7" xfId="0" applyNumberFormat="1" applyFont="1" applyFill="1" applyBorder="1" applyAlignment="1">
      <alignment horizontal="center" vertical="center" wrapText="1"/>
    </xf>
    <xf numFmtId="0" fontId="39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3" fontId="40" fillId="2" borderId="22" xfId="0" applyNumberFormat="1" applyFont="1" applyFill="1" applyBorder="1" applyAlignment="1">
      <alignment horizontal="center" vertical="center" wrapText="1"/>
    </xf>
    <xf numFmtId="4" fontId="41" fillId="2" borderId="4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4" fontId="42" fillId="2" borderId="7" xfId="0" applyNumberFormat="1" applyFont="1" applyFill="1" applyBorder="1" applyAlignment="1">
      <alignment horizontal="center" vertical="center" wrapText="1"/>
    </xf>
    <xf numFmtId="165" fontId="43" fillId="2" borderId="17" xfId="0" applyNumberFormat="1" applyFont="1" applyFill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165" fontId="46" fillId="2" borderId="1" xfId="0" applyNumberFormat="1" applyFont="1" applyFill="1" applyBorder="1" applyAlignment="1">
      <alignment horizontal="center" vertical="center" wrapText="1"/>
    </xf>
    <xf numFmtId="165" fontId="47" fillId="2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8" fillId="3" borderId="8" xfId="0" applyFont="1" applyFill="1" applyBorder="1" applyAlignment="1">
      <alignment horizontal="center" vertical="center" wrapText="1"/>
    </xf>
    <xf numFmtId="4" fontId="0" fillId="2" borderId="21" xfId="0" applyNumberFormat="1" applyFill="1" applyBorder="1" applyAlignment="1">
      <alignment horizontal="center" vertical="center" wrapText="1"/>
    </xf>
    <xf numFmtId="0" fontId="49" fillId="2" borderId="23" xfId="0" applyFont="1" applyFill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4" fontId="52" fillId="2" borderId="0" xfId="0" applyNumberFormat="1" applyFont="1" applyFill="1" applyAlignment="1">
      <alignment horizontal="center" vertical="center" wrapText="1"/>
    </xf>
    <xf numFmtId="164" fontId="53" fillId="2" borderId="0" xfId="0" applyNumberFormat="1" applyFont="1" applyFill="1" applyAlignment="1">
      <alignment horizontal="center" vertical="center" wrapText="1"/>
    </xf>
    <xf numFmtId="168" fontId="54" fillId="4" borderId="0" xfId="0" applyNumberFormat="1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55" fillId="2" borderId="24" xfId="0" applyFont="1" applyFill="1" applyBorder="1" applyAlignment="1">
      <alignment horizontal="center" vertical="center" wrapText="1"/>
    </xf>
    <xf numFmtId="0" fontId="56" fillId="2" borderId="0" xfId="0" applyFont="1" applyFill="1" applyAlignment="1">
      <alignment horizontal="center" vertical="center" wrapText="1"/>
    </xf>
    <xf numFmtId="0" fontId="57" fillId="2" borderId="17" xfId="0" applyFont="1" applyFill="1" applyBorder="1" applyAlignment="1">
      <alignment horizontal="center" vertical="center" wrapText="1"/>
    </xf>
    <xf numFmtId="4" fontId="58" fillId="2" borderId="22" xfId="0" applyNumberFormat="1" applyFont="1" applyFill="1" applyBorder="1" applyAlignment="1">
      <alignment horizontal="center" vertical="center" wrapText="1"/>
    </xf>
    <xf numFmtId="0" fontId="59" fillId="2" borderId="17" xfId="0" applyFont="1" applyFill="1" applyBorder="1" applyAlignment="1">
      <alignment horizontal="center" vertical="center" wrapText="1"/>
    </xf>
    <xf numFmtId="165" fontId="0" fillId="2" borderId="25" xfId="0" applyNumberFormat="1" applyFill="1" applyBorder="1" applyAlignment="1">
      <alignment horizontal="center" vertical="center" wrapText="1"/>
    </xf>
    <xf numFmtId="0" fontId="60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4" fontId="0" fillId="3" borderId="8" xfId="0" applyNumberFormat="1" applyFill="1" applyBorder="1" applyAlignment="1">
      <alignment horizontal="center" vertical="center" wrapText="1"/>
    </xf>
    <xf numFmtId="4" fontId="61" fillId="2" borderId="26" xfId="0" applyNumberFormat="1" applyFont="1" applyFill="1" applyBorder="1" applyAlignment="1">
      <alignment horizontal="center" vertical="center" wrapText="1"/>
    </xf>
    <xf numFmtId="4" fontId="62" fillId="2" borderId="3" xfId="0" applyNumberFormat="1" applyFont="1" applyFill="1" applyBorder="1" applyAlignment="1">
      <alignment horizontal="center" vertical="center" wrapText="1"/>
    </xf>
    <xf numFmtId="0" fontId="63" fillId="2" borderId="7" xfId="0" applyFont="1" applyFill="1" applyBorder="1" applyAlignment="1">
      <alignment horizontal="center" vertical="center" wrapText="1"/>
    </xf>
    <xf numFmtId="4" fontId="0" fillId="2" borderId="4" xfId="0" applyNumberFormat="1" applyFill="1" applyBorder="1" applyAlignment="1">
      <alignment horizontal="center" vertical="center" wrapText="1"/>
    </xf>
    <xf numFmtId="4" fontId="64" fillId="2" borderId="0" xfId="0" applyNumberFormat="1" applyFont="1" applyFill="1" applyAlignment="1">
      <alignment horizontal="center" vertical="center" wrapText="1"/>
    </xf>
    <xf numFmtId="165" fontId="0" fillId="2" borderId="17" xfId="0" applyNumberFormat="1" applyFill="1" applyBorder="1" applyAlignment="1">
      <alignment horizontal="center" vertical="center" wrapText="1"/>
    </xf>
    <xf numFmtId="3" fontId="65" fillId="2" borderId="0" xfId="0" applyNumberFormat="1" applyFont="1" applyFill="1" applyAlignment="1">
      <alignment horizontal="center" vertical="center" wrapText="1"/>
    </xf>
    <xf numFmtId="4" fontId="66" fillId="2" borderId="19" xfId="0" applyNumberFormat="1" applyFont="1" applyFill="1" applyBorder="1" applyAlignment="1">
      <alignment horizontal="center" vertical="center" wrapText="1"/>
    </xf>
    <xf numFmtId="165" fontId="67" fillId="2" borderId="15" xfId="0" applyNumberFormat="1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68" fillId="2" borderId="17" xfId="0" applyNumberFormat="1" applyFont="1" applyFill="1" applyBorder="1" applyAlignment="1">
      <alignment horizontal="center" vertical="center" wrapText="1"/>
    </xf>
    <xf numFmtId="4" fontId="0" fillId="3" borderId="0" xfId="0" applyNumberFormat="1" applyFill="1" applyAlignment="1">
      <alignment horizontal="center" vertical="center" wrapText="1"/>
    </xf>
    <xf numFmtId="4" fontId="69" fillId="2" borderId="23" xfId="0" applyNumberFormat="1" applyFont="1" applyFill="1" applyBorder="1" applyAlignment="1">
      <alignment horizontal="center" vertical="center" wrapText="1"/>
    </xf>
    <xf numFmtId="0" fontId="70" fillId="3" borderId="17" xfId="0" applyFont="1" applyFill="1" applyBorder="1" applyAlignment="1">
      <alignment horizontal="center" vertical="center" wrapText="1"/>
    </xf>
    <xf numFmtId="4" fontId="0" fillId="2" borderId="27" xfId="0" applyNumberFormat="1" applyFill="1" applyBorder="1" applyAlignment="1">
      <alignment horizontal="center" vertical="center" wrapText="1"/>
    </xf>
    <xf numFmtId="4" fontId="0" fillId="0" borderId="17" xfId="0" applyNumberFormat="1" applyBorder="1" applyAlignment="1">
      <alignment wrapText="1"/>
    </xf>
    <xf numFmtId="0" fontId="0" fillId="0" borderId="21" xfId="0" applyBorder="1" applyAlignment="1">
      <alignment wrapText="1"/>
    </xf>
    <xf numFmtId="0" fontId="71" fillId="2" borderId="8" xfId="0" applyFont="1" applyFill="1" applyBorder="1" applyAlignment="1">
      <alignment horizontal="center" vertical="center" wrapText="1"/>
    </xf>
    <xf numFmtId="164" fontId="72" fillId="2" borderId="15" xfId="0" applyNumberFormat="1" applyFont="1" applyFill="1" applyBorder="1" applyAlignment="1">
      <alignment horizontal="center" vertical="center" wrapText="1"/>
    </xf>
    <xf numFmtId="0" fontId="73" fillId="2" borderId="0" xfId="0" applyFont="1" applyFill="1" applyAlignment="1">
      <alignment horizontal="center" wrapText="1"/>
    </xf>
    <xf numFmtId="0" fontId="74" fillId="3" borderId="0" xfId="0" applyFont="1" applyFill="1" applyAlignment="1">
      <alignment horizontal="center" vertical="center" wrapText="1"/>
    </xf>
    <xf numFmtId="165" fontId="75" fillId="2" borderId="17" xfId="0" applyNumberFormat="1" applyFont="1" applyFill="1" applyBorder="1" applyAlignment="1">
      <alignment horizontal="center" vertical="center" wrapText="1"/>
    </xf>
    <xf numFmtId="4" fontId="76" fillId="2" borderId="4" xfId="0" applyNumberFormat="1" applyFont="1" applyFill="1" applyBorder="1" applyAlignment="1">
      <alignment horizontal="center" vertical="center" wrapText="1"/>
    </xf>
    <xf numFmtId="4" fontId="77" fillId="2" borderId="22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0" fontId="78" fillId="2" borderId="4" xfId="0" applyFont="1" applyFill="1" applyBorder="1" applyAlignment="1">
      <alignment horizontal="center" vertical="center" wrapText="1"/>
    </xf>
    <xf numFmtId="4" fontId="79" fillId="2" borderId="8" xfId="0" applyNumberFormat="1" applyFont="1" applyFill="1" applyBorder="1" applyAlignment="1">
      <alignment horizontal="center" vertical="center" wrapText="1"/>
    </xf>
    <xf numFmtId="0" fontId="80" fillId="2" borderId="4" xfId="0" applyFont="1" applyFill="1" applyBorder="1" applyAlignment="1">
      <alignment horizontal="center" vertical="center" wrapText="1"/>
    </xf>
    <xf numFmtId="4" fontId="82" fillId="3" borderId="0" xfId="0" applyNumberFormat="1" applyFont="1" applyFill="1" applyAlignment="1">
      <alignment horizontal="center" vertical="center" wrapText="1"/>
    </xf>
    <xf numFmtId="4" fontId="83" fillId="2" borderId="0" xfId="0" applyNumberFormat="1" applyFont="1" applyFill="1" applyAlignment="1">
      <alignment horizontal="center" vertical="center" wrapText="1"/>
    </xf>
    <xf numFmtId="165" fontId="84" fillId="3" borderId="17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0" fontId="0" fillId="2" borderId="4" xfId="0" applyFill="1" applyBorder="1" applyAlignment="1">
      <alignment horizontal="center" wrapText="1"/>
    </xf>
    <xf numFmtId="0" fontId="85" fillId="2" borderId="7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86" fillId="2" borderId="1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165" fontId="88" fillId="2" borderId="17" xfId="0" applyNumberFormat="1" applyFont="1" applyFill="1" applyBorder="1" applyAlignment="1">
      <alignment horizontal="center" vertical="center" wrapText="1"/>
    </xf>
    <xf numFmtId="4" fontId="89" fillId="2" borderId="15" xfId="0" applyNumberFormat="1" applyFont="1" applyFill="1" applyBorder="1" applyAlignment="1">
      <alignment horizontal="center" vertical="center" wrapText="1"/>
    </xf>
    <xf numFmtId="3" fontId="90" fillId="2" borderId="0" xfId="0" applyNumberFormat="1" applyFont="1" applyFill="1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166" fontId="91" fillId="2" borderId="7" xfId="0" applyNumberFormat="1" applyFont="1" applyFill="1" applyBorder="1" applyAlignment="1">
      <alignment horizontal="center" vertical="center" wrapText="1"/>
    </xf>
    <xf numFmtId="4" fontId="92" fillId="2" borderId="30" xfId="0" applyNumberFormat="1" applyFont="1" applyFill="1" applyBorder="1" applyAlignment="1">
      <alignment horizontal="center" vertical="center" wrapText="1"/>
    </xf>
    <xf numFmtId="0" fontId="93" fillId="2" borderId="0" xfId="0" applyFont="1" applyFill="1" applyAlignment="1">
      <alignment horizontal="center" wrapText="1"/>
    </xf>
    <xf numFmtId="0" fontId="94" fillId="2" borderId="0" xfId="0" applyFont="1" applyFill="1" applyAlignment="1">
      <alignment horizontal="center" vertical="center" wrapText="1"/>
    </xf>
    <xf numFmtId="4" fontId="95" fillId="2" borderId="0" xfId="0" applyNumberFormat="1" applyFont="1" applyFill="1" applyAlignment="1">
      <alignment horizontal="center" vertical="center" wrapText="1"/>
    </xf>
    <xf numFmtId="0" fontId="96" fillId="2" borderId="13" xfId="0" applyFont="1" applyFill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97" fillId="2" borderId="22" xfId="0" applyFont="1" applyFill="1" applyBorder="1" applyAlignment="1">
      <alignment horizontal="center" vertical="center" wrapText="1"/>
    </xf>
    <xf numFmtId="0" fontId="98" fillId="2" borderId="17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" fontId="99" fillId="0" borderId="4" xfId="0" applyNumberFormat="1" applyFont="1" applyBorder="1" applyAlignment="1">
      <alignment horizontal="center" vertical="center" wrapText="1"/>
    </xf>
    <xf numFmtId="0" fontId="100" fillId="2" borderId="4" xfId="0" applyFont="1" applyFill="1" applyBorder="1" applyAlignment="1">
      <alignment horizontal="center" vertical="center" wrapText="1"/>
    </xf>
    <xf numFmtId="4" fontId="101" fillId="2" borderId="0" xfId="0" applyNumberFormat="1" applyFont="1" applyFill="1" applyAlignment="1">
      <alignment horizontal="center" vertical="center" wrapText="1"/>
    </xf>
    <xf numFmtId="4" fontId="102" fillId="3" borderId="7" xfId="0" applyNumberFormat="1" applyFont="1" applyFill="1" applyBorder="1" applyAlignment="1">
      <alignment horizontal="center" vertical="center" wrapText="1"/>
    </xf>
    <xf numFmtId="165" fontId="103" fillId="3" borderId="17" xfId="0" applyNumberFormat="1" applyFont="1" applyFill="1" applyBorder="1" applyAlignment="1">
      <alignment horizontal="center" vertical="center" wrapText="1"/>
    </xf>
    <xf numFmtId="164" fontId="104" fillId="2" borderId="0" xfId="0" applyNumberFormat="1" applyFont="1" applyFill="1" applyAlignment="1">
      <alignment horizontal="center" vertical="center" wrapText="1"/>
    </xf>
    <xf numFmtId="164" fontId="105" fillId="2" borderId="22" xfId="0" applyNumberFormat="1" applyFont="1" applyFill="1" applyBorder="1" applyAlignment="1">
      <alignment horizontal="center" vertical="center" wrapText="1"/>
    </xf>
    <xf numFmtId="4" fontId="0" fillId="2" borderId="8" xfId="0" applyNumberFormat="1" applyFill="1" applyBorder="1" applyAlignment="1">
      <alignment horizontal="center" wrapText="1"/>
    </xf>
    <xf numFmtId="4" fontId="0" fillId="2" borderId="4" xfId="0" applyNumberFormat="1" applyFill="1" applyBorder="1" applyAlignment="1">
      <alignment horizontal="center" vertical="center" wrapText="1"/>
    </xf>
    <xf numFmtId="165" fontId="0" fillId="3" borderId="17" xfId="0" applyNumberFormat="1" applyFill="1" applyBorder="1" applyAlignment="1">
      <alignment horizontal="center" vertical="center" wrapText="1"/>
    </xf>
    <xf numFmtId="4" fontId="106" fillId="2" borderId="22" xfId="0" applyNumberFormat="1" applyFont="1" applyFill="1" applyBorder="1" applyAlignment="1">
      <alignment horizontal="center" vertical="center" wrapText="1"/>
    </xf>
    <xf numFmtId="4" fontId="0" fillId="3" borderId="0" xfId="0" applyNumberFormat="1" applyFill="1" applyAlignment="1">
      <alignment wrapText="1"/>
    </xf>
    <xf numFmtId="0" fontId="107" fillId="2" borderId="7" xfId="0" applyFont="1" applyFill="1" applyBorder="1" applyAlignment="1">
      <alignment horizontal="center" vertical="center" wrapText="1"/>
    </xf>
    <xf numFmtId="0" fontId="108" fillId="3" borderId="8" xfId="0" applyFont="1" applyFill="1" applyBorder="1" applyAlignment="1">
      <alignment horizontal="center" vertical="center" wrapText="1"/>
    </xf>
    <xf numFmtId="0" fontId="109" fillId="2" borderId="4" xfId="0" applyFont="1" applyFill="1" applyBorder="1" applyAlignment="1">
      <alignment horizontal="center" vertical="center" wrapText="1"/>
    </xf>
    <xf numFmtId="4" fontId="110" fillId="2" borderId="8" xfId="0" applyNumberFormat="1" applyFont="1" applyFill="1" applyBorder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12" fillId="2" borderId="7" xfId="0" applyFont="1" applyFill="1" applyBorder="1" applyAlignment="1">
      <alignment horizontal="center" vertical="center" wrapText="1"/>
    </xf>
    <xf numFmtId="3" fontId="113" fillId="2" borderId="15" xfId="0" applyNumberFormat="1" applyFont="1" applyFill="1" applyBorder="1" applyAlignment="1">
      <alignment horizontal="center" vertical="center" wrapText="1"/>
    </xf>
    <xf numFmtId="0" fontId="114" fillId="2" borderId="4" xfId="0" applyFont="1" applyFill="1" applyBorder="1" applyAlignment="1">
      <alignment horizontal="center" vertical="center" wrapText="1"/>
    </xf>
    <xf numFmtId="0" fontId="115" fillId="2" borderId="3" xfId="0" applyFont="1" applyFill="1" applyBorder="1" applyAlignment="1">
      <alignment horizontal="center" vertical="center" wrapText="1"/>
    </xf>
    <xf numFmtId="165" fontId="116" fillId="3" borderId="17" xfId="0" applyNumberFormat="1" applyFont="1" applyFill="1" applyBorder="1" applyAlignment="1">
      <alignment horizontal="center" vertical="center" wrapText="1"/>
    </xf>
    <xf numFmtId="0" fontId="117" fillId="3" borderId="7" xfId="0" applyFont="1" applyFill="1" applyBorder="1" applyAlignment="1">
      <alignment horizontal="center" vertical="center" wrapText="1"/>
    </xf>
    <xf numFmtId="3" fontId="118" fillId="2" borderId="0" xfId="0" applyNumberFormat="1" applyFont="1" applyFill="1" applyAlignment="1">
      <alignment horizontal="center" vertical="center" wrapText="1"/>
    </xf>
    <xf numFmtId="0" fontId="119" fillId="3" borderId="7" xfId="0" applyFont="1" applyFill="1" applyBorder="1" applyAlignment="1">
      <alignment horizontal="center" vertical="center" wrapText="1"/>
    </xf>
    <xf numFmtId="4" fontId="120" fillId="2" borderId="4" xfId="0" applyNumberFormat="1" applyFont="1" applyFill="1" applyBorder="1" applyAlignment="1">
      <alignment horizontal="center" vertical="center" wrapText="1"/>
    </xf>
    <xf numFmtId="165" fontId="121" fillId="2" borderId="22" xfId="0" applyNumberFormat="1" applyFont="1" applyFill="1" applyBorder="1" applyAlignment="1">
      <alignment horizontal="center" vertical="center" wrapText="1"/>
    </xf>
    <xf numFmtId="164" fontId="122" fillId="3" borderId="0" xfId="0" applyNumberFormat="1" applyFont="1" applyFill="1" applyAlignment="1">
      <alignment horizontal="center" vertical="center" wrapText="1"/>
    </xf>
    <xf numFmtId="0" fontId="123" fillId="2" borderId="0" xfId="0" applyFont="1" applyFill="1" applyAlignment="1">
      <alignment horizontal="center" vertical="center" wrapText="1"/>
    </xf>
    <xf numFmtId="4" fontId="124" fillId="3" borderId="0" xfId="0" applyNumberFormat="1" applyFont="1" applyFill="1" applyAlignment="1">
      <alignment horizontal="center" vertical="center" wrapText="1"/>
    </xf>
    <xf numFmtId="166" fontId="125" fillId="2" borderId="7" xfId="0" applyNumberFormat="1" applyFont="1" applyFill="1" applyBorder="1" applyAlignment="1">
      <alignment horizontal="center" vertical="center" wrapText="1"/>
    </xf>
    <xf numFmtId="4" fontId="126" fillId="2" borderId="0" xfId="0" applyNumberFormat="1" applyFont="1" applyFill="1" applyAlignment="1">
      <alignment wrapText="1"/>
    </xf>
    <xf numFmtId="4" fontId="0" fillId="2" borderId="23" xfId="0" applyNumberFormat="1" applyFill="1" applyBorder="1" applyAlignment="1">
      <alignment horizontal="center" vertical="center" wrapText="1"/>
    </xf>
    <xf numFmtId="4" fontId="127" fillId="3" borderId="4" xfId="0" applyNumberFormat="1" applyFont="1" applyFill="1" applyBorder="1" applyAlignment="1">
      <alignment horizontal="center" vertical="center" wrapText="1"/>
    </xf>
    <xf numFmtId="0" fontId="128" fillId="2" borderId="7" xfId="0" applyFont="1" applyFill="1" applyBorder="1" applyAlignment="1">
      <alignment horizontal="center" vertical="center" wrapText="1"/>
    </xf>
    <xf numFmtId="0" fontId="129" fillId="2" borderId="0" xfId="0" applyFont="1" applyFill="1" applyAlignment="1">
      <alignment horizontal="center" vertical="center" wrapText="1"/>
    </xf>
    <xf numFmtId="0" fontId="130" fillId="2" borderId="3" xfId="0" applyFont="1" applyFill="1" applyBorder="1" applyAlignment="1">
      <alignment horizontal="center" vertical="center" wrapText="1"/>
    </xf>
    <xf numFmtId="0" fontId="131" fillId="2" borderId="17" xfId="0" applyFont="1" applyFill="1" applyBorder="1" applyAlignment="1">
      <alignment horizontal="center" vertical="center" wrapText="1"/>
    </xf>
    <xf numFmtId="3" fontId="132" fillId="2" borderId="0" xfId="0" applyNumberFormat="1" applyFont="1" applyFill="1" applyAlignment="1">
      <alignment horizontal="center" vertical="center" wrapText="1"/>
    </xf>
    <xf numFmtId="4" fontId="0" fillId="2" borderId="7" xfId="0" applyNumberFormat="1" applyFill="1" applyBorder="1" applyAlignment="1">
      <alignment horizontal="center" vertical="center" wrapText="1"/>
    </xf>
    <xf numFmtId="0" fontId="133" fillId="2" borderId="22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4" fontId="134" fillId="2" borderId="7" xfId="0" applyNumberFormat="1" applyFont="1" applyFill="1" applyBorder="1" applyAlignment="1">
      <alignment horizontal="center" vertical="center" wrapText="1"/>
    </xf>
    <xf numFmtId="4" fontId="135" fillId="2" borderId="8" xfId="0" applyNumberFormat="1" applyFont="1" applyFill="1" applyBorder="1" applyAlignment="1">
      <alignment horizontal="center" vertical="center" wrapText="1"/>
    </xf>
    <xf numFmtId="4" fontId="0" fillId="2" borderId="8" xfId="0" applyNumberFormat="1" applyFill="1" applyBorder="1" applyAlignment="1">
      <alignment horizontal="center" vertical="center" wrapText="1"/>
    </xf>
    <xf numFmtId="164" fontId="136" fillId="2" borderId="0" xfId="0" applyNumberFormat="1" applyFont="1" applyFill="1" applyAlignment="1">
      <alignment horizontal="center" vertical="center" wrapText="1"/>
    </xf>
    <xf numFmtId="166" fontId="137" fillId="2" borderId="7" xfId="0" applyNumberFormat="1" applyFont="1" applyFill="1" applyBorder="1" applyAlignment="1">
      <alignment horizontal="center" vertical="center" wrapText="1"/>
    </xf>
    <xf numFmtId="4" fontId="138" fillId="2" borderId="27" xfId="0" applyNumberFormat="1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center" wrapText="1"/>
    </xf>
    <xf numFmtId="0" fontId="140" fillId="2" borderId="0" xfId="0" applyFont="1" applyFill="1" applyAlignment="1">
      <alignment horizontal="center" vertical="center" wrapText="1"/>
    </xf>
    <xf numFmtId="0" fontId="141" fillId="2" borderId="15" xfId="0" applyFont="1" applyFill="1" applyBorder="1" applyAlignment="1">
      <alignment horizontal="center" vertical="center" wrapText="1"/>
    </xf>
    <xf numFmtId="166" fontId="0" fillId="2" borderId="0" xfId="0" applyNumberFormat="1" applyFill="1" applyAlignment="1">
      <alignment wrapText="1"/>
    </xf>
    <xf numFmtId="4" fontId="142" fillId="2" borderId="7" xfId="0" applyNumberFormat="1" applyFont="1" applyFill="1" applyBorder="1" applyAlignment="1">
      <alignment horizontal="center" vertical="center" wrapText="1"/>
    </xf>
    <xf numFmtId="4" fontId="143" fillId="2" borderId="8" xfId="0" applyNumberFormat="1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144" fillId="2" borderId="0" xfId="0" applyFont="1" applyFill="1" applyAlignment="1">
      <alignment horizontal="center" wrapText="1"/>
    </xf>
    <xf numFmtId="4" fontId="145" fillId="2" borderId="7" xfId="0" applyNumberFormat="1" applyFont="1" applyFill="1" applyBorder="1" applyAlignment="1">
      <alignment horizontal="center" vertical="center" wrapText="1"/>
    </xf>
    <xf numFmtId="0" fontId="146" fillId="2" borderId="0" xfId="0" applyFont="1" applyFill="1" applyAlignment="1">
      <alignment horizontal="center" vertical="center" wrapText="1"/>
    </xf>
    <xf numFmtId="0" fontId="147" fillId="2" borderId="0" xfId="0" applyFont="1" applyFill="1" applyAlignment="1">
      <alignment horizontal="center" vertical="center" wrapText="1"/>
    </xf>
    <xf numFmtId="3" fontId="148" fillId="2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4" fontId="149" fillId="2" borderId="26" xfId="0" applyNumberFormat="1" applyFont="1" applyFill="1" applyBorder="1" applyAlignment="1">
      <alignment horizontal="center" vertical="center" wrapText="1"/>
    </xf>
    <xf numFmtId="0" fontId="150" fillId="2" borderId="4" xfId="0" applyFont="1" applyFill="1" applyBorder="1" applyAlignment="1">
      <alignment horizontal="center" vertical="center" wrapText="1"/>
    </xf>
    <xf numFmtId="4" fontId="0" fillId="2" borderId="13" xfId="0" applyNumberFormat="1" applyFill="1" applyBorder="1" applyAlignment="1">
      <alignment horizontal="center" vertical="center" wrapText="1"/>
    </xf>
    <xf numFmtId="4" fontId="151" fillId="2" borderId="7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166" fontId="0" fillId="2" borderId="29" xfId="0" applyNumberFormat="1" applyFill="1" applyBorder="1" applyAlignment="1">
      <alignment horizontal="center" vertical="center" wrapText="1"/>
    </xf>
    <xf numFmtId="165" fontId="152" fillId="2" borderId="17" xfId="0" applyNumberFormat="1" applyFont="1" applyFill="1" applyBorder="1" applyAlignment="1">
      <alignment horizontal="center" vertical="center" wrapText="1"/>
    </xf>
    <xf numFmtId="0" fontId="153" fillId="2" borderId="8" xfId="0" applyFont="1" applyFill="1" applyBorder="1" applyAlignment="1">
      <alignment horizontal="center" vertical="center" wrapText="1"/>
    </xf>
    <xf numFmtId="164" fontId="154" fillId="2" borderId="0" xfId="0" applyNumberFormat="1" applyFont="1" applyFill="1" applyAlignment="1">
      <alignment horizontal="center" vertical="center" wrapText="1"/>
    </xf>
    <xf numFmtId="4" fontId="155" fillId="2" borderId="0" xfId="0" applyNumberFormat="1" applyFont="1" applyFill="1" applyAlignment="1">
      <alignment horizontal="center" vertical="center" wrapText="1"/>
    </xf>
    <xf numFmtId="0" fontId="156" fillId="2" borderId="0" xfId="0" applyFont="1" applyFill="1" applyAlignment="1">
      <alignment horizontal="center" wrapText="1"/>
    </xf>
    <xf numFmtId="166" fontId="0" fillId="3" borderId="7" xfId="0" applyNumberFormat="1" applyFill="1" applyBorder="1" applyAlignment="1">
      <alignment horizontal="center" vertical="center" wrapText="1"/>
    </xf>
    <xf numFmtId="0" fontId="157" fillId="2" borderId="22" xfId="0" applyFont="1" applyFill="1" applyBorder="1" applyAlignment="1">
      <alignment horizontal="center" vertical="center" wrapText="1"/>
    </xf>
    <xf numFmtId="4" fontId="158" fillId="2" borderId="4" xfId="0" applyNumberFormat="1" applyFont="1" applyFill="1" applyBorder="1" applyAlignment="1">
      <alignment horizontal="center" vertical="center" wrapText="1"/>
    </xf>
    <xf numFmtId="0" fontId="159" fillId="2" borderId="3" xfId="0" applyFont="1" applyFill="1" applyBorder="1" applyAlignment="1">
      <alignment horizontal="center" wrapText="1"/>
    </xf>
    <xf numFmtId="4" fontId="0" fillId="2" borderId="2" xfId="0" applyNumberFormat="1" applyFill="1" applyBorder="1" applyAlignment="1">
      <alignment horizontal="center" vertical="center" wrapText="1"/>
    </xf>
    <xf numFmtId="165" fontId="160" fillId="2" borderId="11" xfId="0" applyNumberFormat="1" applyFont="1" applyFill="1" applyBorder="1" applyAlignment="1">
      <alignment horizontal="center" vertical="center" wrapText="1"/>
    </xf>
    <xf numFmtId="4" fontId="161" fillId="2" borderId="0" xfId="0" applyNumberFormat="1" applyFont="1" applyFill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4" fontId="162" fillId="0" borderId="0" xfId="0" applyNumberFormat="1" applyFont="1" applyAlignment="1">
      <alignment wrapText="1"/>
    </xf>
    <xf numFmtId="165" fontId="0" fillId="2" borderId="7" xfId="0" applyNumberFormat="1" applyFill="1" applyBorder="1" applyAlignment="1">
      <alignment horizontal="center" wrapText="1"/>
    </xf>
    <xf numFmtId="165" fontId="0" fillId="2" borderId="33" xfId="0" applyNumberFormat="1" applyFill="1" applyBorder="1" applyAlignment="1">
      <alignment horizontal="center" vertical="center" wrapText="1"/>
    </xf>
    <xf numFmtId="168" fontId="0" fillId="0" borderId="0" xfId="0" applyNumberFormat="1" applyAlignment="1">
      <alignment wrapText="1"/>
    </xf>
    <xf numFmtId="167" fontId="0" fillId="0" borderId="21" xfId="0" applyNumberFormat="1" applyBorder="1" applyAlignment="1">
      <alignment wrapText="1"/>
    </xf>
    <xf numFmtId="166" fontId="0" fillId="2" borderId="30" xfId="0" applyNumberFormat="1" applyFill="1" applyBorder="1" applyAlignment="1">
      <alignment horizontal="center" vertical="center" wrapText="1"/>
    </xf>
    <xf numFmtId="165" fontId="163" fillId="2" borderId="22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" fontId="165" fillId="2" borderId="0" xfId="0" applyNumberFormat="1" applyFont="1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3" fontId="166" fillId="2" borderId="3" xfId="0" applyNumberFormat="1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wrapText="1"/>
    </xf>
    <xf numFmtId="0" fontId="0" fillId="2" borderId="17" xfId="0" applyFill="1" applyBorder="1" applyAlignment="1">
      <alignment horizontal="center" wrapText="1"/>
    </xf>
    <xf numFmtId="0" fontId="167" fillId="0" borderId="0" xfId="0" applyFont="1" applyAlignment="1">
      <alignment horizontal="center" vertical="center" wrapText="1"/>
    </xf>
    <xf numFmtId="0" fontId="168" fillId="2" borderId="0" xfId="0" applyFont="1" applyFill="1" applyAlignment="1">
      <alignment wrapText="1"/>
    </xf>
    <xf numFmtId="164" fontId="169" fillId="2" borderId="22" xfId="0" applyNumberFormat="1" applyFont="1" applyFill="1" applyBorder="1" applyAlignment="1">
      <alignment horizontal="center" vertical="center" wrapText="1"/>
    </xf>
    <xf numFmtId="165" fontId="170" fillId="2" borderId="34" xfId="0" applyNumberFormat="1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6" fontId="0" fillId="0" borderId="0" xfId="0" applyNumberFormat="1" applyAlignment="1">
      <alignment wrapText="1"/>
    </xf>
    <xf numFmtId="0" fontId="171" fillId="3" borderId="0" xfId="0" applyFont="1" applyFill="1" applyAlignment="1">
      <alignment horizontal="center" wrapText="1"/>
    </xf>
    <xf numFmtId="4" fontId="0" fillId="2" borderId="30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4" fontId="172" fillId="3" borderId="4" xfId="0" applyNumberFormat="1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73" fillId="2" borderId="6" xfId="0" applyFont="1" applyFill="1" applyBorder="1" applyAlignment="1">
      <alignment horizontal="center" vertical="center" wrapText="1"/>
    </xf>
    <xf numFmtId="4" fontId="174" fillId="2" borderId="8" xfId="0" applyNumberFormat="1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wrapText="1"/>
    </xf>
    <xf numFmtId="4" fontId="175" fillId="2" borderId="7" xfId="0" applyNumberFormat="1" applyFont="1" applyFill="1" applyBorder="1" applyAlignment="1">
      <alignment horizontal="center" vertical="center" wrapText="1"/>
    </xf>
    <xf numFmtId="166" fontId="0" fillId="2" borderId="2" xfId="0" applyNumberFormat="1" applyFill="1" applyBorder="1" applyAlignment="1">
      <alignment horizontal="center" vertical="center" wrapText="1"/>
    </xf>
    <xf numFmtId="0" fontId="176" fillId="2" borderId="0" xfId="0" applyFont="1" applyFill="1" applyAlignment="1">
      <alignment horizontal="center" vertical="center" wrapText="1"/>
    </xf>
    <xf numFmtId="0" fontId="177" fillId="2" borderId="0" xfId="0" applyFont="1" applyFill="1" applyAlignment="1">
      <alignment horizontal="center" vertical="center" wrapText="1"/>
    </xf>
    <xf numFmtId="0" fontId="178" fillId="2" borderId="7" xfId="0" applyFon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center" vertical="center" wrapText="1"/>
    </xf>
    <xf numFmtId="4" fontId="179" fillId="2" borderId="0" xfId="0" applyNumberFormat="1" applyFont="1" applyFill="1" applyAlignment="1">
      <alignment horizontal="center" vertical="center" wrapText="1"/>
    </xf>
    <xf numFmtId="4" fontId="0" fillId="2" borderId="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0" fillId="3" borderId="7" xfId="0" applyNumberFormat="1" applyFill="1" applyBorder="1" applyAlignment="1">
      <alignment horizontal="center" wrapText="1"/>
    </xf>
    <xf numFmtId="166" fontId="180" fillId="3" borderId="7" xfId="0" applyNumberFormat="1" applyFont="1" applyFill="1" applyBorder="1" applyAlignment="1">
      <alignment horizontal="center" vertical="center" wrapText="1"/>
    </xf>
    <xf numFmtId="0" fontId="181" fillId="3" borderId="4" xfId="0" applyFont="1" applyFill="1" applyBorder="1" applyAlignment="1">
      <alignment horizontal="center" vertical="center" wrapText="1"/>
    </xf>
    <xf numFmtId="165" fontId="182" fillId="2" borderId="17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83" fillId="2" borderId="4" xfId="0" applyFont="1" applyFill="1" applyBorder="1" applyAlignment="1">
      <alignment horizontal="center" vertical="center" wrapText="1"/>
    </xf>
    <xf numFmtId="0" fontId="184" fillId="2" borderId="8" xfId="0" applyFont="1" applyFill="1" applyBorder="1" applyAlignment="1">
      <alignment horizontal="center" vertical="center" wrapText="1"/>
    </xf>
    <xf numFmtId="4" fontId="185" fillId="3" borderId="8" xfId="0" applyNumberFormat="1" applyFont="1" applyFill="1" applyBorder="1" applyAlignment="1">
      <alignment horizontal="center" vertical="center" wrapText="1"/>
    </xf>
    <xf numFmtId="4" fontId="186" fillId="3" borderId="4" xfId="0" applyNumberFormat="1" applyFont="1" applyFill="1" applyBorder="1" applyAlignment="1">
      <alignment horizontal="center" vertical="center" wrapText="1"/>
    </xf>
    <xf numFmtId="164" fontId="187" fillId="2" borderId="0" xfId="0" applyNumberFormat="1" applyFont="1" applyFill="1" applyAlignment="1">
      <alignment horizontal="center" vertical="center" wrapText="1"/>
    </xf>
    <xf numFmtId="4" fontId="188" fillId="0" borderId="4" xfId="0" applyNumberFormat="1" applyFont="1" applyBorder="1" applyAlignment="1">
      <alignment horizontal="center" vertical="center" wrapText="1"/>
    </xf>
    <xf numFmtId="4" fontId="0" fillId="3" borderId="4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wrapText="1"/>
    </xf>
    <xf numFmtId="10" fontId="0" fillId="2" borderId="0" xfId="0" applyNumberFormat="1" applyFill="1" applyAlignment="1">
      <alignment wrapText="1"/>
    </xf>
    <xf numFmtId="3" fontId="0" fillId="2" borderId="0" xfId="0" applyNumberFormat="1" applyFill="1" applyAlignment="1">
      <alignment horizontal="center" vertical="center" wrapText="1"/>
    </xf>
    <xf numFmtId="165" fontId="190" fillId="2" borderId="17" xfId="0" applyNumberFormat="1" applyFont="1" applyFill="1" applyBorder="1" applyAlignment="1">
      <alignment horizontal="center" vertical="center" wrapText="1"/>
    </xf>
    <xf numFmtId="3" fontId="191" fillId="2" borderId="0" xfId="0" applyNumberFormat="1" applyFont="1" applyFill="1" applyAlignment="1">
      <alignment horizontal="center" vertical="center" wrapText="1"/>
    </xf>
    <xf numFmtId="165" fontId="192" fillId="2" borderId="0" xfId="0" applyNumberFormat="1" applyFont="1" applyFill="1" applyAlignment="1">
      <alignment horizontal="center" vertical="center" wrapText="1"/>
    </xf>
    <xf numFmtId="4" fontId="193" fillId="2" borderId="15" xfId="0" applyNumberFormat="1" applyFont="1" applyFill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0" fontId="194" fillId="3" borderId="17" xfId="0" applyFont="1" applyFill="1" applyBorder="1" applyAlignment="1">
      <alignment horizontal="center" vertical="center" wrapText="1"/>
    </xf>
    <xf numFmtId="0" fontId="195" fillId="2" borderId="30" xfId="0" applyFont="1" applyFill="1" applyBorder="1" applyAlignment="1">
      <alignment horizontal="center" vertical="center" wrapText="1"/>
    </xf>
    <xf numFmtId="4" fontId="196" fillId="3" borderId="7" xfId="0" applyNumberFormat="1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64" fontId="197" fillId="2" borderId="0" xfId="0" applyNumberFormat="1" applyFont="1" applyFill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198" fillId="2" borderId="17" xfId="0" applyFon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4" fontId="199" fillId="3" borderId="7" xfId="0" applyNumberFormat="1" applyFont="1" applyFill="1" applyBorder="1" applyAlignment="1">
      <alignment horizontal="center" vertical="center" wrapText="1"/>
    </xf>
    <xf numFmtId="166" fontId="200" fillId="3" borderId="7" xfId="0" applyNumberFormat="1" applyFont="1" applyFill="1" applyBorder="1" applyAlignment="1">
      <alignment horizontal="center" vertical="center" wrapText="1"/>
    </xf>
    <xf numFmtId="0" fontId="201" fillId="2" borderId="11" xfId="0" applyFont="1" applyFill="1" applyBorder="1" applyAlignment="1">
      <alignment horizontal="center" vertical="center" wrapText="1"/>
    </xf>
    <xf numFmtId="4" fontId="202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6" fontId="0" fillId="2" borderId="32" xfId="0" applyNumberFormat="1" applyFill="1" applyBorder="1" applyAlignment="1">
      <alignment horizontal="center" vertical="center" wrapText="1"/>
    </xf>
    <xf numFmtId="0" fontId="203" fillId="2" borderId="22" xfId="0" applyFont="1" applyFill="1" applyBorder="1" applyAlignment="1">
      <alignment horizontal="center" vertical="center" wrapText="1"/>
    </xf>
    <xf numFmtId="164" fontId="204" fillId="2" borderId="3" xfId="0" applyNumberFormat="1" applyFont="1" applyFill="1" applyBorder="1" applyAlignment="1">
      <alignment horizontal="center" vertical="center" wrapText="1"/>
    </xf>
    <xf numFmtId="4" fontId="205" fillId="2" borderId="6" xfId="0" applyNumberFormat="1" applyFont="1" applyFill="1" applyBorder="1" applyAlignment="1">
      <alignment horizontal="center" vertical="center" wrapText="1"/>
    </xf>
    <xf numFmtId="0" fontId="206" fillId="2" borderId="17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" fontId="207" fillId="2" borderId="3" xfId="0" applyNumberFormat="1" applyFont="1" applyFill="1" applyBorder="1" applyAlignment="1">
      <alignment horizontal="center" vertical="center" wrapText="1"/>
    </xf>
    <xf numFmtId="0" fontId="209" fillId="2" borderId="0" xfId="0" applyFont="1" applyFill="1" applyAlignment="1">
      <alignment horizontal="center" vertical="center" wrapText="1"/>
    </xf>
    <xf numFmtId="0" fontId="210" fillId="2" borderId="27" xfId="0" applyFont="1" applyFill="1" applyBorder="1" applyAlignment="1">
      <alignment horizontal="center" vertical="center" wrapText="1"/>
    </xf>
    <xf numFmtId="0" fontId="211" fillId="2" borderId="3" xfId="0" applyFont="1" applyFill="1" applyBorder="1" applyAlignment="1">
      <alignment horizontal="center" vertical="center" wrapText="1"/>
    </xf>
    <xf numFmtId="0" fontId="212" fillId="0" borderId="0" xfId="0" applyFont="1" applyAlignment="1">
      <alignment horizontal="center" vertical="center" wrapText="1"/>
    </xf>
    <xf numFmtId="4" fontId="0" fillId="2" borderId="4" xfId="0" applyNumberFormat="1" applyFill="1" applyBorder="1" applyAlignment="1">
      <alignment horizontal="center" wrapText="1"/>
    </xf>
    <xf numFmtId="0" fontId="213" fillId="2" borderId="17" xfId="0" applyFont="1" applyFill="1" applyBorder="1" applyAlignment="1">
      <alignment horizontal="center" vertical="center" wrapText="1"/>
    </xf>
    <xf numFmtId="166" fontId="214" fillId="2" borderId="7" xfId="0" applyNumberFormat="1" applyFont="1" applyFill="1" applyBorder="1" applyAlignment="1">
      <alignment horizontal="center" vertical="center" wrapText="1"/>
    </xf>
    <xf numFmtId="165" fontId="215" fillId="0" borderId="0" xfId="0" applyNumberFormat="1" applyFont="1" applyAlignment="1">
      <alignment wrapText="1"/>
    </xf>
    <xf numFmtId="0" fontId="216" fillId="2" borderId="5" xfId="0" applyFont="1" applyFill="1" applyBorder="1" applyAlignment="1">
      <alignment horizontal="center" vertical="center" wrapText="1"/>
    </xf>
    <xf numFmtId="4" fontId="217" fillId="3" borderId="8" xfId="0" applyNumberFormat="1" applyFont="1" applyFill="1" applyBorder="1" applyAlignment="1">
      <alignment horizontal="center" vertical="center" wrapText="1"/>
    </xf>
    <xf numFmtId="165" fontId="218" fillId="3" borderId="0" xfId="0" applyNumberFormat="1" applyFont="1" applyFill="1" applyAlignment="1">
      <alignment horizontal="center" vertical="center" wrapText="1"/>
    </xf>
    <xf numFmtId="4" fontId="0" fillId="2" borderId="16" xfId="0" applyNumberFormat="1" applyFill="1" applyBorder="1" applyAlignment="1">
      <alignment horizontal="center" vertical="center" wrapText="1"/>
    </xf>
    <xf numFmtId="4" fontId="219" fillId="2" borderId="4" xfId="0" applyNumberFormat="1" applyFont="1" applyFill="1" applyBorder="1" applyAlignment="1">
      <alignment horizontal="center" vertical="center" wrapText="1"/>
    </xf>
    <xf numFmtId="0" fontId="220" fillId="2" borderId="8" xfId="0" applyFont="1" applyFill="1" applyBorder="1" applyAlignment="1">
      <alignment horizontal="center" vertical="center" wrapText="1"/>
    </xf>
    <xf numFmtId="0" fontId="221" fillId="0" borderId="4" xfId="0" applyFont="1" applyBorder="1" applyAlignment="1">
      <alignment horizontal="center" vertical="center" wrapText="1"/>
    </xf>
    <xf numFmtId="0" fontId="222" fillId="2" borderId="7" xfId="0" applyFont="1" applyFill="1" applyBorder="1" applyAlignment="1">
      <alignment horizontal="center" vertical="center" wrapText="1"/>
    </xf>
    <xf numFmtId="4" fontId="223" fillId="2" borderId="0" xfId="0" applyNumberFormat="1" applyFont="1" applyFill="1" applyAlignment="1">
      <alignment horizontal="center" vertical="center" wrapText="1"/>
    </xf>
    <xf numFmtId="166" fontId="224" fillId="3" borderId="7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166" fontId="225" fillId="2" borderId="7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226" fillId="0" borderId="33" xfId="0" applyFont="1" applyBorder="1" applyAlignment="1">
      <alignment horizontal="center" vertical="center" wrapText="1"/>
    </xf>
    <xf numFmtId="0" fontId="227" fillId="2" borderId="0" xfId="0" applyFont="1" applyFill="1" applyAlignment="1">
      <alignment horizontal="center" wrapText="1"/>
    </xf>
    <xf numFmtId="0" fontId="0" fillId="2" borderId="26" xfId="0" applyFill="1" applyBorder="1" applyAlignment="1">
      <alignment horizontal="center" vertical="center" wrapText="1"/>
    </xf>
    <xf numFmtId="4" fontId="0" fillId="0" borderId="21" xfId="0" applyNumberFormat="1" applyBorder="1" applyAlignment="1">
      <alignment wrapText="1"/>
    </xf>
    <xf numFmtId="165" fontId="228" fillId="2" borderId="0" xfId="0" applyNumberFormat="1" applyFont="1" applyFill="1" applyAlignment="1">
      <alignment horizontal="center" vertical="center" wrapText="1"/>
    </xf>
    <xf numFmtId="0" fontId="229" fillId="0" borderId="5" xfId="0" applyFont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230" fillId="3" borderId="17" xfId="0" applyFont="1" applyFill="1" applyBorder="1" applyAlignment="1">
      <alignment horizontal="center" vertical="center" wrapText="1"/>
    </xf>
    <xf numFmtId="4" fontId="231" fillId="2" borderId="8" xfId="0" applyNumberFormat="1" applyFont="1" applyFill="1" applyBorder="1" applyAlignment="1">
      <alignment horizontal="center" vertical="center" wrapText="1"/>
    </xf>
    <xf numFmtId="0" fontId="232" fillId="2" borderId="4" xfId="0" applyFont="1" applyFill="1" applyBorder="1" applyAlignment="1">
      <alignment horizontal="center" vertical="center" wrapText="1"/>
    </xf>
    <xf numFmtId="4" fontId="233" fillId="2" borderId="4" xfId="0" applyNumberFormat="1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 wrapText="1"/>
    </xf>
    <xf numFmtId="166" fontId="234" fillId="2" borderId="2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66" fontId="235" fillId="2" borderId="30" xfId="0" applyNumberFormat="1" applyFont="1" applyFill="1" applyBorder="1" applyAlignment="1">
      <alignment horizontal="center" vertical="center" wrapText="1"/>
    </xf>
    <xf numFmtId="0" fontId="236" fillId="0" borderId="0" xfId="0" applyFont="1" applyAlignment="1">
      <alignment wrapText="1"/>
    </xf>
    <xf numFmtId="4" fontId="0" fillId="2" borderId="17" xfId="0" applyNumberFormat="1" applyFill="1" applyBorder="1" applyAlignment="1">
      <alignment horizontal="center" vertical="center" wrapText="1"/>
    </xf>
    <xf numFmtId="165" fontId="0" fillId="2" borderId="0" xfId="0" applyNumberFormat="1" applyFill="1" applyAlignment="1">
      <alignment wrapText="1"/>
    </xf>
    <xf numFmtId="4" fontId="0" fillId="2" borderId="17" xfId="0" applyNumberFormat="1" applyFill="1" applyBorder="1" applyAlignment="1">
      <alignment horizontal="center" vertical="center" wrapText="1"/>
    </xf>
    <xf numFmtId="165" fontId="238" fillId="2" borderId="17" xfId="0" applyNumberFormat="1" applyFont="1" applyFill="1" applyBorder="1" applyAlignment="1">
      <alignment horizontal="center" vertical="center" wrapText="1"/>
    </xf>
    <xf numFmtId="3" fontId="239" fillId="2" borderId="22" xfId="0" applyNumberFormat="1" applyFont="1" applyFill="1" applyBorder="1" applyAlignment="1">
      <alignment horizontal="center" vertical="center" wrapText="1"/>
    </xf>
    <xf numFmtId="165" fontId="0" fillId="2" borderId="17" xfId="0" applyNumberFormat="1" applyFill="1" applyBorder="1" applyAlignment="1">
      <alignment horizontal="center" vertical="center" wrapText="1"/>
    </xf>
    <xf numFmtId="4" fontId="240" fillId="2" borderId="22" xfId="0" applyNumberFormat="1" applyFont="1" applyFill="1" applyBorder="1" applyAlignment="1">
      <alignment horizontal="center" vertical="center" wrapText="1"/>
    </xf>
    <xf numFmtId="0" fontId="241" fillId="3" borderId="0" xfId="0" applyFont="1" applyFill="1" applyAlignment="1">
      <alignment horizontal="center" wrapText="1"/>
    </xf>
    <xf numFmtId="4" fontId="242" fillId="2" borderId="4" xfId="0" applyNumberFormat="1" applyFont="1" applyFill="1" applyBorder="1" applyAlignment="1">
      <alignment horizontal="center" vertical="center" wrapText="1"/>
    </xf>
    <xf numFmtId="165" fontId="0" fillId="2" borderId="17" xfId="0" applyNumberFormat="1" applyFill="1" applyBorder="1" applyAlignment="1">
      <alignment horizontal="center"/>
    </xf>
    <xf numFmtId="4" fontId="243" fillId="2" borderId="34" xfId="0" applyNumberFormat="1" applyFont="1" applyFill="1" applyBorder="1" applyAlignment="1">
      <alignment horizontal="center" vertical="center" wrapText="1"/>
    </xf>
    <xf numFmtId="0" fontId="244" fillId="2" borderId="8" xfId="0" applyFont="1" applyFill="1" applyBorder="1" applyAlignment="1">
      <alignment horizontal="center" vertical="center" wrapText="1"/>
    </xf>
    <xf numFmtId="4" fontId="245" fillId="2" borderId="8" xfId="0" applyNumberFormat="1" applyFont="1" applyFill="1" applyBorder="1" applyAlignment="1">
      <alignment horizontal="center" vertical="center" wrapText="1"/>
    </xf>
    <xf numFmtId="0" fontId="246" fillId="2" borderId="0" xfId="0" applyFont="1" applyFill="1" applyAlignment="1">
      <alignment horizontal="center" vertical="center" wrapText="1"/>
    </xf>
    <xf numFmtId="0" fontId="248" fillId="2" borderId="6" xfId="0" applyFont="1" applyFill="1" applyBorder="1" applyAlignment="1">
      <alignment horizontal="center" vertical="center" wrapText="1"/>
    </xf>
    <xf numFmtId="4" fontId="249" fillId="2" borderId="39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250" fillId="2" borderId="22" xfId="0" applyFont="1" applyFill="1" applyBorder="1" applyAlignment="1">
      <alignment horizontal="center" wrapText="1"/>
    </xf>
    <xf numFmtId="4" fontId="251" fillId="2" borderId="4" xfId="0" applyNumberFormat="1" applyFont="1" applyFill="1" applyBorder="1" applyAlignment="1">
      <alignment horizontal="center" vertical="center" wrapText="1"/>
    </xf>
    <xf numFmtId="166" fontId="252" fillId="2" borderId="7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53" fillId="2" borderId="26" xfId="0" applyFont="1" applyFill="1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54" fillId="2" borderId="0" xfId="0" applyFont="1" applyFill="1" applyAlignment="1">
      <alignment horizontal="center" vertical="center" wrapText="1"/>
    </xf>
    <xf numFmtId="0" fontId="255" fillId="0" borderId="0" xfId="0" applyFont="1" applyAlignment="1">
      <alignment wrapText="1"/>
    </xf>
    <xf numFmtId="0" fontId="256" fillId="2" borderId="10" xfId="0" applyFont="1" applyFill="1" applyBorder="1" applyAlignment="1">
      <alignment horizontal="center" vertical="center" wrapText="1"/>
    </xf>
    <xf numFmtId="165" fontId="257" fillId="2" borderId="0" xfId="0" applyNumberFormat="1" applyFont="1" applyFill="1" applyAlignment="1">
      <alignment horizontal="center" vertical="center" wrapText="1"/>
    </xf>
    <xf numFmtId="3" fontId="258" fillId="3" borderId="0" xfId="0" applyNumberFormat="1" applyFont="1" applyFill="1" applyAlignment="1">
      <alignment horizontal="center" vertical="center" wrapText="1"/>
    </xf>
    <xf numFmtId="0" fontId="259" fillId="2" borderId="8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260" fillId="2" borderId="8" xfId="0" applyFont="1" applyFill="1" applyBorder="1" applyAlignment="1">
      <alignment horizontal="center" vertical="center" wrapText="1"/>
    </xf>
    <xf numFmtId="4" fontId="0" fillId="2" borderId="3" xfId="0" applyNumberFormat="1" applyFill="1" applyBorder="1" applyAlignment="1">
      <alignment horizontal="center" vertical="center" wrapText="1"/>
    </xf>
    <xf numFmtId="4" fontId="0" fillId="2" borderId="26" xfId="0" applyNumberFormat="1" applyFill="1" applyBorder="1" applyAlignment="1">
      <alignment horizontal="center" vertical="center" wrapText="1"/>
    </xf>
    <xf numFmtId="165" fontId="0" fillId="2" borderId="31" xfId="0" applyNumberFormat="1" applyFill="1" applyBorder="1" applyAlignment="1">
      <alignment horizontal="center" vertical="center" wrapText="1"/>
    </xf>
    <xf numFmtId="4" fontId="261" fillId="0" borderId="4" xfId="0" applyNumberFormat="1" applyFont="1" applyBorder="1" applyAlignment="1">
      <alignment horizontal="center" vertical="center" wrapText="1"/>
    </xf>
    <xf numFmtId="4" fontId="0" fillId="2" borderId="0" xfId="0" applyNumberFormat="1" applyFill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4" fontId="0" fillId="2" borderId="3" xfId="0" applyNumberFormat="1" applyFill="1" applyBorder="1" applyAlignment="1">
      <alignment horizontal="center" vertical="center" wrapText="1"/>
    </xf>
    <xf numFmtId="0" fontId="263" fillId="2" borderId="0" xfId="0" applyFont="1" applyFill="1" applyAlignment="1">
      <alignment horizontal="center" vertical="center" wrapText="1"/>
    </xf>
    <xf numFmtId="0" fontId="0" fillId="0" borderId="31" xfId="0" applyBorder="1" applyAlignment="1">
      <alignment wrapText="1"/>
    </xf>
    <xf numFmtId="0" fontId="264" fillId="2" borderId="26" xfId="0" applyFont="1" applyFill="1" applyBorder="1" applyAlignment="1">
      <alignment horizontal="center" vertical="center" wrapText="1"/>
    </xf>
    <xf numFmtId="0" fontId="265" fillId="2" borderId="0" xfId="0" applyFont="1" applyFill="1" applyAlignment="1">
      <alignment horizontal="center" vertical="center" wrapText="1"/>
    </xf>
    <xf numFmtId="0" fontId="266" fillId="2" borderId="8" xfId="0" applyFont="1" applyFill="1" applyBorder="1" applyAlignment="1">
      <alignment horizontal="center" vertical="center" wrapText="1"/>
    </xf>
    <xf numFmtId="165" fontId="267" fillId="2" borderId="0" xfId="0" applyNumberFormat="1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268" fillId="3" borderId="0" xfId="0" applyNumberFormat="1" applyFont="1" applyFill="1" applyAlignment="1">
      <alignment horizontal="center" vertical="center" wrapText="1"/>
    </xf>
    <xf numFmtId="4" fontId="269" fillId="2" borderId="8" xfId="0" applyNumberFormat="1" applyFont="1" applyFill="1" applyBorder="1" applyAlignment="1">
      <alignment horizontal="center" vertical="center" wrapText="1"/>
    </xf>
    <xf numFmtId="0" fontId="270" fillId="2" borderId="17" xfId="0" applyFont="1" applyFill="1" applyBorder="1" applyAlignment="1">
      <alignment horizontal="center" vertical="center" wrapText="1"/>
    </xf>
    <xf numFmtId="4" fontId="271" fillId="2" borderId="4" xfId="0" applyNumberFormat="1" applyFont="1" applyFill="1" applyBorder="1" applyAlignment="1">
      <alignment horizontal="center" vertical="center" wrapText="1"/>
    </xf>
    <xf numFmtId="4" fontId="272" fillId="2" borderId="2" xfId="0" applyNumberFormat="1" applyFont="1" applyFill="1" applyBorder="1" applyAlignment="1">
      <alignment horizontal="center" vertical="center" wrapText="1"/>
    </xf>
    <xf numFmtId="166" fontId="273" fillId="2" borderId="7" xfId="0" applyNumberFormat="1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horizontal="center" wrapText="1"/>
    </xf>
    <xf numFmtId="0" fontId="0" fillId="2" borderId="33" xfId="0" applyFill="1" applyBorder="1" applyAlignment="1">
      <alignment horizontal="center" vertical="center" wrapText="1"/>
    </xf>
    <xf numFmtId="0" fontId="274" fillId="2" borderId="17" xfId="0" applyFont="1" applyFill="1" applyBorder="1" applyAlignment="1">
      <alignment horizontal="center" vertical="center" wrapText="1"/>
    </xf>
    <xf numFmtId="4" fontId="0" fillId="2" borderId="37" xfId="0" applyNumberFormat="1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4" fontId="275" fillId="2" borderId="7" xfId="0" applyNumberFormat="1" applyFont="1" applyFill="1" applyBorder="1" applyAlignment="1">
      <alignment horizontal="center" vertical="center" wrapText="1"/>
    </xf>
    <xf numFmtId="4" fontId="276" fillId="2" borderId="5" xfId="0" applyNumberFormat="1" applyFont="1" applyFill="1" applyBorder="1" applyAlignment="1">
      <alignment horizontal="center" vertical="center" wrapText="1"/>
    </xf>
    <xf numFmtId="165" fontId="0" fillId="2" borderId="17" xfId="0" applyNumberFormat="1" applyFill="1" applyBorder="1" applyAlignment="1">
      <alignment horizontal="center" wrapText="1"/>
    </xf>
    <xf numFmtId="165" fontId="277" fillId="2" borderId="17" xfId="0" applyNumberFormat="1" applyFont="1" applyFill="1" applyBorder="1" applyAlignment="1">
      <alignment horizontal="center" vertical="center" wrapText="1"/>
    </xf>
    <xf numFmtId="4" fontId="278" fillId="3" borderId="8" xfId="0" applyNumberFormat="1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 wrapText="1"/>
    </xf>
    <xf numFmtId="0" fontId="208" fillId="2" borderId="36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237" fillId="2" borderId="9" xfId="0" applyFont="1" applyFill="1" applyBorder="1" applyAlignment="1">
      <alignment horizontal="center" vertical="center" wrapText="1"/>
    </xf>
    <xf numFmtId="165" fontId="67" fillId="2" borderId="15" xfId="0" applyNumberFormat="1" applyFont="1" applyFill="1" applyBorder="1" applyAlignment="1">
      <alignment horizontal="center" vertical="center" wrapText="1"/>
    </xf>
    <xf numFmtId="3" fontId="113" fillId="2" borderId="15" xfId="0" applyNumberFormat="1" applyFont="1" applyFill="1" applyBorder="1" applyAlignment="1">
      <alignment horizontal="center" vertical="center" wrapText="1"/>
    </xf>
    <xf numFmtId="4" fontId="193" fillId="2" borderId="15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vertical="center" wrapText="1"/>
    </xf>
    <xf numFmtId="3" fontId="247" fillId="2" borderId="38" xfId="0" applyNumberFormat="1" applyFont="1" applyFill="1" applyBorder="1" applyAlignment="1">
      <alignment horizontal="center" vertical="center" wrapText="1"/>
    </xf>
    <xf numFmtId="0" fontId="262" fillId="2" borderId="4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1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55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81" fillId="2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14" fillId="2" borderId="12" xfId="0" applyFon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64" fillId="2" borderId="33" xfId="0" applyFont="1" applyFill="1" applyBorder="1" applyAlignment="1">
      <alignment horizontal="center" vertical="center" wrapText="1"/>
    </xf>
    <xf numFmtId="0" fontId="96" fillId="2" borderId="13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165" fontId="189" fillId="2" borderId="35" xfId="0" applyNumberFormat="1" applyFont="1" applyFill="1" applyBorder="1" applyAlignment="1">
      <alignment horizontal="center" vertical="center"/>
    </xf>
    <xf numFmtId="4" fontId="0" fillId="2" borderId="15" xfId="0" applyNumberFormat="1" applyFill="1" applyBorder="1" applyAlignment="1">
      <alignment wrapText="1"/>
    </xf>
    <xf numFmtId="4" fontId="0" fillId="2" borderId="15" xfId="0" applyNumberFormat="1" applyFill="1" applyBorder="1" applyAlignment="1">
      <alignment horizontal="center" wrapText="1"/>
    </xf>
    <xf numFmtId="0" fontId="0" fillId="2" borderId="15" xfId="0" applyFill="1" applyBorder="1" applyAlignment="1">
      <alignment wrapText="1"/>
    </xf>
    <xf numFmtId="4" fontId="0" fillId="2" borderId="15" xfId="0" applyNumberFormat="1" applyFill="1" applyBorder="1" applyAlignment="1">
      <alignment horizontal="center" vertical="center" wrapText="1"/>
    </xf>
    <xf numFmtId="4" fontId="162" fillId="0" borderId="0" xfId="0" applyNumberFormat="1" applyFont="1" applyAlignment="1">
      <alignment wrapText="1"/>
    </xf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Deposition Rate vs Run #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strRef>
              <c:f>Charts!$G$2:$G$1400</c:f>
              <c:strCache>
                <c:ptCount val="1399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57-58</c:v>
                </c:pt>
                <c:pt idx="86">
                  <c:v>57-58</c:v>
                </c:pt>
                <c:pt idx="87">
                  <c:v>57-58</c:v>
                </c:pt>
                <c:pt idx="88">
                  <c:v>57-58</c:v>
                </c:pt>
                <c:pt idx="89">
                  <c:v>59-60</c:v>
                </c:pt>
                <c:pt idx="90">
                  <c:v>59-60</c:v>
                </c:pt>
                <c:pt idx="91">
                  <c:v>59-60</c:v>
                </c:pt>
                <c:pt idx="92">
                  <c:v>59-60</c:v>
                </c:pt>
                <c:pt idx="93">
                  <c:v>61-62</c:v>
                </c:pt>
                <c:pt idx="94">
                  <c:v>61-62</c:v>
                </c:pt>
                <c:pt idx="95">
                  <c:v>61-62</c:v>
                </c:pt>
                <c:pt idx="96">
                  <c:v>61-62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64-65</c:v>
                </c:pt>
                <c:pt idx="102">
                  <c:v>64-65</c:v>
                </c:pt>
                <c:pt idx="103">
                  <c:v>64-65</c:v>
                </c:pt>
                <c:pt idx="104">
                  <c:v>64-65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0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87</c:v>
                </c:pt>
                <c:pt idx="187">
                  <c:v>87</c:v>
                </c:pt>
                <c:pt idx="188">
                  <c:v>87</c:v>
                </c:pt>
                <c:pt idx="189">
                  <c:v>87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96-97</c:v>
                </c:pt>
                <c:pt idx="223">
                  <c:v>96-97</c:v>
                </c:pt>
                <c:pt idx="224">
                  <c:v>96-97</c:v>
                </c:pt>
                <c:pt idx="225">
                  <c:v>96-97</c:v>
                </c:pt>
                <c:pt idx="226">
                  <c:v>98-99</c:v>
                </c:pt>
                <c:pt idx="227">
                  <c:v>98-99</c:v>
                </c:pt>
                <c:pt idx="228">
                  <c:v>98-99</c:v>
                </c:pt>
                <c:pt idx="229">
                  <c:v>98-99</c:v>
                </c:pt>
                <c:pt idx="230">
                  <c:v>100-101</c:v>
                </c:pt>
                <c:pt idx="231">
                  <c:v>100-101</c:v>
                </c:pt>
                <c:pt idx="232">
                  <c:v>100-101</c:v>
                </c:pt>
                <c:pt idx="233">
                  <c:v>100-101</c:v>
                </c:pt>
                <c:pt idx="234">
                  <c:v>102-103</c:v>
                </c:pt>
                <c:pt idx="235">
                  <c:v>102-103</c:v>
                </c:pt>
                <c:pt idx="236">
                  <c:v>102-103</c:v>
                </c:pt>
                <c:pt idx="237">
                  <c:v>102-103</c:v>
                </c:pt>
                <c:pt idx="238">
                  <c:v>104-105</c:v>
                </c:pt>
                <c:pt idx="239">
                  <c:v>104-105</c:v>
                </c:pt>
                <c:pt idx="240">
                  <c:v>104-105</c:v>
                </c:pt>
                <c:pt idx="241">
                  <c:v>104-105</c:v>
                </c:pt>
                <c:pt idx="242">
                  <c:v>106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  <c:pt idx="246">
                  <c:v>107</c:v>
                </c:pt>
                <c:pt idx="247">
                  <c:v>107</c:v>
                </c:pt>
                <c:pt idx="248">
                  <c:v>107</c:v>
                </c:pt>
                <c:pt idx="249">
                  <c:v>107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111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113</c:v>
                </c:pt>
                <c:pt idx="271">
                  <c:v>113</c:v>
                </c:pt>
                <c:pt idx="272">
                  <c:v>113</c:v>
                </c:pt>
                <c:pt idx="273">
                  <c:v>113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116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117</c:v>
                </c:pt>
                <c:pt idx="287">
                  <c:v>117</c:v>
                </c:pt>
                <c:pt idx="288">
                  <c:v>117</c:v>
                </c:pt>
                <c:pt idx="289">
                  <c:v>117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119</c:v>
                </c:pt>
                <c:pt idx="295">
                  <c:v>119</c:v>
                </c:pt>
                <c:pt idx="296">
                  <c:v>119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126</c:v>
                </c:pt>
                <c:pt idx="323">
                  <c:v>126</c:v>
                </c:pt>
                <c:pt idx="324">
                  <c:v>127</c:v>
                </c:pt>
                <c:pt idx="325">
                  <c:v>127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130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0</c:v>
                </c:pt>
                <c:pt idx="338">
                  <c:v>0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136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141</c:v>
                </c:pt>
                <c:pt idx="363">
                  <c:v>141</c:v>
                </c:pt>
                <c:pt idx="364">
                  <c:v>141</c:v>
                </c:pt>
                <c:pt idx="365">
                  <c:v>142</c:v>
                </c:pt>
                <c:pt idx="366">
                  <c:v>142</c:v>
                </c:pt>
                <c:pt idx="367">
                  <c:v>142</c:v>
                </c:pt>
                <c:pt idx="368">
                  <c:v>142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146</c:v>
                </c:pt>
                <c:pt idx="381">
                  <c:v>146</c:v>
                </c:pt>
                <c:pt idx="382">
                  <c:v>146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149</c:v>
                </c:pt>
                <c:pt idx="392">
                  <c:v>149</c:v>
                </c:pt>
                <c:pt idx="393">
                  <c:v>149</c:v>
                </c:pt>
                <c:pt idx="394">
                  <c:v>149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151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153</c:v>
                </c:pt>
                <c:pt idx="407">
                  <c:v>153</c:v>
                </c:pt>
                <c:pt idx="408">
                  <c:v>153</c:v>
                </c:pt>
                <c:pt idx="409">
                  <c:v>153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154</c:v>
                </c:pt>
                <c:pt idx="414">
                  <c:v>155</c:v>
                </c:pt>
                <c:pt idx="415">
                  <c:v>155</c:v>
                </c:pt>
                <c:pt idx="416">
                  <c:v>155</c:v>
                </c:pt>
                <c:pt idx="417">
                  <c:v>155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165</c:v>
                </c:pt>
                <c:pt idx="427">
                  <c:v>165</c:v>
                </c:pt>
                <c:pt idx="428">
                  <c:v>165</c:v>
                </c:pt>
                <c:pt idx="429">
                  <c:v>165</c:v>
                </c:pt>
                <c:pt idx="430">
                  <c:v>166</c:v>
                </c:pt>
                <c:pt idx="431">
                  <c:v>166</c:v>
                </c:pt>
                <c:pt idx="432">
                  <c:v>166</c:v>
                </c:pt>
                <c:pt idx="433">
                  <c:v>166</c:v>
                </c:pt>
                <c:pt idx="434">
                  <c:v>167</c:v>
                </c:pt>
                <c:pt idx="435">
                  <c:v>167</c:v>
                </c:pt>
                <c:pt idx="436">
                  <c:v>167</c:v>
                </c:pt>
                <c:pt idx="437">
                  <c:v>167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169</c:v>
                </c:pt>
                <c:pt idx="443">
                  <c:v>169</c:v>
                </c:pt>
                <c:pt idx="444">
                  <c:v>169</c:v>
                </c:pt>
                <c:pt idx="445">
                  <c:v>169</c:v>
                </c:pt>
                <c:pt idx="446">
                  <c:v>170</c:v>
                </c:pt>
                <c:pt idx="447">
                  <c:v>170</c:v>
                </c:pt>
                <c:pt idx="448">
                  <c:v>170</c:v>
                </c:pt>
                <c:pt idx="449">
                  <c:v>170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138</c:v>
                </c:pt>
                <c:pt idx="458">
                  <c:v>172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173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174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177</c:v>
                </c:pt>
                <c:pt idx="476">
                  <c:v>177</c:v>
                </c:pt>
                <c:pt idx="477">
                  <c:v>177</c:v>
                </c:pt>
                <c:pt idx="478">
                  <c:v>177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181</c:v>
                </c:pt>
                <c:pt idx="484">
                  <c:v>181</c:v>
                </c:pt>
                <c:pt idx="485">
                  <c:v>181</c:v>
                </c:pt>
                <c:pt idx="486">
                  <c:v>181</c:v>
                </c:pt>
                <c:pt idx="487">
                  <c:v>182</c:v>
                </c:pt>
                <c:pt idx="488">
                  <c:v>182</c:v>
                </c:pt>
                <c:pt idx="489">
                  <c:v>182</c:v>
                </c:pt>
                <c:pt idx="490">
                  <c:v>182</c:v>
                </c:pt>
                <c:pt idx="491">
                  <c:v>183</c:v>
                </c:pt>
                <c:pt idx="492">
                  <c:v>183</c:v>
                </c:pt>
                <c:pt idx="493">
                  <c:v>183</c:v>
                </c:pt>
                <c:pt idx="494">
                  <c:v>183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185</c:v>
                </c:pt>
                <c:pt idx="500">
                  <c:v>185</c:v>
                </c:pt>
                <c:pt idx="501">
                  <c:v>185</c:v>
                </c:pt>
                <c:pt idx="502">
                  <c:v>185</c:v>
                </c:pt>
                <c:pt idx="503">
                  <c:v>186</c:v>
                </c:pt>
                <c:pt idx="504">
                  <c:v>186</c:v>
                </c:pt>
                <c:pt idx="505">
                  <c:v>186</c:v>
                </c:pt>
                <c:pt idx="506">
                  <c:v>186</c:v>
                </c:pt>
                <c:pt idx="507">
                  <c:v>187</c:v>
                </c:pt>
                <c:pt idx="508">
                  <c:v>187</c:v>
                </c:pt>
                <c:pt idx="509">
                  <c:v>187</c:v>
                </c:pt>
                <c:pt idx="510">
                  <c:v>187</c:v>
                </c:pt>
                <c:pt idx="511">
                  <c:v>188</c:v>
                </c:pt>
                <c:pt idx="512">
                  <c:v>188</c:v>
                </c:pt>
                <c:pt idx="513">
                  <c:v>188</c:v>
                </c:pt>
                <c:pt idx="514">
                  <c:v>188</c:v>
                </c:pt>
                <c:pt idx="515">
                  <c:v>189</c:v>
                </c:pt>
                <c:pt idx="516">
                  <c:v>189</c:v>
                </c:pt>
                <c:pt idx="517">
                  <c:v>189</c:v>
                </c:pt>
                <c:pt idx="518">
                  <c:v>189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192</c:v>
                </c:pt>
                <c:pt idx="528">
                  <c:v>192</c:v>
                </c:pt>
                <c:pt idx="529">
                  <c:v>192</c:v>
                </c:pt>
                <c:pt idx="530">
                  <c:v>192</c:v>
                </c:pt>
                <c:pt idx="531">
                  <c:v>193</c:v>
                </c:pt>
                <c:pt idx="532">
                  <c:v>193</c:v>
                </c:pt>
                <c:pt idx="533">
                  <c:v>193</c:v>
                </c:pt>
                <c:pt idx="534">
                  <c:v>193</c:v>
                </c:pt>
                <c:pt idx="535">
                  <c:v>194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195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196</c:v>
                </c:pt>
                <c:pt idx="544">
                  <c:v>196</c:v>
                </c:pt>
                <c:pt idx="545">
                  <c:v>196</c:v>
                </c:pt>
                <c:pt idx="546">
                  <c:v>196</c:v>
                </c:pt>
                <c:pt idx="547">
                  <c:v>197</c:v>
                </c:pt>
                <c:pt idx="548">
                  <c:v>197</c:v>
                </c:pt>
                <c:pt idx="549">
                  <c:v>197</c:v>
                </c:pt>
                <c:pt idx="550">
                  <c:v>197</c:v>
                </c:pt>
                <c:pt idx="551">
                  <c:v>198</c:v>
                </c:pt>
                <c:pt idx="552">
                  <c:v>198</c:v>
                </c:pt>
                <c:pt idx="553">
                  <c:v>198</c:v>
                </c:pt>
                <c:pt idx="554">
                  <c:v>198</c:v>
                </c:pt>
                <c:pt idx="555">
                  <c:v>199</c:v>
                </c:pt>
                <c:pt idx="556">
                  <c:v>199</c:v>
                </c:pt>
                <c:pt idx="557">
                  <c:v>199</c:v>
                </c:pt>
                <c:pt idx="558">
                  <c:v>199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211</c:v>
                </c:pt>
                <c:pt idx="580">
                  <c:v>211</c:v>
                </c:pt>
                <c:pt idx="581">
                  <c:v>211</c:v>
                </c:pt>
                <c:pt idx="582">
                  <c:v>211</c:v>
                </c:pt>
                <c:pt idx="583">
                  <c:v>212</c:v>
                </c:pt>
                <c:pt idx="584">
                  <c:v>212</c:v>
                </c:pt>
                <c:pt idx="585">
                  <c:v>212</c:v>
                </c:pt>
                <c:pt idx="586">
                  <c:v>212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216</c:v>
                </c:pt>
                <c:pt idx="596">
                  <c:v>216</c:v>
                </c:pt>
                <c:pt idx="597">
                  <c:v>216</c:v>
                </c:pt>
                <c:pt idx="598">
                  <c:v>216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218</c:v>
                </c:pt>
                <c:pt idx="604">
                  <c:v>218</c:v>
                </c:pt>
                <c:pt idx="605">
                  <c:v>218</c:v>
                </c:pt>
                <c:pt idx="606">
                  <c:v>218</c:v>
                </c:pt>
                <c:pt idx="607">
                  <c:v>219</c:v>
                </c:pt>
                <c:pt idx="608">
                  <c:v>219</c:v>
                </c:pt>
                <c:pt idx="609">
                  <c:v>219</c:v>
                </c:pt>
                <c:pt idx="610">
                  <c:v>219</c:v>
                </c:pt>
                <c:pt idx="611">
                  <c:v>220</c:v>
                </c:pt>
                <c:pt idx="612">
                  <c:v>220</c:v>
                </c:pt>
                <c:pt idx="613">
                  <c:v>220</c:v>
                </c:pt>
                <c:pt idx="614">
                  <c:v>220</c:v>
                </c:pt>
                <c:pt idx="615">
                  <c:v>221</c:v>
                </c:pt>
                <c:pt idx="616">
                  <c:v>221</c:v>
                </c:pt>
                <c:pt idx="617">
                  <c:v>221</c:v>
                </c:pt>
                <c:pt idx="618">
                  <c:v>221</c:v>
                </c:pt>
                <c:pt idx="619">
                  <c:v>222</c:v>
                </c:pt>
                <c:pt idx="620">
                  <c:v>222</c:v>
                </c:pt>
                <c:pt idx="621">
                  <c:v>222</c:v>
                </c:pt>
                <c:pt idx="622">
                  <c:v>222</c:v>
                </c:pt>
                <c:pt idx="623">
                  <c:v>223</c:v>
                </c:pt>
                <c:pt idx="624">
                  <c:v>223</c:v>
                </c:pt>
                <c:pt idx="625">
                  <c:v>223</c:v>
                </c:pt>
                <c:pt idx="626">
                  <c:v>223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228</c:v>
                </c:pt>
                <c:pt idx="632">
                  <c:v>228</c:v>
                </c:pt>
                <c:pt idx="633">
                  <c:v>228</c:v>
                </c:pt>
                <c:pt idx="634">
                  <c:v>228</c:v>
                </c:pt>
                <c:pt idx="635">
                  <c:v>229</c:v>
                </c:pt>
                <c:pt idx="636">
                  <c:v>229</c:v>
                </c:pt>
                <c:pt idx="637">
                  <c:v>229</c:v>
                </c:pt>
                <c:pt idx="638">
                  <c:v>229</c:v>
                </c:pt>
                <c:pt idx="639">
                  <c:v>230</c:v>
                </c:pt>
                <c:pt idx="640">
                  <c:v>230</c:v>
                </c:pt>
                <c:pt idx="641">
                  <c:v>230</c:v>
                </c:pt>
                <c:pt idx="642">
                  <c:v>230</c:v>
                </c:pt>
                <c:pt idx="643">
                  <c:v>231</c:v>
                </c:pt>
                <c:pt idx="644">
                  <c:v>231</c:v>
                </c:pt>
                <c:pt idx="645">
                  <c:v>231</c:v>
                </c:pt>
                <c:pt idx="646">
                  <c:v>231</c:v>
                </c:pt>
                <c:pt idx="647">
                  <c:v>232</c:v>
                </c:pt>
                <c:pt idx="648">
                  <c:v>232</c:v>
                </c:pt>
                <c:pt idx="649">
                  <c:v>232</c:v>
                </c:pt>
                <c:pt idx="650">
                  <c:v>232</c:v>
                </c:pt>
                <c:pt idx="651">
                  <c:v>233</c:v>
                </c:pt>
                <c:pt idx="652">
                  <c:v>233</c:v>
                </c:pt>
                <c:pt idx="653">
                  <c:v>233</c:v>
                </c:pt>
                <c:pt idx="654">
                  <c:v>233</c:v>
                </c:pt>
                <c:pt idx="655">
                  <c:v>234</c:v>
                </c:pt>
                <c:pt idx="656">
                  <c:v>234</c:v>
                </c:pt>
                <c:pt idx="657">
                  <c:v>234</c:v>
                </c:pt>
                <c:pt idx="658">
                  <c:v>234</c:v>
                </c:pt>
                <c:pt idx="659">
                  <c:v>235</c:v>
                </c:pt>
                <c:pt idx="660">
                  <c:v>235</c:v>
                </c:pt>
                <c:pt idx="661">
                  <c:v>235</c:v>
                </c:pt>
                <c:pt idx="662">
                  <c:v>235</c:v>
                </c:pt>
                <c:pt idx="663">
                  <c:v>236</c:v>
                </c:pt>
                <c:pt idx="664">
                  <c:v>236</c:v>
                </c:pt>
                <c:pt idx="665">
                  <c:v>236</c:v>
                </c:pt>
                <c:pt idx="666">
                  <c:v>236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244</c:v>
                </c:pt>
                <c:pt idx="672">
                  <c:v>244</c:v>
                </c:pt>
                <c:pt idx="673">
                  <c:v>244</c:v>
                </c:pt>
                <c:pt idx="674">
                  <c:v>244</c:v>
                </c:pt>
                <c:pt idx="675">
                  <c:v>245</c:v>
                </c:pt>
                <c:pt idx="676">
                  <c:v>245</c:v>
                </c:pt>
                <c:pt idx="677">
                  <c:v>245</c:v>
                </c:pt>
                <c:pt idx="678">
                  <c:v>245</c:v>
                </c:pt>
                <c:pt idx="679">
                  <c:v>246</c:v>
                </c:pt>
                <c:pt idx="680">
                  <c:v>246</c:v>
                </c:pt>
                <c:pt idx="681">
                  <c:v>246</c:v>
                </c:pt>
                <c:pt idx="682">
                  <c:v>246</c:v>
                </c:pt>
                <c:pt idx="683">
                  <c:v>247</c:v>
                </c:pt>
                <c:pt idx="684">
                  <c:v>247</c:v>
                </c:pt>
                <c:pt idx="685">
                  <c:v>247</c:v>
                </c:pt>
                <c:pt idx="686">
                  <c:v>247</c:v>
                </c:pt>
                <c:pt idx="687">
                  <c:v>249</c:v>
                </c:pt>
                <c:pt idx="688">
                  <c:v>249</c:v>
                </c:pt>
                <c:pt idx="689">
                  <c:v>249</c:v>
                </c:pt>
                <c:pt idx="690">
                  <c:v>249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251</c:v>
                </c:pt>
                <c:pt idx="696">
                  <c:v>251</c:v>
                </c:pt>
                <c:pt idx="697">
                  <c:v>251</c:v>
                </c:pt>
                <c:pt idx="698">
                  <c:v>251</c:v>
                </c:pt>
                <c:pt idx="699">
                  <c:v>252</c:v>
                </c:pt>
                <c:pt idx="700">
                  <c:v>252</c:v>
                </c:pt>
                <c:pt idx="701">
                  <c:v>252</c:v>
                </c:pt>
                <c:pt idx="702">
                  <c:v>252</c:v>
                </c:pt>
                <c:pt idx="703">
                  <c:v>257</c:v>
                </c:pt>
                <c:pt idx="704">
                  <c:v>257</c:v>
                </c:pt>
                <c:pt idx="705">
                  <c:v>257</c:v>
                </c:pt>
                <c:pt idx="706">
                  <c:v>257</c:v>
                </c:pt>
                <c:pt idx="707">
                  <c:v>258</c:v>
                </c:pt>
                <c:pt idx="708">
                  <c:v>258</c:v>
                </c:pt>
                <c:pt idx="709">
                  <c:v>258</c:v>
                </c:pt>
                <c:pt idx="710">
                  <c:v>258</c:v>
                </c:pt>
                <c:pt idx="711">
                  <c:v>259</c:v>
                </c:pt>
                <c:pt idx="712">
                  <c:v>259</c:v>
                </c:pt>
                <c:pt idx="713">
                  <c:v>259</c:v>
                </c:pt>
                <c:pt idx="714">
                  <c:v>260</c:v>
                </c:pt>
                <c:pt idx="715">
                  <c:v>260</c:v>
                </c:pt>
                <c:pt idx="716">
                  <c:v>261</c:v>
                </c:pt>
                <c:pt idx="717">
                  <c:v>261</c:v>
                </c:pt>
                <c:pt idx="718">
                  <c:v>261</c:v>
                </c:pt>
                <c:pt idx="719">
                  <c:v>262</c:v>
                </c:pt>
                <c:pt idx="720">
                  <c:v>262</c:v>
                </c:pt>
                <c:pt idx="721">
                  <c:v>262</c:v>
                </c:pt>
                <c:pt idx="722">
                  <c:v>262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265</c:v>
                </c:pt>
                <c:pt idx="727">
                  <c:v>266</c:v>
                </c:pt>
                <c:pt idx="728">
                  <c:v>266</c:v>
                </c:pt>
                <c:pt idx="729">
                  <c:v>266</c:v>
                </c:pt>
                <c:pt idx="730">
                  <c:v>266</c:v>
                </c:pt>
                <c:pt idx="731">
                  <c:v>267</c:v>
                </c:pt>
                <c:pt idx="732">
                  <c:v>267</c:v>
                </c:pt>
                <c:pt idx="733">
                  <c:v>267</c:v>
                </c:pt>
                <c:pt idx="734">
                  <c:v>267</c:v>
                </c:pt>
                <c:pt idx="735">
                  <c:v>268</c:v>
                </c:pt>
                <c:pt idx="736">
                  <c:v>268</c:v>
                </c:pt>
                <c:pt idx="737">
                  <c:v>268</c:v>
                </c:pt>
                <c:pt idx="738">
                  <c:v>268</c:v>
                </c:pt>
                <c:pt idx="739">
                  <c:v>269</c:v>
                </c:pt>
                <c:pt idx="740">
                  <c:v>269</c:v>
                </c:pt>
                <c:pt idx="741">
                  <c:v>269</c:v>
                </c:pt>
                <c:pt idx="742">
                  <c:v>269</c:v>
                </c:pt>
                <c:pt idx="743">
                  <c:v>270</c:v>
                </c:pt>
                <c:pt idx="744">
                  <c:v>270</c:v>
                </c:pt>
                <c:pt idx="745">
                  <c:v>270</c:v>
                </c:pt>
                <c:pt idx="746">
                  <c:v>270</c:v>
                </c:pt>
                <c:pt idx="747">
                  <c:v>271</c:v>
                </c:pt>
                <c:pt idx="748">
                  <c:v>271</c:v>
                </c:pt>
                <c:pt idx="749">
                  <c:v>271</c:v>
                </c:pt>
                <c:pt idx="750">
                  <c:v>271</c:v>
                </c:pt>
                <c:pt idx="751">
                  <c:v>274</c:v>
                </c:pt>
                <c:pt idx="752">
                  <c:v>274</c:v>
                </c:pt>
                <c:pt idx="753">
                  <c:v>274</c:v>
                </c:pt>
                <c:pt idx="754">
                  <c:v>274</c:v>
                </c:pt>
                <c:pt idx="755">
                  <c:v>275</c:v>
                </c:pt>
                <c:pt idx="756">
                  <c:v>275</c:v>
                </c:pt>
                <c:pt idx="757">
                  <c:v>275</c:v>
                </c:pt>
                <c:pt idx="758">
                  <c:v>275</c:v>
                </c:pt>
                <c:pt idx="759">
                  <c:v>276</c:v>
                </c:pt>
                <c:pt idx="760">
                  <c:v>276</c:v>
                </c:pt>
                <c:pt idx="761">
                  <c:v>276</c:v>
                </c:pt>
                <c:pt idx="762">
                  <c:v>276</c:v>
                </c:pt>
                <c:pt idx="763">
                  <c:v>277</c:v>
                </c:pt>
                <c:pt idx="764">
                  <c:v>277</c:v>
                </c:pt>
                <c:pt idx="765">
                  <c:v>277</c:v>
                </c:pt>
                <c:pt idx="766">
                  <c:v>277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>
                  <c:v>278</c:v>
                </c:pt>
                <c:pt idx="771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281</c:v>
                </c:pt>
                <c:pt idx="780">
                  <c:v>281</c:v>
                </c:pt>
                <c:pt idx="781">
                  <c:v>282</c:v>
                </c:pt>
                <c:pt idx="782">
                  <c:v>282</c:v>
                </c:pt>
                <c:pt idx="783">
                  <c:v>282</c:v>
                </c:pt>
                <c:pt idx="784">
                  <c:v>282</c:v>
                </c:pt>
                <c:pt idx="785">
                  <c:v>283</c:v>
                </c:pt>
                <c:pt idx="786">
                  <c:v>283</c:v>
                </c:pt>
                <c:pt idx="787">
                  <c:v>283</c:v>
                </c:pt>
                <c:pt idx="788">
                  <c:v>283</c:v>
                </c:pt>
                <c:pt idx="789">
                  <c:v>284</c:v>
                </c:pt>
                <c:pt idx="790">
                  <c:v>284</c:v>
                </c:pt>
                <c:pt idx="791">
                  <c:v>285</c:v>
                </c:pt>
                <c:pt idx="792">
                  <c:v>285</c:v>
                </c:pt>
                <c:pt idx="793">
                  <c:v>285</c:v>
                </c:pt>
                <c:pt idx="794">
                  <c:v>285</c:v>
                </c:pt>
                <c:pt idx="795">
                  <c:v>286</c:v>
                </c:pt>
                <c:pt idx="796">
                  <c:v>286</c:v>
                </c:pt>
                <c:pt idx="797">
                  <c:v>286</c:v>
                </c:pt>
                <c:pt idx="798">
                  <c:v>286</c:v>
                </c:pt>
                <c:pt idx="799">
                  <c:v>286</c:v>
                </c:pt>
                <c:pt idx="800">
                  <c:v>287</c:v>
                </c:pt>
                <c:pt idx="801">
                  <c:v>287</c:v>
                </c:pt>
                <c:pt idx="802">
                  <c:v>287</c:v>
                </c:pt>
                <c:pt idx="803">
                  <c:v>287</c:v>
                </c:pt>
                <c:pt idx="804">
                  <c:v>287</c:v>
                </c:pt>
                <c:pt idx="805">
                  <c:v>287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290</c:v>
                </c:pt>
                <c:pt idx="813">
                  <c:v>290</c:v>
                </c:pt>
                <c:pt idx="814">
                  <c:v>290</c:v>
                </c:pt>
                <c:pt idx="815">
                  <c:v>290</c:v>
                </c:pt>
                <c:pt idx="816">
                  <c:v>291</c:v>
                </c:pt>
                <c:pt idx="817">
                  <c:v>291</c:v>
                </c:pt>
                <c:pt idx="818">
                  <c:v>291</c:v>
                </c:pt>
                <c:pt idx="819">
                  <c:v>291</c:v>
                </c:pt>
                <c:pt idx="820">
                  <c:v>291</c:v>
                </c:pt>
                <c:pt idx="821">
                  <c:v>291</c:v>
                </c:pt>
                <c:pt idx="822">
                  <c:v>292</c:v>
                </c:pt>
                <c:pt idx="823">
                  <c:v>292</c:v>
                </c:pt>
                <c:pt idx="824">
                  <c:v>292</c:v>
                </c:pt>
                <c:pt idx="825">
                  <c:v>292</c:v>
                </c:pt>
                <c:pt idx="826">
                  <c:v>292</c:v>
                </c:pt>
                <c:pt idx="827">
                  <c:v>292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295</c:v>
                </c:pt>
                <c:pt idx="835">
                  <c:v>296</c:v>
                </c:pt>
                <c:pt idx="836">
                  <c:v>296</c:v>
                </c:pt>
                <c:pt idx="837">
                  <c:v>296</c:v>
                </c:pt>
                <c:pt idx="838">
                  <c:v>297</c:v>
                </c:pt>
                <c:pt idx="839">
                  <c:v>297</c:v>
                </c:pt>
                <c:pt idx="840">
                  <c:v>297</c:v>
                </c:pt>
                <c:pt idx="841">
                  <c:v>297</c:v>
                </c:pt>
                <c:pt idx="842">
                  <c:v>297</c:v>
                </c:pt>
                <c:pt idx="843">
                  <c:v>297</c:v>
                </c:pt>
                <c:pt idx="844">
                  <c:v>298</c:v>
                </c:pt>
                <c:pt idx="845">
                  <c:v>298</c:v>
                </c:pt>
                <c:pt idx="846">
                  <c:v>298</c:v>
                </c:pt>
                <c:pt idx="847">
                  <c:v>298</c:v>
                </c:pt>
                <c:pt idx="848">
                  <c:v>298</c:v>
                </c:pt>
                <c:pt idx="849">
                  <c:v>298</c:v>
                </c:pt>
                <c:pt idx="850">
                  <c:v>300</c:v>
                </c:pt>
                <c:pt idx="851">
                  <c:v>300</c:v>
                </c:pt>
                <c:pt idx="852">
                  <c:v>302</c:v>
                </c:pt>
                <c:pt idx="853">
                  <c:v>302</c:v>
                </c:pt>
                <c:pt idx="854">
                  <c:v>304</c:v>
                </c:pt>
                <c:pt idx="855">
                  <c:v>304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308</c:v>
                </c:pt>
                <c:pt idx="863">
                  <c:v>308</c:v>
                </c:pt>
                <c:pt idx="864">
                  <c:v>309</c:v>
                </c:pt>
                <c:pt idx="865">
                  <c:v>309</c:v>
                </c:pt>
                <c:pt idx="866">
                  <c:v>309</c:v>
                </c:pt>
                <c:pt idx="867">
                  <c:v>309</c:v>
                </c:pt>
                <c:pt idx="868">
                  <c:v>310</c:v>
                </c:pt>
                <c:pt idx="869">
                  <c:v>310</c:v>
                </c:pt>
                <c:pt idx="870">
                  <c:v>311</c:v>
                </c:pt>
                <c:pt idx="871">
                  <c:v>311</c:v>
                </c:pt>
                <c:pt idx="872">
                  <c:v>312</c:v>
                </c:pt>
                <c:pt idx="873">
                  <c:v>312</c:v>
                </c:pt>
                <c:pt idx="874">
                  <c:v>313</c:v>
                </c:pt>
                <c:pt idx="875">
                  <c:v>313</c:v>
                </c:pt>
                <c:pt idx="876">
                  <c:v>315</c:v>
                </c:pt>
                <c:pt idx="877">
                  <c:v>315</c:v>
                </c:pt>
                <c:pt idx="878">
                  <c:v>316</c:v>
                </c:pt>
                <c:pt idx="879">
                  <c:v>316</c:v>
                </c:pt>
                <c:pt idx="880">
                  <c:v>316</c:v>
                </c:pt>
                <c:pt idx="881">
                  <c:v>316</c:v>
                </c:pt>
                <c:pt idx="882">
                  <c:v>316</c:v>
                </c:pt>
                <c:pt idx="883">
                  <c:v>317</c:v>
                </c:pt>
                <c:pt idx="884">
                  <c:v>317</c:v>
                </c:pt>
                <c:pt idx="885">
                  <c:v>317</c:v>
                </c:pt>
                <c:pt idx="886">
                  <c:v>317</c:v>
                </c:pt>
                <c:pt idx="887">
                  <c:v>317</c:v>
                </c:pt>
                <c:pt idx="888">
                  <c:v>317</c:v>
                </c:pt>
                <c:pt idx="889">
                  <c:v>318</c:v>
                </c:pt>
                <c:pt idx="890">
                  <c:v>#REF!</c:v>
                </c:pt>
                <c:pt idx="891">
                  <c:v>318</c:v>
                </c:pt>
                <c:pt idx="892">
                  <c:v>318</c:v>
                </c:pt>
                <c:pt idx="893">
                  <c:v>318</c:v>
                </c:pt>
                <c:pt idx="894">
                  <c:v>318</c:v>
                </c:pt>
                <c:pt idx="895">
                  <c:v>319</c:v>
                </c:pt>
                <c:pt idx="896">
                  <c:v>319</c:v>
                </c:pt>
                <c:pt idx="897">
                  <c:v>319</c:v>
                </c:pt>
                <c:pt idx="898">
                  <c:v>319</c:v>
                </c:pt>
                <c:pt idx="899">
                  <c:v>324</c:v>
                </c:pt>
                <c:pt idx="900">
                  <c:v>324</c:v>
                </c:pt>
                <c:pt idx="901">
                  <c:v>324</c:v>
                </c:pt>
                <c:pt idx="902">
                  <c:v>321</c:v>
                </c:pt>
                <c:pt idx="903">
                  <c:v>324</c:v>
                </c:pt>
                <c:pt idx="904">
                  <c:v>324</c:v>
                </c:pt>
                <c:pt idx="905">
                  <c:v>324</c:v>
                </c:pt>
                <c:pt idx="906">
                  <c:v>325</c:v>
                </c:pt>
                <c:pt idx="907">
                  <c:v>325</c:v>
                </c:pt>
                <c:pt idx="908">
                  <c:v>325</c:v>
                </c:pt>
                <c:pt idx="909">
                  <c:v>326</c:v>
                </c:pt>
                <c:pt idx="910">
                  <c:v>326</c:v>
                </c:pt>
                <c:pt idx="911">
                  <c:v>326</c:v>
                </c:pt>
                <c:pt idx="912">
                  <c:v>326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328</c:v>
                </c:pt>
                <c:pt idx="920">
                  <c:v>328</c:v>
                </c:pt>
                <c:pt idx="921">
                  <c:v>328</c:v>
                </c:pt>
                <c:pt idx="922">
                  <c:v>328</c:v>
                </c:pt>
                <c:pt idx="923">
                  <c:v>328</c:v>
                </c:pt>
                <c:pt idx="924">
                  <c:v>329</c:v>
                </c:pt>
                <c:pt idx="925">
                  <c:v>329</c:v>
                </c:pt>
                <c:pt idx="926">
                  <c:v>329</c:v>
                </c:pt>
                <c:pt idx="927">
                  <c:v>329</c:v>
                </c:pt>
                <c:pt idx="928">
                  <c:v>329</c:v>
                </c:pt>
                <c:pt idx="929">
                  <c:v>330</c:v>
                </c:pt>
                <c:pt idx="930">
                  <c:v>330</c:v>
                </c:pt>
                <c:pt idx="931">
                  <c:v>330</c:v>
                </c:pt>
                <c:pt idx="932">
                  <c:v>330</c:v>
                </c:pt>
                <c:pt idx="933">
                  <c:v>330</c:v>
                </c:pt>
                <c:pt idx="934">
                  <c:v>330</c:v>
                </c:pt>
                <c:pt idx="935">
                  <c:v>332</c:v>
                </c:pt>
                <c:pt idx="936">
                  <c:v>332</c:v>
                </c:pt>
                <c:pt idx="937">
                  <c:v>332</c:v>
                </c:pt>
                <c:pt idx="938">
                  <c:v>332</c:v>
                </c:pt>
                <c:pt idx="939">
                  <c:v>332</c:v>
                </c:pt>
                <c:pt idx="940">
                  <c:v>332</c:v>
                </c:pt>
                <c:pt idx="941">
                  <c:v>333</c:v>
                </c:pt>
                <c:pt idx="942">
                  <c:v>333</c:v>
                </c:pt>
                <c:pt idx="943">
                  <c:v>333</c:v>
                </c:pt>
                <c:pt idx="944">
                  <c:v>333</c:v>
                </c:pt>
                <c:pt idx="945">
                  <c:v>333</c:v>
                </c:pt>
                <c:pt idx="946">
                  <c:v>333</c:v>
                </c:pt>
                <c:pt idx="947">
                  <c:v>334</c:v>
                </c:pt>
                <c:pt idx="948">
                  <c:v>334</c:v>
                </c:pt>
                <c:pt idx="949">
                  <c:v>335</c:v>
                </c:pt>
                <c:pt idx="950">
                  <c:v>335</c:v>
                </c:pt>
                <c:pt idx="951">
                  <c:v>336</c:v>
                </c:pt>
                <c:pt idx="952">
                  <c:v>336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340</c:v>
                </c:pt>
                <c:pt idx="965">
                  <c:v>340</c:v>
                </c:pt>
                <c:pt idx="966">
                  <c:v>340</c:v>
                </c:pt>
                <c:pt idx="967">
                  <c:v>340</c:v>
                </c:pt>
                <c:pt idx="968">
                  <c:v>340</c:v>
                </c:pt>
                <c:pt idx="969">
                  <c:v>340</c:v>
                </c:pt>
                <c:pt idx="970">
                  <c:v>341</c:v>
                </c:pt>
                <c:pt idx="971">
                  <c:v>341</c:v>
                </c:pt>
                <c:pt idx="972">
                  <c:v>341</c:v>
                </c:pt>
                <c:pt idx="973">
                  <c:v>341</c:v>
                </c:pt>
                <c:pt idx="974">
                  <c:v>341</c:v>
                </c:pt>
                <c:pt idx="975">
                  <c:v>341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345</c:v>
                </c:pt>
                <c:pt idx="983">
                  <c:v>345</c:v>
                </c:pt>
                <c:pt idx="984">
                  <c:v>345</c:v>
                </c:pt>
                <c:pt idx="985">
                  <c:v>345</c:v>
                </c:pt>
                <c:pt idx="986">
                  <c:v>345</c:v>
                </c:pt>
                <c:pt idx="987">
                  <c:v>345</c:v>
                </c:pt>
                <c:pt idx="988">
                  <c:v>345</c:v>
                </c:pt>
                <c:pt idx="989">
                  <c:v>345</c:v>
                </c:pt>
                <c:pt idx="990">
                  <c:v>345</c:v>
                </c:pt>
                <c:pt idx="991">
                  <c:v>345</c:v>
                </c:pt>
                <c:pt idx="992">
                  <c:v>345</c:v>
                </c:pt>
                <c:pt idx="993">
                  <c:v>345</c:v>
                </c:pt>
                <c:pt idx="994">
                  <c:v>346</c:v>
                </c:pt>
                <c:pt idx="995">
                  <c:v>346</c:v>
                </c:pt>
                <c:pt idx="996">
                  <c:v>347</c:v>
                </c:pt>
                <c:pt idx="997">
                  <c:v>347</c:v>
                </c:pt>
                <c:pt idx="998">
                  <c:v>347</c:v>
                </c:pt>
                <c:pt idx="999">
                  <c:v>347</c:v>
                </c:pt>
                <c:pt idx="1000">
                  <c:v>347</c:v>
                </c:pt>
                <c:pt idx="1001">
                  <c:v>347</c:v>
                </c:pt>
                <c:pt idx="1002">
                  <c:v>348</c:v>
                </c:pt>
                <c:pt idx="1003">
                  <c:v>348</c:v>
                </c:pt>
                <c:pt idx="1004">
                  <c:v>348</c:v>
                </c:pt>
                <c:pt idx="1005">
                  <c:v>348</c:v>
                </c:pt>
                <c:pt idx="1006">
                  <c:v>348</c:v>
                </c:pt>
                <c:pt idx="1007">
                  <c:v>348</c:v>
                </c:pt>
                <c:pt idx="1008">
                  <c:v>349</c:v>
                </c:pt>
                <c:pt idx="1009">
                  <c:v>349</c:v>
                </c:pt>
                <c:pt idx="1010">
                  <c:v>353</c:v>
                </c:pt>
                <c:pt idx="1011">
                  <c:v>353</c:v>
                </c:pt>
                <c:pt idx="1012">
                  <c:v>353</c:v>
                </c:pt>
                <c:pt idx="1013">
                  <c:v>353</c:v>
                </c:pt>
                <c:pt idx="1014">
                  <c:v>353</c:v>
                </c:pt>
                <c:pt idx="1015">
                  <c:v>353</c:v>
                </c:pt>
                <c:pt idx="1016">
                  <c:v>354</c:v>
                </c:pt>
                <c:pt idx="1017">
                  <c:v>354</c:v>
                </c:pt>
                <c:pt idx="1018">
                  <c:v>355</c:v>
                </c:pt>
                <c:pt idx="1019">
                  <c:v>355</c:v>
                </c:pt>
                <c:pt idx="1020">
                  <c:v>355</c:v>
                </c:pt>
                <c:pt idx="1021">
                  <c:v>355</c:v>
                </c:pt>
                <c:pt idx="1022">
                  <c:v>355</c:v>
                </c:pt>
                <c:pt idx="1023">
                  <c:v>355</c:v>
                </c:pt>
                <c:pt idx="1024">
                  <c:v>356</c:v>
                </c:pt>
                <c:pt idx="1025">
                  <c:v>356</c:v>
                </c:pt>
                <c:pt idx="1026">
                  <c:v>357</c:v>
                </c:pt>
                <c:pt idx="1027">
                  <c:v>357</c:v>
                </c:pt>
                <c:pt idx="1028">
                  <c:v>357</c:v>
                </c:pt>
                <c:pt idx="1029">
                  <c:v>357</c:v>
                </c:pt>
                <c:pt idx="1030">
                  <c:v>357</c:v>
                </c:pt>
                <c:pt idx="1031">
                  <c:v>357</c:v>
                </c:pt>
                <c:pt idx="1032">
                  <c:v>358</c:v>
                </c:pt>
                <c:pt idx="1033">
                  <c:v>358</c:v>
                </c:pt>
                <c:pt idx="1034">
                  <c:v>358</c:v>
                </c:pt>
                <c:pt idx="1035">
                  <c:v>358</c:v>
                </c:pt>
                <c:pt idx="1036">
                  <c:v>358</c:v>
                </c:pt>
                <c:pt idx="1037">
                  <c:v>358</c:v>
                </c:pt>
                <c:pt idx="1038">
                  <c:v>359</c:v>
                </c:pt>
                <c:pt idx="1039">
                  <c:v>359</c:v>
                </c:pt>
                <c:pt idx="1040">
                  <c:v>359</c:v>
                </c:pt>
                <c:pt idx="1041">
                  <c:v>359</c:v>
                </c:pt>
                <c:pt idx="1042">
                  <c:v>359</c:v>
                </c:pt>
                <c:pt idx="1043">
                  <c:v>359</c:v>
                </c:pt>
                <c:pt idx="1044">
                  <c:v>360</c:v>
                </c:pt>
                <c:pt idx="1045">
                  <c:v>360</c:v>
                </c:pt>
                <c:pt idx="1046">
                  <c:v>360</c:v>
                </c:pt>
                <c:pt idx="1047">
                  <c:v>360</c:v>
                </c:pt>
                <c:pt idx="1048">
                  <c:v>360</c:v>
                </c:pt>
                <c:pt idx="1049">
                  <c:v>360</c:v>
                </c:pt>
                <c:pt idx="1050">
                  <c:v>361</c:v>
                </c:pt>
                <c:pt idx="1051">
                  <c:v>361</c:v>
                </c:pt>
                <c:pt idx="1052">
                  <c:v>362</c:v>
                </c:pt>
                <c:pt idx="1053">
                  <c:v>362</c:v>
                </c:pt>
                <c:pt idx="1054">
                  <c:v>362</c:v>
                </c:pt>
                <c:pt idx="1055">
                  <c:v>362</c:v>
                </c:pt>
                <c:pt idx="1056">
                  <c:v>362</c:v>
                </c:pt>
                <c:pt idx="1057">
                  <c:v>362</c:v>
                </c:pt>
                <c:pt idx="1058">
                  <c:v>363</c:v>
                </c:pt>
                <c:pt idx="1059">
                  <c:v>363</c:v>
                </c:pt>
                <c:pt idx="1060">
                  <c:v>364</c:v>
                </c:pt>
                <c:pt idx="1061">
                  <c:v>364</c:v>
                </c:pt>
                <c:pt idx="1062">
                  <c:v>364</c:v>
                </c:pt>
                <c:pt idx="1063">
                  <c:v>364</c:v>
                </c:pt>
                <c:pt idx="1064">
                  <c:v>364</c:v>
                </c:pt>
                <c:pt idx="1065">
                  <c:v>364</c:v>
                </c:pt>
                <c:pt idx="1066">
                  <c:v>365</c:v>
                </c:pt>
                <c:pt idx="1067">
                  <c:v>365</c:v>
                </c:pt>
                <c:pt idx="1068">
                  <c:v>366</c:v>
                </c:pt>
                <c:pt idx="1069">
                  <c:v>366</c:v>
                </c:pt>
                <c:pt idx="1070">
                  <c:v>367</c:v>
                </c:pt>
                <c:pt idx="1071">
                  <c:v>367</c:v>
                </c:pt>
                <c:pt idx="1072">
                  <c:v>367</c:v>
                </c:pt>
                <c:pt idx="1073">
                  <c:v>367</c:v>
                </c:pt>
                <c:pt idx="1074">
                  <c:v>367</c:v>
                </c:pt>
                <c:pt idx="1075">
                  <c:v>367</c:v>
                </c:pt>
                <c:pt idx="1076">
                  <c:v>368</c:v>
                </c:pt>
                <c:pt idx="1077">
                  <c:v>368</c:v>
                </c:pt>
                <c:pt idx="1078">
                  <c:v>368</c:v>
                </c:pt>
                <c:pt idx="1079">
                  <c:v>368</c:v>
                </c:pt>
                <c:pt idx="1080">
                  <c:v>368</c:v>
                </c:pt>
                <c:pt idx="1081">
                  <c:v>368</c:v>
                </c:pt>
                <c:pt idx="1082">
                  <c:v>369</c:v>
                </c:pt>
                <c:pt idx="1083">
                  <c:v>369</c:v>
                </c:pt>
                <c:pt idx="1084">
                  <c:v>369</c:v>
                </c:pt>
                <c:pt idx="1085">
                  <c:v>369</c:v>
                </c:pt>
                <c:pt idx="1086">
                  <c:v>369</c:v>
                </c:pt>
                <c:pt idx="1087">
                  <c:v>369</c:v>
                </c:pt>
                <c:pt idx="1088">
                  <c:v>370</c:v>
                </c:pt>
                <c:pt idx="1089">
                  <c:v>370</c:v>
                </c:pt>
                <c:pt idx="1090">
                  <c:v>372</c:v>
                </c:pt>
                <c:pt idx="1091">
                  <c:v>372</c:v>
                </c:pt>
                <c:pt idx="1092">
                  <c:v>372</c:v>
                </c:pt>
                <c:pt idx="1093">
                  <c:v>372</c:v>
                </c:pt>
                <c:pt idx="1094">
                  <c:v>372</c:v>
                </c:pt>
                <c:pt idx="1095">
                  <c:v>372</c:v>
                </c:pt>
                <c:pt idx="1096">
                  <c:v>373</c:v>
                </c:pt>
                <c:pt idx="1097">
                  <c:v>375</c:v>
                </c:pt>
                <c:pt idx="1098">
                  <c:v>375</c:v>
                </c:pt>
                <c:pt idx="1099">
                  <c:v>375</c:v>
                </c:pt>
                <c:pt idx="1100">
                  <c:v>375</c:v>
                </c:pt>
                <c:pt idx="1101">
                  <c:v>375</c:v>
                </c:pt>
                <c:pt idx="1102">
                  <c:v>375</c:v>
                </c:pt>
                <c:pt idx="1103">
                  <c:v>377</c:v>
                </c:pt>
                <c:pt idx="1104">
                  <c:v>377</c:v>
                </c:pt>
                <c:pt idx="1105">
                  <c:v>377</c:v>
                </c:pt>
                <c:pt idx="1106">
                  <c:v>377</c:v>
                </c:pt>
                <c:pt idx="1107">
                  <c:v>377</c:v>
                </c:pt>
                <c:pt idx="1108">
                  <c:v>377</c:v>
                </c:pt>
                <c:pt idx="1109">
                  <c:v>378</c:v>
                </c:pt>
                <c:pt idx="1110">
                  <c:v>378</c:v>
                </c:pt>
                <c:pt idx="1111">
                  <c:v>379</c:v>
                </c:pt>
                <c:pt idx="1112">
                  <c:v>379</c:v>
                </c:pt>
                <c:pt idx="1113">
                  <c:v>379</c:v>
                </c:pt>
                <c:pt idx="1114">
                  <c:v>380</c:v>
                </c:pt>
                <c:pt idx="1115">
                  <c:v>380</c:v>
                </c:pt>
                <c:pt idx="1116">
                  <c:v>380</c:v>
                </c:pt>
                <c:pt idx="1117">
                  <c:v>380</c:v>
                </c:pt>
                <c:pt idx="1118">
                  <c:v>380</c:v>
                </c:pt>
                <c:pt idx="1119">
                  <c:v>380</c:v>
                </c:pt>
                <c:pt idx="1120">
                  <c:v>381</c:v>
                </c:pt>
                <c:pt idx="1121">
                  <c:v>381</c:v>
                </c:pt>
                <c:pt idx="1122">
                  <c:v>381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385</c:v>
                </c:pt>
                <c:pt idx="1132">
                  <c:v>385</c:v>
                </c:pt>
                <c:pt idx="1133">
                  <c:v>385</c:v>
                </c:pt>
                <c:pt idx="1134">
                  <c:v>386</c:v>
                </c:pt>
                <c:pt idx="1135">
                  <c:v>386</c:v>
                </c:pt>
                <c:pt idx="1136">
                  <c:v>386</c:v>
                </c:pt>
                <c:pt idx="1137">
                  <c:v>387</c:v>
                </c:pt>
                <c:pt idx="1138">
                  <c:v>387</c:v>
                </c:pt>
                <c:pt idx="1139">
                  <c:v>387</c:v>
                </c:pt>
                <c:pt idx="1140">
                  <c:v>388</c:v>
                </c:pt>
                <c:pt idx="1141">
                  <c:v>388</c:v>
                </c:pt>
                <c:pt idx="1142">
                  <c:v>388</c:v>
                </c:pt>
                <c:pt idx="1143">
                  <c:v>389</c:v>
                </c:pt>
                <c:pt idx="1144">
                  <c:v>389</c:v>
                </c:pt>
                <c:pt idx="1145">
                  <c:v>389</c:v>
                </c:pt>
                <c:pt idx="1146">
                  <c:v>391</c:v>
                </c:pt>
                <c:pt idx="1147">
                  <c:v>391</c:v>
                </c:pt>
                <c:pt idx="1148">
                  <c:v>391</c:v>
                </c:pt>
                <c:pt idx="1149">
                  <c:v>392</c:v>
                </c:pt>
                <c:pt idx="1150">
                  <c:v>392</c:v>
                </c:pt>
                <c:pt idx="1151">
                  <c:v>392</c:v>
                </c:pt>
                <c:pt idx="1152">
                  <c:v>393</c:v>
                </c:pt>
                <c:pt idx="1153">
                  <c:v>393</c:v>
                </c:pt>
                <c:pt idx="1154">
                  <c:v>393</c:v>
                </c:pt>
                <c:pt idx="1155">
                  <c:v>394</c:v>
                </c:pt>
                <c:pt idx="1156">
                  <c:v>394</c:v>
                </c:pt>
                <c:pt idx="1157">
                  <c:v>394</c:v>
                </c:pt>
                <c:pt idx="1158">
                  <c:v>395</c:v>
                </c:pt>
                <c:pt idx="1159">
                  <c:v>395</c:v>
                </c:pt>
                <c:pt idx="1160">
                  <c:v>397</c:v>
                </c:pt>
                <c:pt idx="1161">
                  <c:v>397</c:v>
                </c:pt>
                <c:pt idx="1162">
                  <c:v>398</c:v>
                </c:pt>
                <c:pt idx="1163">
                  <c:v>398</c:v>
                </c:pt>
                <c:pt idx="1164">
                  <c:v>399</c:v>
                </c:pt>
                <c:pt idx="1165">
                  <c:v>399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401</c:v>
                </c:pt>
                <c:pt idx="1171">
                  <c:v>401</c:v>
                </c:pt>
                <c:pt idx="1172">
                  <c:v>402</c:v>
                </c:pt>
                <c:pt idx="1173">
                  <c:v>402</c:v>
                </c:pt>
                <c:pt idx="1174">
                  <c:v>403</c:v>
                </c:pt>
                <c:pt idx="1175">
                  <c:v>403</c:v>
                </c:pt>
                <c:pt idx="1176">
                  <c:v>404</c:v>
                </c:pt>
                <c:pt idx="1177">
                  <c:v>404</c:v>
                </c:pt>
                <c:pt idx="1178">
                  <c:v>405</c:v>
                </c:pt>
                <c:pt idx="1179">
                  <c:v>405</c:v>
                </c:pt>
                <c:pt idx="1180">
                  <c:v>406</c:v>
                </c:pt>
                <c:pt idx="1181">
                  <c:v>406</c:v>
                </c:pt>
                <c:pt idx="1182">
                  <c:v>407</c:v>
                </c:pt>
                <c:pt idx="1183">
                  <c:v>407</c:v>
                </c:pt>
                <c:pt idx="1184">
                  <c:v>409</c:v>
                </c:pt>
                <c:pt idx="1185">
                  <c:v>409</c:v>
                </c:pt>
                <c:pt idx="1186">
                  <c:v>409</c:v>
                </c:pt>
                <c:pt idx="1187">
                  <c:v>409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411</c:v>
                </c:pt>
                <c:pt idx="1193">
                  <c:v>411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415</c:v>
                </c:pt>
                <c:pt idx="1199">
                  <c:v>415</c:v>
                </c:pt>
                <c:pt idx="1200">
                  <c:v>416</c:v>
                </c:pt>
                <c:pt idx="1201">
                  <c:v>416</c:v>
                </c:pt>
                <c:pt idx="1202">
                  <c:v>416</c:v>
                </c:pt>
                <c:pt idx="1203">
                  <c:v>417</c:v>
                </c:pt>
                <c:pt idx="1204">
                  <c:v>417</c:v>
                </c:pt>
                <c:pt idx="1205">
                  <c:v>417</c:v>
                </c:pt>
                <c:pt idx="1206">
                  <c:v>418</c:v>
                </c:pt>
                <c:pt idx="1207">
                  <c:v>418</c:v>
                </c:pt>
                <c:pt idx="1208">
                  <c:v>418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423</c:v>
                </c:pt>
                <c:pt idx="1224">
                  <c:v>423</c:v>
                </c:pt>
                <c:pt idx="1225">
                  <c:v>423</c:v>
                </c:pt>
                <c:pt idx="1226">
                  <c:v>423</c:v>
                </c:pt>
                <c:pt idx="1227">
                  <c:v>424</c:v>
                </c:pt>
                <c:pt idx="1228">
                  <c:v>424</c:v>
                </c:pt>
                <c:pt idx="1229">
                  <c:v>424</c:v>
                </c:pt>
                <c:pt idx="1230">
                  <c:v>425</c:v>
                </c:pt>
                <c:pt idx="1231">
                  <c:v>425</c:v>
                </c:pt>
                <c:pt idx="1232">
                  <c:v>425</c:v>
                </c:pt>
                <c:pt idx="1233">
                  <c:v>426</c:v>
                </c:pt>
                <c:pt idx="1234">
                  <c:v>425</c:v>
                </c:pt>
                <c:pt idx="1235">
                  <c:v>426</c:v>
                </c:pt>
                <c:pt idx="1236">
                  <c:v>427</c:v>
                </c:pt>
                <c:pt idx="1237">
                  <c:v>427</c:v>
                </c:pt>
                <c:pt idx="1238">
                  <c:v>427</c:v>
                </c:pt>
                <c:pt idx="1239">
                  <c:v>0</c:v>
                </c:pt>
                <c:pt idx="1240">
                  <c:v>442</c:v>
                </c:pt>
                <c:pt idx="1241">
                  <c:v>442</c:v>
                </c:pt>
                <c:pt idx="1242">
                  <c:v>442</c:v>
                </c:pt>
                <c:pt idx="1243">
                  <c:v>0</c:v>
                </c:pt>
                <c:pt idx="1244">
                  <c:v>457</c:v>
                </c:pt>
                <c:pt idx="1245">
                  <c:v>457</c:v>
                </c:pt>
                <c:pt idx="1246">
                  <c:v>457</c:v>
                </c:pt>
                <c:pt idx="1247">
                  <c:v>458</c:v>
                </c:pt>
                <c:pt idx="1248">
                  <c:v>458</c:v>
                </c:pt>
                <c:pt idx="1249">
                  <c:v>458</c:v>
                </c:pt>
                <c:pt idx="1250">
                  <c:v>459</c:v>
                </c:pt>
                <c:pt idx="1251">
                  <c:v>459</c:v>
                </c:pt>
                <c:pt idx="1252">
                  <c:v>459</c:v>
                </c:pt>
                <c:pt idx="1253">
                  <c:v>460</c:v>
                </c:pt>
                <c:pt idx="1254">
                  <c:v>460</c:v>
                </c:pt>
                <c:pt idx="1255">
                  <c:v>460</c:v>
                </c:pt>
                <c:pt idx="1256">
                  <c:v>461</c:v>
                </c:pt>
                <c:pt idx="1257">
                  <c:v>461</c:v>
                </c:pt>
                <c:pt idx="1258">
                  <c:v>461</c:v>
                </c:pt>
                <c:pt idx="1259">
                  <c:v>463</c:v>
                </c:pt>
                <c:pt idx="1260">
                  <c:v>463</c:v>
                </c:pt>
                <c:pt idx="1261">
                  <c:v>463</c:v>
                </c:pt>
                <c:pt idx="1262">
                  <c:v>464</c:v>
                </c:pt>
                <c:pt idx="1263">
                  <c:v>464</c:v>
                </c:pt>
                <c:pt idx="1264">
                  <c:v>464</c:v>
                </c:pt>
                <c:pt idx="1265">
                  <c:v>465</c:v>
                </c:pt>
                <c:pt idx="1266">
                  <c:v>465</c:v>
                </c:pt>
                <c:pt idx="1267">
                  <c:v>465</c:v>
                </c:pt>
                <c:pt idx="1268">
                  <c:v>470</c:v>
                </c:pt>
                <c:pt idx="1269">
                  <c:v>470</c:v>
                </c:pt>
                <c:pt idx="1270">
                  <c:v>471</c:v>
                </c:pt>
                <c:pt idx="1271">
                  <c:v>471</c:v>
                </c:pt>
                <c:pt idx="1272">
                  <c:v>0</c:v>
                </c:pt>
                <c:pt idx="1273">
                  <c:v>478</c:v>
                </c:pt>
                <c:pt idx="1274">
                  <c:v>478</c:v>
                </c:pt>
                <c:pt idx="1275">
                  <c:v>481</c:v>
                </c:pt>
                <c:pt idx="1276">
                  <c:v>481</c:v>
                </c:pt>
                <c:pt idx="1277">
                  <c:v>482</c:v>
                </c:pt>
                <c:pt idx="1278">
                  <c:v>490</c:v>
                </c:pt>
                <c:pt idx="1279">
                  <c:v>490</c:v>
                </c:pt>
                <c:pt idx="1280">
                  <c:v>490</c:v>
                </c:pt>
                <c:pt idx="1281">
                  <c:v>491</c:v>
                </c:pt>
                <c:pt idx="1282">
                  <c:v>491</c:v>
                </c:pt>
                <c:pt idx="1283">
                  <c:v>491</c:v>
                </c:pt>
                <c:pt idx="1284">
                  <c:v>493</c:v>
                </c:pt>
                <c:pt idx="1285">
                  <c:v>493</c:v>
                </c:pt>
                <c:pt idx="1286">
                  <c:v>494</c:v>
                </c:pt>
                <c:pt idx="1287">
                  <c:v>0</c:v>
                </c:pt>
                <c:pt idx="1288">
                  <c:v>511</c:v>
                </c:pt>
                <c:pt idx="1289">
                  <c:v>511</c:v>
                </c:pt>
                <c:pt idx="1290">
                  <c:v>511</c:v>
                </c:pt>
                <c:pt idx="1291">
                  <c:v>511</c:v>
                </c:pt>
                <c:pt idx="1292">
                  <c:v>512</c:v>
                </c:pt>
                <c:pt idx="1293">
                  <c:v>512</c:v>
                </c:pt>
                <c:pt idx="1294">
                  <c:v>512</c:v>
                </c:pt>
                <c:pt idx="1295">
                  <c:v>512</c:v>
                </c:pt>
                <c:pt idx="1296">
                  <c:v>513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514</c:v>
                </c:pt>
                <c:pt idx="1301">
                  <c:v>514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515</c:v>
                </c:pt>
                <c:pt idx="1307">
                  <c:v>515</c:v>
                </c:pt>
                <c:pt idx="1308">
                  <c:v>516</c:v>
                </c:pt>
                <c:pt idx="1309">
                  <c:v>516</c:v>
                </c:pt>
                <c:pt idx="1310">
                  <c:v>516</c:v>
                </c:pt>
                <c:pt idx="1311">
                  <c:v>516</c:v>
                </c:pt>
                <c:pt idx="1312">
                  <c:v>519</c:v>
                </c:pt>
                <c:pt idx="1313">
                  <c:v>519</c:v>
                </c:pt>
                <c:pt idx="1314">
                  <c:v>519</c:v>
                </c:pt>
                <c:pt idx="1315">
                  <c:v>519</c:v>
                </c:pt>
                <c:pt idx="1316">
                  <c:v>519</c:v>
                </c:pt>
                <c:pt idx="1317">
                  <c:v>519</c:v>
                </c:pt>
                <c:pt idx="1318">
                  <c:v>520</c:v>
                </c:pt>
                <c:pt idx="1319">
                  <c:v>520</c:v>
                </c:pt>
                <c:pt idx="1320">
                  <c:v>522</c:v>
                </c:pt>
                <c:pt idx="1321">
                  <c:v>522</c:v>
                </c:pt>
                <c:pt idx="1322">
                  <c:v>522</c:v>
                </c:pt>
                <c:pt idx="1323">
                  <c:v>523</c:v>
                </c:pt>
                <c:pt idx="1324">
                  <c:v>523</c:v>
                </c:pt>
                <c:pt idx="1325">
                  <c:v>523</c:v>
                </c:pt>
                <c:pt idx="1326">
                  <c:v>524</c:v>
                </c:pt>
                <c:pt idx="1327">
                  <c:v>524</c:v>
                </c:pt>
                <c:pt idx="1328">
                  <c:v>524</c:v>
                </c:pt>
                <c:pt idx="1329">
                  <c:v>0</c:v>
                </c:pt>
                <c:pt idx="1330">
                  <c:v>526</c:v>
                </c:pt>
                <c:pt idx="1331">
                  <c:v>526</c:v>
                </c:pt>
                <c:pt idx="1332">
                  <c:v>527</c:v>
                </c:pt>
                <c:pt idx="1333">
                  <c:v>527</c:v>
                </c:pt>
                <c:pt idx="1334">
                  <c:v>527</c:v>
                </c:pt>
                <c:pt idx="1335">
                  <c:v>528</c:v>
                </c:pt>
                <c:pt idx="1336">
                  <c:v>528</c:v>
                </c:pt>
                <c:pt idx="1337">
                  <c:v>529</c:v>
                </c:pt>
                <c:pt idx="1338">
                  <c:v>529</c:v>
                </c:pt>
                <c:pt idx="1339">
                  <c:v>530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</c:strCache>
            </c:strRef>
          </c:xVal>
          <c:yVal>
            <c:numRef>
              <c:f>Charts!$H$2:$H$1400</c:f>
              <c:numCache>
                <c:formatCode>General</c:formatCode>
                <c:ptCount val="1399"/>
                <c:pt idx="0">
                  <c:v>4.128</c:v>
                </c:pt>
                <c:pt idx="1">
                  <c:v>4.032</c:v>
                </c:pt>
                <c:pt idx="2">
                  <c:v>4.052307692307692</c:v>
                </c:pt>
                <c:pt idx="3">
                  <c:v>4.163076923076923</c:v>
                </c:pt>
                <c:pt idx="4">
                  <c:v>0.0</c:v>
                </c:pt>
                <c:pt idx="5">
                  <c:v>0.0</c:v>
                </c:pt>
                <c:pt idx="6">
                  <c:v>4.033846153846154</c:v>
                </c:pt>
                <c:pt idx="7">
                  <c:v>3.987692307692307</c:v>
                </c:pt>
                <c:pt idx="8">
                  <c:v>0.0</c:v>
                </c:pt>
                <c:pt idx="9">
                  <c:v>0.0</c:v>
                </c:pt>
                <c:pt idx="10">
                  <c:v>3.978461538461538</c:v>
                </c:pt>
                <c:pt idx="11">
                  <c:v>4.172307692307692</c:v>
                </c:pt>
                <c:pt idx="12">
                  <c:v>0.0</c:v>
                </c:pt>
                <c:pt idx="13">
                  <c:v>0.0</c:v>
                </c:pt>
                <c:pt idx="14">
                  <c:v>3.894545454545454</c:v>
                </c:pt>
                <c:pt idx="15">
                  <c:v>4.025454545454545</c:v>
                </c:pt>
                <c:pt idx="16">
                  <c:v>3.578181818181818</c:v>
                </c:pt>
                <c:pt idx="17">
                  <c:v>3.687272727272727</c:v>
                </c:pt>
                <c:pt idx="18">
                  <c:v>2.72</c:v>
                </c:pt>
                <c:pt idx="19">
                  <c:v>4.893333333333332</c:v>
                </c:pt>
                <c:pt idx="20">
                  <c:v>5.466666666666665</c:v>
                </c:pt>
                <c:pt idx="21">
                  <c:v>3.4</c:v>
                </c:pt>
                <c:pt idx="22">
                  <c:v>4.282</c:v>
                </c:pt>
                <c:pt idx="23">
                  <c:v>4.328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1.1116</c:v>
                </c:pt>
                <c:pt idx="30">
                  <c:v>1.1106</c:v>
                </c:pt>
                <c:pt idx="31">
                  <c:v>1.104</c:v>
                </c:pt>
                <c:pt idx="32">
                  <c:v>1.0994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5.061818181818181</c:v>
                </c:pt>
                <c:pt idx="54">
                  <c:v>5.094545454545455</c:v>
                </c:pt>
                <c:pt idx="55">
                  <c:v>5.138181818181818</c:v>
                </c:pt>
                <c:pt idx="56">
                  <c:v>5.04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3.796363636363636</c:v>
                </c:pt>
                <c:pt idx="62">
                  <c:v>4.210909090909091</c:v>
                </c:pt>
                <c:pt idx="63">
                  <c:v>7.145454545454545</c:v>
                </c:pt>
                <c:pt idx="64">
                  <c:v>6.97090909090909</c:v>
                </c:pt>
                <c:pt idx="65">
                  <c:v>6.23076923076923</c:v>
                </c:pt>
                <c:pt idx="66">
                  <c:v>0.0</c:v>
                </c:pt>
                <c:pt idx="67">
                  <c:v>6.166153846153846</c:v>
                </c:pt>
                <c:pt idx="68">
                  <c:v>0.0</c:v>
                </c:pt>
                <c:pt idx="69">
                  <c:v>4.458461538461538</c:v>
                </c:pt>
                <c:pt idx="70">
                  <c:v>0.0</c:v>
                </c:pt>
                <c:pt idx="71">
                  <c:v>5.409230769230768</c:v>
                </c:pt>
                <c:pt idx="72">
                  <c:v>0.0</c:v>
                </c:pt>
                <c:pt idx="73">
                  <c:v>4.578461538461538</c:v>
                </c:pt>
                <c:pt idx="74">
                  <c:v>0.0</c:v>
                </c:pt>
                <c:pt idx="75">
                  <c:v>5.399999999999999</c:v>
                </c:pt>
                <c:pt idx="76">
                  <c:v>0.0</c:v>
                </c:pt>
                <c:pt idx="77">
                  <c:v>5.233846153846153</c:v>
                </c:pt>
                <c:pt idx="78">
                  <c:v>5.04</c:v>
                </c:pt>
                <c:pt idx="79">
                  <c:v>5.012307692307692</c:v>
                </c:pt>
                <c:pt idx="80">
                  <c:v>5.012307692307692</c:v>
                </c:pt>
                <c:pt idx="81">
                  <c:v>4.8</c:v>
                </c:pt>
                <c:pt idx="82">
                  <c:v>4.91076923076923</c:v>
                </c:pt>
                <c:pt idx="83">
                  <c:v>4.781538461538461</c:v>
                </c:pt>
                <c:pt idx="84">
                  <c:v>4.864615384615385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3.915789473684211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4.12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7.340000000000001</c:v>
                </c:pt>
                <c:pt idx="130">
                  <c:v>0.0</c:v>
                </c:pt>
                <c:pt idx="131">
                  <c:v>7.300000000000001</c:v>
                </c:pt>
                <c:pt idx="132">
                  <c:v>0.0</c:v>
                </c:pt>
                <c:pt idx="133">
                  <c:v>3.28</c:v>
                </c:pt>
                <c:pt idx="134">
                  <c:v>0.0</c:v>
                </c:pt>
                <c:pt idx="135">
                  <c:v>3.2</c:v>
                </c:pt>
                <c:pt idx="136">
                  <c:v>0.0</c:v>
                </c:pt>
                <c:pt idx="137">
                  <c:v>0.0</c:v>
                </c:pt>
                <c:pt idx="138">
                  <c:v>3.26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3.896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3.84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4.24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5.159999999999999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5.25</c:v>
                </c:pt>
                <c:pt idx="259">
                  <c:v>5.34375</c:v>
                </c:pt>
                <c:pt idx="260">
                  <c:v>5.0625</c:v>
                </c:pt>
                <c:pt idx="261">
                  <c:v>5.0625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3.857142857142858</c:v>
                </c:pt>
                <c:pt idx="279">
                  <c:v>3.785714285714286</c:v>
                </c:pt>
                <c:pt idx="280">
                  <c:v>4.071428571428572</c:v>
                </c:pt>
                <c:pt idx="281">
                  <c:v>3.857142857142858</c:v>
                </c:pt>
                <c:pt idx="282">
                  <c:v>3.065217391304348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3.160714285714286</c:v>
                </c:pt>
                <c:pt idx="287">
                  <c:v>3.107142857142856</c:v>
                </c:pt>
                <c:pt idx="288">
                  <c:v>0.0</c:v>
                </c:pt>
                <c:pt idx="289">
                  <c:v>0.0</c:v>
                </c:pt>
                <c:pt idx="290">
                  <c:v>8.647058823529413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6.375</c:v>
                </c:pt>
                <c:pt idx="295">
                  <c:v>8.5</c:v>
                </c:pt>
                <c:pt idx="296">
                  <c:v>8.249999999999998</c:v>
                </c:pt>
                <c:pt idx="297">
                  <c:v>8.375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3.046875</c:v>
                </c:pt>
                <c:pt idx="303">
                  <c:v>3.0</c:v>
                </c:pt>
                <c:pt idx="304">
                  <c:v>0.0</c:v>
                </c:pt>
                <c:pt idx="305">
                  <c:v>0.0</c:v>
                </c:pt>
                <c:pt idx="306">
                  <c:v>2.933333333333334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4.85</c:v>
                </c:pt>
                <c:pt idx="323">
                  <c:v>0.0</c:v>
                </c:pt>
                <c:pt idx="324">
                  <c:v>4.961538461538462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2.775</c:v>
                </c:pt>
                <c:pt idx="330">
                  <c:v>0.0</c:v>
                </c:pt>
                <c:pt idx="331">
                  <c:v>2.894736842105263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3.1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2.942307692307692</c:v>
                </c:pt>
                <c:pt idx="344">
                  <c:v>0.0</c:v>
                </c:pt>
                <c:pt idx="345">
                  <c:v>3.057692307692307</c:v>
                </c:pt>
                <c:pt idx="346">
                  <c:v>0.0</c:v>
                </c:pt>
                <c:pt idx="347">
                  <c:v>3.0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2.916666666666666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3.2</c:v>
                </c:pt>
                <c:pt idx="358">
                  <c:v>2.785714285714286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4.241379310344826</c:v>
                </c:pt>
                <c:pt idx="363">
                  <c:v>4.241379310344826</c:v>
                </c:pt>
                <c:pt idx="364">
                  <c:v>4.241379310344826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3.11842105263158</c:v>
                </c:pt>
                <c:pt idx="369">
                  <c:v>0.0</c:v>
                </c:pt>
                <c:pt idx="370">
                  <c:v>3.032608695652174</c:v>
                </c:pt>
                <c:pt idx="371">
                  <c:v>0.0</c:v>
                </c:pt>
                <c:pt idx="372">
                  <c:v>0.0</c:v>
                </c:pt>
                <c:pt idx="373">
                  <c:v>4.189655172413794</c:v>
                </c:pt>
                <c:pt idx="374">
                  <c:v>4.189655172413794</c:v>
                </c:pt>
                <c:pt idx="375">
                  <c:v>4.189655172413794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2.76923076923077</c:v>
                </c:pt>
                <c:pt idx="393">
                  <c:v>0.0</c:v>
                </c:pt>
                <c:pt idx="394">
                  <c:v>0.0</c:v>
                </c:pt>
                <c:pt idx="395">
                  <c:v>4.034482758620689</c:v>
                </c:pt>
                <c:pt idx="396">
                  <c:v>4.034482758620689</c:v>
                </c:pt>
                <c:pt idx="397">
                  <c:v>4.034482758620689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4.086206896551724</c:v>
                </c:pt>
                <c:pt idx="406">
                  <c:v>0.0</c:v>
                </c:pt>
                <c:pt idx="407">
                  <c:v>0.0</c:v>
                </c:pt>
                <c:pt idx="408">
                  <c:v>4.241379310344826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4.1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3.919354838709677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4.064516129032258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3.7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3.886363636363636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3.870967741935484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3.82258064516129</c:v>
                </c:pt>
                <c:pt idx="459">
                  <c:v>0.0</c:v>
                </c:pt>
                <c:pt idx="460">
                  <c:v>3.128571428571428</c:v>
                </c:pt>
                <c:pt idx="461">
                  <c:v>0.0</c:v>
                </c:pt>
                <c:pt idx="462">
                  <c:v>2.785714285714286</c:v>
                </c:pt>
                <c:pt idx="463">
                  <c:v>0.0</c:v>
                </c:pt>
                <c:pt idx="464">
                  <c:v>2.382352941176471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3.214285714285714</c:v>
                </c:pt>
                <c:pt idx="469">
                  <c:v>0.0</c:v>
                </c:pt>
                <c:pt idx="470">
                  <c:v>2.7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3.725806451612903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2.325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3.85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3.870967741935484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3.870967741935484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4.016129032258064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3.774193548387096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4.112903225806451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3.919354838709677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3.0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2.571428571428572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2.228571428571428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2.228571428571428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2.4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2.4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2.32</c:v>
                </c:pt>
                <c:pt idx="559">
                  <c:v>0.0</c:v>
                </c:pt>
                <c:pt idx="560">
                  <c:v>0.0</c:v>
                </c:pt>
                <c:pt idx="561">
                  <c:v>2.307692307692308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2.142857142857143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2.228571428571428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2.6925</c:v>
                </c:pt>
                <c:pt idx="592">
                  <c:v>2.73</c:v>
                </c:pt>
                <c:pt idx="593">
                  <c:v>2.34</c:v>
                </c:pt>
                <c:pt idx="594">
                  <c:v>2.655</c:v>
                </c:pt>
                <c:pt idx="595">
                  <c:v>2.718</c:v>
                </c:pt>
                <c:pt idx="596">
                  <c:v>2.742</c:v>
                </c:pt>
                <c:pt idx="597">
                  <c:v>2.664</c:v>
                </c:pt>
                <c:pt idx="598">
                  <c:v>2.652</c:v>
                </c:pt>
                <c:pt idx="599">
                  <c:v>2.854054054054054</c:v>
                </c:pt>
                <c:pt idx="600">
                  <c:v>2.756756756756756</c:v>
                </c:pt>
                <c:pt idx="601">
                  <c:v>2.756756756756756</c:v>
                </c:pt>
                <c:pt idx="602">
                  <c:v>2.659459459459459</c:v>
                </c:pt>
                <c:pt idx="603">
                  <c:v>2.686486486486486</c:v>
                </c:pt>
                <c:pt idx="604">
                  <c:v>2.691891891891892</c:v>
                </c:pt>
                <c:pt idx="605">
                  <c:v>2.72972972972973</c:v>
                </c:pt>
                <c:pt idx="606">
                  <c:v>2.805405405405406</c:v>
                </c:pt>
                <c:pt idx="607">
                  <c:v>2.6</c:v>
                </c:pt>
                <c:pt idx="608">
                  <c:v>2.621621621621621</c:v>
                </c:pt>
                <c:pt idx="609">
                  <c:v>2.6</c:v>
                </c:pt>
                <c:pt idx="610">
                  <c:v>2.610810810810811</c:v>
                </c:pt>
                <c:pt idx="611">
                  <c:v>2.285714285714286</c:v>
                </c:pt>
                <c:pt idx="612">
                  <c:v>2.321428571428572</c:v>
                </c:pt>
                <c:pt idx="613">
                  <c:v>2.3</c:v>
                </c:pt>
                <c:pt idx="614">
                  <c:v>2.314285714285714</c:v>
                </c:pt>
                <c:pt idx="615">
                  <c:v>2.321428571428572</c:v>
                </c:pt>
                <c:pt idx="616">
                  <c:v>2.357142857142857</c:v>
                </c:pt>
                <c:pt idx="617">
                  <c:v>2.428571428571429</c:v>
                </c:pt>
                <c:pt idx="618">
                  <c:v>2.35</c:v>
                </c:pt>
                <c:pt idx="619">
                  <c:v>2.266666666666667</c:v>
                </c:pt>
                <c:pt idx="620">
                  <c:v>2.306666666666667</c:v>
                </c:pt>
                <c:pt idx="621">
                  <c:v>2.34</c:v>
                </c:pt>
                <c:pt idx="622">
                  <c:v>2.313333333333333</c:v>
                </c:pt>
                <c:pt idx="623">
                  <c:v>0.0</c:v>
                </c:pt>
                <c:pt idx="624">
                  <c:v>0.0</c:v>
                </c:pt>
                <c:pt idx="625">
                  <c:v>2.321052631578948</c:v>
                </c:pt>
                <c:pt idx="626">
                  <c:v>0.0</c:v>
                </c:pt>
                <c:pt idx="627">
                  <c:v>3.607142857142856</c:v>
                </c:pt>
                <c:pt idx="628">
                  <c:v>3.678571428571429</c:v>
                </c:pt>
                <c:pt idx="629">
                  <c:v>3.685714285714286</c:v>
                </c:pt>
                <c:pt idx="630">
                  <c:v>0.0</c:v>
                </c:pt>
                <c:pt idx="631">
                  <c:v>4.247619047619048</c:v>
                </c:pt>
                <c:pt idx="632">
                  <c:v>4.18095238095238</c:v>
                </c:pt>
                <c:pt idx="633">
                  <c:v>4.18095238095238</c:v>
                </c:pt>
                <c:pt idx="634">
                  <c:v>4.257142857142857</c:v>
                </c:pt>
                <c:pt idx="635">
                  <c:v>4.485714285714285</c:v>
                </c:pt>
                <c:pt idx="636">
                  <c:v>3.971428571428572</c:v>
                </c:pt>
                <c:pt idx="637">
                  <c:v>3.985714285714286</c:v>
                </c:pt>
                <c:pt idx="638">
                  <c:v>3.971428571428572</c:v>
                </c:pt>
                <c:pt idx="639">
                  <c:v>4.057142857142857</c:v>
                </c:pt>
                <c:pt idx="640">
                  <c:v>4.128571428571428</c:v>
                </c:pt>
                <c:pt idx="641">
                  <c:v>4.042857142857144</c:v>
                </c:pt>
                <c:pt idx="642">
                  <c:v>4.128571428571428</c:v>
                </c:pt>
                <c:pt idx="643">
                  <c:v>3.985714285714286</c:v>
                </c:pt>
                <c:pt idx="644">
                  <c:v>4.128571428571428</c:v>
                </c:pt>
                <c:pt idx="645">
                  <c:v>3.942857142857143</c:v>
                </c:pt>
                <c:pt idx="646">
                  <c:v>4.114285714285715</c:v>
                </c:pt>
                <c:pt idx="647">
                  <c:v>4.128571428571428</c:v>
                </c:pt>
                <c:pt idx="648">
                  <c:v>4.171428571428571</c:v>
                </c:pt>
                <c:pt idx="649">
                  <c:v>4.171428571428571</c:v>
                </c:pt>
                <c:pt idx="650">
                  <c:v>4.114285714285715</c:v>
                </c:pt>
                <c:pt idx="651">
                  <c:v>3.928571428571429</c:v>
                </c:pt>
                <c:pt idx="652">
                  <c:v>4.057142857142857</c:v>
                </c:pt>
                <c:pt idx="653">
                  <c:v>4.057142857142857</c:v>
                </c:pt>
                <c:pt idx="654">
                  <c:v>4.142857142857143</c:v>
                </c:pt>
                <c:pt idx="655">
                  <c:v>3.799999999999999</c:v>
                </c:pt>
                <c:pt idx="656">
                  <c:v>3.818181818181819</c:v>
                </c:pt>
                <c:pt idx="657">
                  <c:v>3.909090909090909</c:v>
                </c:pt>
                <c:pt idx="658">
                  <c:v>3.799999999999999</c:v>
                </c:pt>
                <c:pt idx="659">
                  <c:v>0.0</c:v>
                </c:pt>
                <c:pt idx="660">
                  <c:v>4.258333333333333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2.32</c:v>
                </c:pt>
                <c:pt idx="667">
                  <c:v>3.8</c:v>
                </c:pt>
                <c:pt idx="668">
                  <c:v>3.82857142857143</c:v>
                </c:pt>
                <c:pt idx="669">
                  <c:v>3.871428571428571</c:v>
                </c:pt>
                <c:pt idx="670">
                  <c:v>3.82857142857143</c:v>
                </c:pt>
                <c:pt idx="671">
                  <c:v>4.0</c:v>
                </c:pt>
                <c:pt idx="672">
                  <c:v>3.971428571428572</c:v>
                </c:pt>
                <c:pt idx="673">
                  <c:v>3.985714285714286</c:v>
                </c:pt>
                <c:pt idx="674">
                  <c:v>4.042857142857144</c:v>
                </c:pt>
                <c:pt idx="675">
                  <c:v>3.928571428571429</c:v>
                </c:pt>
                <c:pt idx="676">
                  <c:v>3.785714285714286</c:v>
                </c:pt>
                <c:pt idx="677">
                  <c:v>3.842857142857143</c:v>
                </c:pt>
                <c:pt idx="678">
                  <c:v>3.914285714285715</c:v>
                </c:pt>
                <c:pt idx="679">
                  <c:v>4.0</c:v>
                </c:pt>
                <c:pt idx="680">
                  <c:v>4.3</c:v>
                </c:pt>
                <c:pt idx="681">
                  <c:v>3.733333333333334</c:v>
                </c:pt>
                <c:pt idx="682">
                  <c:v>4.3</c:v>
                </c:pt>
                <c:pt idx="683">
                  <c:v>0.0</c:v>
                </c:pt>
                <c:pt idx="684">
                  <c:v>0.0</c:v>
                </c:pt>
                <c:pt idx="685">
                  <c:v>3.85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4.4</c:v>
                </c:pt>
                <c:pt idx="691">
                  <c:v>3.957142857142857</c:v>
                </c:pt>
                <c:pt idx="692">
                  <c:v>3.942857142857143</c:v>
                </c:pt>
                <c:pt idx="693">
                  <c:v>3.957142857142857</c:v>
                </c:pt>
                <c:pt idx="694">
                  <c:v>3.928571428571429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4.085714285714285</c:v>
                </c:pt>
                <c:pt idx="704">
                  <c:v>4.342857142857142</c:v>
                </c:pt>
                <c:pt idx="705">
                  <c:v>4.014285714285714</c:v>
                </c:pt>
                <c:pt idx="706">
                  <c:v>4.557142857142857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4.772413793103448</c:v>
                </c:pt>
                <c:pt idx="711">
                  <c:v>3.485714285714286</c:v>
                </c:pt>
                <c:pt idx="712">
                  <c:v>3.414285714285715</c:v>
                </c:pt>
                <c:pt idx="713">
                  <c:v>3.4</c:v>
                </c:pt>
                <c:pt idx="714">
                  <c:v>3.435714285714285</c:v>
                </c:pt>
                <c:pt idx="715">
                  <c:v>3.428571428571428</c:v>
                </c:pt>
                <c:pt idx="716">
                  <c:v>3.329411764705882</c:v>
                </c:pt>
                <c:pt idx="717">
                  <c:v>3.411764705882352</c:v>
                </c:pt>
                <c:pt idx="718">
                  <c:v>3.282352941176471</c:v>
                </c:pt>
                <c:pt idx="719">
                  <c:v>0.0</c:v>
                </c:pt>
                <c:pt idx="720">
                  <c:v>3.07</c:v>
                </c:pt>
                <c:pt idx="721">
                  <c:v>3.13</c:v>
                </c:pt>
                <c:pt idx="722">
                  <c:v>3.07</c:v>
                </c:pt>
                <c:pt idx="723">
                  <c:v>3.486666666666667</c:v>
                </c:pt>
                <c:pt idx="724">
                  <c:v>0.0</c:v>
                </c:pt>
                <c:pt idx="725">
                  <c:v>3.613333333333333</c:v>
                </c:pt>
                <c:pt idx="726">
                  <c:v>3.506666666666667</c:v>
                </c:pt>
                <c:pt idx="727">
                  <c:v>3.353333333333333</c:v>
                </c:pt>
                <c:pt idx="728">
                  <c:v>3.406666666666667</c:v>
                </c:pt>
                <c:pt idx="729">
                  <c:v>0.0</c:v>
                </c:pt>
                <c:pt idx="730">
                  <c:v>3.526666666666666</c:v>
                </c:pt>
                <c:pt idx="731">
                  <c:v>2.76</c:v>
                </c:pt>
                <c:pt idx="732">
                  <c:v>2.92</c:v>
                </c:pt>
                <c:pt idx="733">
                  <c:v>2.8</c:v>
                </c:pt>
                <c:pt idx="734">
                  <c:v>0.0</c:v>
                </c:pt>
                <c:pt idx="735">
                  <c:v>0.0</c:v>
                </c:pt>
                <c:pt idx="736">
                  <c:v>5.646666666666667</c:v>
                </c:pt>
                <c:pt idx="737">
                  <c:v>4.246666666666666</c:v>
                </c:pt>
                <c:pt idx="738">
                  <c:v>4.286666666666666</c:v>
                </c:pt>
                <c:pt idx="739">
                  <c:v>7.046666666666666</c:v>
                </c:pt>
                <c:pt idx="740">
                  <c:v>0.0</c:v>
                </c:pt>
                <c:pt idx="741">
                  <c:v>6.933333333333333</c:v>
                </c:pt>
                <c:pt idx="742">
                  <c:v>6.933333333333333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3.536</c:v>
                </c:pt>
                <c:pt idx="750">
                  <c:v>0.0</c:v>
                </c:pt>
                <c:pt idx="751">
                  <c:v>3.293333333333333</c:v>
                </c:pt>
                <c:pt idx="752">
                  <c:v>3.46</c:v>
                </c:pt>
                <c:pt idx="753">
                  <c:v>3.353333333333333</c:v>
                </c:pt>
                <c:pt idx="754">
                  <c:v>3.413333333333334</c:v>
                </c:pt>
                <c:pt idx="755">
                  <c:v>3.46</c:v>
                </c:pt>
                <c:pt idx="756">
                  <c:v>3.406666666666667</c:v>
                </c:pt>
                <c:pt idx="757">
                  <c:v>3.573333333333333</c:v>
                </c:pt>
                <c:pt idx="758">
                  <c:v>3.32</c:v>
                </c:pt>
                <c:pt idx="759">
                  <c:v>3.426666666666666</c:v>
                </c:pt>
                <c:pt idx="760">
                  <c:v>3.453333333333333</c:v>
                </c:pt>
                <c:pt idx="761">
                  <c:v>3.52</c:v>
                </c:pt>
                <c:pt idx="762">
                  <c:v>3.42</c:v>
                </c:pt>
                <c:pt idx="763">
                  <c:v>3.686666666666667</c:v>
                </c:pt>
                <c:pt idx="764">
                  <c:v>3.266666666666667</c:v>
                </c:pt>
                <c:pt idx="765">
                  <c:v>3.713333333333333</c:v>
                </c:pt>
                <c:pt idx="766">
                  <c:v>3.2</c:v>
                </c:pt>
                <c:pt idx="767">
                  <c:v>3.8</c:v>
                </c:pt>
                <c:pt idx="768">
                  <c:v>3.22</c:v>
                </c:pt>
                <c:pt idx="769">
                  <c:v>3.513333333333333</c:v>
                </c:pt>
                <c:pt idx="770">
                  <c:v>3.266666666666667</c:v>
                </c:pt>
                <c:pt idx="771">
                  <c:v>3.9</c:v>
                </c:pt>
                <c:pt idx="772">
                  <c:v>3.84</c:v>
                </c:pt>
                <c:pt idx="773">
                  <c:v>3.926666666666667</c:v>
                </c:pt>
                <c:pt idx="774">
                  <c:v>3.806666666666667</c:v>
                </c:pt>
                <c:pt idx="775">
                  <c:v>3.67</c:v>
                </c:pt>
                <c:pt idx="776">
                  <c:v>3.64</c:v>
                </c:pt>
                <c:pt idx="777">
                  <c:v>3.82</c:v>
                </c:pt>
                <c:pt idx="778">
                  <c:v>3.63</c:v>
                </c:pt>
                <c:pt idx="779">
                  <c:v>3.669565217391304</c:v>
                </c:pt>
                <c:pt idx="780">
                  <c:v>3.565217391304348</c:v>
                </c:pt>
                <c:pt idx="781">
                  <c:v>3.433333333333334</c:v>
                </c:pt>
                <c:pt idx="782">
                  <c:v>3.5</c:v>
                </c:pt>
                <c:pt idx="783">
                  <c:v>3.6</c:v>
                </c:pt>
                <c:pt idx="784">
                  <c:v>3.073333333333333</c:v>
                </c:pt>
                <c:pt idx="785">
                  <c:v>3.513333333333333</c:v>
                </c:pt>
                <c:pt idx="786">
                  <c:v>3.066666666666666</c:v>
                </c:pt>
                <c:pt idx="787">
                  <c:v>3.446666666666667</c:v>
                </c:pt>
                <c:pt idx="788">
                  <c:v>3.326666666666667</c:v>
                </c:pt>
                <c:pt idx="789">
                  <c:v>0.0</c:v>
                </c:pt>
                <c:pt idx="790">
                  <c:v>0.0</c:v>
                </c:pt>
                <c:pt idx="791">
                  <c:v>3.286666666666666</c:v>
                </c:pt>
                <c:pt idx="792">
                  <c:v>3.066666666666666</c:v>
                </c:pt>
                <c:pt idx="793">
                  <c:v>3.28</c:v>
                </c:pt>
                <c:pt idx="794">
                  <c:v>3.133333333333334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3.502941176470589</c:v>
                </c:pt>
                <c:pt idx="801">
                  <c:v>3.78529411764706</c:v>
                </c:pt>
                <c:pt idx="802">
                  <c:v>0.0</c:v>
                </c:pt>
                <c:pt idx="803">
                  <c:v>3.591176470588236</c:v>
                </c:pt>
                <c:pt idx="804">
                  <c:v>3.476470588235294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3.45</c:v>
                </c:pt>
                <c:pt idx="829">
                  <c:v>3.43235294117647</c:v>
                </c:pt>
                <c:pt idx="830">
                  <c:v>0.0</c:v>
                </c:pt>
                <c:pt idx="831">
                  <c:v>3.405882352941176</c:v>
                </c:pt>
                <c:pt idx="832">
                  <c:v>3.555882352941176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3.642105263157894</c:v>
                </c:pt>
                <c:pt idx="839">
                  <c:v>3.642105263157894</c:v>
                </c:pt>
                <c:pt idx="840">
                  <c:v>3.621052631578947</c:v>
                </c:pt>
                <c:pt idx="841">
                  <c:v>3.631578947368421</c:v>
                </c:pt>
                <c:pt idx="842">
                  <c:v>3.636842105263158</c:v>
                </c:pt>
                <c:pt idx="843">
                  <c:v>3.626315789473684</c:v>
                </c:pt>
                <c:pt idx="844">
                  <c:v>3.621052631578947</c:v>
                </c:pt>
                <c:pt idx="845">
                  <c:v>3.636842105263158</c:v>
                </c:pt>
                <c:pt idx="846">
                  <c:v>3.657894736842105</c:v>
                </c:pt>
                <c:pt idx="847">
                  <c:v>3.594736842105263</c:v>
                </c:pt>
                <c:pt idx="848">
                  <c:v>3.51578947368421</c:v>
                </c:pt>
                <c:pt idx="849">
                  <c:v>3.584210526315789</c:v>
                </c:pt>
                <c:pt idx="850">
                  <c:v>3.496</c:v>
                </c:pt>
                <c:pt idx="851">
                  <c:v>3.408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3.464</c:v>
                </c:pt>
                <c:pt idx="861">
                  <c:v>3.376</c:v>
                </c:pt>
                <c:pt idx="862">
                  <c:v>0.0</c:v>
                </c:pt>
                <c:pt idx="863">
                  <c:v>0.0</c:v>
                </c:pt>
                <c:pt idx="864">
                  <c:v>4.03</c:v>
                </c:pt>
                <c:pt idx="865">
                  <c:v>3.59</c:v>
                </c:pt>
                <c:pt idx="866">
                  <c:v>3.48</c:v>
                </c:pt>
                <c:pt idx="867">
                  <c:v>3.63</c:v>
                </c:pt>
                <c:pt idx="868">
                  <c:v>3.44</c:v>
                </c:pt>
                <c:pt idx="869">
                  <c:v>3.39</c:v>
                </c:pt>
                <c:pt idx="870">
                  <c:v>3.212499999999999</c:v>
                </c:pt>
                <c:pt idx="871">
                  <c:v>3.35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3.158333333333333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3.116666666666667</c:v>
                </c:pt>
                <c:pt idx="919">
                  <c:v>0.0</c:v>
                </c:pt>
                <c:pt idx="920">
                  <c:v>3.191666666666667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3.216666666666667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3.185714285714286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3.242857142857143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3.171428571428571</c:v>
                </c:pt>
                <c:pt idx="947">
                  <c:v>3.0</c:v>
                </c:pt>
                <c:pt idx="948">
                  <c:v>0.0</c:v>
                </c:pt>
                <c:pt idx="949">
                  <c:v>3.125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3.071428571428571</c:v>
                </c:pt>
                <c:pt idx="967">
                  <c:v>0.0</c:v>
                </c:pt>
                <c:pt idx="968">
                  <c:v>0.0</c:v>
                </c:pt>
                <c:pt idx="969">
                  <c:v>3.071428571428571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3.133333333333334</c:v>
                </c:pt>
                <c:pt idx="976">
                  <c:v>3.066666666666666</c:v>
                </c:pt>
                <c:pt idx="977">
                  <c:v>3.148148148148148</c:v>
                </c:pt>
                <c:pt idx="978">
                  <c:v>0.0</c:v>
                </c:pt>
                <c:pt idx="979">
                  <c:v>3.074074074074074</c:v>
                </c:pt>
                <c:pt idx="980">
                  <c:v>3.081481481481481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3.214285714285714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3.257142857142857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3.021428571428572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3.142857142857143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3.071428571428571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2.957142857142857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3.1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3.06875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4.390909090909091</c:v>
                </c:pt>
                <c:pt idx="1049">
                  <c:v>4.363636363636363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3.6</c:v>
                </c:pt>
                <c:pt idx="1059">
                  <c:v>0.0</c:v>
                </c:pt>
                <c:pt idx="1060">
                  <c:v>3.328571428571429</c:v>
                </c:pt>
                <c:pt idx="1061">
                  <c:v>3.35</c:v>
                </c:pt>
                <c:pt idx="1062">
                  <c:v>0.0</c:v>
                </c:pt>
                <c:pt idx="1063">
                  <c:v>3.328571428571429</c:v>
                </c:pt>
                <c:pt idx="1064">
                  <c:v>3.278571428571428</c:v>
                </c:pt>
                <c:pt idx="1065">
                  <c:v>0.0</c:v>
                </c:pt>
                <c:pt idx="1066">
                  <c:v>1.566666666666667</c:v>
                </c:pt>
                <c:pt idx="1067">
                  <c:v>1.566666666666667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2.984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3.020689655172414</c:v>
                </c:pt>
                <c:pt idx="1082">
                  <c:v>0.0</c:v>
                </c:pt>
                <c:pt idx="1083">
                  <c:v>0.0</c:v>
                </c:pt>
                <c:pt idx="1084">
                  <c:v>3.044444444444445</c:v>
                </c:pt>
                <c:pt idx="1085">
                  <c:v>0.0</c:v>
                </c:pt>
                <c:pt idx="1086">
                  <c:v>0.0</c:v>
                </c:pt>
                <c:pt idx="1087">
                  <c:v>2.925925925925926</c:v>
                </c:pt>
                <c:pt idx="1088">
                  <c:v>3.0</c:v>
                </c:pt>
                <c:pt idx="1089">
                  <c:v>3.0</c:v>
                </c:pt>
                <c:pt idx="1090">
                  <c:v>0.0</c:v>
                </c:pt>
                <c:pt idx="1091">
                  <c:v>0.0</c:v>
                </c:pt>
                <c:pt idx="1092">
                  <c:v>2.928571428571428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3.142857142857143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3.121428571428572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3.158333333333333</c:v>
                </c:pt>
                <c:pt idx="1113">
                  <c:v>0.0</c:v>
                </c:pt>
                <c:pt idx="1114">
                  <c:v>3.328571428571429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3.5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3.156521739130435</c:v>
                </c:pt>
                <c:pt idx="1132">
                  <c:v>0.0</c:v>
                </c:pt>
                <c:pt idx="1133">
                  <c:v>0.0</c:v>
                </c:pt>
                <c:pt idx="1134">
                  <c:v>3.22608695652174</c:v>
                </c:pt>
                <c:pt idx="1135">
                  <c:v>0.0</c:v>
                </c:pt>
                <c:pt idx="1136">
                  <c:v>0.0</c:v>
                </c:pt>
                <c:pt idx="1137">
                  <c:v>3.165217391304348</c:v>
                </c:pt>
                <c:pt idx="1138">
                  <c:v>0.0</c:v>
                </c:pt>
                <c:pt idx="1139">
                  <c:v>0.0</c:v>
                </c:pt>
                <c:pt idx="1140">
                  <c:v>3.191304347826086</c:v>
                </c:pt>
                <c:pt idx="1141">
                  <c:v>0.0</c:v>
                </c:pt>
                <c:pt idx="1142">
                  <c:v>0.0</c:v>
                </c:pt>
                <c:pt idx="1143">
                  <c:v>3.269565217391304</c:v>
                </c:pt>
                <c:pt idx="1144">
                  <c:v>0.0</c:v>
                </c:pt>
                <c:pt idx="1145">
                  <c:v>0.0</c:v>
                </c:pt>
                <c:pt idx="1146">
                  <c:v>3.121739130434783</c:v>
                </c:pt>
                <c:pt idx="1147">
                  <c:v>0.0</c:v>
                </c:pt>
                <c:pt idx="1148">
                  <c:v>0.0</c:v>
                </c:pt>
                <c:pt idx="1149">
                  <c:v>3.121739130434783</c:v>
                </c:pt>
                <c:pt idx="1150">
                  <c:v>0.0</c:v>
                </c:pt>
                <c:pt idx="1151">
                  <c:v>0.0</c:v>
                </c:pt>
                <c:pt idx="1152">
                  <c:v>3.121739130434783</c:v>
                </c:pt>
                <c:pt idx="1153">
                  <c:v>0.0</c:v>
                </c:pt>
                <c:pt idx="1154">
                  <c:v>0.0</c:v>
                </c:pt>
                <c:pt idx="1155">
                  <c:v>3.173913043478261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3.392857142857143</c:v>
                </c:pt>
                <c:pt idx="1245">
                  <c:v>3.292857142857143</c:v>
                </c:pt>
                <c:pt idx="1246">
                  <c:v>3.192857142857143</c:v>
                </c:pt>
                <c:pt idx="1247">
                  <c:v>3.492857142857143</c:v>
                </c:pt>
                <c:pt idx="1248">
                  <c:v>3.264285714285714</c:v>
                </c:pt>
                <c:pt idx="1249">
                  <c:v>3.178571428571428</c:v>
                </c:pt>
                <c:pt idx="1250">
                  <c:v>3.585714285714285</c:v>
                </c:pt>
                <c:pt idx="1251">
                  <c:v>3.221428571428572</c:v>
                </c:pt>
                <c:pt idx="1252">
                  <c:v>3.264285714285714</c:v>
                </c:pt>
                <c:pt idx="1253">
                  <c:v>3.621428571428571</c:v>
                </c:pt>
                <c:pt idx="1254">
                  <c:v>3.278571428571428</c:v>
                </c:pt>
                <c:pt idx="1255">
                  <c:v>3.3</c:v>
                </c:pt>
                <c:pt idx="1256">
                  <c:v>3.625</c:v>
                </c:pt>
                <c:pt idx="1257">
                  <c:v>2.95</c:v>
                </c:pt>
                <c:pt idx="1258">
                  <c:v>2.8875</c:v>
                </c:pt>
                <c:pt idx="1259">
                  <c:v>3.365217391304348</c:v>
                </c:pt>
                <c:pt idx="1260">
                  <c:v>2.721739130434782</c:v>
                </c:pt>
                <c:pt idx="1261">
                  <c:v>2.704347826086956</c:v>
                </c:pt>
                <c:pt idx="1262">
                  <c:v>3.27</c:v>
                </c:pt>
                <c:pt idx="1263">
                  <c:v>2.54</c:v>
                </c:pt>
                <c:pt idx="1264">
                  <c:v>2.55</c:v>
                </c:pt>
                <c:pt idx="1265">
                  <c:v>3.762162162162162</c:v>
                </c:pt>
                <c:pt idx="1266">
                  <c:v>2.918918918918919</c:v>
                </c:pt>
                <c:pt idx="1267">
                  <c:v>2.962162162162162</c:v>
                </c:pt>
                <c:pt idx="1268">
                  <c:v>2.736</c:v>
                </c:pt>
                <c:pt idx="1269">
                  <c:v>2.68</c:v>
                </c:pt>
                <c:pt idx="1270">
                  <c:v>2.735714285714286</c:v>
                </c:pt>
                <c:pt idx="1271">
                  <c:v>2.7</c:v>
                </c:pt>
                <c:pt idx="1272">
                  <c:v>0.0</c:v>
                </c:pt>
                <c:pt idx="1273">
                  <c:v>2.715384615384615</c:v>
                </c:pt>
                <c:pt idx="1274">
                  <c:v>2.661538461538461</c:v>
                </c:pt>
                <c:pt idx="1275">
                  <c:v>2.807407407407407</c:v>
                </c:pt>
                <c:pt idx="1276">
                  <c:v>2.777777777777777</c:v>
                </c:pt>
                <c:pt idx="1277">
                  <c:v>2.888</c:v>
                </c:pt>
                <c:pt idx="1278">
                  <c:v>5.176923076923077</c:v>
                </c:pt>
                <c:pt idx="1279">
                  <c:v>4.86923076923077</c:v>
                </c:pt>
                <c:pt idx="1280">
                  <c:v>4.992307692307692</c:v>
                </c:pt>
                <c:pt idx="1281">
                  <c:v>2.776923076923077</c:v>
                </c:pt>
                <c:pt idx="1282">
                  <c:v>2.953846153846154</c:v>
                </c:pt>
                <c:pt idx="1283">
                  <c:v>3</c:v>
                </c:pt>
                <c:pt idx="1284">
                  <c:v>0.608</c:v>
                </c:pt>
                <c:pt idx="1285">
                  <c:v>0.53</c:v>
                </c:pt>
                <c:pt idx="1286">
                  <c:v>2.942222222222222</c:v>
                </c:pt>
                <c:pt idx="1287">
                  <c:v>0.0</c:v>
                </c:pt>
                <c:pt idx="1288">
                  <c:v>3.05</c:v>
                </c:pt>
                <c:pt idx="1289">
                  <c:v>3.035714285714286</c:v>
                </c:pt>
                <c:pt idx="1290">
                  <c:v>3.135714285714286</c:v>
                </c:pt>
                <c:pt idx="1291">
                  <c:v>3.3</c:v>
                </c:pt>
                <c:pt idx="1292">
                  <c:v>3.186666666666667</c:v>
                </c:pt>
                <c:pt idx="1293">
                  <c:v>3.166666666666666</c:v>
                </c:pt>
                <c:pt idx="1294">
                  <c:v>3.34</c:v>
                </c:pt>
                <c:pt idx="1295">
                  <c:v>3.24</c:v>
                </c:pt>
                <c:pt idx="1296">
                  <c:v>3.166666666666666</c:v>
                </c:pt>
                <c:pt idx="1297">
                  <c:v>3.153333333333334</c:v>
                </c:pt>
                <c:pt idx="1298">
                  <c:v>4.106666666666666</c:v>
                </c:pt>
                <c:pt idx="1299">
                  <c:v>4.100000000000001</c:v>
                </c:pt>
                <c:pt idx="1300">
                  <c:v>3.22</c:v>
                </c:pt>
                <c:pt idx="1301">
                  <c:v>3.22</c:v>
                </c:pt>
                <c:pt idx="1302">
                  <c:v>3.313333333333333</c:v>
                </c:pt>
                <c:pt idx="1303">
                  <c:v>4.206666666666666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2.666666666666667</c:v>
                </c:pt>
                <c:pt idx="1309">
                  <c:v>2.84</c:v>
                </c:pt>
                <c:pt idx="1310">
                  <c:v>3.08</c:v>
                </c:pt>
                <c:pt idx="1311">
                  <c:v>4.100000000000001</c:v>
                </c:pt>
                <c:pt idx="1312">
                  <c:v>4.48</c:v>
                </c:pt>
                <c:pt idx="1313">
                  <c:v>4.39</c:v>
                </c:pt>
                <c:pt idx="1314">
                  <c:v>3.53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2.626923076923077</c:v>
                </c:pt>
                <c:pt idx="1321">
                  <c:v>2.715384615384615</c:v>
                </c:pt>
                <c:pt idx="1322">
                  <c:v>2.738461538461538</c:v>
                </c:pt>
                <c:pt idx="1323">
                  <c:v>2.728571428571428</c:v>
                </c:pt>
                <c:pt idx="1324">
                  <c:v>2.842857142857142</c:v>
                </c:pt>
                <c:pt idx="1325">
                  <c:v>2.878571428571429</c:v>
                </c:pt>
                <c:pt idx="1326">
                  <c:v>2.717241379310344</c:v>
                </c:pt>
                <c:pt idx="1327">
                  <c:v>2.896551724137931</c:v>
                </c:pt>
                <c:pt idx="1328">
                  <c:v>2.827586206896551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2.046666666666666</c:v>
                </c:pt>
                <c:pt idx="1336">
                  <c:v>2.046666666666666</c:v>
                </c:pt>
                <c:pt idx="1337">
                  <c:v>2.413333333333333</c:v>
                </c:pt>
                <c:pt idx="1338">
                  <c:v>2.393333333333333</c:v>
                </c:pt>
                <c:pt idx="1339">
                  <c:v>2.773333333333333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81576"/>
        <c:axId val="2113786856"/>
      </c:scatterChart>
      <c:valAx>
        <c:axId val="21137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Run #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786856"/>
        <c:crosses val="autoZero"/>
        <c:crossBetween val="midCat"/>
      </c:valAx>
      <c:valAx>
        <c:axId val="2113786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Deposition Rate (nm/min)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7815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Rho vs Run #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strRef>
              <c:f>Charts!$C$2:$C$1400</c:f>
              <c:strCache>
                <c:ptCount val="1399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57-58</c:v>
                </c:pt>
                <c:pt idx="86">
                  <c:v>57-58</c:v>
                </c:pt>
                <c:pt idx="87">
                  <c:v>57-58</c:v>
                </c:pt>
                <c:pt idx="88">
                  <c:v>57-58</c:v>
                </c:pt>
                <c:pt idx="89">
                  <c:v>59-60</c:v>
                </c:pt>
                <c:pt idx="90">
                  <c:v>59-60</c:v>
                </c:pt>
                <c:pt idx="91">
                  <c:v>59-60</c:v>
                </c:pt>
                <c:pt idx="92">
                  <c:v>59-60</c:v>
                </c:pt>
                <c:pt idx="93">
                  <c:v>61-62</c:v>
                </c:pt>
                <c:pt idx="94">
                  <c:v>61-62</c:v>
                </c:pt>
                <c:pt idx="95">
                  <c:v>61-62</c:v>
                </c:pt>
                <c:pt idx="96">
                  <c:v>61-62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64-65</c:v>
                </c:pt>
                <c:pt idx="102">
                  <c:v>64-65</c:v>
                </c:pt>
                <c:pt idx="103">
                  <c:v>64-65</c:v>
                </c:pt>
                <c:pt idx="104">
                  <c:v>64-65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0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87</c:v>
                </c:pt>
                <c:pt idx="187">
                  <c:v>87</c:v>
                </c:pt>
                <c:pt idx="188">
                  <c:v>87</c:v>
                </c:pt>
                <c:pt idx="189">
                  <c:v>87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96-97</c:v>
                </c:pt>
                <c:pt idx="223">
                  <c:v>96-97</c:v>
                </c:pt>
                <c:pt idx="224">
                  <c:v>96-97</c:v>
                </c:pt>
                <c:pt idx="225">
                  <c:v>96-97</c:v>
                </c:pt>
                <c:pt idx="226">
                  <c:v>98-99</c:v>
                </c:pt>
                <c:pt idx="227">
                  <c:v>98-99</c:v>
                </c:pt>
                <c:pt idx="228">
                  <c:v>98-99</c:v>
                </c:pt>
                <c:pt idx="229">
                  <c:v>98-99</c:v>
                </c:pt>
                <c:pt idx="230">
                  <c:v>100-101</c:v>
                </c:pt>
                <c:pt idx="231">
                  <c:v>100-101</c:v>
                </c:pt>
                <c:pt idx="232">
                  <c:v>100-101</c:v>
                </c:pt>
                <c:pt idx="233">
                  <c:v>100-101</c:v>
                </c:pt>
                <c:pt idx="234">
                  <c:v>102-103</c:v>
                </c:pt>
                <c:pt idx="235">
                  <c:v>102-103</c:v>
                </c:pt>
                <c:pt idx="236">
                  <c:v>102-103</c:v>
                </c:pt>
                <c:pt idx="237">
                  <c:v>102-103</c:v>
                </c:pt>
                <c:pt idx="238">
                  <c:v>104-105</c:v>
                </c:pt>
                <c:pt idx="239">
                  <c:v>104-105</c:v>
                </c:pt>
                <c:pt idx="240">
                  <c:v>104-105</c:v>
                </c:pt>
                <c:pt idx="241">
                  <c:v>104-105</c:v>
                </c:pt>
                <c:pt idx="242">
                  <c:v>106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  <c:pt idx="246">
                  <c:v>107</c:v>
                </c:pt>
                <c:pt idx="247">
                  <c:v>107</c:v>
                </c:pt>
                <c:pt idx="248">
                  <c:v>107</c:v>
                </c:pt>
                <c:pt idx="249">
                  <c:v>107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111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113</c:v>
                </c:pt>
                <c:pt idx="271">
                  <c:v>113</c:v>
                </c:pt>
                <c:pt idx="272">
                  <c:v>113</c:v>
                </c:pt>
                <c:pt idx="273">
                  <c:v>113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116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117</c:v>
                </c:pt>
                <c:pt idx="287">
                  <c:v>117</c:v>
                </c:pt>
                <c:pt idx="288">
                  <c:v>117</c:v>
                </c:pt>
                <c:pt idx="289">
                  <c:v>117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119</c:v>
                </c:pt>
                <c:pt idx="295">
                  <c:v>119</c:v>
                </c:pt>
                <c:pt idx="296">
                  <c:v>119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126</c:v>
                </c:pt>
                <c:pt idx="323">
                  <c:v>126</c:v>
                </c:pt>
                <c:pt idx="324">
                  <c:v>127</c:v>
                </c:pt>
                <c:pt idx="325">
                  <c:v>127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130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0</c:v>
                </c:pt>
                <c:pt idx="338">
                  <c:v>0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136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141</c:v>
                </c:pt>
                <c:pt idx="363">
                  <c:v>141</c:v>
                </c:pt>
                <c:pt idx="364">
                  <c:v>141</c:v>
                </c:pt>
                <c:pt idx="365">
                  <c:v>142</c:v>
                </c:pt>
                <c:pt idx="366">
                  <c:v>142</c:v>
                </c:pt>
                <c:pt idx="367">
                  <c:v>142</c:v>
                </c:pt>
                <c:pt idx="368">
                  <c:v>142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146</c:v>
                </c:pt>
                <c:pt idx="381">
                  <c:v>146</c:v>
                </c:pt>
                <c:pt idx="382">
                  <c:v>146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149</c:v>
                </c:pt>
                <c:pt idx="392">
                  <c:v>149</c:v>
                </c:pt>
                <c:pt idx="393">
                  <c:v>149</c:v>
                </c:pt>
                <c:pt idx="394">
                  <c:v>149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151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153</c:v>
                </c:pt>
                <c:pt idx="407">
                  <c:v>153</c:v>
                </c:pt>
                <c:pt idx="408">
                  <c:v>153</c:v>
                </c:pt>
                <c:pt idx="409">
                  <c:v>153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154</c:v>
                </c:pt>
                <c:pt idx="414">
                  <c:v>155</c:v>
                </c:pt>
                <c:pt idx="415">
                  <c:v>155</c:v>
                </c:pt>
                <c:pt idx="416">
                  <c:v>155</c:v>
                </c:pt>
                <c:pt idx="417">
                  <c:v>155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165</c:v>
                </c:pt>
                <c:pt idx="427">
                  <c:v>165</c:v>
                </c:pt>
                <c:pt idx="428">
                  <c:v>165</c:v>
                </c:pt>
                <c:pt idx="429">
                  <c:v>165</c:v>
                </c:pt>
                <c:pt idx="430">
                  <c:v>166</c:v>
                </c:pt>
                <c:pt idx="431">
                  <c:v>166</c:v>
                </c:pt>
                <c:pt idx="432">
                  <c:v>166</c:v>
                </c:pt>
                <c:pt idx="433">
                  <c:v>166</c:v>
                </c:pt>
                <c:pt idx="434">
                  <c:v>167</c:v>
                </c:pt>
                <c:pt idx="435">
                  <c:v>167</c:v>
                </c:pt>
                <c:pt idx="436">
                  <c:v>167</c:v>
                </c:pt>
                <c:pt idx="437">
                  <c:v>167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169</c:v>
                </c:pt>
                <c:pt idx="443">
                  <c:v>169</c:v>
                </c:pt>
                <c:pt idx="444">
                  <c:v>169</c:v>
                </c:pt>
                <c:pt idx="445">
                  <c:v>169</c:v>
                </c:pt>
                <c:pt idx="446">
                  <c:v>170</c:v>
                </c:pt>
                <c:pt idx="447">
                  <c:v>170</c:v>
                </c:pt>
                <c:pt idx="448">
                  <c:v>170</c:v>
                </c:pt>
                <c:pt idx="449">
                  <c:v>170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138</c:v>
                </c:pt>
                <c:pt idx="458">
                  <c:v>172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173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174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177</c:v>
                </c:pt>
                <c:pt idx="476">
                  <c:v>177</c:v>
                </c:pt>
                <c:pt idx="477">
                  <c:v>177</c:v>
                </c:pt>
                <c:pt idx="478">
                  <c:v>177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181</c:v>
                </c:pt>
                <c:pt idx="484">
                  <c:v>181</c:v>
                </c:pt>
                <c:pt idx="485">
                  <c:v>181</c:v>
                </c:pt>
                <c:pt idx="486">
                  <c:v>181</c:v>
                </c:pt>
                <c:pt idx="487">
                  <c:v>182</c:v>
                </c:pt>
                <c:pt idx="488">
                  <c:v>182</c:v>
                </c:pt>
                <c:pt idx="489">
                  <c:v>182</c:v>
                </c:pt>
                <c:pt idx="490">
                  <c:v>182</c:v>
                </c:pt>
                <c:pt idx="491">
                  <c:v>183</c:v>
                </c:pt>
                <c:pt idx="492">
                  <c:v>183</c:v>
                </c:pt>
                <c:pt idx="493">
                  <c:v>183</c:v>
                </c:pt>
                <c:pt idx="494">
                  <c:v>183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185</c:v>
                </c:pt>
                <c:pt idx="500">
                  <c:v>185</c:v>
                </c:pt>
                <c:pt idx="501">
                  <c:v>185</c:v>
                </c:pt>
                <c:pt idx="502">
                  <c:v>185</c:v>
                </c:pt>
                <c:pt idx="503">
                  <c:v>186</c:v>
                </c:pt>
                <c:pt idx="504">
                  <c:v>186</c:v>
                </c:pt>
                <c:pt idx="505">
                  <c:v>186</c:v>
                </c:pt>
                <c:pt idx="506">
                  <c:v>186</c:v>
                </c:pt>
                <c:pt idx="507">
                  <c:v>187</c:v>
                </c:pt>
                <c:pt idx="508">
                  <c:v>187</c:v>
                </c:pt>
                <c:pt idx="509">
                  <c:v>187</c:v>
                </c:pt>
                <c:pt idx="510">
                  <c:v>187</c:v>
                </c:pt>
                <c:pt idx="511">
                  <c:v>188</c:v>
                </c:pt>
                <c:pt idx="512">
                  <c:v>188</c:v>
                </c:pt>
                <c:pt idx="513">
                  <c:v>188</c:v>
                </c:pt>
                <c:pt idx="514">
                  <c:v>188</c:v>
                </c:pt>
                <c:pt idx="515">
                  <c:v>189</c:v>
                </c:pt>
                <c:pt idx="516">
                  <c:v>189</c:v>
                </c:pt>
                <c:pt idx="517">
                  <c:v>189</c:v>
                </c:pt>
                <c:pt idx="518">
                  <c:v>189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192</c:v>
                </c:pt>
                <c:pt idx="528">
                  <c:v>192</c:v>
                </c:pt>
                <c:pt idx="529">
                  <c:v>192</c:v>
                </c:pt>
                <c:pt idx="530">
                  <c:v>192</c:v>
                </c:pt>
                <c:pt idx="531">
                  <c:v>193</c:v>
                </c:pt>
                <c:pt idx="532">
                  <c:v>193</c:v>
                </c:pt>
                <c:pt idx="533">
                  <c:v>193</c:v>
                </c:pt>
                <c:pt idx="534">
                  <c:v>193</c:v>
                </c:pt>
                <c:pt idx="535">
                  <c:v>194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195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196</c:v>
                </c:pt>
                <c:pt idx="544">
                  <c:v>196</c:v>
                </c:pt>
                <c:pt idx="545">
                  <c:v>196</c:v>
                </c:pt>
                <c:pt idx="546">
                  <c:v>196</c:v>
                </c:pt>
                <c:pt idx="547">
                  <c:v>197</c:v>
                </c:pt>
                <c:pt idx="548">
                  <c:v>197</c:v>
                </c:pt>
                <c:pt idx="549">
                  <c:v>197</c:v>
                </c:pt>
                <c:pt idx="550">
                  <c:v>197</c:v>
                </c:pt>
                <c:pt idx="551">
                  <c:v>198</c:v>
                </c:pt>
                <c:pt idx="552">
                  <c:v>198</c:v>
                </c:pt>
                <c:pt idx="553">
                  <c:v>198</c:v>
                </c:pt>
                <c:pt idx="554">
                  <c:v>198</c:v>
                </c:pt>
                <c:pt idx="555">
                  <c:v>199</c:v>
                </c:pt>
                <c:pt idx="556">
                  <c:v>199</c:v>
                </c:pt>
                <c:pt idx="557">
                  <c:v>199</c:v>
                </c:pt>
                <c:pt idx="558">
                  <c:v>199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211</c:v>
                </c:pt>
                <c:pt idx="580">
                  <c:v>211</c:v>
                </c:pt>
                <c:pt idx="581">
                  <c:v>211</c:v>
                </c:pt>
                <c:pt idx="582">
                  <c:v>211</c:v>
                </c:pt>
                <c:pt idx="583">
                  <c:v>212</c:v>
                </c:pt>
                <c:pt idx="584">
                  <c:v>212</c:v>
                </c:pt>
                <c:pt idx="585">
                  <c:v>212</c:v>
                </c:pt>
                <c:pt idx="586">
                  <c:v>212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216</c:v>
                </c:pt>
                <c:pt idx="596">
                  <c:v>216</c:v>
                </c:pt>
                <c:pt idx="597">
                  <c:v>216</c:v>
                </c:pt>
                <c:pt idx="598">
                  <c:v>216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218</c:v>
                </c:pt>
                <c:pt idx="604">
                  <c:v>218</c:v>
                </c:pt>
                <c:pt idx="605">
                  <c:v>218</c:v>
                </c:pt>
                <c:pt idx="606">
                  <c:v>218</c:v>
                </c:pt>
                <c:pt idx="607">
                  <c:v>219</c:v>
                </c:pt>
                <c:pt idx="608">
                  <c:v>219</c:v>
                </c:pt>
                <c:pt idx="609">
                  <c:v>219</c:v>
                </c:pt>
                <c:pt idx="610">
                  <c:v>219</c:v>
                </c:pt>
                <c:pt idx="611">
                  <c:v>220</c:v>
                </c:pt>
                <c:pt idx="612">
                  <c:v>220</c:v>
                </c:pt>
                <c:pt idx="613">
                  <c:v>220</c:v>
                </c:pt>
                <c:pt idx="614">
                  <c:v>220</c:v>
                </c:pt>
                <c:pt idx="615">
                  <c:v>221</c:v>
                </c:pt>
                <c:pt idx="616">
                  <c:v>221</c:v>
                </c:pt>
                <c:pt idx="617">
                  <c:v>221</c:v>
                </c:pt>
                <c:pt idx="618">
                  <c:v>221</c:v>
                </c:pt>
                <c:pt idx="619">
                  <c:v>222</c:v>
                </c:pt>
                <c:pt idx="620">
                  <c:v>222</c:v>
                </c:pt>
                <c:pt idx="621">
                  <c:v>222</c:v>
                </c:pt>
                <c:pt idx="622">
                  <c:v>222</c:v>
                </c:pt>
                <c:pt idx="623">
                  <c:v>223</c:v>
                </c:pt>
                <c:pt idx="624">
                  <c:v>223</c:v>
                </c:pt>
                <c:pt idx="625">
                  <c:v>223</c:v>
                </c:pt>
                <c:pt idx="626">
                  <c:v>223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228</c:v>
                </c:pt>
                <c:pt idx="632">
                  <c:v>228</c:v>
                </c:pt>
                <c:pt idx="633">
                  <c:v>228</c:v>
                </c:pt>
                <c:pt idx="634">
                  <c:v>228</c:v>
                </c:pt>
                <c:pt idx="635">
                  <c:v>229</c:v>
                </c:pt>
                <c:pt idx="636">
                  <c:v>229</c:v>
                </c:pt>
                <c:pt idx="637">
                  <c:v>229</c:v>
                </c:pt>
                <c:pt idx="638">
                  <c:v>229</c:v>
                </c:pt>
                <c:pt idx="639">
                  <c:v>230</c:v>
                </c:pt>
                <c:pt idx="640">
                  <c:v>230</c:v>
                </c:pt>
                <c:pt idx="641">
                  <c:v>230</c:v>
                </c:pt>
                <c:pt idx="642">
                  <c:v>230</c:v>
                </c:pt>
                <c:pt idx="643">
                  <c:v>231</c:v>
                </c:pt>
                <c:pt idx="644">
                  <c:v>231</c:v>
                </c:pt>
                <c:pt idx="645">
                  <c:v>231</c:v>
                </c:pt>
                <c:pt idx="646">
                  <c:v>231</c:v>
                </c:pt>
                <c:pt idx="647">
                  <c:v>232</c:v>
                </c:pt>
                <c:pt idx="648">
                  <c:v>232</c:v>
                </c:pt>
                <c:pt idx="649">
                  <c:v>232</c:v>
                </c:pt>
                <c:pt idx="650">
                  <c:v>232</c:v>
                </c:pt>
                <c:pt idx="651">
                  <c:v>233</c:v>
                </c:pt>
                <c:pt idx="652">
                  <c:v>233</c:v>
                </c:pt>
                <c:pt idx="653">
                  <c:v>233</c:v>
                </c:pt>
                <c:pt idx="654">
                  <c:v>233</c:v>
                </c:pt>
                <c:pt idx="655">
                  <c:v>234</c:v>
                </c:pt>
                <c:pt idx="656">
                  <c:v>234</c:v>
                </c:pt>
                <c:pt idx="657">
                  <c:v>234</c:v>
                </c:pt>
                <c:pt idx="658">
                  <c:v>234</c:v>
                </c:pt>
                <c:pt idx="659">
                  <c:v>235</c:v>
                </c:pt>
                <c:pt idx="660">
                  <c:v>235</c:v>
                </c:pt>
                <c:pt idx="661">
                  <c:v>235</c:v>
                </c:pt>
                <c:pt idx="662">
                  <c:v>235</c:v>
                </c:pt>
                <c:pt idx="663">
                  <c:v>236</c:v>
                </c:pt>
                <c:pt idx="664">
                  <c:v>236</c:v>
                </c:pt>
                <c:pt idx="665">
                  <c:v>236</c:v>
                </c:pt>
                <c:pt idx="666">
                  <c:v>236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244</c:v>
                </c:pt>
                <c:pt idx="672">
                  <c:v>244</c:v>
                </c:pt>
                <c:pt idx="673">
                  <c:v>244</c:v>
                </c:pt>
                <c:pt idx="674">
                  <c:v>244</c:v>
                </c:pt>
                <c:pt idx="675">
                  <c:v>245</c:v>
                </c:pt>
                <c:pt idx="676">
                  <c:v>245</c:v>
                </c:pt>
                <c:pt idx="677">
                  <c:v>245</c:v>
                </c:pt>
                <c:pt idx="678">
                  <c:v>245</c:v>
                </c:pt>
                <c:pt idx="679">
                  <c:v>246</c:v>
                </c:pt>
                <c:pt idx="680">
                  <c:v>246</c:v>
                </c:pt>
                <c:pt idx="681">
                  <c:v>246</c:v>
                </c:pt>
                <c:pt idx="682">
                  <c:v>246</c:v>
                </c:pt>
                <c:pt idx="683">
                  <c:v>247</c:v>
                </c:pt>
                <c:pt idx="684">
                  <c:v>247</c:v>
                </c:pt>
                <c:pt idx="685">
                  <c:v>247</c:v>
                </c:pt>
                <c:pt idx="686">
                  <c:v>247</c:v>
                </c:pt>
                <c:pt idx="687">
                  <c:v>249</c:v>
                </c:pt>
                <c:pt idx="688">
                  <c:v>249</c:v>
                </c:pt>
                <c:pt idx="689">
                  <c:v>249</c:v>
                </c:pt>
                <c:pt idx="690">
                  <c:v>249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251</c:v>
                </c:pt>
                <c:pt idx="696">
                  <c:v>251</c:v>
                </c:pt>
                <c:pt idx="697">
                  <c:v>251</c:v>
                </c:pt>
                <c:pt idx="698">
                  <c:v>251</c:v>
                </c:pt>
                <c:pt idx="699">
                  <c:v>252</c:v>
                </c:pt>
                <c:pt idx="700">
                  <c:v>252</c:v>
                </c:pt>
                <c:pt idx="701">
                  <c:v>252</c:v>
                </c:pt>
                <c:pt idx="702">
                  <c:v>252</c:v>
                </c:pt>
                <c:pt idx="703">
                  <c:v>257</c:v>
                </c:pt>
                <c:pt idx="704">
                  <c:v>257</c:v>
                </c:pt>
                <c:pt idx="705">
                  <c:v>257</c:v>
                </c:pt>
                <c:pt idx="706">
                  <c:v>257</c:v>
                </c:pt>
                <c:pt idx="707">
                  <c:v>258</c:v>
                </c:pt>
                <c:pt idx="708">
                  <c:v>258</c:v>
                </c:pt>
                <c:pt idx="709">
                  <c:v>258</c:v>
                </c:pt>
                <c:pt idx="710">
                  <c:v>258</c:v>
                </c:pt>
                <c:pt idx="711">
                  <c:v>259</c:v>
                </c:pt>
                <c:pt idx="712">
                  <c:v>259</c:v>
                </c:pt>
                <c:pt idx="713">
                  <c:v>259</c:v>
                </c:pt>
                <c:pt idx="714">
                  <c:v>260</c:v>
                </c:pt>
                <c:pt idx="715">
                  <c:v>260</c:v>
                </c:pt>
                <c:pt idx="716">
                  <c:v>261</c:v>
                </c:pt>
                <c:pt idx="717">
                  <c:v>261</c:v>
                </c:pt>
                <c:pt idx="718">
                  <c:v>261</c:v>
                </c:pt>
                <c:pt idx="719">
                  <c:v>262</c:v>
                </c:pt>
                <c:pt idx="720">
                  <c:v>262</c:v>
                </c:pt>
                <c:pt idx="721">
                  <c:v>262</c:v>
                </c:pt>
                <c:pt idx="722">
                  <c:v>262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265</c:v>
                </c:pt>
                <c:pt idx="727">
                  <c:v>266</c:v>
                </c:pt>
                <c:pt idx="728">
                  <c:v>266</c:v>
                </c:pt>
                <c:pt idx="729">
                  <c:v>266</c:v>
                </c:pt>
                <c:pt idx="730">
                  <c:v>266</c:v>
                </c:pt>
                <c:pt idx="731">
                  <c:v>267</c:v>
                </c:pt>
                <c:pt idx="732">
                  <c:v>267</c:v>
                </c:pt>
                <c:pt idx="733">
                  <c:v>267</c:v>
                </c:pt>
                <c:pt idx="734">
                  <c:v>267</c:v>
                </c:pt>
                <c:pt idx="735">
                  <c:v>268</c:v>
                </c:pt>
                <c:pt idx="736">
                  <c:v>268</c:v>
                </c:pt>
                <c:pt idx="737">
                  <c:v>268</c:v>
                </c:pt>
                <c:pt idx="738">
                  <c:v>268</c:v>
                </c:pt>
                <c:pt idx="739">
                  <c:v>269</c:v>
                </c:pt>
                <c:pt idx="740">
                  <c:v>269</c:v>
                </c:pt>
                <c:pt idx="741">
                  <c:v>269</c:v>
                </c:pt>
                <c:pt idx="742">
                  <c:v>269</c:v>
                </c:pt>
                <c:pt idx="743">
                  <c:v>270</c:v>
                </c:pt>
                <c:pt idx="744">
                  <c:v>270</c:v>
                </c:pt>
                <c:pt idx="745">
                  <c:v>270</c:v>
                </c:pt>
                <c:pt idx="746">
                  <c:v>270</c:v>
                </c:pt>
                <c:pt idx="747">
                  <c:v>271</c:v>
                </c:pt>
                <c:pt idx="748">
                  <c:v>271</c:v>
                </c:pt>
                <c:pt idx="749">
                  <c:v>271</c:v>
                </c:pt>
                <c:pt idx="750">
                  <c:v>271</c:v>
                </c:pt>
                <c:pt idx="751">
                  <c:v>274</c:v>
                </c:pt>
                <c:pt idx="752">
                  <c:v>274</c:v>
                </c:pt>
                <c:pt idx="753">
                  <c:v>274</c:v>
                </c:pt>
                <c:pt idx="754">
                  <c:v>274</c:v>
                </c:pt>
                <c:pt idx="755">
                  <c:v>275</c:v>
                </c:pt>
                <c:pt idx="756">
                  <c:v>275</c:v>
                </c:pt>
                <c:pt idx="757">
                  <c:v>275</c:v>
                </c:pt>
                <c:pt idx="758">
                  <c:v>275</c:v>
                </c:pt>
                <c:pt idx="759">
                  <c:v>276</c:v>
                </c:pt>
                <c:pt idx="760">
                  <c:v>276</c:v>
                </c:pt>
                <c:pt idx="761">
                  <c:v>276</c:v>
                </c:pt>
                <c:pt idx="762">
                  <c:v>276</c:v>
                </c:pt>
                <c:pt idx="763">
                  <c:v>277</c:v>
                </c:pt>
                <c:pt idx="764">
                  <c:v>277</c:v>
                </c:pt>
                <c:pt idx="765">
                  <c:v>277</c:v>
                </c:pt>
                <c:pt idx="766">
                  <c:v>277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>
                  <c:v>278</c:v>
                </c:pt>
                <c:pt idx="771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281</c:v>
                </c:pt>
                <c:pt idx="780">
                  <c:v>281</c:v>
                </c:pt>
                <c:pt idx="781">
                  <c:v>282</c:v>
                </c:pt>
                <c:pt idx="782">
                  <c:v>282</c:v>
                </c:pt>
                <c:pt idx="783">
                  <c:v>282</c:v>
                </c:pt>
                <c:pt idx="784">
                  <c:v>282</c:v>
                </c:pt>
                <c:pt idx="785">
                  <c:v>283</c:v>
                </c:pt>
                <c:pt idx="786">
                  <c:v>283</c:v>
                </c:pt>
                <c:pt idx="787">
                  <c:v>283</c:v>
                </c:pt>
                <c:pt idx="788">
                  <c:v>283</c:v>
                </c:pt>
                <c:pt idx="789">
                  <c:v>284</c:v>
                </c:pt>
                <c:pt idx="790">
                  <c:v>284</c:v>
                </c:pt>
                <c:pt idx="791">
                  <c:v>285</c:v>
                </c:pt>
                <c:pt idx="792">
                  <c:v>285</c:v>
                </c:pt>
                <c:pt idx="793">
                  <c:v>285</c:v>
                </c:pt>
                <c:pt idx="794">
                  <c:v>285</c:v>
                </c:pt>
                <c:pt idx="795">
                  <c:v>286</c:v>
                </c:pt>
                <c:pt idx="796">
                  <c:v>286</c:v>
                </c:pt>
                <c:pt idx="797">
                  <c:v>286</c:v>
                </c:pt>
                <c:pt idx="798">
                  <c:v>286</c:v>
                </c:pt>
                <c:pt idx="799">
                  <c:v>286</c:v>
                </c:pt>
                <c:pt idx="800">
                  <c:v>287</c:v>
                </c:pt>
                <c:pt idx="801">
                  <c:v>287</c:v>
                </c:pt>
                <c:pt idx="802">
                  <c:v>287</c:v>
                </c:pt>
                <c:pt idx="803">
                  <c:v>287</c:v>
                </c:pt>
                <c:pt idx="804">
                  <c:v>287</c:v>
                </c:pt>
                <c:pt idx="805">
                  <c:v>287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290</c:v>
                </c:pt>
                <c:pt idx="813">
                  <c:v>290</c:v>
                </c:pt>
                <c:pt idx="814">
                  <c:v>290</c:v>
                </c:pt>
                <c:pt idx="815">
                  <c:v>290</c:v>
                </c:pt>
                <c:pt idx="816">
                  <c:v>291</c:v>
                </c:pt>
                <c:pt idx="817">
                  <c:v>291</c:v>
                </c:pt>
                <c:pt idx="818">
                  <c:v>291</c:v>
                </c:pt>
                <c:pt idx="819">
                  <c:v>291</c:v>
                </c:pt>
                <c:pt idx="820">
                  <c:v>291</c:v>
                </c:pt>
                <c:pt idx="821">
                  <c:v>291</c:v>
                </c:pt>
                <c:pt idx="822">
                  <c:v>292</c:v>
                </c:pt>
                <c:pt idx="823">
                  <c:v>292</c:v>
                </c:pt>
                <c:pt idx="824">
                  <c:v>292</c:v>
                </c:pt>
                <c:pt idx="825">
                  <c:v>292</c:v>
                </c:pt>
                <c:pt idx="826">
                  <c:v>292</c:v>
                </c:pt>
                <c:pt idx="827">
                  <c:v>292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295</c:v>
                </c:pt>
                <c:pt idx="835">
                  <c:v>296</c:v>
                </c:pt>
                <c:pt idx="836">
                  <c:v>296</c:v>
                </c:pt>
                <c:pt idx="837">
                  <c:v>296</c:v>
                </c:pt>
                <c:pt idx="838">
                  <c:v>297</c:v>
                </c:pt>
                <c:pt idx="839">
                  <c:v>297</c:v>
                </c:pt>
                <c:pt idx="840">
                  <c:v>297</c:v>
                </c:pt>
                <c:pt idx="841">
                  <c:v>297</c:v>
                </c:pt>
                <c:pt idx="842">
                  <c:v>297</c:v>
                </c:pt>
                <c:pt idx="843">
                  <c:v>297</c:v>
                </c:pt>
                <c:pt idx="844">
                  <c:v>298</c:v>
                </c:pt>
                <c:pt idx="845">
                  <c:v>298</c:v>
                </c:pt>
                <c:pt idx="846">
                  <c:v>298</c:v>
                </c:pt>
                <c:pt idx="847">
                  <c:v>298</c:v>
                </c:pt>
                <c:pt idx="848">
                  <c:v>298</c:v>
                </c:pt>
                <c:pt idx="849">
                  <c:v>298</c:v>
                </c:pt>
                <c:pt idx="850">
                  <c:v>300</c:v>
                </c:pt>
                <c:pt idx="851">
                  <c:v>300</c:v>
                </c:pt>
                <c:pt idx="852">
                  <c:v>302</c:v>
                </c:pt>
                <c:pt idx="853">
                  <c:v>302</c:v>
                </c:pt>
                <c:pt idx="854">
                  <c:v>304</c:v>
                </c:pt>
                <c:pt idx="855">
                  <c:v>304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308</c:v>
                </c:pt>
                <c:pt idx="863">
                  <c:v>308</c:v>
                </c:pt>
                <c:pt idx="864">
                  <c:v>309</c:v>
                </c:pt>
                <c:pt idx="865">
                  <c:v>309</c:v>
                </c:pt>
                <c:pt idx="866">
                  <c:v>309</c:v>
                </c:pt>
                <c:pt idx="867">
                  <c:v>309</c:v>
                </c:pt>
                <c:pt idx="868">
                  <c:v>310</c:v>
                </c:pt>
                <c:pt idx="869">
                  <c:v>310</c:v>
                </c:pt>
                <c:pt idx="870">
                  <c:v>311</c:v>
                </c:pt>
                <c:pt idx="871">
                  <c:v>311</c:v>
                </c:pt>
                <c:pt idx="872">
                  <c:v>312</c:v>
                </c:pt>
                <c:pt idx="873">
                  <c:v>312</c:v>
                </c:pt>
                <c:pt idx="874">
                  <c:v>313</c:v>
                </c:pt>
                <c:pt idx="875">
                  <c:v>313</c:v>
                </c:pt>
                <c:pt idx="876">
                  <c:v>315</c:v>
                </c:pt>
                <c:pt idx="877">
                  <c:v>315</c:v>
                </c:pt>
                <c:pt idx="878">
                  <c:v>316</c:v>
                </c:pt>
                <c:pt idx="879">
                  <c:v>316</c:v>
                </c:pt>
                <c:pt idx="880">
                  <c:v>316</c:v>
                </c:pt>
                <c:pt idx="881">
                  <c:v>316</c:v>
                </c:pt>
                <c:pt idx="882">
                  <c:v>316</c:v>
                </c:pt>
                <c:pt idx="883">
                  <c:v>317</c:v>
                </c:pt>
                <c:pt idx="884">
                  <c:v>317</c:v>
                </c:pt>
                <c:pt idx="885">
                  <c:v>317</c:v>
                </c:pt>
                <c:pt idx="886">
                  <c:v>317</c:v>
                </c:pt>
                <c:pt idx="887">
                  <c:v>317</c:v>
                </c:pt>
                <c:pt idx="888">
                  <c:v>317</c:v>
                </c:pt>
                <c:pt idx="889">
                  <c:v>318</c:v>
                </c:pt>
                <c:pt idx="890">
                  <c:v>#REF!</c:v>
                </c:pt>
                <c:pt idx="891">
                  <c:v>318</c:v>
                </c:pt>
                <c:pt idx="892">
                  <c:v>318</c:v>
                </c:pt>
                <c:pt idx="893">
                  <c:v>318</c:v>
                </c:pt>
                <c:pt idx="894">
                  <c:v>318</c:v>
                </c:pt>
                <c:pt idx="895">
                  <c:v>319</c:v>
                </c:pt>
                <c:pt idx="896">
                  <c:v>319</c:v>
                </c:pt>
                <c:pt idx="897">
                  <c:v>319</c:v>
                </c:pt>
                <c:pt idx="898">
                  <c:v>319</c:v>
                </c:pt>
                <c:pt idx="899">
                  <c:v>324</c:v>
                </c:pt>
                <c:pt idx="900">
                  <c:v>324</c:v>
                </c:pt>
                <c:pt idx="901">
                  <c:v>324</c:v>
                </c:pt>
                <c:pt idx="902">
                  <c:v>321</c:v>
                </c:pt>
                <c:pt idx="903">
                  <c:v>324</c:v>
                </c:pt>
                <c:pt idx="904">
                  <c:v>324</c:v>
                </c:pt>
                <c:pt idx="905">
                  <c:v>324</c:v>
                </c:pt>
                <c:pt idx="906">
                  <c:v>325</c:v>
                </c:pt>
                <c:pt idx="907">
                  <c:v>325</c:v>
                </c:pt>
                <c:pt idx="908">
                  <c:v>325</c:v>
                </c:pt>
                <c:pt idx="909">
                  <c:v>326</c:v>
                </c:pt>
                <c:pt idx="910">
                  <c:v>326</c:v>
                </c:pt>
                <c:pt idx="911">
                  <c:v>326</c:v>
                </c:pt>
                <c:pt idx="912">
                  <c:v>326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328</c:v>
                </c:pt>
                <c:pt idx="920">
                  <c:v>328</c:v>
                </c:pt>
                <c:pt idx="921">
                  <c:v>328</c:v>
                </c:pt>
                <c:pt idx="922">
                  <c:v>328</c:v>
                </c:pt>
                <c:pt idx="923">
                  <c:v>328</c:v>
                </c:pt>
                <c:pt idx="924">
                  <c:v>329</c:v>
                </c:pt>
                <c:pt idx="925">
                  <c:v>329</c:v>
                </c:pt>
                <c:pt idx="926">
                  <c:v>329</c:v>
                </c:pt>
                <c:pt idx="927">
                  <c:v>329</c:v>
                </c:pt>
                <c:pt idx="928">
                  <c:v>329</c:v>
                </c:pt>
                <c:pt idx="929">
                  <c:v>330</c:v>
                </c:pt>
                <c:pt idx="930">
                  <c:v>330</c:v>
                </c:pt>
                <c:pt idx="931">
                  <c:v>330</c:v>
                </c:pt>
                <c:pt idx="932">
                  <c:v>330</c:v>
                </c:pt>
                <c:pt idx="933">
                  <c:v>330</c:v>
                </c:pt>
                <c:pt idx="934">
                  <c:v>330</c:v>
                </c:pt>
                <c:pt idx="935">
                  <c:v>332</c:v>
                </c:pt>
                <c:pt idx="936">
                  <c:v>332</c:v>
                </c:pt>
                <c:pt idx="937">
                  <c:v>332</c:v>
                </c:pt>
                <c:pt idx="938">
                  <c:v>332</c:v>
                </c:pt>
                <c:pt idx="939">
                  <c:v>332</c:v>
                </c:pt>
                <c:pt idx="940">
                  <c:v>332</c:v>
                </c:pt>
                <c:pt idx="941">
                  <c:v>333</c:v>
                </c:pt>
                <c:pt idx="942">
                  <c:v>333</c:v>
                </c:pt>
                <c:pt idx="943">
                  <c:v>333</c:v>
                </c:pt>
                <c:pt idx="944">
                  <c:v>333</c:v>
                </c:pt>
                <c:pt idx="945">
                  <c:v>333</c:v>
                </c:pt>
                <c:pt idx="946">
                  <c:v>333</c:v>
                </c:pt>
                <c:pt idx="947">
                  <c:v>334</c:v>
                </c:pt>
                <c:pt idx="948">
                  <c:v>334</c:v>
                </c:pt>
                <c:pt idx="949">
                  <c:v>335</c:v>
                </c:pt>
                <c:pt idx="950">
                  <c:v>335</c:v>
                </c:pt>
                <c:pt idx="951">
                  <c:v>336</c:v>
                </c:pt>
                <c:pt idx="952">
                  <c:v>336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340</c:v>
                </c:pt>
                <c:pt idx="965">
                  <c:v>340</c:v>
                </c:pt>
                <c:pt idx="966">
                  <c:v>340</c:v>
                </c:pt>
                <c:pt idx="967">
                  <c:v>340</c:v>
                </c:pt>
                <c:pt idx="968">
                  <c:v>340</c:v>
                </c:pt>
                <c:pt idx="969">
                  <c:v>340</c:v>
                </c:pt>
                <c:pt idx="970">
                  <c:v>341</c:v>
                </c:pt>
                <c:pt idx="971">
                  <c:v>341</c:v>
                </c:pt>
                <c:pt idx="972">
                  <c:v>341</c:v>
                </c:pt>
                <c:pt idx="973">
                  <c:v>341</c:v>
                </c:pt>
                <c:pt idx="974">
                  <c:v>341</c:v>
                </c:pt>
                <c:pt idx="975">
                  <c:v>341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345</c:v>
                </c:pt>
                <c:pt idx="983">
                  <c:v>345</c:v>
                </c:pt>
                <c:pt idx="984">
                  <c:v>345</c:v>
                </c:pt>
                <c:pt idx="985">
                  <c:v>345</c:v>
                </c:pt>
                <c:pt idx="986">
                  <c:v>345</c:v>
                </c:pt>
                <c:pt idx="987">
                  <c:v>345</c:v>
                </c:pt>
                <c:pt idx="988">
                  <c:v>345</c:v>
                </c:pt>
                <c:pt idx="989">
                  <c:v>345</c:v>
                </c:pt>
                <c:pt idx="990">
                  <c:v>345</c:v>
                </c:pt>
                <c:pt idx="991">
                  <c:v>345</c:v>
                </c:pt>
                <c:pt idx="992">
                  <c:v>345</c:v>
                </c:pt>
                <c:pt idx="993">
                  <c:v>345</c:v>
                </c:pt>
                <c:pt idx="994">
                  <c:v>346</c:v>
                </c:pt>
                <c:pt idx="995">
                  <c:v>346</c:v>
                </c:pt>
                <c:pt idx="996">
                  <c:v>347</c:v>
                </c:pt>
                <c:pt idx="997">
                  <c:v>347</c:v>
                </c:pt>
                <c:pt idx="998">
                  <c:v>347</c:v>
                </c:pt>
                <c:pt idx="999">
                  <c:v>347</c:v>
                </c:pt>
                <c:pt idx="1000">
                  <c:v>347</c:v>
                </c:pt>
                <c:pt idx="1001">
                  <c:v>347</c:v>
                </c:pt>
                <c:pt idx="1002">
                  <c:v>348</c:v>
                </c:pt>
                <c:pt idx="1003">
                  <c:v>348</c:v>
                </c:pt>
                <c:pt idx="1004">
                  <c:v>348</c:v>
                </c:pt>
                <c:pt idx="1005">
                  <c:v>348</c:v>
                </c:pt>
                <c:pt idx="1006">
                  <c:v>348</c:v>
                </c:pt>
                <c:pt idx="1007">
                  <c:v>348</c:v>
                </c:pt>
                <c:pt idx="1008">
                  <c:v>349</c:v>
                </c:pt>
                <c:pt idx="1009">
                  <c:v>349</c:v>
                </c:pt>
                <c:pt idx="1010">
                  <c:v>353</c:v>
                </c:pt>
                <c:pt idx="1011">
                  <c:v>353</c:v>
                </c:pt>
                <c:pt idx="1012">
                  <c:v>353</c:v>
                </c:pt>
                <c:pt idx="1013">
                  <c:v>353</c:v>
                </c:pt>
                <c:pt idx="1014">
                  <c:v>353</c:v>
                </c:pt>
                <c:pt idx="1015">
                  <c:v>353</c:v>
                </c:pt>
                <c:pt idx="1016">
                  <c:v>354</c:v>
                </c:pt>
                <c:pt idx="1017">
                  <c:v>354</c:v>
                </c:pt>
                <c:pt idx="1018">
                  <c:v>355</c:v>
                </c:pt>
                <c:pt idx="1019">
                  <c:v>355</c:v>
                </c:pt>
                <c:pt idx="1020">
                  <c:v>355</c:v>
                </c:pt>
                <c:pt idx="1021">
                  <c:v>355</c:v>
                </c:pt>
                <c:pt idx="1022">
                  <c:v>355</c:v>
                </c:pt>
                <c:pt idx="1023">
                  <c:v>355</c:v>
                </c:pt>
                <c:pt idx="1024">
                  <c:v>356</c:v>
                </c:pt>
                <c:pt idx="1025">
                  <c:v>356</c:v>
                </c:pt>
                <c:pt idx="1026">
                  <c:v>357</c:v>
                </c:pt>
                <c:pt idx="1027">
                  <c:v>357</c:v>
                </c:pt>
                <c:pt idx="1028">
                  <c:v>357</c:v>
                </c:pt>
                <c:pt idx="1029">
                  <c:v>357</c:v>
                </c:pt>
                <c:pt idx="1030">
                  <c:v>357</c:v>
                </c:pt>
                <c:pt idx="1031">
                  <c:v>357</c:v>
                </c:pt>
                <c:pt idx="1032">
                  <c:v>358</c:v>
                </c:pt>
                <c:pt idx="1033">
                  <c:v>358</c:v>
                </c:pt>
                <c:pt idx="1034">
                  <c:v>358</c:v>
                </c:pt>
                <c:pt idx="1035">
                  <c:v>358</c:v>
                </c:pt>
                <c:pt idx="1036">
                  <c:v>358</c:v>
                </c:pt>
                <c:pt idx="1037">
                  <c:v>358</c:v>
                </c:pt>
                <c:pt idx="1038">
                  <c:v>359</c:v>
                </c:pt>
                <c:pt idx="1039">
                  <c:v>359</c:v>
                </c:pt>
                <c:pt idx="1040">
                  <c:v>359</c:v>
                </c:pt>
                <c:pt idx="1041">
                  <c:v>359</c:v>
                </c:pt>
                <c:pt idx="1042">
                  <c:v>359</c:v>
                </c:pt>
                <c:pt idx="1043">
                  <c:v>359</c:v>
                </c:pt>
                <c:pt idx="1044">
                  <c:v>360</c:v>
                </c:pt>
                <c:pt idx="1045">
                  <c:v>360</c:v>
                </c:pt>
                <c:pt idx="1046">
                  <c:v>360</c:v>
                </c:pt>
                <c:pt idx="1047">
                  <c:v>360</c:v>
                </c:pt>
                <c:pt idx="1048">
                  <c:v>360</c:v>
                </c:pt>
                <c:pt idx="1049">
                  <c:v>360</c:v>
                </c:pt>
                <c:pt idx="1050">
                  <c:v>361</c:v>
                </c:pt>
                <c:pt idx="1051">
                  <c:v>361</c:v>
                </c:pt>
                <c:pt idx="1052">
                  <c:v>362</c:v>
                </c:pt>
                <c:pt idx="1053">
                  <c:v>362</c:v>
                </c:pt>
                <c:pt idx="1054">
                  <c:v>362</c:v>
                </c:pt>
                <c:pt idx="1055">
                  <c:v>362</c:v>
                </c:pt>
                <c:pt idx="1056">
                  <c:v>362</c:v>
                </c:pt>
                <c:pt idx="1057">
                  <c:v>362</c:v>
                </c:pt>
                <c:pt idx="1058">
                  <c:v>363</c:v>
                </c:pt>
                <c:pt idx="1059">
                  <c:v>363</c:v>
                </c:pt>
                <c:pt idx="1060">
                  <c:v>364</c:v>
                </c:pt>
                <c:pt idx="1061">
                  <c:v>364</c:v>
                </c:pt>
                <c:pt idx="1062">
                  <c:v>364</c:v>
                </c:pt>
                <c:pt idx="1063">
                  <c:v>364</c:v>
                </c:pt>
                <c:pt idx="1064">
                  <c:v>364</c:v>
                </c:pt>
                <c:pt idx="1065">
                  <c:v>364</c:v>
                </c:pt>
                <c:pt idx="1066">
                  <c:v>365</c:v>
                </c:pt>
                <c:pt idx="1067">
                  <c:v>365</c:v>
                </c:pt>
                <c:pt idx="1068">
                  <c:v>366</c:v>
                </c:pt>
                <c:pt idx="1069">
                  <c:v>366</c:v>
                </c:pt>
                <c:pt idx="1070">
                  <c:v>367</c:v>
                </c:pt>
                <c:pt idx="1071">
                  <c:v>367</c:v>
                </c:pt>
                <c:pt idx="1072">
                  <c:v>367</c:v>
                </c:pt>
                <c:pt idx="1073">
                  <c:v>367</c:v>
                </c:pt>
                <c:pt idx="1074">
                  <c:v>367</c:v>
                </c:pt>
                <c:pt idx="1075">
                  <c:v>367</c:v>
                </c:pt>
                <c:pt idx="1076">
                  <c:v>368</c:v>
                </c:pt>
                <c:pt idx="1077">
                  <c:v>368</c:v>
                </c:pt>
                <c:pt idx="1078">
                  <c:v>368</c:v>
                </c:pt>
                <c:pt idx="1079">
                  <c:v>368</c:v>
                </c:pt>
                <c:pt idx="1080">
                  <c:v>368</c:v>
                </c:pt>
                <c:pt idx="1081">
                  <c:v>368</c:v>
                </c:pt>
                <c:pt idx="1082">
                  <c:v>369</c:v>
                </c:pt>
                <c:pt idx="1083">
                  <c:v>369</c:v>
                </c:pt>
                <c:pt idx="1084">
                  <c:v>369</c:v>
                </c:pt>
                <c:pt idx="1085">
                  <c:v>369</c:v>
                </c:pt>
                <c:pt idx="1086">
                  <c:v>369</c:v>
                </c:pt>
                <c:pt idx="1087">
                  <c:v>369</c:v>
                </c:pt>
                <c:pt idx="1088">
                  <c:v>370</c:v>
                </c:pt>
                <c:pt idx="1089">
                  <c:v>370</c:v>
                </c:pt>
                <c:pt idx="1090">
                  <c:v>372</c:v>
                </c:pt>
                <c:pt idx="1091">
                  <c:v>372</c:v>
                </c:pt>
                <c:pt idx="1092">
                  <c:v>372</c:v>
                </c:pt>
                <c:pt idx="1093">
                  <c:v>372</c:v>
                </c:pt>
                <c:pt idx="1094">
                  <c:v>372</c:v>
                </c:pt>
                <c:pt idx="1095">
                  <c:v>372</c:v>
                </c:pt>
                <c:pt idx="1096">
                  <c:v>373</c:v>
                </c:pt>
                <c:pt idx="1097">
                  <c:v>375</c:v>
                </c:pt>
                <c:pt idx="1098">
                  <c:v>375</c:v>
                </c:pt>
                <c:pt idx="1099">
                  <c:v>375</c:v>
                </c:pt>
                <c:pt idx="1100">
                  <c:v>375</c:v>
                </c:pt>
                <c:pt idx="1101">
                  <c:v>375</c:v>
                </c:pt>
                <c:pt idx="1102">
                  <c:v>375</c:v>
                </c:pt>
                <c:pt idx="1103">
                  <c:v>377</c:v>
                </c:pt>
                <c:pt idx="1104">
                  <c:v>377</c:v>
                </c:pt>
                <c:pt idx="1105">
                  <c:v>377</c:v>
                </c:pt>
                <c:pt idx="1106">
                  <c:v>377</c:v>
                </c:pt>
                <c:pt idx="1107">
                  <c:v>377</c:v>
                </c:pt>
                <c:pt idx="1108">
                  <c:v>377</c:v>
                </c:pt>
                <c:pt idx="1109">
                  <c:v>378</c:v>
                </c:pt>
                <c:pt idx="1110">
                  <c:v>378</c:v>
                </c:pt>
                <c:pt idx="1111">
                  <c:v>379</c:v>
                </c:pt>
                <c:pt idx="1112">
                  <c:v>379</c:v>
                </c:pt>
                <c:pt idx="1113">
                  <c:v>379</c:v>
                </c:pt>
                <c:pt idx="1114">
                  <c:v>380</c:v>
                </c:pt>
                <c:pt idx="1115">
                  <c:v>380</c:v>
                </c:pt>
                <c:pt idx="1116">
                  <c:v>380</c:v>
                </c:pt>
                <c:pt idx="1117">
                  <c:v>380</c:v>
                </c:pt>
                <c:pt idx="1118">
                  <c:v>380</c:v>
                </c:pt>
                <c:pt idx="1119">
                  <c:v>380</c:v>
                </c:pt>
                <c:pt idx="1120">
                  <c:v>381</c:v>
                </c:pt>
                <c:pt idx="1121">
                  <c:v>381</c:v>
                </c:pt>
                <c:pt idx="1122">
                  <c:v>381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385</c:v>
                </c:pt>
                <c:pt idx="1132">
                  <c:v>385</c:v>
                </c:pt>
                <c:pt idx="1133">
                  <c:v>385</c:v>
                </c:pt>
                <c:pt idx="1134">
                  <c:v>386</c:v>
                </c:pt>
                <c:pt idx="1135">
                  <c:v>386</c:v>
                </c:pt>
                <c:pt idx="1136">
                  <c:v>386</c:v>
                </c:pt>
                <c:pt idx="1137">
                  <c:v>387</c:v>
                </c:pt>
                <c:pt idx="1138">
                  <c:v>387</c:v>
                </c:pt>
                <c:pt idx="1139">
                  <c:v>387</c:v>
                </c:pt>
                <c:pt idx="1140">
                  <c:v>388</c:v>
                </c:pt>
                <c:pt idx="1141">
                  <c:v>388</c:v>
                </c:pt>
                <c:pt idx="1142">
                  <c:v>388</c:v>
                </c:pt>
                <c:pt idx="1143">
                  <c:v>389</c:v>
                </c:pt>
                <c:pt idx="1144">
                  <c:v>389</c:v>
                </c:pt>
                <c:pt idx="1145">
                  <c:v>389</c:v>
                </c:pt>
                <c:pt idx="1146">
                  <c:v>391</c:v>
                </c:pt>
                <c:pt idx="1147">
                  <c:v>391</c:v>
                </c:pt>
                <c:pt idx="1148">
                  <c:v>391</c:v>
                </c:pt>
                <c:pt idx="1149">
                  <c:v>392</c:v>
                </c:pt>
                <c:pt idx="1150">
                  <c:v>392</c:v>
                </c:pt>
                <c:pt idx="1151">
                  <c:v>392</c:v>
                </c:pt>
                <c:pt idx="1152">
                  <c:v>393</c:v>
                </c:pt>
                <c:pt idx="1153">
                  <c:v>393</c:v>
                </c:pt>
                <c:pt idx="1154">
                  <c:v>393</c:v>
                </c:pt>
                <c:pt idx="1155">
                  <c:v>394</c:v>
                </c:pt>
                <c:pt idx="1156">
                  <c:v>394</c:v>
                </c:pt>
                <c:pt idx="1157">
                  <c:v>394</c:v>
                </c:pt>
                <c:pt idx="1158">
                  <c:v>395</c:v>
                </c:pt>
                <c:pt idx="1159">
                  <c:v>395</c:v>
                </c:pt>
                <c:pt idx="1160">
                  <c:v>397</c:v>
                </c:pt>
                <c:pt idx="1161">
                  <c:v>397</c:v>
                </c:pt>
                <c:pt idx="1162">
                  <c:v>398</c:v>
                </c:pt>
                <c:pt idx="1163">
                  <c:v>398</c:v>
                </c:pt>
                <c:pt idx="1164">
                  <c:v>399</c:v>
                </c:pt>
                <c:pt idx="1165">
                  <c:v>399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401</c:v>
                </c:pt>
                <c:pt idx="1171">
                  <c:v>401</c:v>
                </c:pt>
                <c:pt idx="1172">
                  <c:v>402</c:v>
                </c:pt>
                <c:pt idx="1173">
                  <c:v>402</c:v>
                </c:pt>
                <c:pt idx="1174">
                  <c:v>403</c:v>
                </c:pt>
                <c:pt idx="1175">
                  <c:v>403</c:v>
                </c:pt>
                <c:pt idx="1176">
                  <c:v>404</c:v>
                </c:pt>
                <c:pt idx="1177">
                  <c:v>404</c:v>
                </c:pt>
                <c:pt idx="1178">
                  <c:v>405</c:v>
                </c:pt>
                <c:pt idx="1179">
                  <c:v>405</c:v>
                </c:pt>
                <c:pt idx="1180">
                  <c:v>406</c:v>
                </c:pt>
                <c:pt idx="1181">
                  <c:v>406</c:v>
                </c:pt>
                <c:pt idx="1182">
                  <c:v>407</c:v>
                </c:pt>
                <c:pt idx="1183">
                  <c:v>407</c:v>
                </c:pt>
                <c:pt idx="1184">
                  <c:v>409</c:v>
                </c:pt>
                <c:pt idx="1185">
                  <c:v>409</c:v>
                </c:pt>
                <c:pt idx="1186">
                  <c:v>409</c:v>
                </c:pt>
                <c:pt idx="1187">
                  <c:v>409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411</c:v>
                </c:pt>
                <c:pt idx="1193">
                  <c:v>411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415</c:v>
                </c:pt>
                <c:pt idx="1199">
                  <c:v>415</c:v>
                </c:pt>
                <c:pt idx="1200">
                  <c:v>416</c:v>
                </c:pt>
                <c:pt idx="1201">
                  <c:v>416</c:v>
                </c:pt>
                <c:pt idx="1202">
                  <c:v>416</c:v>
                </c:pt>
                <c:pt idx="1203">
                  <c:v>417</c:v>
                </c:pt>
                <c:pt idx="1204">
                  <c:v>417</c:v>
                </c:pt>
                <c:pt idx="1205">
                  <c:v>417</c:v>
                </c:pt>
                <c:pt idx="1206">
                  <c:v>418</c:v>
                </c:pt>
                <c:pt idx="1207">
                  <c:v>418</c:v>
                </c:pt>
                <c:pt idx="1208">
                  <c:v>418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423</c:v>
                </c:pt>
                <c:pt idx="1224">
                  <c:v>423</c:v>
                </c:pt>
                <c:pt idx="1225">
                  <c:v>423</c:v>
                </c:pt>
                <c:pt idx="1226">
                  <c:v>423</c:v>
                </c:pt>
                <c:pt idx="1227">
                  <c:v>424</c:v>
                </c:pt>
                <c:pt idx="1228">
                  <c:v>424</c:v>
                </c:pt>
                <c:pt idx="1229">
                  <c:v>424</c:v>
                </c:pt>
                <c:pt idx="1230">
                  <c:v>425</c:v>
                </c:pt>
                <c:pt idx="1231">
                  <c:v>425</c:v>
                </c:pt>
                <c:pt idx="1232">
                  <c:v>425</c:v>
                </c:pt>
                <c:pt idx="1233">
                  <c:v>426</c:v>
                </c:pt>
                <c:pt idx="1234">
                  <c:v>425</c:v>
                </c:pt>
                <c:pt idx="1235">
                  <c:v>426</c:v>
                </c:pt>
                <c:pt idx="1236">
                  <c:v>427</c:v>
                </c:pt>
                <c:pt idx="1237">
                  <c:v>427</c:v>
                </c:pt>
                <c:pt idx="1238">
                  <c:v>427</c:v>
                </c:pt>
                <c:pt idx="1239">
                  <c:v>0</c:v>
                </c:pt>
                <c:pt idx="1240">
                  <c:v>442</c:v>
                </c:pt>
                <c:pt idx="1241">
                  <c:v>442</c:v>
                </c:pt>
                <c:pt idx="1242">
                  <c:v>442</c:v>
                </c:pt>
                <c:pt idx="1243">
                  <c:v>0</c:v>
                </c:pt>
                <c:pt idx="1244">
                  <c:v>457</c:v>
                </c:pt>
                <c:pt idx="1245">
                  <c:v>457</c:v>
                </c:pt>
                <c:pt idx="1246">
                  <c:v>457</c:v>
                </c:pt>
                <c:pt idx="1247">
                  <c:v>458</c:v>
                </c:pt>
                <c:pt idx="1248">
                  <c:v>458</c:v>
                </c:pt>
                <c:pt idx="1249">
                  <c:v>458</c:v>
                </c:pt>
                <c:pt idx="1250">
                  <c:v>459</c:v>
                </c:pt>
                <c:pt idx="1251">
                  <c:v>459</c:v>
                </c:pt>
                <c:pt idx="1252">
                  <c:v>459</c:v>
                </c:pt>
                <c:pt idx="1253">
                  <c:v>460</c:v>
                </c:pt>
                <c:pt idx="1254">
                  <c:v>460</c:v>
                </c:pt>
                <c:pt idx="1255">
                  <c:v>460</c:v>
                </c:pt>
                <c:pt idx="1256">
                  <c:v>461</c:v>
                </c:pt>
                <c:pt idx="1257">
                  <c:v>461</c:v>
                </c:pt>
                <c:pt idx="1258">
                  <c:v>461</c:v>
                </c:pt>
                <c:pt idx="1259">
                  <c:v>463</c:v>
                </c:pt>
                <c:pt idx="1260">
                  <c:v>463</c:v>
                </c:pt>
                <c:pt idx="1261">
                  <c:v>463</c:v>
                </c:pt>
                <c:pt idx="1262">
                  <c:v>464</c:v>
                </c:pt>
                <c:pt idx="1263">
                  <c:v>464</c:v>
                </c:pt>
                <c:pt idx="1264">
                  <c:v>464</c:v>
                </c:pt>
                <c:pt idx="1265">
                  <c:v>465</c:v>
                </c:pt>
                <c:pt idx="1266">
                  <c:v>465</c:v>
                </c:pt>
                <c:pt idx="1267">
                  <c:v>465</c:v>
                </c:pt>
                <c:pt idx="1268">
                  <c:v>470</c:v>
                </c:pt>
                <c:pt idx="1269">
                  <c:v>470</c:v>
                </c:pt>
                <c:pt idx="1270">
                  <c:v>471</c:v>
                </c:pt>
                <c:pt idx="1271">
                  <c:v>471</c:v>
                </c:pt>
                <c:pt idx="1272">
                  <c:v>0</c:v>
                </c:pt>
                <c:pt idx="1273">
                  <c:v>478</c:v>
                </c:pt>
                <c:pt idx="1274">
                  <c:v>478</c:v>
                </c:pt>
                <c:pt idx="1275">
                  <c:v>481</c:v>
                </c:pt>
                <c:pt idx="1276">
                  <c:v>481</c:v>
                </c:pt>
                <c:pt idx="1277">
                  <c:v>482</c:v>
                </c:pt>
                <c:pt idx="1278">
                  <c:v>490</c:v>
                </c:pt>
                <c:pt idx="1279">
                  <c:v>490</c:v>
                </c:pt>
                <c:pt idx="1280">
                  <c:v>490</c:v>
                </c:pt>
                <c:pt idx="1281">
                  <c:v>491</c:v>
                </c:pt>
                <c:pt idx="1282">
                  <c:v>491</c:v>
                </c:pt>
                <c:pt idx="1283">
                  <c:v>491</c:v>
                </c:pt>
                <c:pt idx="1284">
                  <c:v>493</c:v>
                </c:pt>
                <c:pt idx="1285">
                  <c:v>493</c:v>
                </c:pt>
                <c:pt idx="1286">
                  <c:v>494</c:v>
                </c:pt>
                <c:pt idx="1287">
                  <c:v>0</c:v>
                </c:pt>
                <c:pt idx="1288">
                  <c:v>511</c:v>
                </c:pt>
                <c:pt idx="1289">
                  <c:v>511</c:v>
                </c:pt>
                <c:pt idx="1290">
                  <c:v>511</c:v>
                </c:pt>
                <c:pt idx="1291">
                  <c:v>511</c:v>
                </c:pt>
                <c:pt idx="1292">
                  <c:v>512</c:v>
                </c:pt>
                <c:pt idx="1293">
                  <c:v>512</c:v>
                </c:pt>
                <c:pt idx="1294">
                  <c:v>512</c:v>
                </c:pt>
                <c:pt idx="1295">
                  <c:v>512</c:v>
                </c:pt>
                <c:pt idx="1296">
                  <c:v>513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514</c:v>
                </c:pt>
                <c:pt idx="1301">
                  <c:v>514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515</c:v>
                </c:pt>
                <c:pt idx="1307">
                  <c:v>515</c:v>
                </c:pt>
                <c:pt idx="1308">
                  <c:v>516</c:v>
                </c:pt>
                <c:pt idx="1309">
                  <c:v>516</c:v>
                </c:pt>
                <c:pt idx="1310">
                  <c:v>516</c:v>
                </c:pt>
                <c:pt idx="1311">
                  <c:v>516</c:v>
                </c:pt>
                <c:pt idx="1312">
                  <c:v>519</c:v>
                </c:pt>
                <c:pt idx="1313">
                  <c:v>519</c:v>
                </c:pt>
                <c:pt idx="1314">
                  <c:v>519</c:v>
                </c:pt>
                <c:pt idx="1315">
                  <c:v>519</c:v>
                </c:pt>
                <c:pt idx="1316">
                  <c:v>519</c:v>
                </c:pt>
                <c:pt idx="1317">
                  <c:v>519</c:v>
                </c:pt>
                <c:pt idx="1318">
                  <c:v>520</c:v>
                </c:pt>
                <c:pt idx="1319">
                  <c:v>520</c:v>
                </c:pt>
                <c:pt idx="1320">
                  <c:v>522</c:v>
                </c:pt>
                <c:pt idx="1321">
                  <c:v>522</c:v>
                </c:pt>
                <c:pt idx="1322">
                  <c:v>522</c:v>
                </c:pt>
                <c:pt idx="1323">
                  <c:v>523</c:v>
                </c:pt>
                <c:pt idx="1324">
                  <c:v>523</c:v>
                </c:pt>
                <c:pt idx="1325">
                  <c:v>523</c:v>
                </c:pt>
                <c:pt idx="1326">
                  <c:v>524</c:v>
                </c:pt>
                <c:pt idx="1327">
                  <c:v>524</c:v>
                </c:pt>
                <c:pt idx="1328">
                  <c:v>524</c:v>
                </c:pt>
                <c:pt idx="1329">
                  <c:v>0</c:v>
                </c:pt>
                <c:pt idx="1330">
                  <c:v>526</c:v>
                </c:pt>
                <c:pt idx="1331">
                  <c:v>526</c:v>
                </c:pt>
                <c:pt idx="1332">
                  <c:v>527</c:v>
                </c:pt>
                <c:pt idx="1333">
                  <c:v>527</c:v>
                </c:pt>
                <c:pt idx="1334">
                  <c:v>527</c:v>
                </c:pt>
                <c:pt idx="1335">
                  <c:v>528</c:v>
                </c:pt>
                <c:pt idx="1336">
                  <c:v>528</c:v>
                </c:pt>
                <c:pt idx="1337">
                  <c:v>529</c:v>
                </c:pt>
                <c:pt idx="1338">
                  <c:v>529</c:v>
                </c:pt>
                <c:pt idx="1339">
                  <c:v>530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</c:strCache>
            </c:strRef>
          </c:xVal>
          <c:yVal>
            <c:numRef>
              <c:f>Charts!$D$2:$D$1400</c:f>
              <c:numCache>
                <c:formatCode>General</c:formatCode>
                <c:ptCount val="1399"/>
                <c:pt idx="0">
                  <c:v>0.0</c:v>
                </c:pt>
                <c:pt idx="1">
                  <c:v>260.8886775850088</c:v>
                </c:pt>
                <c:pt idx="2">
                  <c:v>0.0</c:v>
                </c:pt>
                <c:pt idx="3">
                  <c:v>163.5967465133762</c:v>
                </c:pt>
                <c:pt idx="4">
                  <c:v>0.0</c:v>
                </c:pt>
                <c:pt idx="5">
                  <c:v>0.0</c:v>
                </c:pt>
                <c:pt idx="6">
                  <c:v>149.891</c:v>
                </c:pt>
                <c:pt idx="7">
                  <c:v>132.5962373241623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147.3673490293683</c:v>
                </c:pt>
                <c:pt idx="12">
                  <c:v>0.0</c:v>
                </c:pt>
                <c:pt idx="13">
                  <c:v>0.0</c:v>
                </c:pt>
                <c:pt idx="14">
                  <c:v>145.9685901809032</c:v>
                </c:pt>
                <c:pt idx="15">
                  <c:v>156.3664567374006</c:v>
                </c:pt>
                <c:pt idx="16">
                  <c:v>215.0172250678372</c:v>
                </c:pt>
                <c:pt idx="17">
                  <c:v>226.2254019635378</c:v>
                </c:pt>
                <c:pt idx="18">
                  <c:v>365.1649778016642</c:v>
                </c:pt>
                <c:pt idx="19">
                  <c:v>187.0596581487532</c:v>
                </c:pt>
                <c:pt idx="20">
                  <c:v>147.9616262172261</c:v>
                </c:pt>
                <c:pt idx="21">
                  <c:v>264.3739793562007</c:v>
                </c:pt>
                <c:pt idx="22">
                  <c:v>103.2853008409945</c:v>
                </c:pt>
                <c:pt idx="23">
                  <c:v>98.22241140145195</c:v>
                </c:pt>
                <c:pt idx="24">
                  <c:v>0.0</c:v>
                </c:pt>
                <c:pt idx="25">
                  <c:v>0.0</c:v>
                </c:pt>
                <c:pt idx="26">
                  <c:v>147.9548054231252</c:v>
                </c:pt>
                <c:pt idx="27">
                  <c:v>0.0</c:v>
                </c:pt>
                <c:pt idx="28">
                  <c:v>118.0865480546835</c:v>
                </c:pt>
                <c:pt idx="29">
                  <c:v>215.5354317993025</c:v>
                </c:pt>
                <c:pt idx="30">
                  <c:v>220.7818874102695</c:v>
                </c:pt>
                <c:pt idx="31">
                  <c:v>267.8682101669427</c:v>
                </c:pt>
                <c:pt idx="32">
                  <c:v>221.2140405230678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335.5890224640622</c:v>
                </c:pt>
                <c:pt idx="54">
                  <c:v>345.8089283017412</c:v>
                </c:pt>
                <c:pt idx="55">
                  <c:v>347.8947271378384</c:v>
                </c:pt>
                <c:pt idx="56">
                  <c:v>310.0214617979815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475.8925090935198</c:v>
                </c:pt>
                <c:pt idx="62">
                  <c:v>494.4926905926102</c:v>
                </c:pt>
                <c:pt idx="63">
                  <c:v>323.049550574277</c:v>
                </c:pt>
                <c:pt idx="64">
                  <c:v>357.3167240801353</c:v>
                </c:pt>
                <c:pt idx="65">
                  <c:v>197.1364513247489</c:v>
                </c:pt>
                <c:pt idx="66">
                  <c:v>0.0</c:v>
                </c:pt>
                <c:pt idx="67">
                  <c:v>213.2343935042641</c:v>
                </c:pt>
                <c:pt idx="68">
                  <c:v>0.0</c:v>
                </c:pt>
                <c:pt idx="69">
                  <c:v>200.3620668623486</c:v>
                </c:pt>
                <c:pt idx="70">
                  <c:v>0.0</c:v>
                </c:pt>
                <c:pt idx="71">
                  <c:v>157.8445848263147</c:v>
                </c:pt>
                <c:pt idx="72">
                  <c:v>0.0</c:v>
                </c:pt>
                <c:pt idx="73">
                  <c:v>209.8145713564425</c:v>
                </c:pt>
                <c:pt idx="74">
                  <c:v>0.0</c:v>
                </c:pt>
                <c:pt idx="75">
                  <c:v>147.0557007461704</c:v>
                </c:pt>
                <c:pt idx="76">
                  <c:v>0.0</c:v>
                </c:pt>
                <c:pt idx="77">
                  <c:v>167.000942841985</c:v>
                </c:pt>
                <c:pt idx="78">
                  <c:v>165.9618258643014</c:v>
                </c:pt>
                <c:pt idx="79">
                  <c:v>163.7704907412953</c:v>
                </c:pt>
                <c:pt idx="80">
                  <c:v>161.4809361832344</c:v>
                </c:pt>
                <c:pt idx="81">
                  <c:v>143.16226745886</c:v>
                </c:pt>
                <c:pt idx="82">
                  <c:v>144.2228389343522</c:v>
                </c:pt>
                <c:pt idx="83">
                  <c:v>131.0485371354178</c:v>
                </c:pt>
                <c:pt idx="84">
                  <c:v>136.5278670584387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209.061059629935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114.9167860903886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242.2715711472532</c:v>
                </c:pt>
                <c:pt idx="130">
                  <c:v>0.0</c:v>
                </c:pt>
                <c:pt idx="131">
                  <c:v>241.3854365742371</c:v>
                </c:pt>
                <c:pt idx="132">
                  <c:v>0.0</c:v>
                </c:pt>
                <c:pt idx="133">
                  <c:v>118.2115414826747</c:v>
                </c:pt>
                <c:pt idx="134">
                  <c:v>0.0</c:v>
                </c:pt>
                <c:pt idx="135">
                  <c:v>109.6190097303722</c:v>
                </c:pt>
                <c:pt idx="136">
                  <c:v>0.0</c:v>
                </c:pt>
                <c:pt idx="137">
                  <c:v>0.0</c:v>
                </c:pt>
                <c:pt idx="138">
                  <c:v>102.3681689825819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156.1680751557196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173.0267556712842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125.9548113757381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159.0129834399334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176.1802053088403</c:v>
                </c:pt>
                <c:pt idx="259">
                  <c:v>177.5635267966486</c:v>
                </c:pt>
                <c:pt idx="260">
                  <c:v>170.787273558433</c:v>
                </c:pt>
                <c:pt idx="261">
                  <c:v>168.0896182408501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278.8433560016339</c:v>
                </c:pt>
                <c:pt idx="267">
                  <c:v>275.6461348844979</c:v>
                </c:pt>
                <c:pt idx="268">
                  <c:v>270.4696816472307</c:v>
                </c:pt>
                <c:pt idx="269">
                  <c:v>278.6911073770087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95.83099366272373</c:v>
                </c:pt>
                <c:pt idx="279">
                  <c:v>94.87587143167462</c:v>
                </c:pt>
                <c:pt idx="280">
                  <c:v>116.409536277146</c:v>
                </c:pt>
                <c:pt idx="281">
                  <c:v>96.53752243637676</c:v>
                </c:pt>
                <c:pt idx="282">
                  <c:v>163.9658215097821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161.8283935531257</c:v>
                </c:pt>
                <c:pt idx="287">
                  <c:v>159.4994653733072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319.8684131263113</c:v>
                </c:pt>
                <c:pt idx="295">
                  <c:v>361.3811416267418</c:v>
                </c:pt>
                <c:pt idx="296">
                  <c:v>344.7860415425613</c:v>
                </c:pt>
                <c:pt idx="297">
                  <c:v>353.1180854136682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207.1235488215965</c:v>
                </c:pt>
                <c:pt idx="303">
                  <c:v>205.459518932135</c:v>
                </c:pt>
                <c:pt idx="304">
                  <c:v>0.0</c:v>
                </c:pt>
                <c:pt idx="305">
                  <c:v>0.0</c:v>
                </c:pt>
                <c:pt idx="306">
                  <c:v>180.6881919286114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323.0525503772684</c:v>
                </c:pt>
                <c:pt idx="323">
                  <c:v>0.0</c:v>
                </c:pt>
                <c:pt idx="324">
                  <c:v>334.0858178930987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160.9969733295847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116.8127572439277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109.0694873508645</c:v>
                </c:pt>
                <c:pt idx="344">
                  <c:v>0.0</c:v>
                </c:pt>
                <c:pt idx="345">
                  <c:v>133.3305435734166</c:v>
                </c:pt>
                <c:pt idx="346">
                  <c:v>0.0</c:v>
                </c:pt>
                <c:pt idx="347">
                  <c:v>131.0480036464135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138.7544008257004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86.59140525576272</c:v>
                </c:pt>
                <c:pt idx="358">
                  <c:v>130.9695004493411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291.5299484255067</c:v>
                </c:pt>
                <c:pt idx="363">
                  <c:v>292.6028254521651</c:v>
                </c:pt>
                <c:pt idx="364">
                  <c:v>291.7250169758087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116.0479457936605</c:v>
                </c:pt>
                <c:pt idx="369">
                  <c:v>0.0</c:v>
                </c:pt>
                <c:pt idx="370">
                  <c:v>96.34840109797486</c:v>
                </c:pt>
                <c:pt idx="371">
                  <c:v>0.0</c:v>
                </c:pt>
                <c:pt idx="372">
                  <c:v>0.0</c:v>
                </c:pt>
                <c:pt idx="373">
                  <c:v>280.6524978614415</c:v>
                </c:pt>
                <c:pt idx="374">
                  <c:v>281.61594618915</c:v>
                </c:pt>
                <c:pt idx="375">
                  <c:v>282.290360018546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204.87907105075</c:v>
                </c:pt>
                <c:pt idx="393">
                  <c:v>0.0</c:v>
                </c:pt>
                <c:pt idx="394">
                  <c:v>0.0</c:v>
                </c:pt>
                <c:pt idx="395">
                  <c:v>308.5746577292855</c:v>
                </c:pt>
                <c:pt idx="396">
                  <c:v>309.0385402574418</c:v>
                </c:pt>
                <c:pt idx="397">
                  <c:v>309.4096462799659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322.4483136482862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290.1906363057544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299.1408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456.8168000000001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97.62960000000001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336.20948928</c:v>
                </c:pt>
                <c:pt idx="459">
                  <c:v>0.0</c:v>
                </c:pt>
                <c:pt idx="460">
                  <c:v>175.5723</c:v>
                </c:pt>
                <c:pt idx="461">
                  <c:v>0.0</c:v>
                </c:pt>
                <c:pt idx="462">
                  <c:v>321.2365</c:v>
                </c:pt>
                <c:pt idx="463">
                  <c:v>0.0</c:v>
                </c:pt>
                <c:pt idx="464">
                  <c:v>219.3446304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168.6</c:v>
                </c:pt>
                <c:pt idx="469">
                  <c:v>0.0</c:v>
                </c:pt>
                <c:pt idx="470">
                  <c:v>130.3848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268.5298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344.91619008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340.0846848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335.9930112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317.49484032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337.05637056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319.989096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326.51198496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457.51571712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240.0056834135685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397.6277329344632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202.4909086404133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162.0049068023008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161.2389059096535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157.2677146359252</c:v>
                </c:pt>
                <c:pt idx="559">
                  <c:v>0.0</c:v>
                </c:pt>
                <c:pt idx="560">
                  <c:v>0.0</c:v>
                </c:pt>
                <c:pt idx="561">
                  <c:v>161.4073309506455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191.4319491691774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357.7274719963251</c:v>
                </c:pt>
                <c:pt idx="592">
                  <c:v>392.9085013480245</c:v>
                </c:pt>
                <c:pt idx="593">
                  <c:v>350.6951912858378</c:v>
                </c:pt>
                <c:pt idx="594">
                  <c:v>336.3237537308559</c:v>
                </c:pt>
                <c:pt idx="595">
                  <c:v>308.3382560562833</c:v>
                </c:pt>
                <c:pt idx="596">
                  <c:v>309.8378455367253</c:v>
                </c:pt>
                <c:pt idx="597">
                  <c:v>265.7725736890574</c:v>
                </c:pt>
                <c:pt idx="598">
                  <c:v>267.3355009762286</c:v>
                </c:pt>
                <c:pt idx="599">
                  <c:v>299.0971808463472</c:v>
                </c:pt>
                <c:pt idx="600">
                  <c:v>273.431987894339</c:v>
                </c:pt>
                <c:pt idx="601">
                  <c:v>269.7922942118852</c:v>
                </c:pt>
                <c:pt idx="602">
                  <c:v>234.374863187184</c:v>
                </c:pt>
                <c:pt idx="603">
                  <c:v>228.7761579050568</c:v>
                </c:pt>
                <c:pt idx="604">
                  <c:v>233.2347826660626</c:v>
                </c:pt>
                <c:pt idx="605">
                  <c:v>244.6222066505046</c:v>
                </c:pt>
                <c:pt idx="606">
                  <c:v>269.9234302342675</c:v>
                </c:pt>
                <c:pt idx="607">
                  <c:v>207.8518443908015</c:v>
                </c:pt>
                <c:pt idx="608">
                  <c:v>212.0032361850822</c:v>
                </c:pt>
                <c:pt idx="609">
                  <c:v>209.3536640757061</c:v>
                </c:pt>
                <c:pt idx="610">
                  <c:v>213.1541108958012</c:v>
                </c:pt>
                <c:pt idx="611">
                  <c:v>189.206978253361</c:v>
                </c:pt>
                <c:pt idx="612">
                  <c:v>193.9318894271642</c:v>
                </c:pt>
                <c:pt idx="613">
                  <c:v>189.1830704615254</c:v>
                </c:pt>
                <c:pt idx="614">
                  <c:v>190.5893481872656</c:v>
                </c:pt>
                <c:pt idx="615">
                  <c:v>192.7141977907549</c:v>
                </c:pt>
                <c:pt idx="616">
                  <c:v>196.5327538710842</c:v>
                </c:pt>
                <c:pt idx="617">
                  <c:v>201.6693607886255</c:v>
                </c:pt>
                <c:pt idx="618">
                  <c:v>194.9099678961451</c:v>
                </c:pt>
                <c:pt idx="619">
                  <c:v>190.1133333468347</c:v>
                </c:pt>
                <c:pt idx="620">
                  <c:v>191.2150543512051</c:v>
                </c:pt>
                <c:pt idx="621">
                  <c:v>194.0409018212808</c:v>
                </c:pt>
                <c:pt idx="622">
                  <c:v>182.2644409704375</c:v>
                </c:pt>
                <c:pt idx="623">
                  <c:v>0.0</c:v>
                </c:pt>
                <c:pt idx="624">
                  <c:v>0.0</c:v>
                </c:pt>
                <c:pt idx="625">
                  <c:v>159.5663120350568</c:v>
                </c:pt>
                <c:pt idx="626">
                  <c:v>0.0</c:v>
                </c:pt>
                <c:pt idx="627">
                  <c:v>205.428593430258</c:v>
                </c:pt>
                <c:pt idx="628">
                  <c:v>204.0293631506187</c:v>
                </c:pt>
                <c:pt idx="629">
                  <c:v>198.9017662591048</c:v>
                </c:pt>
                <c:pt idx="630">
                  <c:v>0.0</c:v>
                </c:pt>
                <c:pt idx="631">
                  <c:v>130.3417127612367</c:v>
                </c:pt>
                <c:pt idx="632">
                  <c:v>130.763221404609</c:v>
                </c:pt>
                <c:pt idx="633">
                  <c:v>128.3743155927849</c:v>
                </c:pt>
                <c:pt idx="634">
                  <c:v>135.9374741734738</c:v>
                </c:pt>
                <c:pt idx="635">
                  <c:v>149.2445689508745</c:v>
                </c:pt>
                <c:pt idx="636">
                  <c:v>129.1329419426767</c:v>
                </c:pt>
                <c:pt idx="637">
                  <c:v>156.9007716617303</c:v>
                </c:pt>
                <c:pt idx="638">
                  <c:v>130.0505372666404</c:v>
                </c:pt>
                <c:pt idx="639">
                  <c:v>131.1852652970525</c:v>
                </c:pt>
                <c:pt idx="640">
                  <c:v>128.4675381393085</c:v>
                </c:pt>
                <c:pt idx="641">
                  <c:v>127.3403928040682</c:v>
                </c:pt>
                <c:pt idx="642">
                  <c:v>129.2925353739982</c:v>
                </c:pt>
                <c:pt idx="643">
                  <c:v>140.9966483920846</c:v>
                </c:pt>
                <c:pt idx="644">
                  <c:v>131.9737763867391</c:v>
                </c:pt>
                <c:pt idx="645">
                  <c:v>163.6588264315333</c:v>
                </c:pt>
                <c:pt idx="646">
                  <c:v>132.8274094467243</c:v>
                </c:pt>
                <c:pt idx="647">
                  <c:v>117.9230422334332</c:v>
                </c:pt>
                <c:pt idx="648">
                  <c:v>123.3410117459369</c:v>
                </c:pt>
                <c:pt idx="649">
                  <c:v>122.012523551841</c:v>
                </c:pt>
                <c:pt idx="650">
                  <c:v>123.6553813669409</c:v>
                </c:pt>
                <c:pt idx="651">
                  <c:v>152.1980733243715</c:v>
                </c:pt>
                <c:pt idx="652">
                  <c:v>149.2745428988477</c:v>
                </c:pt>
                <c:pt idx="653">
                  <c:v>122.0646211280801</c:v>
                </c:pt>
                <c:pt idx="654">
                  <c:v>135.7677110098046</c:v>
                </c:pt>
                <c:pt idx="655">
                  <c:v>134.0353773916778</c:v>
                </c:pt>
                <c:pt idx="656">
                  <c:v>134.8452984442023</c:v>
                </c:pt>
                <c:pt idx="657">
                  <c:v>131.2470865647472</c:v>
                </c:pt>
                <c:pt idx="658">
                  <c:v>137.3354555386144</c:v>
                </c:pt>
                <c:pt idx="659">
                  <c:v>0.0</c:v>
                </c:pt>
                <c:pt idx="660">
                  <c:v>111.2283252703592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108.0553687777728</c:v>
                </c:pt>
                <c:pt idx="667">
                  <c:v>123.7012343706854</c:v>
                </c:pt>
                <c:pt idx="668">
                  <c:v>121.2842279826363</c:v>
                </c:pt>
                <c:pt idx="669">
                  <c:v>146.2129182130189</c:v>
                </c:pt>
                <c:pt idx="670">
                  <c:v>124.5356876722951</c:v>
                </c:pt>
                <c:pt idx="671">
                  <c:v>126.6898867665082</c:v>
                </c:pt>
                <c:pt idx="672">
                  <c:v>138.6064936657615</c:v>
                </c:pt>
                <c:pt idx="673">
                  <c:v>139.8915731602032</c:v>
                </c:pt>
                <c:pt idx="674">
                  <c:v>140.9226948121153</c:v>
                </c:pt>
                <c:pt idx="675">
                  <c:v>124.6974220999001</c:v>
                </c:pt>
                <c:pt idx="676">
                  <c:v>115.3403762579254</c:v>
                </c:pt>
                <c:pt idx="677">
                  <c:v>116.3374560689251</c:v>
                </c:pt>
                <c:pt idx="678">
                  <c:v>120.0397738926798</c:v>
                </c:pt>
                <c:pt idx="679">
                  <c:v>143.3611111630022</c:v>
                </c:pt>
                <c:pt idx="680">
                  <c:v>231.4459802709508</c:v>
                </c:pt>
                <c:pt idx="681">
                  <c:v>156.3241299959611</c:v>
                </c:pt>
                <c:pt idx="682">
                  <c:v>239.3173531083281</c:v>
                </c:pt>
                <c:pt idx="683">
                  <c:v>0.0</c:v>
                </c:pt>
                <c:pt idx="684">
                  <c:v>0.0</c:v>
                </c:pt>
                <c:pt idx="685">
                  <c:v>136.4189307127924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171.5844378414335</c:v>
                </c:pt>
                <c:pt idx="691">
                  <c:v>131.9055321301929</c:v>
                </c:pt>
                <c:pt idx="692">
                  <c:v>119.1186102415765</c:v>
                </c:pt>
                <c:pt idx="693">
                  <c:v>130.1510748838004</c:v>
                </c:pt>
                <c:pt idx="694">
                  <c:v>118.1473115941608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185.3048341097851</c:v>
                </c:pt>
                <c:pt idx="704">
                  <c:v>183.9772379974744</c:v>
                </c:pt>
                <c:pt idx="705">
                  <c:v>187.956101174553</c:v>
                </c:pt>
                <c:pt idx="706">
                  <c:v>191.1199584329329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155.1943976235449</c:v>
                </c:pt>
                <c:pt idx="711">
                  <c:v>143.1819811405912</c:v>
                </c:pt>
                <c:pt idx="712">
                  <c:v>145.3435845136191</c:v>
                </c:pt>
                <c:pt idx="713">
                  <c:v>148.2811206231662</c:v>
                </c:pt>
                <c:pt idx="714">
                  <c:v>98.60518959745301</c:v>
                </c:pt>
                <c:pt idx="715">
                  <c:v>96.77303202759408</c:v>
                </c:pt>
                <c:pt idx="716">
                  <c:v>123.1748169094072</c:v>
                </c:pt>
                <c:pt idx="717">
                  <c:v>124.2812659472373</c:v>
                </c:pt>
                <c:pt idx="718">
                  <c:v>112.9217641226634</c:v>
                </c:pt>
                <c:pt idx="719">
                  <c:v>0.0</c:v>
                </c:pt>
                <c:pt idx="720">
                  <c:v>145.123240312745</c:v>
                </c:pt>
                <c:pt idx="721">
                  <c:v>156.8387719776787</c:v>
                </c:pt>
                <c:pt idx="722">
                  <c:v>150.10765807778</c:v>
                </c:pt>
                <c:pt idx="723">
                  <c:v>97.09088076755933</c:v>
                </c:pt>
                <c:pt idx="724">
                  <c:v>0.0</c:v>
                </c:pt>
                <c:pt idx="725">
                  <c:v>120.8287310232588</c:v>
                </c:pt>
                <c:pt idx="726">
                  <c:v>104.9209502182951</c:v>
                </c:pt>
                <c:pt idx="727">
                  <c:v>125.1920814496355</c:v>
                </c:pt>
                <c:pt idx="728">
                  <c:v>124.6760121370622</c:v>
                </c:pt>
                <c:pt idx="729">
                  <c:v>0.0</c:v>
                </c:pt>
                <c:pt idx="730">
                  <c:v>138.7419116807114</c:v>
                </c:pt>
                <c:pt idx="731">
                  <c:v>151.7912840304501</c:v>
                </c:pt>
                <c:pt idx="732">
                  <c:v>177.0015152721519</c:v>
                </c:pt>
                <c:pt idx="733">
                  <c:v>155.2275830659436</c:v>
                </c:pt>
                <c:pt idx="734">
                  <c:v>0.0</c:v>
                </c:pt>
                <c:pt idx="735">
                  <c:v>0.0</c:v>
                </c:pt>
                <c:pt idx="736">
                  <c:v>172.8041812659479</c:v>
                </c:pt>
                <c:pt idx="737">
                  <c:v>101.8314925807772</c:v>
                </c:pt>
                <c:pt idx="738">
                  <c:v>126.1938892940952</c:v>
                </c:pt>
                <c:pt idx="739">
                  <c:v>227.0576515545962</c:v>
                </c:pt>
                <c:pt idx="740">
                  <c:v>0.0</c:v>
                </c:pt>
                <c:pt idx="741">
                  <c:v>232.4979231117223</c:v>
                </c:pt>
                <c:pt idx="742">
                  <c:v>237.9717369439623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156.7737392155585</c:v>
                </c:pt>
                <c:pt idx="750">
                  <c:v>0.0</c:v>
                </c:pt>
                <c:pt idx="751">
                  <c:v>96.77517302387783</c:v>
                </c:pt>
                <c:pt idx="752">
                  <c:v>125.6093081004406</c:v>
                </c:pt>
                <c:pt idx="753">
                  <c:v>98.85238546005291</c:v>
                </c:pt>
                <c:pt idx="754">
                  <c:v>125.3310677917256</c:v>
                </c:pt>
                <c:pt idx="755">
                  <c:v>115.0068268785455</c:v>
                </c:pt>
                <c:pt idx="756">
                  <c:v>117.6558637388511</c:v>
                </c:pt>
                <c:pt idx="757">
                  <c:v>125.611538304903</c:v>
                </c:pt>
                <c:pt idx="758">
                  <c:v>95.69289940241907</c:v>
                </c:pt>
                <c:pt idx="759">
                  <c:v>127.1962323876259</c:v>
                </c:pt>
                <c:pt idx="760">
                  <c:v>125.1362371298998</c:v>
                </c:pt>
                <c:pt idx="761">
                  <c:v>126.9867715845279</c:v>
                </c:pt>
                <c:pt idx="762">
                  <c:v>123.9741221886912</c:v>
                </c:pt>
                <c:pt idx="763">
                  <c:v>169.357177249036</c:v>
                </c:pt>
                <c:pt idx="764">
                  <c:v>105.9579060850802</c:v>
                </c:pt>
                <c:pt idx="765">
                  <c:v>177.3398818931707</c:v>
                </c:pt>
                <c:pt idx="766">
                  <c:v>100.5411854870755</c:v>
                </c:pt>
                <c:pt idx="767">
                  <c:v>217.072936968755</c:v>
                </c:pt>
                <c:pt idx="768">
                  <c:v>112.889381553871</c:v>
                </c:pt>
                <c:pt idx="769">
                  <c:v>178.3192092766504</c:v>
                </c:pt>
                <c:pt idx="770">
                  <c:v>112.2524351594414</c:v>
                </c:pt>
                <c:pt idx="771">
                  <c:v>227.7431271981251</c:v>
                </c:pt>
                <c:pt idx="772">
                  <c:v>175.1163680442695</c:v>
                </c:pt>
                <c:pt idx="773">
                  <c:v>240.3345047594883</c:v>
                </c:pt>
                <c:pt idx="774">
                  <c:v>178.4862961949648</c:v>
                </c:pt>
                <c:pt idx="775">
                  <c:v>268.1356983372978</c:v>
                </c:pt>
                <c:pt idx="776">
                  <c:v>200.67558168023</c:v>
                </c:pt>
                <c:pt idx="777">
                  <c:v>297.0537783098205</c:v>
                </c:pt>
                <c:pt idx="778">
                  <c:v>218.16136595453</c:v>
                </c:pt>
                <c:pt idx="779">
                  <c:v>214.3931232868701</c:v>
                </c:pt>
                <c:pt idx="780">
                  <c:v>213.3806104609913</c:v>
                </c:pt>
                <c:pt idx="781">
                  <c:v>301.1052569441912</c:v>
                </c:pt>
                <c:pt idx="782">
                  <c:v>270.3743775765423</c:v>
                </c:pt>
                <c:pt idx="783">
                  <c:v>448.0516448007672</c:v>
                </c:pt>
                <c:pt idx="784">
                  <c:v>140.3595235812981</c:v>
                </c:pt>
                <c:pt idx="785">
                  <c:v>336.2349023850783</c:v>
                </c:pt>
                <c:pt idx="786">
                  <c:v>148.6725661103868</c:v>
                </c:pt>
                <c:pt idx="787">
                  <c:v>312.3288947129225</c:v>
                </c:pt>
                <c:pt idx="788">
                  <c:v>188.6540659630705</c:v>
                </c:pt>
                <c:pt idx="789">
                  <c:v>0.0</c:v>
                </c:pt>
                <c:pt idx="790">
                  <c:v>0.0</c:v>
                </c:pt>
                <c:pt idx="791">
                  <c:v>169.7613795057808</c:v>
                </c:pt>
                <c:pt idx="792">
                  <c:v>122.2044995519549</c:v>
                </c:pt>
                <c:pt idx="793">
                  <c:v>162.7895819403118</c:v>
                </c:pt>
                <c:pt idx="794">
                  <c:v>108.1319093949186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99.02214862372199</c:v>
                </c:pt>
                <c:pt idx="801">
                  <c:v>114.1986007814124</c:v>
                </c:pt>
                <c:pt idx="802">
                  <c:v>0.0</c:v>
                </c:pt>
                <c:pt idx="803">
                  <c:v>109.9882126450889</c:v>
                </c:pt>
                <c:pt idx="804">
                  <c:v>106.0532993639472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95.86528528653572</c:v>
                </c:pt>
                <c:pt idx="829">
                  <c:v>98.0631725993622</c:v>
                </c:pt>
                <c:pt idx="830">
                  <c:v>0.0</c:v>
                </c:pt>
                <c:pt idx="831">
                  <c:v>96.82941159640089</c:v>
                </c:pt>
                <c:pt idx="832">
                  <c:v>114.6593907593804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408.8514301753128</c:v>
                </c:pt>
                <c:pt idx="839">
                  <c:v>389.1803131525061</c:v>
                </c:pt>
                <c:pt idx="840">
                  <c:v>401.4528606839405</c:v>
                </c:pt>
                <c:pt idx="841">
                  <c:v>396.301891249662</c:v>
                </c:pt>
                <c:pt idx="842">
                  <c:v>369.7085764086275</c:v>
                </c:pt>
                <c:pt idx="843">
                  <c:v>344.7446489477411</c:v>
                </c:pt>
                <c:pt idx="844">
                  <c:v>389.732690193725</c:v>
                </c:pt>
                <c:pt idx="845">
                  <c:v>385.8842493736013</c:v>
                </c:pt>
                <c:pt idx="846">
                  <c:v>374.9120894600379</c:v>
                </c:pt>
                <c:pt idx="847">
                  <c:v>378.1265277556221</c:v>
                </c:pt>
                <c:pt idx="848">
                  <c:v>321.9705146442855</c:v>
                </c:pt>
                <c:pt idx="849">
                  <c:v>325.0773678766093</c:v>
                </c:pt>
                <c:pt idx="850">
                  <c:v>144.1237518809261</c:v>
                </c:pt>
                <c:pt idx="851">
                  <c:v>137.1896893749595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138.4396743719823</c:v>
                </c:pt>
                <c:pt idx="861">
                  <c:v>114.2928046178996</c:v>
                </c:pt>
                <c:pt idx="862">
                  <c:v>0.0</c:v>
                </c:pt>
                <c:pt idx="863">
                  <c:v>0.0</c:v>
                </c:pt>
                <c:pt idx="864">
                  <c:v>214.5309796586991</c:v>
                </c:pt>
                <c:pt idx="865">
                  <c:v>180.15544068666</c:v>
                </c:pt>
                <c:pt idx="866">
                  <c:v>171.7999648006689</c:v>
                </c:pt>
                <c:pt idx="867">
                  <c:v>172.145735700502</c:v>
                </c:pt>
                <c:pt idx="868">
                  <c:v>145.0910361603097</c:v>
                </c:pt>
                <c:pt idx="869">
                  <c:v>148.8792614599518</c:v>
                </c:pt>
                <c:pt idx="870">
                  <c:v>150.9939413310933</c:v>
                </c:pt>
                <c:pt idx="871">
                  <c:v>154.1335339649235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129.9990641476507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113.6373029223439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148.4120782291916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137.4635584829283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128.1436232432056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101.5461156177827</c:v>
                </c:pt>
                <c:pt idx="947">
                  <c:v>211.8114386013255</c:v>
                </c:pt>
                <c:pt idx="948">
                  <c:v>0.0</c:v>
                </c:pt>
                <c:pt idx="949">
                  <c:v>147.5949313142095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145.037332836858</c:v>
                </c:pt>
                <c:pt idx="967">
                  <c:v>0.0</c:v>
                </c:pt>
                <c:pt idx="968">
                  <c:v>0.0</c:v>
                </c:pt>
                <c:pt idx="969">
                  <c:v>143.2344355495441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144.2611324758031</c:v>
                </c:pt>
                <c:pt idx="976">
                  <c:v>149.0583022741845</c:v>
                </c:pt>
                <c:pt idx="977">
                  <c:v>160.715224165849</c:v>
                </c:pt>
                <c:pt idx="978">
                  <c:v>0.0</c:v>
                </c:pt>
                <c:pt idx="979">
                  <c:v>147.1230200499895</c:v>
                </c:pt>
                <c:pt idx="980">
                  <c:v>148.6650726233937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120.109891520974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122.3370629051934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151.668176744132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125.2821817099121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103.9271711098997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127.9188186334071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119.840125989216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99.61841608875955</c:v>
                </c:pt>
                <c:pt idx="1049">
                  <c:v>118.0117151628538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376.601246319774</c:v>
                </c:pt>
                <c:pt idx="1059">
                  <c:v>0.0</c:v>
                </c:pt>
                <c:pt idx="1060">
                  <c:v>248.9272149281477</c:v>
                </c:pt>
                <c:pt idx="1061">
                  <c:v>248.8562052180688</c:v>
                </c:pt>
                <c:pt idx="1062">
                  <c:v>0.0</c:v>
                </c:pt>
                <c:pt idx="1063">
                  <c:v>248.2620787493152</c:v>
                </c:pt>
                <c:pt idx="1064">
                  <c:v>247.4809719384434</c:v>
                </c:pt>
                <c:pt idx="1065">
                  <c:v>0.0</c:v>
                </c:pt>
                <c:pt idx="1066">
                  <c:v>11798.49527093064</c:v>
                </c:pt>
                <c:pt idx="1067">
                  <c:v>11488.22922613716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136.6257152705358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125.0341829737057</c:v>
                </c:pt>
                <c:pt idx="1082">
                  <c:v>0.0</c:v>
                </c:pt>
                <c:pt idx="1083">
                  <c:v>0.0</c:v>
                </c:pt>
                <c:pt idx="1084">
                  <c:v>134.8522566821249</c:v>
                </c:pt>
                <c:pt idx="1085">
                  <c:v>0.0</c:v>
                </c:pt>
                <c:pt idx="1086">
                  <c:v>0.0</c:v>
                </c:pt>
                <c:pt idx="1087">
                  <c:v>106.2050127395017</c:v>
                </c:pt>
                <c:pt idx="1088">
                  <c:v>83.4988550680566</c:v>
                </c:pt>
                <c:pt idx="1089">
                  <c:v>88.85134577754781</c:v>
                </c:pt>
                <c:pt idx="1090">
                  <c:v>0.0</c:v>
                </c:pt>
                <c:pt idx="1091">
                  <c:v>0.0</c:v>
                </c:pt>
                <c:pt idx="1092">
                  <c:v>137.0844237243395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143.111328263226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137.7693641187973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146.4644852763652</c:v>
                </c:pt>
                <c:pt idx="1113">
                  <c:v>0.0</c:v>
                </c:pt>
                <c:pt idx="1114">
                  <c:v>149.2399301255928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117.3480063148768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163.9853283648124</c:v>
                </c:pt>
                <c:pt idx="1132">
                  <c:v>0.0</c:v>
                </c:pt>
                <c:pt idx="1133">
                  <c:v>0.0</c:v>
                </c:pt>
                <c:pt idx="1134">
                  <c:v>146.8810874699204</c:v>
                </c:pt>
                <c:pt idx="1135">
                  <c:v>0.0</c:v>
                </c:pt>
                <c:pt idx="1136">
                  <c:v>0.0</c:v>
                </c:pt>
                <c:pt idx="1137">
                  <c:v>155.9294730143146</c:v>
                </c:pt>
                <c:pt idx="1138">
                  <c:v>0.0</c:v>
                </c:pt>
                <c:pt idx="1139">
                  <c:v>0.0</c:v>
                </c:pt>
                <c:pt idx="1140">
                  <c:v>130.3028179954145</c:v>
                </c:pt>
                <c:pt idx="1141">
                  <c:v>0.0</c:v>
                </c:pt>
                <c:pt idx="1142">
                  <c:v>0.0</c:v>
                </c:pt>
                <c:pt idx="1143">
                  <c:v>163.0154570482526</c:v>
                </c:pt>
                <c:pt idx="1144">
                  <c:v>0.0</c:v>
                </c:pt>
                <c:pt idx="1145">
                  <c:v>0.0</c:v>
                </c:pt>
                <c:pt idx="1146">
                  <c:v>163.9077172495245</c:v>
                </c:pt>
                <c:pt idx="1147">
                  <c:v>0.0</c:v>
                </c:pt>
                <c:pt idx="1148">
                  <c:v>0.0</c:v>
                </c:pt>
                <c:pt idx="1149">
                  <c:v>146.2935624063754</c:v>
                </c:pt>
                <c:pt idx="1150">
                  <c:v>0.0</c:v>
                </c:pt>
                <c:pt idx="1151">
                  <c:v>0.0</c:v>
                </c:pt>
                <c:pt idx="1152">
                  <c:v>122.6585691804768</c:v>
                </c:pt>
                <c:pt idx="1153">
                  <c:v>0.0</c:v>
                </c:pt>
                <c:pt idx="1154">
                  <c:v>0.0</c:v>
                </c:pt>
                <c:pt idx="1155">
                  <c:v>124.9690610034069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220.6831919523069</c:v>
                </c:pt>
                <c:pt idx="1245">
                  <c:v>195.1791089706538</c:v>
                </c:pt>
                <c:pt idx="1246">
                  <c:v>198.2637493665333</c:v>
                </c:pt>
                <c:pt idx="1247">
                  <c:v>216.5435756375863</c:v>
                </c:pt>
                <c:pt idx="1248">
                  <c:v>194.2194073864424</c:v>
                </c:pt>
                <c:pt idx="1249">
                  <c:v>195.232990710463</c:v>
                </c:pt>
                <c:pt idx="1250">
                  <c:v>215.4934169603843</c:v>
                </c:pt>
                <c:pt idx="1251">
                  <c:v>196.9802220943974</c:v>
                </c:pt>
                <c:pt idx="1252">
                  <c:v>196.7470319158206</c:v>
                </c:pt>
                <c:pt idx="1253">
                  <c:v>209.9509128307068</c:v>
                </c:pt>
                <c:pt idx="1254">
                  <c:v>192.940162106874</c:v>
                </c:pt>
                <c:pt idx="1255">
                  <c:v>192.5526417795066</c:v>
                </c:pt>
                <c:pt idx="1256">
                  <c:v>208.3082334319637</c:v>
                </c:pt>
                <c:pt idx="1257">
                  <c:v>167.2460657050343</c:v>
                </c:pt>
                <c:pt idx="1258">
                  <c:v>168.5659899139944</c:v>
                </c:pt>
                <c:pt idx="1259">
                  <c:v>230.824556099579</c:v>
                </c:pt>
                <c:pt idx="1260">
                  <c:v>193.2213462854791</c:v>
                </c:pt>
                <c:pt idx="1261">
                  <c:v>192.1531675562216</c:v>
                </c:pt>
                <c:pt idx="1262">
                  <c:v>232.1725808847643</c:v>
                </c:pt>
                <c:pt idx="1263">
                  <c:v>205.289428671811</c:v>
                </c:pt>
                <c:pt idx="1264">
                  <c:v>207.1895628736803</c:v>
                </c:pt>
                <c:pt idx="1265">
                  <c:v>201.5032908435459</c:v>
                </c:pt>
                <c:pt idx="1266">
                  <c:v>160.7995258945234</c:v>
                </c:pt>
                <c:pt idx="1267">
                  <c:v>156.0443731482118</c:v>
                </c:pt>
                <c:pt idx="1268">
                  <c:v>188.3637825502593</c:v>
                </c:pt>
                <c:pt idx="1269">
                  <c:v>192.9956495938956</c:v>
                </c:pt>
                <c:pt idx="1270">
                  <c:v>180.3320134079544</c:v>
                </c:pt>
                <c:pt idx="1271">
                  <c:v>181.1475545757237</c:v>
                </c:pt>
                <c:pt idx="1272">
                  <c:v>0.0</c:v>
                </c:pt>
                <c:pt idx="1273">
                  <c:v>186.3607021104106</c:v>
                </c:pt>
                <c:pt idx="1274">
                  <c:v>184.2701976556406</c:v>
                </c:pt>
                <c:pt idx="1275">
                  <c:v>180.720675600006</c:v>
                </c:pt>
                <c:pt idx="1276">
                  <c:v>181.3156227840015</c:v>
                </c:pt>
                <c:pt idx="1277">
                  <c:v>158.1369913824429</c:v>
                </c:pt>
                <c:pt idx="1278">
                  <c:v>68.93460295608238</c:v>
                </c:pt>
                <c:pt idx="1279">
                  <c:v>134.3956892246053</c:v>
                </c:pt>
                <c:pt idx="1280">
                  <c:v>121.6976186817661</c:v>
                </c:pt>
                <c:pt idx="1281">
                  <c:v>208.2320496475322</c:v>
                </c:pt>
                <c:pt idx="1282">
                  <c:v>180.0492234821361</c:v>
                </c:pt>
                <c:pt idx="1283">
                  <c:v>180.1487798093326</c:v>
                </c:pt>
                <c:pt idx="1284">
                  <c:v>10.41380592438533</c:v>
                </c:pt>
                <c:pt idx="1285">
                  <c:v>9.427698719340133</c:v>
                </c:pt>
                <c:pt idx="1286">
                  <c:v>165.4743912801929</c:v>
                </c:pt>
                <c:pt idx="1287">
                  <c:v>0.0</c:v>
                </c:pt>
                <c:pt idx="1288">
                  <c:v>211.4100017981137</c:v>
                </c:pt>
                <c:pt idx="1289">
                  <c:v>214.059484699312</c:v>
                </c:pt>
                <c:pt idx="1290">
                  <c:v>163.6204669147818</c:v>
                </c:pt>
                <c:pt idx="1291">
                  <c:v>153.0694588118767</c:v>
                </c:pt>
                <c:pt idx="1292">
                  <c:v>216.0218862097683</c:v>
                </c:pt>
                <c:pt idx="1293">
                  <c:v>219.2424798696687</c:v>
                </c:pt>
                <c:pt idx="1294">
                  <c:v>190.4828336221468</c:v>
                </c:pt>
                <c:pt idx="1295">
                  <c:v>161.3679604078712</c:v>
                </c:pt>
                <c:pt idx="1296">
                  <c:v>213.9033703869515</c:v>
                </c:pt>
                <c:pt idx="1297">
                  <c:v>210.0490418270471</c:v>
                </c:pt>
                <c:pt idx="1298">
                  <c:v>183.5404747555801</c:v>
                </c:pt>
                <c:pt idx="1299">
                  <c:v>184.6689582134975</c:v>
                </c:pt>
                <c:pt idx="1300">
                  <c:v>204.9243888054236</c:v>
                </c:pt>
                <c:pt idx="1301">
                  <c:v>203.4594120982362</c:v>
                </c:pt>
                <c:pt idx="1302">
                  <c:v>182.3115428886807</c:v>
                </c:pt>
                <c:pt idx="1303">
                  <c:v>179.5662504037832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227.7306380531364</c:v>
                </c:pt>
                <c:pt idx="1309">
                  <c:v>215.551223860047</c:v>
                </c:pt>
                <c:pt idx="1310">
                  <c:v>193.9539238472516</c:v>
                </c:pt>
                <c:pt idx="1311">
                  <c:v>166.0155280909224</c:v>
                </c:pt>
                <c:pt idx="1312">
                  <c:v>140.6777291539773</c:v>
                </c:pt>
                <c:pt idx="1313">
                  <c:v>140.2013574808327</c:v>
                </c:pt>
                <c:pt idx="1314">
                  <c:v>95.7310805028133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200.396092457016</c:v>
                </c:pt>
                <c:pt idx="1321">
                  <c:v>188.061188408816</c:v>
                </c:pt>
                <c:pt idx="1322">
                  <c:v>185.3403389648248</c:v>
                </c:pt>
                <c:pt idx="1323">
                  <c:v>197.513330169063</c:v>
                </c:pt>
                <c:pt idx="1324">
                  <c:v>179.9386053408068</c:v>
                </c:pt>
                <c:pt idx="1325">
                  <c:v>178.3883456149811</c:v>
                </c:pt>
                <c:pt idx="1326">
                  <c:v>195.5635962199521</c:v>
                </c:pt>
                <c:pt idx="1327">
                  <c:v>179.0194042696303</c:v>
                </c:pt>
                <c:pt idx="1328">
                  <c:v>175.0496403267578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287.2886942594255</c:v>
                </c:pt>
                <c:pt idx="1336">
                  <c:v>284.0022649637984</c:v>
                </c:pt>
                <c:pt idx="1337">
                  <c:v>237.614547397282</c:v>
                </c:pt>
                <c:pt idx="1338">
                  <c:v>236.4139837311431</c:v>
                </c:pt>
                <c:pt idx="1339">
                  <c:v>215.5383778823442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5400"/>
        <c:axId val="2112783880"/>
      </c:scatterChart>
      <c:valAx>
        <c:axId val="21138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Run #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2783880"/>
        <c:crosses val="autoZero"/>
        <c:crossBetween val="midCat"/>
      </c:valAx>
      <c:valAx>
        <c:axId val="2112783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Rho (ohm*nm)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8154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Rho*Tc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strRef>
              <c:f>Charts!$E$2:$E$1400</c:f>
              <c:strCache>
                <c:ptCount val="1399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57-58</c:v>
                </c:pt>
                <c:pt idx="86">
                  <c:v>57-58</c:v>
                </c:pt>
                <c:pt idx="87">
                  <c:v>57-58</c:v>
                </c:pt>
                <c:pt idx="88">
                  <c:v>57-58</c:v>
                </c:pt>
                <c:pt idx="89">
                  <c:v>59-60</c:v>
                </c:pt>
                <c:pt idx="90">
                  <c:v>59-60</c:v>
                </c:pt>
                <c:pt idx="91">
                  <c:v>59-60</c:v>
                </c:pt>
                <c:pt idx="92">
                  <c:v>59-60</c:v>
                </c:pt>
                <c:pt idx="93">
                  <c:v>61-62</c:v>
                </c:pt>
                <c:pt idx="94">
                  <c:v>61-62</c:v>
                </c:pt>
                <c:pt idx="95">
                  <c:v>61-62</c:v>
                </c:pt>
                <c:pt idx="96">
                  <c:v>61-62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64-65</c:v>
                </c:pt>
                <c:pt idx="102">
                  <c:v>64-65</c:v>
                </c:pt>
                <c:pt idx="103">
                  <c:v>64-65</c:v>
                </c:pt>
                <c:pt idx="104">
                  <c:v>64-65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0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87</c:v>
                </c:pt>
                <c:pt idx="187">
                  <c:v>87</c:v>
                </c:pt>
                <c:pt idx="188">
                  <c:v>87</c:v>
                </c:pt>
                <c:pt idx="189">
                  <c:v>87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96-97</c:v>
                </c:pt>
                <c:pt idx="223">
                  <c:v>96-97</c:v>
                </c:pt>
                <c:pt idx="224">
                  <c:v>96-97</c:v>
                </c:pt>
                <c:pt idx="225">
                  <c:v>96-97</c:v>
                </c:pt>
                <c:pt idx="226">
                  <c:v>98-99</c:v>
                </c:pt>
                <c:pt idx="227">
                  <c:v>98-99</c:v>
                </c:pt>
                <c:pt idx="228">
                  <c:v>98-99</c:v>
                </c:pt>
                <c:pt idx="229">
                  <c:v>98-99</c:v>
                </c:pt>
                <c:pt idx="230">
                  <c:v>100-101</c:v>
                </c:pt>
                <c:pt idx="231">
                  <c:v>100-101</c:v>
                </c:pt>
                <c:pt idx="232">
                  <c:v>100-101</c:v>
                </c:pt>
                <c:pt idx="233">
                  <c:v>100-101</c:v>
                </c:pt>
                <c:pt idx="234">
                  <c:v>102-103</c:v>
                </c:pt>
                <c:pt idx="235">
                  <c:v>102-103</c:v>
                </c:pt>
                <c:pt idx="236">
                  <c:v>102-103</c:v>
                </c:pt>
                <c:pt idx="237">
                  <c:v>102-103</c:v>
                </c:pt>
                <c:pt idx="238">
                  <c:v>104-105</c:v>
                </c:pt>
                <c:pt idx="239">
                  <c:v>104-105</c:v>
                </c:pt>
                <c:pt idx="240">
                  <c:v>104-105</c:v>
                </c:pt>
                <c:pt idx="241">
                  <c:v>104-105</c:v>
                </c:pt>
                <c:pt idx="242">
                  <c:v>106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  <c:pt idx="246">
                  <c:v>107</c:v>
                </c:pt>
                <c:pt idx="247">
                  <c:v>107</c:v>
                </c:pt>
                <c:pt idx="248">
                  <c:v>107</c:v>
                </c:pt>
                <c:pt idx="249">
                  <c:v>107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111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113</c:v>
                </c:pt>
                <c:pt idx="271">
                  <c:v>113</c:v>
                </c:pt>
                <c:pt idx="272">
                  <c:v>113</c:v>
                </c:pt>
                <c:pt idx="273">
                  <c:v>113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116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117</c:v>
                </c:pt>
                <c:pt idx="287">
                  <c:v>117</c:v>
                </c:pt>
                <c:pt idx="288">
                  <c:v>117</c:v>
                </c:pt>
                <c:pt idx="289">
                  <c:v>117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119</c:v>
                </c:pt>
                <c:pt idx="295">
                  <c:v>119</c:v>
                </c:pt>
                <c:pt idx="296">
                  <c:v>119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126</c:v>
                </c:pt>
                <c:pt idx="323">
                  <c:v>126</c:v>
                </c:pt>
                <c:pt idx="324">
                  <c:v>127</c:v>
                </c:pt>
                <c:pt idx="325">
                  <c:v>127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130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0</c:v>
                </c:pt>
                <c:pt idx="338">
                  <c:v>0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136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141</c:v>
                </c:pt>
                <c:pt idx="363">
                  <c:v>141</c:v>
                </c:pt>
                <c:pt idx="364">
                  <c:v>141</c:v>
                </c:pt>
                <c:pt idx="365">
                  <c:v>142</c:v>
                </c:pt>
                <c:pt idx="366">
                  <c:v>142</c:v>
                </c:pt>
                <c:pt idx="367">
                  <c:v>142</c:v>
                </c:pt>
                <c:pt idx="368">
                  <c:v>142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146</c:v>
                </c:pt>
                <c:pt idx="381">
                  <c:v>146</c:v>
                </c:pt>
                <c:pt idx="382">
                  <c:v>146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149</c:v>
                </c:pt>
                <c:pt idx="392">
                  <c:v>149</c:v>
                </c:pt>
                <c:pt idx="393">
                  <c:v>149</c:v>
                </c:pt>
                <c:pt idx="394">
                  <c:v>149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151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153</c:v>
                </c:pt>
                <c:pt idx="407">
                  <c:v>153</c:v>
                </c:pt>
                <c:pt idx="408">
                  <c:v>153</c:v>
                </c:pt>
                <c:pt idx="409">
                  <c:v>153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154</c:v>
                </c:pt>
                <c:pt idx="414">
                  <c:v>155</c:v>
                </c:pt>
                <c:pt idx="415">
                  <c:v>155</c:v>
                </c:pt>
                <c:pt idx="416">
                  <c:v>155</c:v>
                </c:pt>
                <c:pt idx="417">
                  <c:v>155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165</c:v>
                </c:pt>
                <c:pt idx="427">
                  <c:v>165</c:v>
                </c:pt>
                <c:pt idx="428">
                  <c:v>165</c:v>
                </c:pt>
                <c:pt idx="429">
                  <c:v>165</c:v>
                </c:pt>
                <c:pt idx="430">
                  <c:v>166</c:v>
                </c:pt>
                <c:pt idx="431">
                  <c:v>166</c:v>
                </c:pt>
                <c:pt idx="432">
                  <c:v>166</c:v>
                </c:pt>
                <c:pt idx="433">
                  <c:v>166</c:v>
                </c:pt>
                <c:pt idx="434">
                  <c:v>167</c:v>
                </c:pt>
                <c:pt idx="435">
                  <c:v>167</c:v>
                </c:pt>
                <c:pt idx="436">
                  <c:v>167</c:v>
                </c:pt>
                <c:pt idx="437">
                  <c:v>167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169</c:v>
                </c:pt>
                <c:pt idx="443">
                  <c:v>169</c:v>
                </c:pt>
                <c:pt idx="444">
                  <c:v>169</c:v>
                </c:pt>
                <c:pt idx="445">
                  <c:v>169</c:v>
                </c:pt>
                <c:pt idx="446">
                  <c:v>170</c:v>
                </c:pt>
                <c:pt idx="447">
                  <c:v>170</c:v>
                </c:pt>
                <c:pt idx="448">
                  <c:v>170</c:v>
                </c:pt>
                <c:pt idx="449">
                  <c:v>170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138</c:v>
                </c:pt>
                <c:pt idx="458">
                  <c:v>172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173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174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177</c:v>
                </c:pt>
                <c:pt idx="476">
                  <c:v>177</c:v>
                </c:pt>
                <c:pt idx="477">
                  <c:v>177</c:v>
                </c:pt>
                <c:pt idx="478">
                  <c:v>177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181</c:v>
                </c:pt>
                <c:pt idx="484">
                  <c:v>181</c:v>
                </c:pt>
                <c:pt idx="485">
                  <c:v>181</c:v>
                </c:pt>
                <c:pt idx="486">
                  <c:v>181</c:v>
                </c:pt>
                <c:pt idx="487">
                  <c:v>182</c:v>
                </c:pt>
                <c:pt idx="488">
                  <c:v>182</c:v>
                </c:pt>
                <c:pt idx="489">
                  <c:v>182</c:v>
                </c:pt>
                <c:pt idx="490">
                  <c:v>182</c:v>
                </c:pt>
                <c:pt idx="491">
                  <c:v>183</c:v>
                </c:pt>
                <c:pt idx="492">
                  <c:v>183</c:v>
                </c:pt>
                <c:pt idx="493">
                  <c:v>183</c:v>
                </c:pt>
                <c:pt idx="494">
                  <c:v>183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185</c:v>
                </c:pt>
                <c:pt idx="500">
                  <c:v>185</c:v>
                </c:pt>
                <c:pt idx="501">
                  <c:v>185</c:v>
                </c:pt>
                <c:pt idx="502">
                  <c:v>185</c:v>
                </c:pt>
                <c:pt idx="503">
                  <c:v>186</c:v>
                </c:pt>
                <c:pt idx="504">
                  <c:v>186</c:v>
                </c:pt>
                <c:pt idx="505">
                  <c:v>186</c:v>
                </c:pt>
                <c:pt idx="506">
                  <c:v>186</c:v>
                </c:pt>
                <c:pt idx="507">
                  <c:v>187</c:v>
                </c:pt>
                <c:pt idx="508">
                  <c:v>187</c:v>
                </c:pt>
                <c:pt idx="509">
                  <c:v>187</c:v>
                </c:pt>
                <c:pt idx="510">
                  <c:v>187</c:v>
                </c:pt>
                <c:pt idx="511">
                  <c:v>188</c:v>
                </c:pt>
                <c:pt idx="512">
                  <c:v>188</c:v>
                </c:pt>
                <c:pt idx="513">
                  <c:v>188</c:v>
                </c:pt>
                <c:pt idx="514">
                  <c:v>188</c:v>
                </c:pt>
                <c:pt idx="515">
                  <c:v>189</c:v>
                </c:pt>
                <c:pt idx="516">
                  <c:v>189</c:v>
                </c:pt>
                <c:pt idx="517">
                  <c:v>189</c:v>
                </c:pt>
                <c:pt idx="518">
                  <c:v>189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192</c:v>
                </c:pt>
                <c:pt idx="528">
                  <c:v>192</c:v>
                </c:pt>
                <c:pt idx="529">
                  <c:v>192</c:v>
                </c:pt>
                <c:pt idx="530">
                  <c:v>192</c:v>
                </c:pt>
                <c:pt idx="531">
                  <c:v>193</c:v>
                </c:pt>
                <c:pt idx="532">
                  <c:v>193</c:v>
                </c:pt>
                <c:pt idx="533">
                  <c:v>193</c:v>
                </c:pt>
                <c:pt idx="534">
                  <c:v>193</c:v>
                </c:pt>
                <c:pt idx="535">
                  <c:v>194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195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196</c:v>
                </c:pt>
                <c:pt idx="544">
                  <c:v>196</c:v>
                </c:pt>
                <c:pt idx="545">
                  <c:v>196</c:v>
                </c:pt>
                <c:pt idx="546">
                  <c:v>196</c:v>
                </c:pt>
                <c:pt idx="547">
                  <c:v>197</c:v>
                </c:pt>
                <c:pt idx="548">
                  <c:v>197</c:v>
                </c:pt>
                <c:pt idx="549">
                  <c:v>197</c:v>
                </c:pt>
                <c:pt idx="550">
                  <c:v>197</c:v>
                </c:pt>
                <c:pt idx="551">
                  <c:v>198</c:v>
                </c:pt>
                <c:pt idx="552">
                  <c:v>198</c:v>
                </c:pt>
                <c:pt idx="553">
                  <c:v>198</c:v>
                </c:pt>
                <c:pt idx="554">
                  <c:v>198</c:v>
                </c:pt>
                <c:pt idx="555">
                  <c:v>199</c:v>
                </c:pt>
                <c:pt idx="556">
                  <c:v>199</c:v>
                </c:pt>
                <c:pt idx="557">
                  <c:v>199</c:v>
                </c:pt>
                <c:pt idx="558">
                  <c:v>199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211</c:v>
                </c:pt>
                <c:pt idx="580">
                  <c:v>211</c:v>
                </c:pt>
                <c:pt idx="581">
                  <c:v>211</c:v>
                </c:pt>
                <c:pt idx="582">
                  <c:v>211</c:v>
                </c:pt>
                <c:pt idx="583">
                  <c:v>212</c:v>
                </c:pt>
                <c:pt idx="584">
                  <c:v>212</c:v>
                </c:pt>
                <c:pt idx="585">
                  <c:v>212</c:v>
                </c:pt>
                <c:pt idx="586">
                  <c:v>212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216</c:v>
                </c:pt>
                <c:pt idx="596">
                  <c:v>216</c:v>
                </c:pt>
                <c:pt idx="597">
                  <c:v>216</c:v>
                </c:pt>
                <c:pt idx="598">
                  <c:v>216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218</c:v>
                </c:pt>
                <c:pt idx="604">
                  <c:v>218</c:v>
                </c:pt>
                <c:pt idx="605">
                  <c:v>218</c:v>
                </c:pt>
                <c:pt idx="606">
                  <c:v>218</c:v>
                </c:pt>
                <c:pt idx="607">
                  <c:v>219</c:v>
                </c:pt>
                <c:pt idx="608">
                  <c:v>219</c:v>
                </c:pt>
                <c:pt idx="609">
                  <c:v>219</c:v>
                </c:pt>
                <c:pt idx="610">
                  <c:v>219</c:v>
                </c:pt>
                <c:pt idx="611">
                  <c:v>220</c:v>
                </c:pt>
                <c:pt idx="612">
                  <c:v>220</c:v>
                </c:pt>
                <c:pt idx="613">
                  <c:v>220</c:v>
                </c:pt>
                <c:pt idx="614">
                  <c:v>220</c:v>
                </c:pt>
                <c:pt idx="615">
                  <c:v>221</c:v>
                </c:pt>
                <c:pt idx="616">
                  <c:v>221</c:v>
                </c:pt>
                <c:pt idx="617">
                  <c:v>221</c:v>
                </c:pt>
                <c:pt idx="618">
                  <c:v>221</c:v>
                </c:pt>
                <c:pt idx="619">
                  <c:v>222</c:v>
                </c:pt>
                <c:pt idx="620">
                  <c:v>222</c:v>
                </c:pt>
                <c:pt idx="621">
                  <c:v>222</c:v>
                </c:pt>
                <c:pt idx="622">
                  <c:v>222</c:v>
                </c:pt>
                <c:pt idx="623">
                  <c:v>223</c:v>
                </c:pt>
                <c:pt idx="624">
                  <c:v>223</c:v>
                </c:pt>
                <c:pt idx="625">
                  <c:v>223</c:v>
                </c:pt>
                <c:pt idx="626">
                  <c:v>223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228</c:v>
                </c:pt>
                <c:pt idx="632">
                  <c:v>228</c:v>
                </c:pt>
                <c:pt idx="633">
                  <c:v>228</c:v>
                </c:pt>
                <c:pt idx="634">
                  <c:v>228</c:v>
                </c:pt>
                <c:pt idx="635">
                  <c:v>229</c:v>
                </c:pt>
                <c:pt idx="636">
                  <c:v>229</c:v>
                </c:pt>
                <c:pt idx="637">
                  <c:v>229</c:v>
                </c:pt>
                <c:pt idx="638">
                  <c:v>229</c:v>
                </c:pt>
                <c:pt idx="639">
                  <c:v>230</c:v>
                </c:pt>
                <c:pt idx="640">
                  <c:v>230</c:v>
                </c:pt>
                <c:pt idx="641">
                  <c:v>230</c:v>
                </c:pt>
                <c:pt idx="642">
                  <c:v>230</c:v>
                </c:pt>
                <c:pt idx="643">
                  <c:v>231</c:v>
                </c:pt>
                <c:pt idx="644">
                  <c:v>231</c:v>
                </c:pt>
                <c:pt idx="645">
                  <c:v>231</c:v>
                </c:pt>
                <c:pt idx="646">
                  <c:v>231</c:v>
                </c:pt>
                <c:pt idx="647">
                  <c:v>232</c:v>
                </c:pt>
                <c:pt idx="648">
                  <c:v>232</c:v>
                </c:pt>
                <c:pt idx="649">
                  <c:v>232</c:v>
                </c:pt>
                <c:pt idx="650">
                  <c:v>232</c:v>
                </c:pt>
                <c:pt idx="651">
                  <c:v>233</c:v>
                </c:pt>
                <c:pt idx="652">
                  <c:v>233</c:v>
                </c:pt>
                <c:pt idx="653">
                  <c:v>233</c:v>
                </c:pt>
                <c:pt idx="654">
                  <c:v>233</c:v>
                </c:pt>
                <c:pt idx="655">
                  <c:v>234</c:v>
                </c:pt>
                <c:pt idx="656">
                  <c:v>234</c:v>
                </c:pt>
                <c:pt idx="657">
                  <c:v>234</c:v>
                </c:pt>
                <c:pt idx="658">
                  <c:v>234</c:v>
                </c:pt>
                <c:pt idx="659">
                  <c:v>235</c:v>
                </c:pt>
                <c:pt idx="660">
                  <c:v>235</c:v>
                </c:pt>
                <c:pt idx="661">
                  <c:v>235</c:v>
                </c:pt>
                <c:pt idx="662">
                  <c:v>235</c:v>
                </c:pt>
                <c:pt idx="663">
                  <c:v>236</c:v>
                </c:pt>
                <c:pt idx="664">
                  <c:v>236</c:v>
                </c:pt>
                <c:pt idx="665">
                  <c:v>236</c:v>
                </c:pt>
                <c:pt idx="666">
                  <c:v>236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244</c:v>
                </c:pt>
                <c:pt idx="672">
                  <c:v>244</c:v>
                </c:pt>
                <c:pt idx="673">
                  <c:v>244</c:v>
                </c:pt>
                <c:pt idx="674">
                  <c:v>244</c:v>
                </c:pt>
                <c:pt idx="675">
                  <c:v>245</c:v>
                </c:pt>
                <c:pt idx="676">
                  <c:v>245</c:v>
                </c:pt>
                <c:pt idx="677">
                  <c:v>245</c:v>
                </c:pt>
                <c:pt idx="678">
                  <c:v>245</c:v>
                </c:pt>
                <c:pt idx="679">
                  <c:v>246</c:v>
                </c:pt>
                <c:pt idx="680">
                  <c:v>246</c:v>
                </c:pt>
                <c:pt idx="681">
                  <c:v>246</c:v>
                </c:pt>
                <c:pt idx="682">
                  <c:v>246</c:v>
                </c:pt>
                <c:pt idx="683">
                  <c:v>247</c:v>
                </c:pt>
                <c:pt idx="684">
                  <c:v>247</c:v>
                </c:pt>
                <c:pt idx="685">
                  <c:v>247</c:v>
                </c:pt>
                <c:pt idx="686">
                  <c:v>247</c:v>
                </c:pt>
                <c:pt idx="687">
                  <c:v>249</c:v>
                </c:pt>
                <c:pt idx="688">
                  <c:v>249</c:v>
                </c:pt>
                <c:pt idx="689">
                  <c:v>249</c:v>
                </c:pt>
                <c:pt idx="690">
                  <c:v>249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251</c:v>
                </c:pt>
                <c:pt idx="696">
                  <c:v>251</c:v>
                </c:pt>
                <c:pt idx="697">
                  <c:v>251</c:v>
                </c:pt>
                <c:pt idx="698">
                  <c:v>251</c:v>
                </c:pt>
                <c:pt idx="699">
                  <c:v>252</c:v>
                </c:pt>
                <c:pt idx="700">
                  <c:v>252</c:v>
                </c:pt>
                <c:pt idx="701">
                  <c:v>252</c:v>
                </c:pt>
                <c:pt idx="702">
                  <c:v>252</c:v>
                </c:pt>
                <c:pt idx="703">
                  <c:v>257</c:v>
                </c:pt>
                <c:pt idx="704">
                  <c:v>257</c:v>
                </c:pt>
                <c:pt idx="705">
                  <c:v>257</c:v>
                </c:pt>
                <c:pt idx="706">
                  <c:v>257</c:v>
                </c:pt>
                <c:pt idx="707">
                  <c:v>258</c:v>
                </c:pt>
                <c:pt idx="708">
                  <c:v>258</c:v>
                </c:pt>
                <c:pt idx="709">
                  <c:v>258</c:v>
                </c:pt>
                <c:pt idx="710">
                  <c:v>258</c:v>
                </c:pt>
                <c:pt idx="711">
                  <c:v>259</c:v>
                </c:pt>
                <c:pt idx="712">
                  <c:v>259</c:v>
                </c:pt>
                <c:pt idx="713">
                  <c:v>259</c:v>
                </c:pt>
                <c:pt idx="714">
                  <c:v>260</c:v>
                </c:pt>
                <c:pt idx="715">
                  <c:v>260</c:v>
                </c:pt>
                <c:pt idx="716">
                  <c:v>261</c:v>
                </c:pt>
                <c:pt idx="717">
                  <c:v>261</c:v>
                </c:pt>
                <c:pt idx="718">
                  <c:v>261</c:v>
                </c:pt>
                <c:pt idx="719">
                  <c:v>262</c:v>
                </c:pt>
                <c:pt idx="720">
                  <c:v>262</c:v>
                </c:pt>
                <c:pt idx="721">
                  <c:v>262</c:v>
                </c:pt>
                <c:pt idx="722">
                  <c:v>262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265</c:v>
                </c:pt>
                <c:pt idx="727">
                  <c:v>266</c:v>
                </c:pt>
                <c:pt idx="728">
                  <c:v>266</c:v>
                </c:pt>
                <c:pt idx="729">
                  <c:v>266</c:v>
                </c:pt>
                <c:pt idx="730">
                  <c:v>266</c:v>
                </c:pt>
                <c:pt idx="731">
                  <c:v>267</c:v>
                </c:pt>
                <c:pt idx="732">
                  <c:v>267</c:v>
                </c:pt>
                <c:pt idx="733">
                  <c:v>267</c:v>
                </c:pt>
                <c:pt idx="734">
                  <c:v>267</c:v>
                </c:pt>
                <c:pt idx="735">
                  <c:v>268</c:v>
                </c:pt>
                <c:pt idx="736">
                  <c:v>268</c:v>
                </c:pt>
                <c:pt idx="737">
                  <c:v>268</c:v>
                </c:pt>
                <c:pt idx="738">
                  <c:v>268</c:v>
                </c:pt>
                <c:pt idx="739">
                  <c:v>269</c:v>
                </c:pt>
                <c:pt idx="740">
                  <c:v>269</c:v>
                </c:pt>
                <c:pt idx="741">
                  <c:v>269</c:v>
                </c:pt>
                <c:pt idx="742">
                  <c:v>269</c:v>
                </c:pt>
                <c:pt idx="743">
                  <c:v>270</c:v>
                </c:pt>
                <c:pt idx="744">
                  <c:v>270</c:v>
                </c:pt>
                <c:pt idx="745">
                  <c:v>270</c:v>
                </c:pt>
                <c:pt idx="746">
                  <c:v>270</c:v>
                </c:pt>
                <c:pt idx="747">
                  <c:v>271</c:v>
                </c:pt>
                <c:pt idx="748">
                  <c:v>271</c:v>
                </c:pt>
                <c:pt idx="749">
                  <c:v>271</c:v>
                </c:pt>
                <c:pt idx="750">
                  <c:v>271</c:v>
                </c:pt>
                <c:pt idx="751">
                  <c:v>274</c:v>
                </c:pt>
                <c:pt idx="752">
                  <c:v>274</c:v>
                </c:pt>
                <c:pt idx="753">
                  <c:v>274</c:v>
                </c:pt>
                <c:pt idx="754">
                  <c:v>274</c:v>
                </c:pt>
                <c:pt idx="755">
                  <c:v>275</c:v>
                </c:pt>
                <c:pt idx="756">
                  <c:v>275</c:v>
                </c:pt>
                <c:pt idx="757">
                  <c:v>275</c:v>
                </c:pt>
                <c:pt idx="758">
                  <c:v>275</c:v>
                </c:pt>
                <c:pt idx="759">
                  <c:v>276</c:v>
                </c:pt>
                <c:pt idx="760">
                  <c:v>276</c:v>
                </c:pt>
                <c:pt idx="761">
                  <c:v>276</c:v>
                </c:pt>
                <c:pt idx="762">
                  <c:v>276</c:v>
                </c:pt>
                <c:pt idx="763">
                  <c:v>277</c:v>
                </c:pt>
                <c:pt idx="764">
                  <c:v>277</c:v>
                </c:pt>
                <c:pt idx="765">
                  <c:v>277</c:v>
                </c:pt>
                <c:pt idx="766">
                  <c:v>277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>
                  <c:v>278</c:v>
                </c:pt>
                <c:pt idx="771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281</c:v>
                </c:pt>
                <c:pt idx="780">
                  <c:v>281</c:v>
                </c:pt>
                <c:pt idx="781">
                  <c:v>282</c:v>
                </c:pt>
                <c:pt idx="782">
                  <c:v>282</c:v>
                </c:pt>
                <c:pt idx="783">
                  <c:v>282</c:v>
                </c:pt>
                <c:pt idx="784">
                  <c:v>282</c:v>
                </c:pt>
                <c:pt idx="785">
                  <c:v>283</c:v>
                </c:pt>
                <c:pt idx="786">
                  <c:v>283</c:v>
                </c:pt>
                <c:pt idx="787">
                  <c:v>283</c:v>
                </c:pt>
                <c:pt idx="788">
                  <c:v>283</c:v>
                </c:pt>
                <c:pt idx="789">
                  <c:v>284</c:v>
                </c:pt>
                <c:pt idx="790">
                  <c:v>284</c:v>
                </c:pt>
                <c:pt idx="791">
                  <c:v>285</c:v>
                </c:pt>
                <c:pt idx="792">
                  <c:v>285</c:v>
                </c:pt>
                <c:pt idx="793">
                  <c:v>285</c:v>
                </c:pt>
                <c:pt idx="794">
                  <c:v>285</c:v>
                </c:pt>
                <c:pt idx="795">
                  <c:v>286</c:v>
                </c:pt>
                <c:pt idx="796">
                  <c:v>286</c:v>
                </c:pt>
                <c:pt idx="797">
                  <c:v>286</c:v>
                </c:pt>
                <c:pt idx="798">
                  <c:v>286</c:v>
                </c:pt>
                <c:pt idx="799">
                  <c:v>286</c:v>
                </c:pt>
                <c:pt idx="800">
                  <c:v>287</c:v>
                </c:pt>
                <c:pt idx="801">
                  <c:v>287</c:v>
                </c:pt>
                <c:pt idx="802">
                  <c:v>287</c:v>
                </c:pt>
                <c:pt idx="803">
                  <c:v>287</c:v>
                </c:pt>
                <c:pt idx="804">
                  <c:v>287</c:v>
                </c:pt>
                <c:pt idx="805">
                  <c:v>287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290</c:v>
                </c:pt>
                <c:pt idx="813">
                  <c:v>290</c:v>
                </c:pt>
                <c:pt idx="814">
                  <c:v>290</c:v>
                </c:pt>
                <c:pt idx="815">
                  <c:v>290</c:v>
                </c:pt>
                <c:pt idx="816">
                  <c:v>291</c:v>
                </c:pt>
                <c:pt idx="817">
                  <c:v>291</c:v>
                </c:pt>
                <c:pt idx="818">
                  <c:v>291</c:v>
                </c:pt>
                <c:pt idx="819">
                  <c:v>291</c:v>
                </c:pt>
                <c:pt idx="820">
                  <c:v>291</c:v>
                </c:pt>
                <c:pt idx="821">
                  <c:v>291</c:v>
                </c:pt>
                <c:pt idx="822">
                  <c:v>292</c:v>
                </c:pt>
                <c:pt idx="823">
                  <c:v>292</c:v>
                </c:pt>
                <c:pt idx="824">
                  <c:v>292</c:v>
                </c:pt>
                <c:pt idx="825">
                  <c:v>292</c:v>
                </c:pt>
                <c:pt idx="826">
                  <c:v>292</c:v>
                </c:pt>
                <c:pt idx="827">
                  <c:v>292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295</c:v>
                </c:pt>
                <c:pt idx="835">
                  <c:v>296</c:v>
                </c:pt>
                <c:pt idx="836">
                  <c:v>296</c:v>
                </c:pt>
                <c:pt idx="837">
                  <c:v>296</c:v>
                </c:pt>
                <c:pt idx="838">
                  <c:v>297</c:v>
                </c:pt>
                <c:pt idx="839">
                  <c:v>297</c:v>
                </c:pt>
                <c:pt idx="840">
                  <c:v>297</c:v>
                </c:pt>
                <c:pt idx="841">
                  <c:v>297</c:v>
                </c:pt>
                <c:pt idx="842">
                  <c:v>297</c:v>
                </c:pt>
                <c:pt idx="843">
                  <c:v>297</c:v>
                </c:pt>
                <c:pt idx="844">
                  <c:v>298</c:v>
                </c:pt>
                <c:pt idx="845">
                  <c:v>298</c:v>
                </c:pt>
                <c:pt idx="846">
                  <c:v>298</c:v>
                </c:pt>
                <c:pt idx="847">
                  <c:v>298</c:v>
                </c:pt>
                <c:pt idx="848">
                  <c:v>298</c:v>
                </c:pt>
                <c:pt idx="849">
                  <c:v>298</c:v>
                </c:pt>
                <c:pt idx="850">
                  <c:v>300</c:v>
                </c:pt>
                <c:pt idx="851">
                  <c:v>300</c:v>
                </c:pt>
                <c:pt idx="852">
                  <c:v>302</c:v>
                </c:pt>
                <c:pt idx="853">
                  <c:v>302</c:v>
                </c:pt>
                <c:pt idx="854">
                  <c:v>304</c:v>
                </c:pt>
                <c:pt idx="855">
                  <c:v>304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308</c:v>
                </c:pt>
                <c:pt idx="863">
                  <c:v>308</c:v>
                </c:pt>
                <c:pt idx="864">
                  <c:v>309</c:v>
                </c:pt>
                <c:pt idx="865">
                  <c:v>309</c:v>
                </c:pt>
                <c:pt idx="866">
                  <c:v>309</c:v>
                </c:pt>
                <c:pt idx="867">
                  <c:v>309</c:v>
                </c:pt>
                <c:pt idx="868">
                  <c:v>310</c:v>
                </c:pt>
                <c:pt idx="869">
                  <c:v>310</c:v>
                </c:pt>
                <c:pt idx="870">
                  <c:v>311</c:v>
                </c:pt>
                <c:pt idx="871">
                  <c:v>311</c:v>
                </c:pt>
                <c:pt idx="872">
                  <c:v>312</c:v>
                </c:pt>
                <c:pt idx="873">
                  <c:v>312</c:v>
                </c:pt>
                <c:pt idx="874">
                  <c:v>313</c:v>
                </c:pt>
                <c:pt idx="875">
                  <c:v>313</c:v>
                </c:pt>
                <c:pt idx="876">
                  <c:v>315</c:v>
                </c:pt>
                <c:pt idx="877">
                  <c:v>315</c:v>
                </c:pt>
                <c:pt idx="878">
                  <c:v>316</c:v>
                </c:pt>
                <c:pt idx="879">
                  <c:v>316</c:v>
                </c:pt>
                <c:pt idx="880">
                  <c:v>316</c:v>
                </c:pt>
                <c:pt idx="881">
                  <c:v>316</c:v>
                </c:pt>
                <c:pt idx="882">
                  <c:v>316</c:v>
                </c:pt>
                <c:pt idx="883">
                  <c:v>317</c:v>
                </c:pt>
                <c:pt idx="884">
                  <c:v>317</c:v>
                </c:pt>
                <c:pt idx="885">
                  <c:v>317</c:v>
                </c:pt>
                <c:pt idx="886">
                  <c:v>317</c:v>
                </c:pt>
                <c:pt idx="887">
                  <c:v>317</c:v>
                </c:pt>
                <c:pt idx="888">
                  <c:v>317</c:v>
                </c:pt>
                <c:pt idx="889">
                  <c:v>318</c:v>
                </c:pt>
                <c:pt idx="890">
                  <c:v>#REF!</c:v>
                </c:pt>
                <c:pt idx="891">
                  <c:v>318</c:v>
                </c:pt>
                <c:pt idx="892">
                  <c:v>318</c:v>
                </c:pt>
                <c:pt idx="893">
                  <c:v>318</c:v>
                </c:pt>
                <c:pt idx="894">
                  <c:v>318</c:v>
                </c:pt>
                <c:pt idx="895">
                  <c:v>319</c:v>
                </c:pt>
                <c:pt idx="896">
                  <c:v>319</c:v>
                </c:pt>
                <c:pt idx="897">
                  <c:v>319</c:v>
                </c:pt>
                <c:pt idx="898">
                  <c:v>319</c:v>
                </c:pt>
                <c:pt idx="899">
                  <c:v>324</c:v>
                </c:pt>
                <c:pt idx="900">
                  <c:v>324</c:v>
                </c:pt>
                <c:pt idx="901">
                  <c:v>324</c:v>
                </c:pt>
                <c:pt idx="902">
                  <c:v>321</c:v>
                </c:pt>
                <c:pt idx="903">
                  <c:v>324</c:v>
                </c:pt>
                <c:pt idx="904">
                  <c:v>324</c:v>
                </c:pt>
                <c:pt idx="905">
                  <c:v>324</c:v>
                </c:pt>
                <c:pt idx="906">
                  <c:v>325</c:v>
                </c:pt>
                <c:pt idx="907">
                  <c:v>325</c:v>
                </c:pt>
                <c:pt idx="908">
                  <c:v>325</c:v>
                </c:pt>
                <c:pt idx="909">
                  <c:v>326</c:v>
                </c:pt>
                <c:pt idx="910">
                  <c:v>326</c:v>
                </c:pt>
                <c:pt idx="911">
                  <c:v>326</c:v>
                </c:pt>
                <c:pt idx="912">
                  <c:v>326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328</c:v>
                </c:pt>
                <c:pt idx="920">
                  <c:v>328</c:v>
                </c:pt>
                <c:pt idx="921">
                  <c:v>328</c:v>
                </c:pt>
                <c:pt idx="922">
                  <c:v>328</c:v>
                </c:pt>
                <c:pt idx="923">
                  <c:v>328</c:v>
                </c:pt>
                <c:pt idx="924">
                  <c:v>329</c:v>
                </c:pt>
                <c:pt idx="925">
                  <c:v>329</c:v>
                </c:pt>
                <c:pt idx="926">
                  <c:v>329</c:v>
                </c:pt>
                <c:pt idx="927">
                  <c:v>329</c:v>
                </c:pt>
                <c:pt idx="928">
                  <c:v>329</c:v>
                </c:pt>
                <c:pt idx="929">
                  <c:v>330</c:v>
                </c:pt>
                <c:pt idx="930">
                  <c:v>330</c:v>
                </c:pt>
                <c:pt idx="931">
                  <c:v>330</c:v>
                </c:pt>
                <c:pt idx="932">
                  <c:v>330</c:v>
                </c:pt>
                <c:pt idx="933">
                  <c:v>330</c:v>
                </c:pt>
                <c:pt idx="934">
                  <c:v>330</c:v>
                </c:pt>
                <c:pt idx="935">
                  <c:v>332</c:v>
                </c:pt>
                <c:pt idx="936">
                  <c:v>332</c:v>
                </c:pt>
                <c:pt idx="937">
                  <c:v>332</c:v>
                </c:pt>
                <c:pt idx="938">
                  <c:v>332</c:v>
                </c:pt>
                <c:pt idx="939">
                  <c:v>332</c:v>
                </c:pt>
                <c:pt idx="940">
                  <c:v>332</c:v>
                </c:pt>
                <c:pt idx="941">
                  <c:v>333</c:v>
                </c:pt>
                <c:pt idx="942">
                  <c:v>333</c:v>
                </c:pt>
                <c:pt idx="943">
                  <c:v>333</c:v>
                </c:pt>
                <c:pt idx="944">
                  <c:v>333</c:v>
                </c:pt>
                <c:pt idx="945">
                  <c:v>333</c:v>
                </c:pt>
                <c:pt idx="946">
                  <c:v>333</c:v>
                </c:pt>
                <c:pt idx="947">
                  <c:v>334</c:v>
                </c:pt>
                <c:pt idx="948">
                  <c:v>334</c:v>
                </c:pt>
                <c:pt idx="949">
                  <c:v>335</c:v>
                </c:pt>
                <c:pt idx="950">
                  <c:v>335</c:v>
                </c:pt>
                <c:pt idx="951">
                  <c:v>336</c:v>
                </c:pt>
                <c:pt idx="952">
                  <c:v>336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340</c:v>
                </c:pt>
                <c:pt idx="965">
                  <c:v>340</c:v>
                </c:pt>
                <c:pt idx="966">
                  <c:v>340</c:v>
                </c:pt>
                <c:pt idx="967">
                  <c:v>340</c:v>
                </c:pt>
                <c:pt idx="968">
                  <c:v>340</c:v>
                </c:pt>
                <c:pt idx="969">
                  <c:v>340</c:v>
                </c:pt>
                <c:pt idx="970">
                  <c:v>341</c:v>
                </c:pt>
                <c:pt idx="971">
                  <c:v>341</c:v>
                </c:pt>
                <c:pt idx="972">
                  <c:v>341</c:v>
                </c:pt>
                <c:pt idx="973">
                  <c:v>341</c:v>
                </c:pt>
                <c:pt idx="974">
                  <c:v>341</c:v>
                </c:pt>
                <c:pt idx="975">
                  <c:v>341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345</c:v>
                </c:pt>
                <c:pt idx="983">
                  <c:v>345</c:v>
                </c:pt>
                <c:pt idx="984">
                  <c:v>345</c:v>
                </c:pt>
                <c:pt idx="985">
                  <c:v>345</c:v>
                </c:pt>
                <c:pt idx="986">
                  <c:v>345</c:v>
                </c:pt>
                <c:pt idx="987">
                  <c:v>345</c:v>
                </c:pt>
                <c:pt idx="988">
                  <c:v>345</c:v>
                </c:pt>
                <c:pt idx="989">
                  <c:v>345</c:v>
                </c:pt>
                <c:pt idx="990">
                  <c:v>345</c:v>
                </c:pt>
                <c:pt idx="991">
                  <c:v>345</c:v>
                </c:pt>
                <c:pt idx="992">
                  <c:v>345</c:v>
                </c:pt>
                <c:pt idx="993">
                  <c:v>345</c:v>
                </c:pt>
                <c:pt idx="994">
                  <c:v>346</c:v>
                </c:pt>
                <c:pt idx="995">
                  <c:v>346</c:v>
                </c:pt>
                <c:pt idx="996">
                  <c:v>347</c:v>
                </c:pt>
                <c:pt idx="997">
                  <c:v>347</c:v>
                </c:pt>
                <c:pt idx="998">
                  <c:v>347</c:v>
                </c:pt>
                <c:pt idx="999">
                  <c:v>347</c:v>
                </c:pt>
                <c:pt idx="1000">
                  <c:v>347</c:v>
                </c:pt>
                <c:pt idx="1001">
                  <c:v>347</c:v>
                </c:pt>
                <c:pt idx="1002">
                  <c:v>348</c:v>
                </c:pt>
                <c:pt idx="1003">
                  <c:v>348</c:v>
                </c:pt>
                <c:pt idx="1004">
                  <c:v>348</c:v>
                </c:pt>
                <c:pt idx="1005">
                  <c:v>348</c:v>
                </c:pt>
                <c:pt idx="1006">
                  <c:v>348</c:v>
                </c:pt>
                <c:pt idx="1007">
                  <c:v>348</c:v>
                </c:pt>
                <c:pt idx="1008">
                  <c:v>349</c:v>
                </c:pt>
                <c:pt idx="1009">
                  <c:v>349</c:v>
                </c:pt>
                <c:pt idx="1010">
                  <c:v>353</c:v>
                </c:pt>
                <c:pt idx="1011">
                  <c:v>353</c:v>
                </c:pt>
                <c:pt idx="1012">
                  <c:v>353</c:v>
                </c:pt>
                <c:pt idx="1013">
                  <c:v>353</c:v>
                </c:pt>
                <c:pt idx="1014">
                  <c:v>353</c:v>
                </c:pt>
                <c:pt idx="1015">
                  <c:v>353</c:v>
                </c:pt>
                <c:pt idx="1016">
                  <c:v>354</c:v>
                </c:pt>
                <c:pt idx="1017">
                  <c:v>354</c:v>
                </c:pt>
                <c:pt idx="1018">
                  <c:v>355</c:v>
                </c:pt>
                <c:pt idx="1019">
                  <c:v>355</c:v>
                </c:pt>
                <c:pt idx="1020">
                  <c:v>355</c:v>
                </c:pt>
                <c:pt idx="1021">
                  <c:v>355</c:v>
                </c:pt>
                <c:pt idx="1022">
                  <c:v>355</c:v>
                </c:pt>
                <c:pt idx="1023">
                  <c:v>355</c:v>
                </c:pt>
                <c:pt idx="1024">
                  <c:v>356</c:v>
                </c:pt>
                <c:pt idx="1025">
                  <c:v>356</c:v>
                </c:pt>
                <c:pt idx="1026">
                  <c:v>357</c:v>
                </c:pt>
                <c:pt idx="1027">
                  <c:v>357</c:v>
                </c:pt>
                <c:pt idx="1028">
                  <c:v>357</c:v>
                </c:pt>
                <c:pt idx="1029">
                  <c:v>357</c:v>
                </c:pt>
                <c:pt idx="1030">
                  <c:v>357</c:v>
                </c:pt>
                <c:pt idx="1031">
                  <c:v>357</c:v>
                </c:pt>
                <c:pt idx="1032">
                  <c:v>358</c:v>
                </c:pt>
                <c:pt idx="1033">
                  <c:v>358</c:v>
                </c:pt>
                <c:pt idx="1034">
                  <c:v>358</c:v>
                </c:pt>
                <c:pt idx="1035">
                  <c:v>358</c:v>
                </c:pt>
                <c:pt idx="1036">
                  <c:v>358</c:v>
                </c:pt>
                <c:pt idx="1037">
                  <c:v>358</c:v>
                </c:pt>
                <c:pt idx="1038">
                  <c:v>359</c:v>
                </c:pt>
                <c:pt idx="1039">
                  <c:v>359</c:v>
                </c:pt>
                <c:pt idx="1040">
                  <c:v>359</c:v>
                </c:pt>
                <c:pt idx="1041">
                  <c:v>359</c:v>
                </c:pt>
                <c:pt idx="1042">
                  <c:v>359</c:v>
                </c:pt>
                <c:pt idx="1043">
                  <c:v>359</c:v>
                </c:pt>
                <c:pt idx="1044">
                  <c:v>360</c:v>
                </c:pt>
                <c:pt idx="1045">
                  <c:v>360</c:v>
                </c:pt>
                <c:pt idx="1046">
                  <c:v>360</c:v>
                </c:pt>
                <c:pt idx="1047">
                  <c:v>360</c:v>
                </c:pt>
                <c:pt idx="1048">
                  <c:v>360</c:v>
                </c:pt>
                <c:pt idx="1049">
                  <c:v>360</c:v>
                </c:pt>
                <c:pt idx="1050">
                  <c:v>361</c:v>
                </c:pt>
                <c:pt idx="1051">
                  <c:v>361</c:v>
                </c:pt>
                <c:pt idx="1052">
                  <c:v>362</c:v>
                </c:pt>
                <c:pt idx="1053">
                  <c:v>362</c:v>
                </c:pt>
                <c:pt idx="1054">
                  <c:v>362</c:v>
                </c:pt>
                <c:pt idx="1055">
                  <c:v>362</c:v>
                </c:pt>
                <c:pt idx="1056">
                  <c:v>362</c:v>
                </c:pt>
                <c:pt idx="1057">
                  <c:v>362</c:v>
                </c:pt>
                <c:pt idx="1058">
                  <c:v>363</c:v>
                </c:pt>
                <c:pt idx="1059">
                  <c:v>363</c:v>
                </c:pt>
                <c:pt idx="1060">
                  <c:v>364</c:v>
                </c:pt>
                <c:pt idx="1061">
                  <c:v>364</c:v>
                </c:pt>
                <c:pt idx="1062">
                  <c:v>364</c:v>
                </c:pt>
                <c:pt idx="1063">
                  <c:v>364</c:v>
                </c:pt>
                <c:pt idx="1064">
                  <c:v>364</c:v>
                </c:pt>
                <c:pt idx="1065">
                  <c:v>364</c:v>
                </c:pt>
                <c:pt idx="1066">
                  <c:v>365</c:v>
                </c:pt>
                <c:pt idx="1067">
                  <c:v>365</c:v>
                </c:pt>
                <c:pt idx="1068">
                  <c:v>366</c:v>
                </c:pt>
                <c:pt idx="1069">
                  <c:v>366</c:v>
                </c:pt>
                <c:pt idx="1070">
                  <c:v>367</c:v>
                </c:pt>
                <c:pt idx="1071">
                  <c:v>367</c:v>
                </c:pt>
                <c:pt idx="1072">
                  <c:v>367</c:v>
                </c:pt>
                <c:pt idx="1073">
                  <c:v>367</c:v>
                </c:pt>
                <c:pt idx="1074">
                  <c:v>367</c:v>
                </c:pt>
                <c:pt idx="1075">
                  <c:v>367</c:v>
                </c:pt>
                <c:pt idx="1076">
                  <c:v>368</c:v>
                </c:pt>
                <c:pt idx="1077">
                  <c:v>368</c:v>
                </c:pt>
                <c:pt idx="1078">
                  <c:v>368</c:v>
                </c:pt>
                <c:pt idx="1079">
                  <c:v>368</c:v>
                </c:pt>
                <c:pt idx="1080">
                  <c:v>368</c:v>
                </c:pt>
                <c:pt idx="1081">
                  <c:v>368</c:v>
                </c:pt>
                <c:pt idx="1082">
                  <c:v>369</c:v>
                </c:pt>
                <c:pt idx="1083">
                  <c:v>369</c:v>
                </c:pt>
                <c:pt idx="1084">
                  <c:v>369</c:v>
                </c:pt>
                <c:pt idx="1085">
                  <c:v>369</c:v>
                </c:pt>
                <c:pt idx="1086">
                  <c:v>369</c:v>
                </c:pt>
                <c:pt idx="1087">
                  <c:v>369</c:v>
                </c:pt>
                <c:pt idx="1088">
                  <c:v>370</c:v>
                </c:pt>
                <c:pt idx="1089">
                  <c:v>370</c:v>
                </c:pt>
                <c:pt idx="1090">
                  <c:v>372</c:v>
                </c:pt>
                <c:pt idx="1091">
                  <c:v>372</c:v>
                </c:pt>
                <c:pt idx="1092">
                  <c:v>372</c:v>
                </c:pt>
                <c:pt idx="1093">
                  <c:v>372</c:v>
                </c:pt>
                <c:pt idx="1094">
                  <c:v>372</c:v>
                </c:pt>
                <c:pt idx="1095">
                  <c:v>372</c:v>
                </c:pt>
                <c:pt idx="1096">
                  <c:v>373</c:v>
                </c:pt>
                <c:pt idx="1097">
                  <c:v>375</c:v>
                </c:pt>
                <c:pt idx="1098">
                  <c:v>375</c:v>
                </c:pt>
                <c:pt idx="1099">
                  <c:v>375</c:v>
                </c:pt>
                <c:pt idx="1100">
                  <c:v>375</c:v>
                </c:pt>
                <c:pt idx="1101">
                  <c:v>375</c:v>
                </c:pt>
                <c:pt idx="1102">
                  <c:v>375</c:v>
                </c:pt>
                <c:pt idx="1103">
                  <c:v>377</c:v>
                </c:pt>
                <c:pt idx="1104">
                  <c:v>377</c:v>
                </c:pt>
                <c:pt idx="1105">
                  <c:v>377</c:v>
                </c:pt>
                <c:pt idx="1106">
                  <c:v>377</c:v>
                </c:pt>
                <c:pt idx="1107">
                  <c:v>377</c:v>
                </c:pt>
                <c:pt idx="1108">
                  <c:v>377</c:v>
                </c:pt>
                <c:pt idx="1109">
                  <c:v>378</c:v>
                </c:pt>
                <c:pt idx="1110">
                  <c:v>378</c:v>
                </c:pt>
                <c:pt idx="1111">
                  <c:v>379</c:v>
                </c:pt>
                <c:pt idx="1112">
                  <c:v>379</c:v>
                </c:pt>
                <c:pt idx="1113">
                  <c:v>379</c:v>
                </c:pt>
                <c:pt idx="1114">
                  <c:v>380</c:v>
                </c:pt>
                <c:pt idx="1115">
                  <c:v>380</c:v>
                </c:pt>
                <c:pt idx="1116">
                  <c:v>380</c:v>
                </c:pt>
                <c:pt idx="1117">
                  <c:v>380</c:v>
                </c:pt>
                <c:pt idx="1118">
                  <c:v>380</c:v>
                </c:pt>
                <c:pt idx="1119">
                  <c:v>380</c:v>
                </c:pt>
                <c:pt idx="1120">
                  <c:v>381</c:v>
                </c:pt>
                <c:pt idx="1121">
                  <c:v>381</c:v>
                </c:pt>
                <c:pt idx="1122">
                  <c:v>381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385</c:v>
                </c:pt>
                <c:pt idx="1132">
                  <c:v>385</c:v>
                </c:pt>
                <c:pt idx="1133">
                  <c:v>385</c:v>
                </c:pt>
                <c:pt idx="1134">
                  <c:v>386</c:v>
                </c:pt>
                <c:pt idx="1135">
                  <c:v>386</c:v>
                </c:pt>
                <c:pt idx="1136">
                  <c:v>386</c:v>
                </c:pt>
                <c:pt idx="1137">
                  <c:v>387</c:v>
                </c:pt>
                <c:pt idx="1138">
                  <c:v>387</c:v>
                </c:pt>
                <c:pt idx="1139">
                  <c:v>387</c:v>
                </c:pt>
                <c:pt idx="1140">
                  <c:v>388</c:v>
                </c:pt>
                <c:pt idx="1141">
                  <c:v>388</c:v>
                </c:pt>
                <c:pt idx="1142">
                  <c:v>388</c:v>
                </c:pt>
                <c:pt idx="1143">
                  <c:v>389</c:v>
                </c:pt>
                <c:pt idx="1144">
                  <c:v>389</c:v>
                </c:pt>
                <c:pt idx="1145">
                  <c:v>389</c:v>
                </c:pt>
                <c:pt idx="1146">
                  <c:v>391</c:v>
                </c:pt>
                <c:pt idx="1147">
                  <c:v>391</c:v>
                </c:pt>
                <c:pt idx="1148">
                  <c:v>391</c:v>
                </c:pt>
                <c:pt idx="1149">
                  <c:v>392</c:v>
                </c:pt>
                <c:pt idx="1150">
                  <c:v>392</c:v>
                </c:pt>
                <c:pt idx="1151">
                  <c:v>392</c:v>
                </c:pt>
                <c:pt idx="1152">
                  <c:v>393</c:v>
                </c:pt>
                <c:pt idx="1153">
                  <c:v>393</c:v>
                </c:pt>
                <c:pt idx="1154">
                  <c:v>393</c:v>
                </c:pt>
                <c:pt idx="1155">
                  <c:v>394</c:v>
                </c:pt>
                <c:pt idx="1156">
                  <c:v>394</c:v>
                </c:pt>
                <c:pt idx="1157">
                  <c:v>394</c:v>
                </c:pt>
                <c:pt idx="1158">
                  <c:v>395</c:v>
                </c:pt>
                <c:pt idx="1159">
                  <c:v>395</c:v>
                </c:pt>
                <c:pt idx="1160">
                  <c:v>397</c:v>
                </c:pt>
                <c:pt idx="1161">
                  <c:v>397</c:v>
                </c:pt>
                <c:pt idx="1162">
                  <c:v>398</c:v>
                </c:pt>
                <c:pt idx="1163">
                  <c:v>398</c:v>
                </c:pt>
                <c:pt idx="1164">
                  <c:v>399</c:v>
                </c:pt>
                <c:pt idx="1165">
                  <c:v>399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401</c:v>
                </c:pt>
                <c:pt idx="1171">
                  <c:v>401</c:v>
                </c:pt>
                <c:pt idx="1172">
                  <c:v>402</c:v>
                </c:pt>
                <c:pt idx="1173">
                  <c:v>402</c:v>
                </c:pt>
                <c:pt idx="1174">
                  <c:v>403</c:v>
                </c:pt>
                <c:pt idx="1175">
                  <c:v>403</c:v>
                </c:pt>
                <c:pt idx="1176">
                  <c:v>404</c:v>
                </c:pt>
                <c:pt idx="1177">
                  <c:v>404</c:v>
                </c:pt>
                <c:pt idx="1178">
                  <c:v>405</c:v>
                </c:pt>
                <c:pt idx="1179">
                  <c:v>405</c:v>
                </c:pt>
                <c:pt idx="1180">
                  <c:v>406</c:v>
                </c:pt>
                <c:pt idx="1181">
                  <c:v>406</c:v>
                </c:pt>
                <c:pt idx="1182">
                  <c:v>407</c:v>
                </c:pt>
                <c:pt idx="1183">
                  <c:v>407</c:v>
                </c:pt>
                <c:pt idx="1184">
                  <c:v>409</c:v>
                </c:pt>
                <c:pt idx="1185">
                  <c:v>409</c:v>
                </c:pt>
                <c:pt idx="1186">
                  <c:v>409</c:v>
                </c:pt>
                <c:pt idx="1187">
                  <c:v>409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411</c:v>
                </c:pt>
                <c:pt idx="1193">
                  <c:v>411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415</c:v>
                </c:pt>
                <c:pt idx="1199">
                  <c:v>415</c:v>
                </c:pt>
                <c:pt idx="1200">
                  <c:v>416</c:v>
                </c:pt>
                <c:pt idx="1201">
                  <c:v>416</c:v>
                </c:pt>
                <c:pt idx="1202">
                  <c:v>416</c:v>
                </c:pt>
                <c:pt idx="1203">
                  <c:v>417</c:v>
                </c:pt>
                <c:pt idx="1204">
                  <c:v>417</c:v>
                </c:pt>
                <c:pt idx="1205">
                  <c:v>417</c:v>
                </c:pt>
                <c:pt idx="1206">
                  <c:v>418</c:v>
                </c:pt>
                <c:pt idx="1207">
                  <c:v>418</c:v>
                </c:pt>
                <c:pt idx="1208">
                  <c:v>418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423</c:v>
                </c:pt>
                <c:pt idx="1224">
                  <c:v>423</c:v>
                </c:pt>
                <c:pt idx="1225">
                  <c:v>423</c:v>
                </c:pt>
                <c:pt idx="1226">
                  <c:v>423</c:v>
                </c:pt>
                <c:pt idx="1227">
                  <c:v>424</c:v>
                </c:pt>
                <c:pt idx="1228">
                  <c:v>424</c:v>
                </c:pt>
                <c:pt idx="1229">
                  <c:v>424</c:v>
                </c:pt>
                <c:pt idx="1230">
                  <c:v>425</c:v>
                </c:pt>
                <c:pt idx="1231">
                  <c:v>425</c:v>
                </c:pt>
                <c:pt idx="1232">
                  <c:v>425</c:v>
                </c:pt>
                <c:pt idx="1233">
                  <c:v>426</c:v>
                </c:pt>
                <c:pt idx="1234">
                  <c:v>425</c:v>
                </c:pt>
                <c:pt idx="1235">
                  <c:v>426</c:v>
                </c:pt>
                <c:pt idx="1236">
                  <c:v>427</c:v>
                </c:pt>
                <c:pt idx="1237">
                  <c:v>427</c:v>
                </c:pt>
                <c:pt idx="1238">
                  <c:v>427</c:v>
                </c:pt>
                <c:pt idx="1239">
                  <c:v>0</c:v>
                </c:pt>
                <c:pt idx="1240">
                  <c:v>442</c:v>
                </c:pt>
                <c:pt idx="1241">
                  <c:v>442</c:v>
                </c:pt>
                <c:pt idx="1242">
                  <c:v>442</c:v>
                </c:pt>
                <c:pt idx="1243">
                  <c:v>0</c:v>
                </c:pt>
                <c:pt idx="1244">
                  <c:v>457</c:v>
                </c:pt>
                <c:pt idx="1245">
                  <c:v>457</c:v>
                </c:pt>
                <c:pt idx="1246">
                  <c:v>457</c:v>
                </c:pt>
                <c:pt idx="1247">
                  <c:v>458</c:v>
                </c:pt>
                <c:pt idx="1248">
                  <c:v>458</c:v>
                </c:pt>
                <c:pt idx="1249">
                  <c:v>458</c:v>
                </c:pt>
                <c:pt idx="1250">
                  <c:v>459</c:v>
                </c:pt>
                <c:pt idx="1251">
                  <c:v>459</c:v>
                </c:pt>
                <c:pt idx="1252">
                  <c:v>459</c:v>
                </c:pt>
                <c:pt idx="1253">
                  <c:v>460</c:v>
                </c:pt>
                <c:pt idx="1254">
                  <c:v>460</c:v>
                </c:pt>
                <c:pt idx="1255">
                  <c:v>460</c:v>
                </c:pt>
                <c:pt idx="1256">
                  <c:v>461</c:v>
                </c:pt>
                <c:pt idx="1257">
                  <c:v>461</c:v>
                </c:pt>
                <c:pt idx="1258">
                  <c:v>461</c:v>
                </c:pt>
                <c:pt idx="1259">
                  <c:v>463</c:v>
                </c:pt>
                <c:pt idx="1260">
                  <c:v>463</c:v>
                </c:pt>
                <c:pt idx="1261">
                  <c:v>463</c:v>
                </c:pt>
                <c:pt idx="1262">
                  <c:v>464</c:v>
                </c:pt>
                <c:pt idx="1263">
                  <c:v>464</c:v>
                </c:pt>
                <c:pt idx="1264">
                  <c:v>464</c:v>
                </c:pt>
                <c:pt idx="1265">
                  <c:v>465</c:v>
                </c:pt>
                <c:pt idx="1266">
                  <c:v>465</c:v>
                </c:pt>
                <c:pt idx="1267">
                  <c:v>465</c:v>
                </c:pt>
                <c:pt idx="1268">
                  <c:v>470</c:v>
                </c:pt>
                <c:pt idx="1269">
                  <c:v>470</c:v>
                </c:pt>
                <c:pt idx="1270">
                  <c:v>471</c:v>
                </c:pt>
                <c:pt idx="1271">
                  <c:v>471</c:v>
                </c:pt>
                <c:pt idx="1272">
                  <c:v>0</c:v>
                </c:pt>
                <c:pt idx="1273">
                  <c:v>478</c:v>
                </c:pt>
                <c:pt idx="1274">
                  <c:v>478</c:v>
                </c:pt>
                <c:pt idx="1275">
                  <c:v>481</c:v>
                </c:pt>
                <c:pt idx="1276">
                  <c:v>481</c:v>
                </c:pt>
                <c:pt idx="1277">
                  <c:v>482</c:v>
                </c:pt>
                <c:pt idx="1278">
                  <c:v>490</c:v>
                </c:pt>
                <c:pt idx="1279">
                  <c:v>490</c:v>
                </c:pt>
                <c:pt idx="1280">
                  <c:v>490</c:v>
                </c:pt>
                <c:pt idx="1281">
                  <c:v>491</c:v>
                </c:pt>
                <c:pt idx="1282">
                  <c:v>491</c:v>
                </c:pt>
                <c:pt idx="1283">
                  <c:v>491</c:v>
                </c:pt>
                <c:pt idx="1284">
                  <c:v>493</c:v>
                </c:pt>
                <c:pt idx="1285">
                  <c:v>493</c:v>
                </c:pt>
                <c:pt idx="1286">
                  <c:v>494</c:v>
                </c:pt>
                <c:pt idx="1287">
                  <c:v>0</c:v>
                </c:pt>
                <c:pt idx="1288">
                  <c:v>511</c:v>
                </c:pt>
                <c:pt idx="1289">
                  <c:v>511</c:v>
                </c:pt>
                <c:pt idx="1290">
                  <c:v>511</c:v>
                </c:pt>
                <c:pt idx="1291">
                  <c:v>511</c:v>
                </c:pt>
                <c:pt idx="1292">
                  <c:v>512</c:v>
                </c:pt>
                <c:pt idx="1293">
                  <c:v>512</c:v>
                </c:pt>
                <c:pt idx="1294">
                  <c:v>512</c:v>
                </c:pt>
                <c:pt idx="1295">
                  <c:v>512</c:v>
                </c:pt>
                <c:pt idx="1296">
                  <c:v>513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514</c:v>
                </c:pt>
                <c:pt idx="1301">
                  <c:v>514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515</c:v>
                </c:pt>
                <c:pt idx="1307">
                  <c:v>515</c:v>
                </c:pt>
                <c:pt idx="1308">
                  <c:v>516</c:v>
                </c:pt>
                <c:pt idx="1309">
                  <c:v>516</c:v>
                </c:pt>
                <c:pt idx="1310">
                  <c:v>516</c:v>
                </c:pt>
                <c:pt idx="1311">
                  <c:v>516</c:v>
                </c:pt>
                <c:pt idx="1312">
                  <c:v>519</c:v>
                </c:pt>
                <c:pt idx="1313">
                  <c:v>519</c:v>
                </c:pt>
                <c:pt idx="1314">
                  <c:v>519</c:v>
                </c:pt>
                <c:pt idx="1315">
                  <c:v>519</c:v>
                </c:pt>
                <c:pt idx="1316">
                  <c:v>519</c:v>
                </c:pt>
                <c:pt idx="1317">
                  <c:v>519</c:v>
                </c:pt>
                <c:pt idx="1318">
                  <c:v>520</c:v>
                </c:pt>
                <c:pt idx="1319">
                  <c:v>520</c:v>
                </c:pt>
                <c:pt idx="1320">
                  <c:v>522</c:v>
                </c:pt>
                <c:pt idx="1321">
                  <c:v>522</c:v>
                </c:pt>
                <c:pt idx="1322">
                  <c:v>522</c:v>
                </c:pt>
                <c:pt idx="1323">
                  <c:v>523</c:v>
                </c:pt>
                <c:pt idx="1324">
                  <c:v>523</c:v>
                </c:pt>
                <c:pt idx="1325">
                  <c:v>523</c:v>
                </c:pt>
                <c:pt idx="1326">
                  <c:v>524</c:v>
                </c:pt>
                <c:pt idx="1327">
                  <c:v>524</c:v>
                </c:pt>
                <c:pt idx="1328">
                  <c:v>524</c:v>
                </c:pt>
                <c:pt idx="1329">
                  <c:v>0</c:v>
                </c:pt>
                <c:pt idx="1330">
                  <c:v>526</c:v>
                </c:pt>
                <c:pt idx="1331">
                  <c:v>526</c:v>
                </c:pt>
                <c:pt idx="1332">
                  <c:v>527</c:v>
                </c:pt>
                <c:pt idx="1333">
                  <c:v>527</c:v>
                </c:pt>
                <c:pt idx="1334">
                  <c:v>527</c:v>
                </c:pt>
                <c:pt idx="1335">
                  <c:v>528</c:v>
                </c:pt>
                <c:pt idx="1336">
                  <c:v>528</c:v>
                </c:pt>
                <c:pt idx="1337">
                  <c:v>529</c:v>
                </c:pt>
                <c:pt idx="1338">
                  <c:v>529</c:v>
                </c:pt>
                <c:pt idx="1339">
                  <c:v>530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</c:strCache>
            </c:strRef>
          </c:xVal>
          <c:yVal>
            <c:numRef>
              <c:f>Charts!$F$2:$F$1400</c:f>
              <c:numCache>
                <c:formatCode>General</c:formatCode>
                <c:ptCount val="13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18322.83560949813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16441.93342819613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17684.0818835242</c:v>
                </c:pt>
                <c:pt idx="12">
                  <c:v>0.0</c:v>
                </c:pt>
                <c:pt idx="13">
                  <c:v>0.0</c:v>
                </c:pt>
                <c:pt idx="14">
                  <c:v>17224.29364134658</c:v>
                </c:pt>
                <c:pt idx="15">
                  <c:v>17669.40961132627</c:v>
                </c:pt>
                <c:pt idx="16">
                  <c:v>24941.99810786912</c:v>
                </c:pt>
                <c:pt idx="17">
                  <c:v>25789.69582384331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17869.1008840924</c:v>
                </c:pt>
                <c:pt idx="78">
                  <c:v>18089.83901920885</c:v>
                </c:pt>
                <c:pt idx="79">
                  <c:v>17523.4425093186</c:v>
                </c:pt>
                <c:pt idx="80">
                  <c:v>18247.3457887055</c:v>
                </c:pt>
                <c:pt idx="81">
                  <c:v>16463.6607577689</c:v>
                </c:pt>
                <c:pt idx="82">
                  <c:v>16874.0721553192</c:v>
                </c:pt>
                <c:pt idx="83">
                  <c:v>15129.55361228398</c:v>
                </c:pt>
                <c:pt idx="84">
                  <c:v>15789.44782530844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17352.0679492846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17129.64881145714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13855.02925133119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16855.37624463295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17046.09857247827</c:v>
                </c:pt>
                <c:pt idx="260">
                  <c:v>16737.15280872644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36660.93593963823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13608.00110010677</c:v>
                </c:pt>
                <c:pt idx="279">
                  <c:v>0.0</c:v>
                </c:pt>
                <c:pt idx="280">
                  <c:v>15715.28739741472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18286.60847150321</c:v>
                </c:pt>
                <c:pt idx="287">
                  <c:v>18023.43958718372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18019.7487474789</c:v>
                </c:pt>
                <c:pt idx="303">
                  <c:v>17874.97814709575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18514.65193290224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15419.28395619846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15725.76043756962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15818.00169412985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13075.30219362017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15550.42473635051</c:v>
                </c:pt>
                <c:pt idx="369">
                  <c:v>0.0</c:v>
                </c:pt>
                <c:pt idx="370">
                  <c:v>13970.51815920635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22122.1098</c:v>
                </c:pt>
                <c:pt idx="461">
                  <c:v>0.0</c:v>
                </c:pt>
                <c:pt idx="462">
                  <c:v>33729.8325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21243.6</c:v>
                </c:pt>
                <c:pt idx="469">
                  <c:v>0.0</c:v>
                </c:pt>
                <c:pt idx="470">
                  <c:v>16558.8696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14904.45142581167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14940.43289041289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23659.19183639623</c:v>
                </c:pt>
                <c:pt idx="599">
                  <c:v>0.0</c:v>
                </c:pt>
                <c:pt idx="600">
                  <c:v>0.0</c:v>
                </c:pt>
                <c:pt idx="601">
                  <c:v>21340.57047216013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23728.35404509894</c:v>
                </c:pt>
                <c:pt idx="606">
                  <c:v>0.0</c:v>
                </c:pt>
                <c:pt idx="607">
                  <c:v>22593.49548528012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15876.09270399923</c:v>
                </c:pt>
                <c:pt idx="615">
                  <c:v>0.0</c:v>
                </c:pt>
                <c:pt idx="616">
                  <c:v>16233.60546975155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17859.48607640255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19906.030703392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16240.79209845244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14708.24208727088</c:v>
                </c:pt>
                <c:pt idx="637">
                  <c:v>0.0</c:v>
                </c:pt>
                <c:pt idx="638">
                  <c:v>0.0</c:v>
                </c:pt>
                <c:pt idx="639">
                  <c:v>15112.54256222044</c:v>
                </c:pt>
                <c:pt idx="640">
                  <c:v>14388.36427160256</c:v>
                </c:pt>
                <c:pt idx="641">
                  <c:v>14720.54940815028</c:v>
                </c:pt>
                <c:pt idx="642">
                  <c:v>14519.5517225</c:v>
                </c:pt>
                <c:pt idx="643">
                  <c:v>16130.01657605448</c:v>
                </c:pt>
                <c:pt idx="644">
                  <c:v>14517.1154025413</c:v>
                </c:pt>
                <c:pt idx="645">
                  <c:v>18297.05679504543</c:v>
                </c:pt>
                <c:pt idx="646">
                  <c:v>14557.88407536098</c:v>
                </c:pt>
                <c:pt idx="647">
                  <c:v>13997.46511310852</c:v>
                </c:pt>
                <c:pt idx="648">
                  <c:v>14048.54123786221</c:v>
                </c:pt>
                <c:pt idx="649">
                  <c:v>14360.87402205168</c:v>
                </c:pt>
                <c:pt idx="650">
                  <c:v>14034.8857851478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14554.29862025105</c:v>
                </c:pt>
                <c:pt idx="655">
                  <c:v>13323.11651273277</c:v>
                </c:pt>
                <c:pt idx="656">
                  <c:v>13241.80830722067</c:v>
                </c:pt>
                <c:pt idx="657">
                  <c:v>12954.08744394055</c:v>
                </c:pt>
                <c:pt idx="658">
                  <c:v>13651.14428053827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15451.91773522151</c:v>
                </c:pt>
                <c:pt idx="667">
                  <c:v>14126.68096513228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15012.75158183122</c:v>
                </c:pt>
                <c:pt idx="672">
                  <c:v>15717.97638169735</c:v>
                </c:pt>
                <c:pt idx="673">
                  <c:v>15919.66102563112</c:v>
                </c:pt>
                <c:pt idx="674">
                  <c:v>15994.72586117508</c:v>
                </c:pt>
                <c:pt idx="675">
                  <c:v>0.0</c:v>
                </c:pt>
                <c:pt idx="676">
                  <c:v>0.0</c:v>
                </c:pt>
                <c:pt idx="677">
                  <c:v>13809.2560353814</c:v>
                </c:pt>
                <c:pt idx="678">
                  <c:v>13876.59786199378</c:v>
                </c:pt>
                <c:pt idx="679">
                  <c:v>15196.27778327824</c:v>
                </c:pt>
                <c:pt idx="680">
                  <c:v>0.0</c:v>
                </c:pt>
                <c:pt idx="681">
                  <c:v>16273.34193257955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21362.26251125848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17440.89098641297</c:v>
                </c:pt>
                <c:pt idx="704">
                  <c:v>16449.40484935419</c:v>
                </c:pt>
                <c:pt idx="705">
                  <c:v>17558.85897172674</c:v>
                </c:pt>
                <c:pt idx="706">
                  <c:v>16457.33962065986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17855.11544658884</c:v>
                </c:pt>
                <c:pt idx="711">
                  <c:v>13015.24208567974</c:v>
                </c:pt>
                <c:pt idx="712">
                  <c:v>0.0</c:v>
                </c:pt>
                <c:pt idx="713">
                  <c:v>0.0</c:v>
                </c:pt>
                <c:pt idx="714">
                  <c:v>10353.54490773257</c:v>
                </c:pt>
                <c:pt idx="715">
                  <c:v>9077.310404188325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12990.75984669944</c:v>
                </c:pt>
                <c:pt idx="724">
                  <c:v>0.0</c:v>
                </c:pt>
                <c:pt idx="725">
                  <c:v>11478.72944720959</c:v>
                </c:pt>
                <c:pt idx="726">
                  <c:v>9967.490270738039</c:v>
                </c:pt>
                <c:pt idx="727">
                  <c:v>16149.77850700298</c:v>
                </c:pt>
                <c:pt idx="728">
                  <c:v>13365.26850109307</c:v>
                </c:pt>
                <c:pt idx="729">
                  <c:v>0.0</c:v>
                </c:pt>
                <c:pt idx="730">
                  <c:v>13430.21705069287</c:v>
                </c:pt>
                <c:pt idx="731">
                  <c:v>13811.48893393065</c:v>
                </c:pt>
                <c:pt idx="732">
                  <c:v>11628.99955338038</c:v>
                </c:pt>
                <c:pt idx="733">
                  <c:v>9779.337733154449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16539.62948724142</c:v>
                </c:pt>
                <c:pt idx="750">
                  <c:v>0.0</c:v>
                </c:pt>
                <c:pt idx="751">
                  <c:v>12967.87318519963</c:v>
                </c:pt>
                <c:pt idx="752">
                  <c:v>16241.28353738696</c:v>
                </c:pt>
                <c:pt idx="753">
                  <c:v>12712.4167701628</c:v>
                </c:pt>
                <c:pt idx="754">
                  <c:v>15603.71794006983</c:v>
                </c:pt>
                <c:pt idx="755">
                  <c:v>14237.84516756393</c:v>
                </c:pt>
                <c:pt idx="756">
                  <c:v>15448.21490891115</c:v>
                </c:pt>
                <c:pt idx="757">
                  <c:v>14935.21190445296</c:v>
                </c:pt>
                <c:pt idx="758">
                  <c:v>13071.65005837045</c:v>
                </c:pt>
                <c:pt idx="759">
                  <c:v>15365.30487242521</c:v>
                </c:pt>
                <c:pt idx="760">
                  <c:v>16142.57458975708</c:v>
                </c:pt>
                <c:pt idx="761">
                  <c:v>14832.05492107286</c:v>
                </c:pt>
                <c:pt idx="762">
                  <c:v>15409.98338805431</c:v>
                </c:pt>
                <c:pt idx="763">
                  <c:v>17951.86078839781</c:v>
                </c:pt>
                <c:pt idx="764">
                  <c:v>14675.16999278361</c:v>
                </c:pt>
                <c:pt idx="765">
                  <c:v>18922.16539800131</c:v>
                </c:pt>
                <c:pt idx="766">
                  <c:v>13914.90007141125</c:v>
                </c:pt>
                <c:pt idx="767">
                  <c:v>22445.34168256927</c:v>
                </c:pt>
                <c:pt idx="768">
                  <c:v>15115.88819006332</c:v>
                </c:pt>
                <c:pt idx="769">
                  <c:v>18848.34042054195</c:v>
                </c:pt>
                <c:pt idx="770">
                  <c:v>15625.53897419425</c:v>
                </c:pt>
                <c:pt idx="771">
                  <c:v>22774.31271981251</c:v>
                </c:pt>
                <c:pt idx="772">
                  <c:v>21574.336543054</c:v>
                </c:pt>
                <c:pt idx="773">
                  <c:v>0.0</c:v>
                </c:pt>
                <c:pt idx="774">
                  <c:v>21757.4795061662</c:v>
                </c:pt>
                <c:pt idx="775">
                  <c:v>18849.93959311203</c:v>
                </c:pt>
                <c:pt idx="776">
                  <c:v>22234.85445016949</c:v>
                </c:pt>
                <c:pt idx="777">
                  <c:v>22694.90866287029</c:v>
                </c:pt>
                <c:pt idx="778">
                  <c:v>22470.6206933166</c:v>
                </c:pt>
                <c:pt idx="779">
                  <c:v>20796.1329588264</c:v>
                </c:pt>
                <c:pt idx="780">
                  <c:v>21316.72298505303</c:v>
                </c:pt>
                <c:pt idx="781">
                  <c:v>21498.91534581525</c:v>
                </c:pt>
                <c:pt idx="782">
                  <c:v>26712.98850456238</c:v>
                </c:pt>
                <c:pt idx="783">
                  <c:v>24418.81464164182</c:v>
                </c:pt>
                <c:pt idx="784">
                  <c:v>17530.90449530413</c:v>
                </c:pt>
                <c:pt idx="785">
                  <c:v>23132.96128409338</c:v>
                </c:pt>
                <c:pt idx="786">
                  <c:v>16933.80527997306</c:v>
                </c:pt>
                <c:pt idx="787">
                  <c:v>23206.03687717014</c:v>
                </c:pt>
                <c:pt idx="788">
                  <c:v>22770.54576174261</c:v>
                </c:pt>
                <c:pt idx="789">
                  <c:v>0.0</c:v>
                </c:pt>
                <c:pt idx="790">
                  <c:v>0.0</c:v>
                </c:pt>
                <c:pt idx="791">
                  <c:v>17400.54139934253</c:v>
                </c:pt>
                <c:pt idx="792">
                  <c:v>15422.2078434567</c:v>
                </c:pt>
                <c:pt idx="793">
                  <c:v>17369.64839303127</c:v>
                </c:pt>
                <c:pt idx="794">
                  <c:v>14878.9507327408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11602.42515424151</c:v>
                </c:pt>
                <c:pt idx="801">
                  <c:v>13724.38784191015</c:v>
                </c:pt>
                <c:pt idx="802">
                  <c:v>0.0</c:v>
                </c:pt>
                <c:pt idx="803">
                  <c:v>11999.71399957919</c:v>
                </c:pt>
                <c:pt idx="804">
                  <c:v>12024.32308188434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11273.7575496966</c:v>
                </c:pt>
                <c:pt idx="829">
                  <c:v>12267.70289218021</c:v>
                </c:pt>
                <c:pt idx="830">
                  <c:v>0.0</c:v>
                </c:pt>
                <c:pt idx="831">
                  <c:v>12016.52997911335</c:v>
                </c:pt>
                <c:pt idx="832">
                  <c:v>12910.64739950623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32381.03326988477</c:v>
                </c:pt>
                <c:pt idx="839">
                  <c:v>31980.89223330718</c:v>
                </c:pt>
                <c:pt idx="840">
                  <c:v>31822.99372169393</c:v>
                </c:pt>
                <c:pt idx="841">
                  <c:v>31895.70677273329</c:v>
                </c:pt>
                <c:pt idx="842">
                  <c:v>31108.58889177437</c:v>
                </c:pt>
                <c:pt idx="843">
                  <c:v>30381.62435319686</c:v>
                </c:pt>
                <c:pt idx="844">
                  <c:v>32503.70636215667</c:v>
                </c:pt>
                <c:pt idx="845">
                  <c:v>32028.39269800891</c:v>
                </c:pt>
                <c:pt idx="846">
                  <c:v>31267.66826096716</c:v>
                </c:pt>
                <c:pt idx="847">
                  <c:v>31826.90984119071</c:v>
                </c:pt>
                <c:pt idx="848">
                  <c:v>30229.81161995196</c:v>
                </c:pt>
                <c:pt idx="849">
                  <c:v>29949.37790247201</c:v>
                </c:pt>
                <c:pt idx="850">
                  <c:v>16963.365596385</c:v>
                </c:pt>
                <c:pt idx="851">
                  <c:v>16421.60581818265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11919.65596342767</c:v>
                </c:pt>
                <c:pt idx="861">
                  <c:v>15052.36236817738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15709.55442787676</c:v>
                </c:pt>
                <c:pt idx="866">
                  <c:v>0.0</c:v>
                </c:pt>
                <c:pt idx="867">
                  <c:v>16319.41574440759</c:v>
                </c:pt>
                <c:pt idx="868">
                  <c:v>15756.88652700963</c:v>
                </c:pt>
                <c:pt idx="869">
                  <c:v>15096.35711203911</c:v>
                </c:pt>
                <c:pt idx="870">
                  <c:v>14752.10806804781</c:v>
                </c:pt>
                <c:pt idx="871">
                  <c:v>14365.24536553087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15313.88975659325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16562.78793037779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16523.11972964798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15684.77948496837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14074.29162462468</c:v>
                </c:pt>
                <c:pt idx="947">
                  <c:v>0.0</c:v>
                </c:pt>
                <c:pt idx="948">
                  <c:v>0.0</c:v>
                </c:pt>
                <c:pt idx="949">
                  <c:v>13800.12607787859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16186.16634459335</c:v>
                </c:pt>
                <c:pt idx="967">
                  <c:v>0.0</c:v>
                </c:pt>
                <c:pt idx="968">
                  <c:v>0.0</c:v>
                </c:pt>
                <c:pt idx="969">
                  <c:v>16300.07876553812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16041.83793130931</c:v>
                </c:pt>
                <c:pt idx="976">
                  <c:v>16769.05900584575</c:v>
                </c:pt>
                <c:pt idx="977">
                  <c:v>18032.24815140826</c:v>
                </c:pt>
                <c:pt idx="978">
                  <c:v>0.0</c:v>
                </c:pt>
                <c:pt idx="979">
                  <c:v>16271.80601752884</c:v>
                </c:pt>
                <c:pt idx="980">
                  <c:v>16858.61923549284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15470.15402790146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16429.86754816748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16622.83217115686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15372.12369580622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13832.70647472765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15606.09587327566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15219.69600063043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13577.99011289793</c:v>
                </c:pt>
                <c:pt idx="1049">
                  <c:v>14940.28313961729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34270.71341509943</c:v>
                </c:pt>
                <c:pt idx="1059">
                  <c:v>0.0</c:v>
                </c:pt>
                <c:pt idx="1060">
                  <c:v>23025.76738085367</c:v>
                </c:pt>
                <c:pt idx="1061">
                  <c:v>23044.08460319317</c:v>
                </c:pt>
                <c:pt idx="1062">
                  <c:v>0.0</c:v>
                </c:pt>
                <c:pt idx="1063">
                  <c:v>22964.24228431165</c:v>
                </c:pt>
                <c:pt idx="1064">
                  <c:v>22842.49370991833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15261.09239571885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15904.34807425536</c:v>
                </c:pt>
                <c:pt idx="1082">
                  <c:v>0.0</c:v>
                </c:pt>
                <c:pt idx="1083">
                  <c:v>0.0</c:v>
                </c:pt>
                <c:pt idx="1084">
                  <c:v>15885.59583715431</c:v>
                </c:pt>
                <c:pt idx="1085">
                  <c:v>0.0</c:v>
                </c:pt>
                <c:pt idx="1086">
                  <c:v>0.0</c:v>
                </c:pt>
                <c:pt idx="1087">
                  <c:v>14082.78468925792</c:v>
                </c:pt>
                <c:pt idx="1088">
                  <c:v>13568.5639485592</c:v>
                </c:pt>
                <c:pt idx="1089">
                  <c:v>14393.91801596274</c:v>
                </c:pt>
                <c:pt idx="1090">
                  <c:v>0.0</c:v>
                </c:pt>
                <c:pt idx="1091">
                  <c:v>0.0</c:v>
                </c:pt>
                <c:pt idx="1092">
                  <c:v>16107.4197876099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16600.91407853421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15953.69236495673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15949.98244659617</c:v>
                </c:pt>
                <c:pt idx="1113">
                  <c:v>0.0</c:v>
                </c:pt>
                <c:pt idx="1114">
                  <c:v>17386.45185963157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14867.99240009489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17054.4741499405</c:v>
                </c:pt>
                <c:pt idx="1132">
                  <c:v>0.0</c:v>
                </c:pt>
                <c:pt idx="1133">
                  <c:v>0.0</c:v>
                </c:pt>
                <c:pt idx="1134">
                  <c:v>16391.92936164312</c:v>
                </c:pt>
                <c:pt idx="1135">
                  <c:v>0.0</c:v>
                </c:pt>
                <c:pt idx="1136">
                  <c:v>0.0</c:v>
                </c:pt>
                <c:pt idx="1137">
                  <c:v>16606.48887602451</c:v>
                </c:pt>
                <c:pt idx="1138">
                  <c:v>0.0</c:v>
                </c:pt>
                <c:pt idx="1139">
                  <c:v>0.0</c:v>
                </c:pt>
                <c:pt idx="1140">
                  <c:v>15493.00505965479</c:v>
                </c:pt>
                <c:pt idx="1141">
                  <c:v>0.0</c:v>
                </c:pt>
                <c:pt idx="1142">
                  <c:v>0.0</c:v>
                </c:pt>
                <c:pt idx="1143">
                  <c:v>17703.47863544023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15594.89375251961</c:v>
                </c:pt>
                <c:pt idx="1150">
                  <c:v>0.0</c:v>
                </c:pt>
                <c:pt idx="1151">
                  <c:v>0.0</c:v>
                </c:pt>
                <c:pt idx="1152">
                  <c:v>15013.40886769036</c:v>
                </c:pt>
                <c:pt idx="1153">
                  <c:v>0.0</c:v>
                </c:pt>
                <c:pt idx="1154">
                  <c:v>0.0</c:v>
                </c:pt>
                <c:pt idx="1155">
                  <c:v>15196.23781801429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21450.40625776423</c:v>
                </c:pt>
                <c:pt idx="1245">
                  <c:v>22874.99157136062</c:v>
                </c:pt>
                <c:pt idx="1246">
                  <c:v>23058.07405132782</c:v>
                </c:pt>
                <c:pt idx="1247">
                  <c:v>21048.0355519734</c:v>
                </c:pt>
                <c:pt idx="1248">
                  <c:v>22723.67066421376</c:v>
                </c:pt>
                <c:pt idx="1249">
                  <c:v>22686.07352055579</c:v>
                </c:pt>
                <c:pt idx="1250">
                  <c:v>0.0</c:v>
                </c:pt>
                <c:pt idx="1251">
                  <c:v>22731.51762969346</c:v>
                </c:pt>
                <c:pt idx="1252">
                  <c:v>22763.63159266044</c:v>
                </c:pt>
                <c:pt idx="1253">
                  <c:v>0.0</c:v>
                </c:pt>
                <c:pt idx="1254">
                  <c:v>22824.82117724319</c:v>
                </c:pt>
                <c:pt idx="1255">
                  <c:v>22624.93540909203</c:v>
                </c:pt>
                <c:pt idx="1256">
                  <c:v>21601.56380689464</c:v>
                </c:pt>
                <c:pt idx="1257">
                  <c:v>19902.28181889908</c:v>
                </c:pt>
                <c:pt idx="1258">
                  <c:v>20126.77919573093</c:v>
                </c:pt>
                <c:pt idx="1259">
                  <c:v>18281.30484308666</c:v>
                </c:pt>
                <c:pt idx="1260">
                  <c:v>20191.63068683256</c:v>
                </c:pt>
                <c:pt idx="1261">
                  <c:v>20041.57537611392</c:v>
                </c:pt>
                <c:pt idx="1262">
                  <c:v>18411.2856641618</c:v>
                </c:pt>
                <c:pt idx="1263">
                  <c:v>19687.25620962667</c:v>
                </c:pt>
                <c:pt idx="1264">
                  <c:v>19683.00847299963</c:v>
                </c:pt>
                <c:pt idx="1265">
                  <c:v>22104.91100553698</c:v>
                </c:pt>
                <c:pt idx="1266">
                  <c:v>19826.58154279474</c:v>
                </c:pt>
                <c:pt idx="1267">
                  <c:v>19255.87564648933</c:v>
                </c:pt>
                <c:pt idx="1268">
                  <c:v>20493.97954146821</c:v>
                </c:pt>
                <c:pt idx="1269">
                  <c:v>20708.433201425</c:v>
                </c:pt>
                <c:pt idx="1270">
                  <c:v>20720.14834057396</c:v>
                </c:pt>
                <c:pt idx="1271">
                  <c:v>20723.2802434628</c:v>
                </c:pt>
                <c:pt idx="1272">
                  <c:v>0.0</c:v>
                </c:pt>
                <c:pt idx="1273">
                  <c:v>19754.23442370353</c:v>
                </c:pt>
                <c:pt idx="1274">
                  <c:v>19348.37075384226</c:v>
                </c:pt>
                <c:pt idx="1275">
                  <c:v>20059.99499160066</c:v>
                </c:pt>
                <c:pt idx="1276">
                  <c:v>19944.71850624017</c:v>
                </c:pt>
                <c:pt idx="1277">
                  <c:v>0.0</c:v>
                </c:pt>
                <c:pt idx="1278">
                  <c:v>2964.187927111543</c:v>
                </c:pt>
                <c:pt idx="1279">
                  <c:v>0.0</c:v>
                </c:pt>
                <c:pt idx="1280">
                  <c:v>0.0</c:v>
                </c:pt>
                <c:pt idx="1281">
                  <c:v>20823.20496475322</c:v>
                </c:pt>
                <c:pt idx="1282">
                  <c:v>20525.61147696351</c:v>
                </c:pt>
                <c:pt idx="1283">
                  <c:v>20536.96089826391</c:v>
                </c:pt>
                <c:pt idx="1284">
                  <c:v>0.0</c:v>
                </c:pt>
                <c:pt idx="1285">
                  <c:v>1126.609996961146</c:v>
                </c:pt>
                <c:pt idx="1286">
                  <c:v>15885.54156289852</c:v>
                </c:pt>
                <c:pt idx="1287">
                  <c:v>0.0</c:v>
                </c:pt>
                <c:pt idx="1288">
                  <c:v>21775.23018520571</c:v>
                </c:pt>
                <c:pt idx="1289">
                  <c:v>22048.12692402913</c:v>
                </c:pt>
                <c:pt idx="1290">
                  <c:v>20616.17883126251</c:v>
                </c:pt>
                <c:pt idx="1291">
                  <c:v>19669.42545732615</c:v>
                </c:pt>
                <c:pt idx="1292">
                  <c:v>22898.31993823544</c:v>
                </c:pt>
                <c:pt idx="1293">
                  <c:v>22910.83914638038</c:v>
                </c:pt>
                <c:pt idx="1294">
                  <c:v>21715.04303292474</c:v>
                </c:pt>
                <c:pt idx="1295">
                  <c:v>20235.54223514705</c:v>
                </c:pt>
                <c:pt idx="1296">
                  <c:v>22716.53793509425</c:v>
                </c:pt>
                <c:pt idx="1297">
                  <c:v>22391.22785876322</c:v>
                </c:pt>
                <c:pt idx="1298">
                  <c:v>21162.21673931838</c:v>
                </c:pt>
                <c:pt idx="1299">
                  <c:v>21587.80121515786</c:v>
                </c:pt>
                <c:pt idx="1300">
                  <c:v>22849.06935180474</c:v>
                </c:pt>
                <c:pt idx="1301">
                  <c:v>22807.80009621228</c:v>
                </c:pt>
                <c:pt idx="1302">
                  <c:v>21622.14898659753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23000.79444336678</c:v>
                </c:pt>
                <c:pt idx="1309">
                  <c:v>22417.32728144488</c:v>
                </c:pt>
                <c:pt idx="1310">
                  <c:v>21722.83947089218</c:v>
                </c:pt>
                <c:pt idx="1311">
                  <c:v>20419.90995518346</c:v>
                </c:pt>
                <c:pt idx="1312">
                  <c:v>21664.37028971251</c:v>
                </c:pt>
                <c:pt idx="1313">
                  <c:v>21591.00905204824</c:v>
                </c:pt>
                <c:pt idx="1314">
                  <c:v>15029.77963894169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18296.16324132555</c:v>
                </c:pt>
                <c:pt idx="1321">
                  <c:v>17677.7517104287</c:v>
                </c:pt>
                <c:pt idx="1322">
                  <c:v>17607.33220165835</c:v>
                </c:pt>
                <c:pt idx="1323">
                  <c:v>19218.04702544983</c:v>
                </c:pt>
                <c:pt idx="1324">
                  <c:v>18173.79913942149</c:v>
                </c:pt>
                <c:pt idx="1325">
                  <c:v>18195.61125272807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14335.70584354533</c:v>
                </c:pt>
                <c:pt idx="1336">
                  <c:v>14171.71302169354</c:v>
                </c:pt>
                <c:pt idx="1337">
                  <c:v>18058.70560219343</c:v>
                </c:pt>
                <c:pt idx="1338">
                  <c:v>17849.2557717013</c:v>
                </c:pt>
                <c:pt idx="1339">
                  <c:v>17415.50093289341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21272"/>
        <c:axId val="2112828296"/>
      </c:scatterChart>
      <c:valAx>
        <c:axId val="211282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Run #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2828296"/>
        <c:crosses val="autoZero"/>
        <c:crossBetween val="midCat"/>
      </c:valAx>
      <c:valAx>
        <c:axId val="211282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Rho*Tc (Ohms*nm*K)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28212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Charts!$K$2:$K$1200</c:f>
              <c:numCache>
                <c:formatCode>General</c:formatCode>
                <c:ptCount val="1199"/>
                <c:pt idx="0">
                  <c:v>0.0</c:v>
                </c:pt>
                <c:pt idx="1">
                  <c:v>776.454397574431</c:v>
                </c:pt>
                <c:pt idx="2">
                  <c:v>0.0</c:v>
                </c:pt>
                <c:pt idx="3">
                  <c:v>362.742231736976</c:v>
                </c:pt>
                <c:pt idx="4">
                  <c:v>0.0</c:v>
                </c:pt>
                <c:pt idx="5">
                  <c:v>0.0</c:v>
                </c:pt>
                <c:pt idx="6">
                  <c:v>343.0</c:v>
                </c:pt>
                <c:pt idx="7">
                  <c:v>306.935734546672</c:v>
                </c:pt>
                <c:pt idx="8">
                  <c:v>296.394507299615</c:v>
                </c:pt>
                <c:pt idx="9">
                  <c:v>302.719243647849</c:v>
                </c:pt>
                <c:pt idx="10">
                  <c:v>0.0</c:v>
                </c:pt>
                <c:pt idx="11">
                  <c:v>326.033958029576</c:v>
                </c:pt>
                <c:pt idx="12">
                  <c:v>271.467605221279</c:v>
                </c:pt>
                <c:pt idx="13">
                  <c:v>284.985178985153</c:v>
                </c:pt>
                <c:pt idx="14">
                  <c:v>408.875602747628</c:v>
                </c:pt>
                <c:pt idx="15">
                  <c:v>423.757335331709</c:v>
                </c:pt>
                <c:pt idx="16">
                  <c:v>655.540320328772</c:v>
                </c:pt>
                <c:pt idx="17">
                  <c:v>669.305922969047</c:v>
                </c:pt>
                <c:pt idx="18">
                  <c:v>1790.02440098855</c:v>
                </c:pt>
                <c:pt idx="19">
                  <c:v>509.699341004777</c:v>
                </c:pt>
                <c:pt idx="20">
                  <c:v>360.882015163966</c:v>
                </c:pt>
                <c:pt idx="21">
                  <c:v>1036.76070335765</c:v>
                </c:pt>
                <c:pt idx="22">
                  <c:v>48.2416164600628</c:v>
                </c:pt>
                <c:pt idx="23">
                  <c:v>45.3892843814473</c:v>
                </c:pt>
                <c:pt idx="24">
                  <c:v>0.0</c:v>
                </c:pt>
                <c:pt idx="25">
                  <c:v>0.0</c:v>
                </c:pt>
                <c:pt idx="26">
                  <c:v>386.304974995105</c:v>
                </c:pt>
                <c:pt idx="27">
                  <c:v>0.0</c:v>
                </c:pt>
                <c:pt idx="28">
                  <c:v>256.709887075399</c:v>
                </c:pt>
                <c:pt idx="29">
                  <c:v>387.793148253513</c:v>
                </c:pt>
                <c:pt idx="30">
                  <c:v>397.590288871366</c:v>
                </c:pt>
                <c:pt idx="31">
                  <c:v>485.268496679244</c:v>
                </c:pt>
                <c:pt idx="32">
                  <c:v>402.426851961193</c:v>
                </c:pt>
                <c:pt idx="33">
                  <c:v>141.37645954877</c:v>
                </c:pt>
                <c:pt idx="34">
                  <c:v>139.144199661158</c:v>
                </c:pt>
                <c:pt idx="35">
                  <c:v>116.697586346836</c:v>
                </c:pt>
                <c:pt idx="36">
                  <c:v>135.175737638736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836.725414539959</c:v>
                </c:pt>
                <c:pt idx="46">
                  <c:v>837.469501169163</c:v>
                </c:pt>
                <c:pt idx="47">
                  <c:v>773.106007743012</c:v>
                </c:pt>
                <c:pt idx="48">
                  <c:v>752.5196110017</c:v>
                </c:pt>
                <c:pt idx="49">
                  <c:v>731.685185383986</c:v>
                </c:pt>
                <c:pt idx="50">
                  <c:v>734.661531900803</c:v>
                </c:pt>
                <c:pt idx="51">
                  <c:v>1981.3786791322</c:v>
                </c:pt>
                <c:pt idx="52">
                  <c:v>751.279466619693</c:v>
                </c:pt>
                <c:pt idx="53">
                  <c:v>723.252203586341</c:v>
                </c:pt>
                <c:pt idx="54">
                  <c:v>740.490210496234</c:v>
                </c:pt>
                <c:pt idx="55">
                  <c:v>738.629993923224</c:v>
                </c:pt>
                <c:pt idx="56">
                  <c:v>671.0421251038561</c:v>
                </c:pt>
                <c:pt idx="57">
                  <c:v>742.350427069245</c:v>
                </c:pt>
                <c:pt idx="58">
                  <c:v>761.572664990349</c:v>
                </c:pt>
                <c:pt idx="59">
                  <c:v>729.452925496374</c:v>
                </c:pt>
                <c:pt idx="60">
                  <c:v>674.142486058873</c:v>
                </c:pt>
                <c:pt idx="61">
                  <c:v>1367.50721003885</c:v>
                </c:pt>
                <c:pt idx="62">
                  <c:v>1281.06914661298</c:v>
                </c:pt>
                <c:pt idx="63">
                  <c:v>493.205420724087</c:v>
                </c:pt>
                <c:pt idx="64">
                  <c:v>559.181101846847</c:v>
                </c:pt>
                <c:pt idx="65">
                  <c:v>292.054001962591</c:v>
                </c:pt>
                <c:pt idx="66">
                  <c:v>294.658305164805</c:v>
                </c:pt>
                <c:pt idx="67">
                  <c:v>319.213163928539</c:v>
                </c:pt>
                <c:pt idx="68">
                  <c:v>305.199532411863</c:v>
                </c:pt>
                <c:pt idx="69">
                  <c:v>414.82829578126</c:v>
                </c:pt>
                <c:pt idx="70">
                  <c:v>270.351475277473</c:v>
                </c:pt>
                <c:pt idx="71">
                  <c:v>269.359359771868</c:v>
                </c:pt>
                <c:pt idx="72">
                  <c:v>258.942146963011</c:v>
                </c:pt>
                <c:pt idx="73">
                  <c:v>423.013248702505</c:v>
                </c:pt>
                <c:pt idx="74">
                  <c:v>311.896312074699</c:v>
                </c:pt>
                <c:pt idx="75">
                  <c:v>251.37726623277</c:v>
                </c:pt>
                <c:pt idx="76">
                  <c:v>261.670464603426</c:v>
                </c:pt>
                <c:pt idx="77">
                  <c:v>294.534290726605</c:v>
                </c:pt>
                <c:pt idx="78">
                  <c:v>303.959388029856</c:v>
                </c:pt>
                <c:pt idx="79">
                  <c:v>301.603113704043</c:v>
                </c:pt>
                <c:pt idx="80">
                  <c:v>297.38662280522</c:v>
                </c:pt>
                <c:pt idx="81">
                  <c:v>275.3120528055</c:v>
                </c:pt>
                <c:pt idx="82">
                  <c:v>271.095561906677</c:v>
                </c:pt>
                <c:pt idx="83">
                  <c:v>252.989453929378</c:v>
                </c:pt>
                <c:pt idx="84">
                  <c:v>259.066161401212</c:v>
                </c:pt>
                <c:pt idx="85">
                  <c:v>550.624105611</c:v>
                </c:pt>
                <c:pt idx="86">
                  <c:v>589.688653644213</c:v>
                </c:pt>
                <c:pt idx="87">
                  <c:v>513.047730836195</c:v>
                </c:pt>
                <c:pt idx="88">
                  <c:v>524.209030274256</c:v>
                </c:pt>
                <c:pt idx="89">
                  <c:v>343.023936063069</c:v>
                </c:pt>
                <c:pt idx="90">
                  <c:v>319.461192804941</c:v>
                </c:pt>
                <c:pt idx="91">
                  <c:v>352.32501892812</c:v>
                </c:pt>
                <c:pt idx="92">
                  <c:v>372.787401231231</c:v>
                </c:pt>
                <c:pt idx="93">
                  <c:v>330.002420051998</c:v>
                </c:pt>
                <c:pt idx="94">
                  <c:v>326.281986905978</c:v>
                </c:pt>
                <c:pt idx="95">
                  <c:v>366.090621568395</c:v>
                </c:pt>
                <c:pt idx="96">
                  <c:v>366.214636006595</c:v>
                </c:pt>
                <c:pt idx="97">
                  <c:v>646.239237463721</c:v>
                </c:pt>
                <c:pt idx="98">
                  <c:v>650.083685047942</c:v>
                </c:pt>
                <c:pt idx="99">
                  <c:v>660.7489267332001</c:v>
                </c:pt>
                <c:pt idx="100">
                  <c:v>656.780464710779</c:v>
                </c:pt>
                <c:pt idx="101">
                  <c:v>304.207416906257</c:v>
                </c:pt>
                <c:pt idx="102">
                  <c:v>264.435986575301</c:v>
                </c:pt>
                <c:pt idx="103">
                  <c:v>298.825190288348</c:v>
                </c:pt>
                <c:pt idx="104">
                  <c:v>304.492650114119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903.941240044725</c:v>
                </c:pt>
                <c:pt idx="110">
                  <c:v>916.590712741194</c:v>
                </c:pt>
                <c:pt idx="111">
                  <c:v>904.437297797528</c:v>
                </c:pt>
                <c:pt idx="112">
                  <c:v>900.964893527909</c:v>
                </c:pt>
                <c:pt idx="113">
                  <c:v>508.707225499172</c:v>
                </c:pt>
                <c:pt idx="114">
                  <c:v>495.685709488101</c:v>
                </c:pt>
                <c:pt idx="115">
                  <c:v>529.789679993287</c:v>
                </c:pt>
                <c:pt idx="116">
                  <c:v>495.5616950499</c:v>
                </c:pt>
                <c:pt idx="117">
                  <c:v>705.270110047243</c:v>
                </c:pt>
                <c:pt idx="118">
                  <c:v>713.455062968487</c:v>
                </c:pt>
                <c:pt idx="119">
                  <c:v>713.083019653885</c:v>
                </c:pt>
                <c:pt idx="120">
                  <c:v>704.277994541637</c:v>
                </c:pt>
                <c:pt idx="121">
                  <c:v>337.195257467637</c:v>
                </c:pt>
                <c:pt idx="122">
                  <c:v>386.056946118704</c:v>
                </c:pt>
                <c:pt idx="123">
                  <c:v>354.681293253933</c:v>
                </c:pt>
                <c:pt idx="124">
                  <c:v>329.630376737396</c:v>
                </c:pt>
                <c:pt idx="125">
                  <c:v>111.569695233387</c:v>
                </c:pt>
                <c:pt idx="126">
                  <c:v>110.023420139534</c:v>
                </c:pt>
                <c:pt idx="127">
                  <c:v>110.974974043443</c:v>
                </c:pt>
                <c:pt idx="128">
                  <c:v>113.472803041205</c:v>
                </c:pt>
                <c:pt idx="129">
                  <c:v>66.0140520837202</c:v>
                </c:pt>
                <c:pt idx="130">
                  <c:v>66.1329963217089</c:v>
                </c:pt>
                <c:pt idx="131">
                  <c:v>66.1329963217088</c:v>
                </c:pt>
                <c:pt idx="132">
                  <c:v>66.2519405596976</c:v>
                </c:pt>
                <c:pt idx="133">
                  <c:v>72.0802082211431</c:v>
                </c:pt>
                <c:pt idx="134">
                  <c:v>69.9392119373468</c:v>
                </c:pt>
                <c:pt idx="135">
                  <c:v>68.5118810814826</c:v>
                </c:pt>
                <c:pt idx="136">
                  <c:v>72.5559851730978</c:v>
                </c:pt>
                <c:pt idx="137">
                  <c:v>480.0</c:v>
                </c:pt>
                <c:pt idx="138">
                  <c:v>62.8025576580257</c:v>
                </c:pt>
                <c:pt idx="139">
                  <c:v>63.8730557999238</c:v>
                </c:pt>
                <c:pt idx="140">
                  <c:v>65.4193308937768</c:v>
                </c:pt>
                <c:pt idx="141">
                  <c:v>66.6087732736636</c:v>
                </c:pt>
                <c:pt idx="142">
                  <c:v>48.4103048613948</c:v>
                </c:pt>
                <c:pt idx="143">
                  <c:v>47.6966394334627</c:v>
                </c:pt>
                <c:pt idx="144">
                  <c:v>47.8155836714514</c:v>
                </c:pt>
                <c:pt idx="145">
                  <c:v>47.6966394334627</c:v>
                </c:pt>
                <c:pt idx="146">
                  <c:v>160.336832808747</c:v>
                </c:pt>
                <c:pt idx="147">
                  <c:v>162.120996378578</c:v>
                </c:pt>
                <c:pt idx="148">
                  <c:v>171.636535417672</c:v>
                </c:pt>
                <c:pt idx="149">
                  <c:v>162.668139873326</c:v>
                </c:pt>
                <c:pt idx="150">
                  <c:v>1749.43185233758</c:v>
                </c:pt>
                <c:pt idx="151">
                  <c:v>1456.82902688541</c:v>
                </c:pt>
                <c:pt idx="152">
                  <c:v>1486.80297485856</c:v>
                </c:pt>
                <c:pt idx="153">
                  <c:v>1467.77189678037</c:v>
                </c:pt>
                <c:pt idx="154">
                  <c:v>738.405829433756</c:v>
                </c:pt>
                <c:pt idx="155">
                  <c:v>564.866186208265</c:v>
                </c:pt>
                <c:pt idx="156">
                  <c:v>600.787346080848</c:v>
                </c:pt>
                <c:pt idx="157">
                  <c:v>647.413487372412</c:v>
                </c:pt>
                <c:pt idx="158">
                  <c:v>67.6792714155618</c:v>
                </c:pt>
                <c:pt idx="159">
                  <c:v>67.6792714155618</c:v>
                </c:pt>
                <c:pt idx="160">
                  <c:v>68.7497695574599</c:v>
                </c:pt>
                <c:pt idx="161">
                  <c:v>68.5118810814826</c:v>
                </c:pt>
                <c:pt idx="162">
                  <c:v>50.5513011451911</c:v>
                </c:pt>
                <c:pt idx="163">
                  <c:v>50.7891896211685</c:v>
                </c:pt>
                <c:pt idx="164">
                  <c:v>51.1460223351345</c:v>
                </c:pt>
                <c:pt idx="165">
                  <c:v>52.8112416669761</c:v>
                </c:pt>
                <c:pt idx="166">
                  <c:v>396.084312502321</c:v>
                </c:pt>
                <c:pt idx="167">
                  <c:v>394.181204694502</c:v>
                </c:pt>
                <c:pt idx="168">
                  <c:v>462.21730882403</c:v>
                </c:pt>
                <c:pt idx="169">
                  <c:v>417.256386864307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3537.04480506953</c:v>
                </c:pt>
                <c:pt idx="179">
                  <c:v>4125.10511768558</c:v>
                </c:pt>
                <c:pt idx="180">
                  <c:v>4095.72589090238</c:v>
                </c:pt>
                <c:pt idx="181">
                  <c:v>4214.43224041509</c:v>
                </c:pt>
                <c:pt idx="182">
                  <c:v>833.680164062693</c:v>
                </c:pt>
                <c:pt idx="183">
                  <c:v>803.349383375578</c:v>
                </c:pt>
                <c:pt idx="184">
                  <c:v>806.560877801273</c:v>
                </c:pt>
                <c:pt idx="185">
                  <c:v>836.415881536433</c:v>
                </c:pt>
                <c:pt idx="186">
                  <c:v>453.534379450856</c:v>
                </c:pt>
                <c:pt idx="187">
                  <c:v>459.719479826268</c:v>
                </c:pt>
                <c:pt idx="188">
                  <c:v>454.010156402811</c:v>
                </c:pt>
                <c:pt idx="189">
                  <c:v>458.173204732415</c:v>
                </c:pt>
                <c:pt idx="190">
                  <c:v>1487.87347300046</c:v>
                </c:pt>
                <c:pt idx="191">
                  <c:v>1341.3341717984</c:v>
                </c:pt>
                <c:pt idx="192">
                  <c:v>1424.71408262847</c:v>
                </c:pt>
                <c:pt idx="193">
                  <c:v>1334.67329447103</c:v>
                </c:pt>
                <c:pt idx="194">
                  <c:v>184.958290072405</c:v>
                </c:pt>
                <c:pt idx="195">
                  <c:v>185.790899738326</c:v>
                </c:pt>
                <c:pt idx="196">
                  <c:v>185.077234310394</c:v>
                </c:pt>
                <c:pt idx="197">
                  <c:v>191.024446209828</c:v>
                </c:pt>
                <c:pt idx="198">
                  <c:v>12565.9829665526</c:v>
                </c:pt>
                <c:pt idx="199">
                  <c:v>10977.7205566897</c:v>
                </c:pt>
                <c:pt idx="200">
                  <c:v>14943.0835627565</c:v>
                </c:pt>
                <c:pt idx="201">
                  <c:v>14734.0985366104</c:v>
                </c:pt>
                <c:pt idx="202">
                  <c:v>1620.02052140589</c:v>
                </c:pt>
                <c:pt idx="203">
                  <c:v>1644.99881138351</c:v>
                </c:pt>
                <c:pt idx="204">
                  <c:v>1570.65866264059</c:v>
                </c:pt>
                <c:pt idx="205">
                  <c:v>1582.43414220147</c:v>
                </c:pt>
                <c:pt idx="206">
                  <c:v>780.036312729796</c:v>
                </c:pt>
                <c:pt idx="207">
                  <c:v>784.437249535377</c:v>
                </c:pt>
                <c:pt idx="208">
                  <c:v>764.097784839313</c:v>
                </c:pt>
                <c:pt idx="209">
                  <c:v>792.168625004642</c:v>
                </c:pt>
                <c:pt idx="210">
                  <c:v>517.645323726757</c:v>
                </c:pt>
                <c:pt idx="211">
                  <c:v>520.499985438486</c:v>
                </c:pt>
                <c:pt idx="212">
                  <c:v>508.36767316364</c:v>
                </c:pt>
                <c:pt idx="213">
                  <c:v>513.601219635142</c:v>
                </c:pt>
                <c:pt idx="214">
                  <c:v>182.69834955062</c:v>
                </c:pt>
                <c:pt idx="215">
                  <c:v>166.521933184159</c:v>
                </c:pt>
                <c:pt idx="216">
                  <c:v>157.244282621042</c:v>
                </c:pt>
                <c:pt idx="217">
                  <c:v>159.861055856793</c:v>
                </c:pt>
                <c:pt idx="218">
                  <c:v>188.526617212066</c:v>
                </c:pt>
                <c:pt idx="219">
                  <c:v>178.892133934982</c:v>
                </c:pt>
                <c:pt idx="220">
                  <c:v>166.521933184159</c:v>
                </c:pt>
                <c:pt idx="221">
                  <c:v>164.61882537634</c:v>
                </c:pt>
                <c:pt idx="222">
                  <c:v>205.654587482436</c:v>
                </c:pt>
                <c:pt idx="223">
                  <c:v>204.821977816516</c:v>
                </c:pt>
                <c:pt idx="224">
                  <c:v>198.517933203115</c:v>
                </c:pt>
                <c:pt idx="225">
                  <c:v>194.949606063455</c:v>
                </c:pt>
                <c:pt idx="226">
                  <c:v>181.033130218779</c:v>
                </c:pt>
                <c:pt idx="227">
                  <c:v>191.262334685806</c:v>
                </c:pt>
                <c:pt idx="228">
                  <c:v>165.094602328295</c:v>
                </c:pt>
                <c:pt idx="229">
                  <c:v>194.711717587477</c:v>
                </c:pt>
                <c:pt idx="230">
                  <c:v>208.747137670142</c:v>
                </c:pt>
                <c:pt idx="231">
                  <c:v>205.416699006459</c:v>
                </c:pt>
                <c:pt idx="232">
                  <c:v>201.015762200878</c:v>
                </c:pt>
                <c:pt idx="233">
                  <c:v>199.469487107025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763.740952125346</c:v>
                </c:pt>
                <c:pt idx="239">
                  <c:v>770.4018294527129</c:v>
                </c:pt>
                <c:pt idx="240">
                  <c:v>707.956104508653</c:v>
                </c:pt>
                <c:pt idx="241">
                  <c:v>709.264491126529</c:v>
                </c:pt>
                <c:pt idx="242">
                  <c:v>382.0</c:v>
                </c:pt>
                <c:pt idx="243">
                  <c:v>372.0</c:v>
                </c:pt>
                <c:pt idx="244">
                  <c:v>380.0</c:v>
                </c:pt>
                <c:pt idx="245">
                  <c:v>401.0</c:v>
                </c:pt>
                <c:pt idx="246">
                  <c:v>773.494379640419</c:v>
                </c:pt>
                <c:pt idx="247">
                  <c:v>528.112416669761</c:v>
                </c:pt>
                <c:pt idx="248">
                  <c:v>838.200045106263</c:v>
                </c:pt>
                <c:pt idx="249">
                  <c:v>778.727926111921</c:v>
                </c:pt>
                <c:pt idx="250">
                  <c:v>326.620877516929</c:v>
                </c:pt>
                <c:pt idx="251">
                  <c:v>330.783925846533</c:v>
                </c:pt>
                <c:pt idx="252">
                  <c:v>335.184862652114</c:v>
                </c:pt>
                <c:pt idx="253">
                  <c:v>309.492907246558</c:v>
                </c:pt>
                <c:pt idx="254">
                  <c:v>369.797635906822</c:v>
                </c:pt>
                <c:pt idx="255">
                  <c:v>370.273412858776</c:v>
                </c:pt>
                <c:pt idx="256">
                  <c:v>403.696743733597</c:v>
                </c:pt>
                <c:pt idx="257">
                  <c:v>406.432461207337</c:v>
                </c:pt>
                <c:pt idx="258">
                  <c:v>314.607509480072</c:v>
                </c:pt>
                <c:pt idx="259">
                  <c:v>311.514959292366</c:v>
                </c:pt>
                <c:pt idx="260">
                  <c:v>316.272728811913</c:v>
                </c:pt>
                <c:pt idx="261">
                  <c:v>311.277070816389</c:v>
                </c:pt>
                <c:pt idx="262">
                  <c:v>635.043286621589</c:v>
                </c:pt>
                <c:pt idx="263">
                  <c:v>624.814082154562</c:v>
                </c:pt>
                <c:pt idx="264">
                  <c:v>626.360357248415</c:v>
                </c:pt>
                <c:pt idx="265">
                  <c:v>635.994840525499</c:v>
                </c:pt>
                <c:pt idx="266">
                  <c:v>435.692743752553</c:v>
                </c:pt>
                <c:pt idx="267">
                  <c:v>430.697085757028</c:v>
                </c:pt>
                <c:pt idx="268">
                  <c:v>422.608877573798</c:v>
                </c:pt>
                <c:pt idx="269">
                  <c:v>435.454855276576</c:v>
                </c:pt>
                <c:pt idx="270">
                  <c:v>265.840371904711</c:v>
                </c:pt>
                <c:pt idx="271">
                  <c:v>287.131390504686</c:v>
                </c:pt>
                <c:pt idx="272">
                  <c:v>288.796609836527</c:v>
                </c:pt>
                <c:pt idx="273">
                  <c:v>270.954974138224</c:v>
                </c:pt>
                <c:pt idx="274">
                  <c:v>654.193308937768</c:v>
                </c:pt>
                <c:pt idx="275">
                  <c:v>655.977472507598</c:v>
                </c:pt>
                <c:pt idx="276">
                  <c:v>652.765978081903</c:v>
                </c:pt>
                <c:pt idx="277">
                  <c:v>654.788030127711</c:v>
                </c:pt>
                <c:pt idx="278">
                  <c:v>177.464803079118</c:v>
                </c:pt>
                <c:pt idx="279">
                  <c:v>179.011078172971</c:v>
                </c:pt>
                <c:pt idx="280">
                  <c:v>204.227256626572</c:v>
                </c:pt>
                <c:pt idx="281">
                  <c:v>178.773189696994</c:v>
                </c:pt>
                <c:pt idx="282">
                  <c:v>348.863450020813</c:v>
                </c:pt>
                <c:pt idx="283">
                  <c:v>354.810661920247</c:v>
                </c:pt>
                <c:pt idx="284">
                  <c:v>365.991420291184</c:v>
                </c:pt>
                <c:pt idx="285">
                  <c:v>356.3569370141</c:v>
                </c:pt>
                <c:pt idx="286">
                  <c:v>274.285412801908</c:v>
                </c:pt>
                <c:pt idx="287">
                  <c:v>274.99907822984</c:v>
                </c:pt>
                <c:pt idx="288">
                  <c:v>254.421725057797</c:v>
                </c:pt>
                <c:pt idx="289">
                  <c:v>270.47919718627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627.192966914336</c:v>
                </c:pt>
                <c:pt idx="295">
                  <c:v>531.442855333444</c:v>
                </c:pt>
                <c:pt idx="296">
                  <c:v>522.403093246305</c:v>
                </c:pt>
                <c:pt idx="297">
                  <c:v>527.041918527863</c:v>
                </c:pt>
                <c:pt idx="298">
                  <c:v>324.479881233133</c:v>
                </c:pt>
                <c:pt idx="299">
                  <c:v>291.29443883429</c:v>
                </c:pt>
                <c:pt idx="300">
                  <c:v>311.990736244321</c:v>
                </c:pt>
                <c:pt idx="301">
                  <c:v>286.893502028708</c:v>
                </c:pt>
                <c:pt idx="302">
                  <c:v>318.651613571687</c:v>
                </c:pt>
                <c:pt idx="303">
                  <c:v>321.030498331461</c:v>
                </c:pt>
                <c:pt idx="304">
                  <c:v>322.576773425314</c:v>
                </c:pt>
                <c:pt idx="305">
                  <c:v>323.885160043189</c:v>
                </c:pt>
                <c:pt idx="306">
                  <c:v>821.30996331187</c:v>
                </c:pt>
                <c:pt idx="307">
                  <c:v>564.985130446254</c:v>
                </c:pt>
                <c:pt idx="308">
                  <c:v>582.113100716624</c:v>
                </c:pt>
                <c:pt idx="309">
                  <c:v>575.6901118652351</c:v>
                </c:pt>
                <c:pt idx="310">
                  <c:v>653.360699271847</c:v>
                </c:pt>
                <c:pt idx="311">
                  <c:v>640.871554283035</c:v>
                </c:pt>
                <c:pt idx="312">
                  <c:v>634.9243423836</c:v>
                </c:pt>
                <c:pt idx="313">
                  <c:v>638.849502237227</c:v>
                </c:pt>
                <c:pt idx="314">
                  <c:v>555.588535645148</c:v>
                </c:pt>
                <c:pt idx="315">
                  <c:v>353.740163778349</c:v>
                </c:pt>
                <c:pt idx="316">
                  <c:v>349.339226972768</c:v>
                </c:pt>
                <c:pt idx="317">
                  <c:v>355.524327348179</c:v>
                </c:pt>
                <c:pt idx="318">
                  <c:v>286.1798366007761</c:v>
                </c:pt>
                <c:pt idx="319">
                  <c:v>481.7241638541743</c:v>
                </c:pt>
                <c:pt idx="320">
                  <c:v>287.2503347426743</c:v>
                </c:pt>
                <c:pt idx="321">
                  <c:v>284.752505744912</c:v>
                </c:pt>
                <c:pt idx="322">
                  <c:v>333.043866368318</c:v>
                </c:pt>
                <c:pt idx="323">
                  <c:v>331.616535512454</c:v>
                </c:pt>
                <c:pt idx="324">
                  <c:v>388.471881271045</c:v>
                </c:pt>
                <c:pt idx="325">
                  <c:v>390.374989078864</c:v>
                </c:pt>
                <c:pt idx="326">
                  <c:v>389.304490936966</c:v>
                </c:pt>
                <c:pt idx="327">
                  <c:v>388.947658223</c:v>
                </c:pt>
                <c:pt idx="328">
                  <c:v>390.73182179283</c:v>
                </c:pt>
                <c:pt idx="329">
                  <c:v>0.0</c:v>
                </c:pt>
                <c:pt idx="330">
                  <c:v>0.0</c:v>
                </c:pt>
                <c:pt idx="331">
                  <c:v>292.721769690154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188.407672974077</c:v>
                </c:pt>
                <c:pt idx="340">
                  <c:v>199.707375583002</c:v>
                </c:pt>
                <c:pt idx="341">
                  <c:v>175.323806795322</c:v>
                </c:pt>
                <c:pt idx="342">
                  <c:v>193.641219445579</c:v>
                </c:pt>
                <c:pt idx="343">
                  <c:v>213.861739903656</c:v>
                </c:pt>
                <c:pt idx="344">
                  <c:v>212.791241761758</c:v>
                </c:pt>
                <c:pt idx="345">
                  <c:v>251.567063346069</c:v>
                </c:pt>
                <c:pt idx="346">
                  <c:v>251.44811910808</c:v>
                </c:pt>
                <c:pt idx="347">
                  <c:v>297.836371923667</c:v>
                </c:pt>
                <c:pt idx="348">
                  <c:v>305.567747392932</c:v>
                </c:pt>
                <c:pt idx="349">
                  <c:v>300.572089397407</c:v>
                </c:pt>
                <c:pt idx="350">
                  <c:v>296.527985305792</c:v>
                </c:pt>
                <c:pt idx="351">
                  <c:v>396.441145216287</c:v>
                </c:pt>
                <c:pt idx="352">
                  <c:v>400.485249307902</c:v>
                </c:pt>
                <c:pt idx="353">
                  <c:v>374.317516950392</c:v>
                </c:pt>
                <c:pt idx="354">
                  <c:v>63.5162230859578</c:v>
                </c:pt>
                <c:pt idx="355">
                  <c:v>54.4764609988177</c:v>
                </c:pt>
                <c:pt idx="356">
                  <c:v>55.7848476166933</c:v>
                </c:pt>
                <c:pt idx="357">
                  <c:v>54.1196282848517</c:v>
                </c:pt>
                <c:pt idx="358">
                  <c:v>503.728847882081</c:v>
                </c:pt>
                <c:pt idx="359">
                  <c:v>488.622929657518</c:v>
                </c:pt>
                <c:pt idx="360">
                  <c:v>500.041576504432</c:v>
                </c:pt>
                <c:pt idx="361">
                  <c:v>494.332253080975</c:v>
                </c:pt>
                <c:pt idx="362">
                  <c:v>355.524327348179</c:v>
                </c:pt>
                <c:pt idx="363">
                  <c:v>356.832713966055</c:v>
                </c:pt>
                <c:pt idx="364">
                  <c:v>355.762215824157</c:v>
                </c:pt>
                <c:pt idx="365">
                  <c:v>172.469145083593</c:v>
                </c:pt>
                <c:pt idx="366">
                  <c:v>184.601457358439</c:v>
                </c:pt>
                <c:pt idx="367">
                  <c:v>136.54798521101</c:v>
                </c:pt>
                <c:pt idx="368">
                  <c:v>146.896133916026</c:v>
                </c:pt>
                <c:pt idx="369">
                  <c:v>214.218572617622</c:v>
                </c:pt>
                <c:pt idx="370">
                  <c:v>103.600431288145</c:v>
                </c:pt>
                <c:pt idx="371">
                  <c:v>103.362542812167</c:v>
                </c:pt>
                <c:pt idx="372">
                  <c:v>104.433040954065</c:v>
                </c:pt>
                <c:pt idx="373">
                  <c:v>346.484565261039</c:v>
                </c:pt>
                <c:pt idx="374">
                  <c:v>347.674007640926</c:v>
                </c:pt>
                <c:pt idx="375">
                  <c:v>348.506617306847</c:v>
                </c:pt>
                <c:pt idx="376">
                  <c:v>368.608193526935</c:v>
                </c:pt>
                <c:pt idx="377">
                  <c:v>371.700743714641</c:v>
                </c:pt>
                <c:pt idx="378">
                  <c:v>407.859792063201</c:v>
                </c:pt>
                <c:pt idx="379">
                  <c:v>423.560431477707</c:v>
                </c:pt>
                <c:pt idx="380">
                  <c:v>366.942974195093</c:v>
                </c:pt>
                <c:pt idx="381">
                  <c:v>366.824029957104</c:v>
                </c:pt>
                <c:pt idx="382">
                  <c:v>365.991420291184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383.5</c:v>
                </c:pt>
                <c:pt idx="388">
                  <c:v>354.7</c:v>
                </c:pt>
                <c:pt idx="389">
                  <c:v>415.4</c:v>
                </c:pt>
                <c:pt idx="390">
                  <c:v>356.7</c:v>
                </c:pt>
                <c:pt idx="391">
                  <c:v>850.927078571052</c:v>
                </c:pt>
                <c:pt idx="392">
                  <c:v>853.662796044792</c:v>
                </c:pt>
                <c:pt idx="393">
                  <c:v>0.0</c:v>
                </c:pt>
                <c:pt idx="394">
                  <c:v>0.0</c:v>
                </c:pt>
                <c:pt idx="395">
                  <c:v>395.608535550366</c:v>
                </c:pt>
                <c:pt idx="396">
                  <c:v>396.20325674031</c:v>
                </c:pt>
                <c:pt idx="397">
                  <c:v>396.679033692264</c:v>
                </c:pt>
                <c:pt idx="398">
                  <c:v>439.498959368191</c:v>
                </c:pt>
                <c:pt idx="399">
                  <c:v>415.591167532465</c:v>
                </c:pt>
                <c:pt idx="400">
                  <c:v>432.838082040825</c:v>
                </c:pt>
                <c:pt idx="401">
                  <c:v>411.903896154816</c:v>
                </c:pt>
                <c:pt idx="402">
                  <c:v>0.0</c:v>
                </c:pt>
                <c:pt idx="403">
                  <c:v>433.194914754791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374.674349664358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386.449829225238</c:v>
                </c:pt>
                <c:pt idx="415">
                  <c:v>384.070944465464</c:v>
                </c:pt>
                <c:pt idx="416">
                  <c:v>384.546721417419</c:v>
                </c:pt>
                <c:pt idx="417">
                  <c:v>393.229650790593</c:v>
                </c:pt>
                <c:pt idx="418">
                  <c:v>356.119048538123</c:v>
                </c:pt>
                <c:pt idx="419">
                  <c:v>354.810661920247</c:v>
                </c:pt>
                <c:pt idx="420">
                  <c:v>355.762215824157</c:v>
                </c:pt>
                <c:pt idx="421">
                  <c:v>358.260044821919</c:v>
                </c:pt>
                <c:pt idx="422">
                  <c:v>150.58</c:v>
                </c:pt>
                <c:pt idx="423">
                  <c:v>155.22</c:v>
                </c:pt>
                <c:pt idx="424">
                  <c:v>157.0</c:v>
                </c:pt>
                <c:pt idx="425">
                  <c:v>157.72</c:v>
                </c:pt>
                <c:pt idx="426">
                  <c:v>43.53</c:v>
                </c:pt>
                <c:pt idx="427">
                  <c:v>44.6</c:v>
                </c:pt>
                <c:pt idx="428">
                  <c:v>43.89</c:v>
                </c:pt>
                <c:pt idx="429">
                  <c:v>43.53</c:v>
                </c:pt>
                <c:pt idx="430">
                  <c:v>29.26</c:v>
                </c:pt>
                <c:pt idx="431">
                  <c:v>29.26</c:v>
                </c:pt>
                <c:pt idx="432">
                  <c:v>29.26</c:v>
                </c:pt>
                <c:pt idx="433">
                  <c:v>29.26</c:v>
                </c:pt>
                <c:pt idx="434">
                  <c:v>417.49</c:v>
                </c:pt>
                <c:pt idx="435">
                  <c:v>356.12</c:v>
                </c:pt>
                <c:pt idx="436">
                  <c:v>358.97</c:v>
                </c:pt>
                <c:pt idx="437">
                  <c:v>357.99</c:v>
                </c:pt>
                <c:pt idx="438">
                  <c:v>1056.22</c:v>
                </c:pt>
                <c:pt idx="439">
                  <c:v>1034.91</c:v>
                </c:pt>
                <c:pt idx="440">
                  <c:v>1052.66</c:v>
                </c:pt>
                <c:pt idx="441">
                  <c:v>1234.64</c:v>
                </c:pt>
                <c:pt idx="442">
                  <c:v>624.46</c:v>
                </c:pt>
                <c:pt idx="443">
                  <c:v>631.59</c:v>
                </c:pt>
                <c:pt idx="444">
                  <c:v>169.85</c:v>
                </c:pt>
                <c:pt idx="445">
                  <c:v>171.28</c:v>
                </c:pt>
                <c:pt idx="446">
                  <c:v>169.14</c:v>
                </c:pt>
                <c:pt idx="447">
                  <c:v>168.07</c:v>
                </c:pt>
                <c:pt idx="448">
                  <c:v>0.0</c:v>
                </c:pt>
                <c:pt idx="449">
                  <c:v>0.0</c:v>
                </c:pt>
                <c:pt idx="450">
                  <c:v>634.69</c:v>
                </c:pt>
                <c:pt idx="451">
                  <c:v>611.97</c:v>
                </c:pt>
                <c:pt idx="452">
                  <c:v>613.04</c:v>
                </c:pt>
                <c:pt idx="453">
                  <c:v>628.74</c:v>
                </c:pt>
                <c:pt idx="454">
                  <c:v>0.0</c:v>
                </c:pt>
                <c:pt idx="455">
                  <c:v>0.0</c:v>
                </c:pt>
                <c:pt idx="456">
                  <c:v>412.022016</c:v>
                </c:pt>
                <c:pt idx="457">
                  <c:v>392.753873838638</c:v>
                </c:pt>
                <c:pt idx="458">
                  <c:v>425.581632</c:v>
                </c:pt>
                <c:pt idx="459">
                  <c:v>233.26</c:v>
                </c:pt>
                <c:pt idx="460">
                  <c:v>240.51</c:v>
                </c:pt>
                <c:pt idx="461">
                  <c:v>438.9</c:v>
                </c:pt>
                <c:pt idx="462">
                  <c:v>494.21</c:v>
                </c:pt>
                <c:pt idx="463">
                  <c:v>779.0832</c:v>
                </c:pt>
                <c:pt idx="464">
                  <c:v>812.38752</c:v>
                </c:pt>
                <c:pt idx="465">
                  <c:v>708.9062399999999</c:v>
                </c:pt>
                <c:pt idx="466">
                  <c:v>685.11744</c:v>
                </c:pt>
                <c:pt idx="467">
                  <c:v>217.67</c:v>
                </c:pt>
                <c:pt idx="468">
                  <c:v>224.8</c:v>
                </c:pt>
                <c:pt idx="469">
                  <c:v>200.54</c:v>
                </c:pt>
                <c:pt idx="470">
                  <c:v>206.96</c:v>
                </c:pt>
                <c:pt idx="471">
                  <c:v>356.06</c:v>
                </c:pt>
                <c:pt idx="472">
                  <c:v>364.92</c:v>
                </c:pt>
                <c:pt idx="473">
                  <c:v>366.94</c:v>
                </c:pt>
                <c:pt idx="474">
                  <c:v>348.74</c:v>
                </c:pt>
                <c:pt idx="475">
                  <c:v>480.414816</c:v>
                </c:pt>
                <c:pt idx="476">
                  <c:v>481.366368</c:v>
                </c:pt>
                <c:pt idx="477">
                  <c:v>0.0</c:v>
                </c:pt>
                <c:pt idx="478">
                  <c:v>0.0</c:v>
                </c:pt>
                <c:pt idx="479">
                  <c:v>564.151392</c:v>
                </c:pt>
                <c:pt idx="480">
                  <c:v>567.36288</c:v>
                </c:pt>
                <c:pt idx="481">
                  <c:v>573.31008</c:v>
                </c:pt>
                <c:pt idx="482">
                  <c:v>582.7899168</c:v>
                </c:pt>
                <c:pt idx="483">
                  <c:v>443.839536</c:v>
                </c:pt>
                <c:pt idx="484">
                  <c:v>0.0</c:v>
                </c:pt>
                <c:pt idx="485">
                  <c:v>440.925408</c:v>
                </c:pt>
                <c:pt idx="486">
                  <c:v>447.9431039999999</c:v>
                </c:pt>
                <c:pt idx="487">
                  <c:v>1015.78176</c:v>
                </c:pt>
                <c:pt idx="488">
                  <c:v>987.2352000000001</c:v>
                </c:pt>
                <c:pt idx="489">
                  <c:v>1480.377024</c:v>
                </c:pt>
                <c:pt idx="490">
                  <c:v>974.2227263999999</c:v>
                </c:pt>
                <c:pt idx="491">
                  <c:v>733.88448</c:v>
                </c:pt>
                <c:pt idx="492">
                  <c:v>723.060576</c:v>
                </c:pt>
                <c:pt idx="493">
                  <c:v>712.9503359999999</c:v>
                </c:pt>
                <c:pt idx="494">
                  <c:v>733.170816</c:v>
                </c:pt>
                <c:pt idx="495">
                  <c:v>172.825632</c:v>
                </c:pt>
                <c:pt idx="496">
                  <c:v>172.111968</c:v>
                </c:pt>
                <c:pt idx="497">
                  <c:v>176.750784</c:v>
                </c:pt>
                <c:pt idx="498">
                  <c:v>170.327808</c:v>
                </c:pt>
                <c:pt idx="499">
                  <c:v>436.167648</c:v>
                </c:pt>
                <c:pt idx="500">
                  <c:v>437.832864</c:v>
                </c:pt>
                <c:pt idx="501">
                  <c:v>429.149952</c:v>
                </c:pt>
                <c:pt idx="502">
                  <c:v>425.105856</c:v>
                </c:pt>
                <c:pt idx="503">
                  <c:v>411.308352</c:v>
                </c:pt>
                <c:pt idx="504">
                  <c:v>409.16736</c:v>
                </c:pt>
                <c:pt idx="505">
                  <c:v>408.096864</c:v>
                </c:pt>
                <c:pt idx="506">
                  <c:v>419.991264</c:v>
                </c:pt>
                <c:pt idx="507">
                  <c:v>391.801536</c:v>
                </c:pt>
                <c:pt idx="508">
                  <c:v>394.6561919999999</c:v>
                </c:pt>
                <c:pt idx="509">
                  <c:v>396.916128</c:v>
                </c:pt>
                <c:pt idx="510">
                  <c:v>382.523904</c:v>
                </c:pt>
                <c:pt idx="511">
                  <c:v>430.339392</c:v>
                </c:pt>
                <c:pt idx="512">
                  <c:v>445.683168</c:v>
                </c:pt>
                <c:pt idx="513">
                  <c:v>449.846208</c:v>
                </c:pt>
                <c:pt idx="514">
                  <c:v>432.123552</c:v>
                </c:pt>
                <c:pt idx="515">
                  <c:v>403.695936</c:v>
                </c:pt>
                <c:pt idx="516">
                  <c:v>392.1583679999999</c:v>
                </c:pt>
                <c:pt idx="517">
                  <c:v>383.7133440000001</c:v>
                </c:pt>
                <c:pt idx="518">
                  <c:v>376.45776</c:v>
                </c:pt>
                <c:pt idx="519">
                  <c:v>421.775424</c:v>
                </c:pt>
                <c:pt idx="520">
                  <c:v>422.964864</c:v>
                </c:pt>
                <c:pt idx="521">
                  <c:v>428.674176</c:v>
                </c:pt>
                <c:pt idx="522">
                  <c:v>403.101216</c:v>
                </c:pt>
                <c:pt idx="523">
                  <c:v>294.743232</c:v>
                </c:pt>
                <c:pt idx="524">
                  <c:v>464.8331519999999</c:v>
                </c:pt>
                <c:pt idx="525">
                  <c:v>404.290656</c:v>
                </c:pt>
                <c:pt idx="526">
                  <c:v>737.928576</c:v>
                </c:pt>
                <c:pt idx="527">
                  <c:v>211.958208</c:v>
                </c:pt>
                <c:pt idx="528">
                  <c:v>199.588032</c:v>
                </c:pt>
                <c:pt idx="529">
                  <c:v>209.698272</c:v>
                </c:pt>
                <c:pt idx="530">
                  <c:v>209.103552</c:v>
                </c:pt>
                <c:pt idx="531">
                  <c:v>648.055786257551</c:v>
                </c:pt>
                <c:pt idx="532">
                  <c:v>1024.79976566291</c:v>
                </c:pt>
                <c:pt idx="533">
                  <c:v>741.950367725819</c:v>
                </c:pt>
                <c:pt idx="534">
                  <c:v>652.313989977546</c:v>
                </c:pt>
                <c:pt idx="535">
                  <c:v>1343.33243499661</c:v>
                </c:pt>
                <c:pt idx="536">
                  <c:v>547.8095824806881</c:v>
                </c:pt>
                <c:pt idx="537">
                  <c:v>1626.09857196711</c:v>
                </c:pt>
                <c:pt idx="538">
                  <c:v>800.018944711895</c:v>
                </c:pt>
                <c:pt idx="539">
                  <c:v>1235.85680043479</c:v>
                </c:pt>
                <c:pt idx="540">
                  <c:v>1732.83913113816</c:v>
                </c:pt>
                <c:pt idx="541">
                  <c:v>2203.47769201179</c:v>
                </c:pt>
                <c:pt idx="542">
                  <c:v>1529.33743436332</c:v>
                </c:pt>
                <c:pt idx="543">
                  <c:v>860.192834710371</c:v>
                </c:pt>
                <c:pt idx="544">
                  <c:v>785.876474815041</c:v>
                </c:pt>
                <c:pt idx="545">
                  <c:v>779.001497859295</c:v>
                </c:pt>
                <c:pt idx="546">
                  <c:v>778.811187078513</c:v>
                </c:pt>
                <c:pt idx="547">
                  <c:v>432.076838917697</c:v>
                </c:pt>
                <c:pt idx="548">
                  <c:v>434.681717729649</c:v>
                </c:pt>
                <c:pt idx="549">
                  <c:v>435.657060481156</c:v>
                </c:pt>
                <c:pt idx="550">
                  <c:v>450.013630006391</c:v>
                </c:pt>
                <c:pt idx="551">
                  <c:v>498.816450853148</c:v>
                </c:pt>
                <c:pt idx="552">
                  <c:v>493.725637467233</c:v>
                </c:pt>
                <c:pt idx="553">
                  <c:v>485.411435231824</c:v>
                </c:pt>
                <c:pt idx="554">
                  <c:v>503.871580967667</c:v>
                </c:pt>
                <c:pt idx="555">
                  <c:v>547.619271699906</c:v>
                </c:pt>
                <c:pt idx="556">
                  <c:v>542.766346789967</c:v>
                </c:pt>
                <c:pt idx="557">
                  <c:v>553.019340104592</c:v>
                </c:pt>
                <c:pt idx="558">
                  <c:v>542.302464261811</c:v>
                </c:pt>
                <c:pt idx="559">
                  <c:v>656.322410797765</c:v>
                </c:pt>
                <c:pt idx="560">
                  <c:v>649.102495551852</c:v>
                </c:pt>
                <c:pt idx="561">
                  <c:v>645.629323802582</c:v>
                </c:pt>
                <c:pt idx="562">
                  <c:v>644.380409303701</c:v>
                </c:pt>
                <c:pt idx="563">
                  <c:v>695.240965467663</c:v>
                </c:pt>
                <c:pt idx="564">
                  <c:v>581.411329712491</c:v>
                </c:pt>
                <c:pt idx="565">
                  <c:v>1107.52548318404</c:v>
                </c:pt>
                <c:pt idx="566">
                  <c:v>0.0</c:v>
                </c:pt>
                <c:pt idx="567">
                  <c:v>592.651560202422</c:v>
                </c:pt>
                <c:pt idx="568">
                  <c:v>575.64253417004</c:v>
                </c:pt>
                <c:pt idx="569">
                  <c:v>571.574641230827</c:v>
                </c:pt>
                <c:pt idx="570">
                  <c:v>736.276727573759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2391.73</c:v>
                </c:pt>
                <c:pt idx="580">
                  <c:v>2321.43</c:v>
                </c:pt>
                <c:pt idx="581">
                  <c:v>3347.92</c:v>
                </c:pt>
                <c:pt idx="582">
                  <c:v>2161.22</c:v>
                </c:pt>
                <c:pt idx="583">
                  <c:v>1585.84</c:v>
                </c:pt>
                <c:pt idx="584">
                  <c:v>1554.08</c:v>
                </c:pt>
                <c:pt idx="585">
                  <c:v>1504.34</c:v>
                </c:pt>
                <c:pt idx="586">
                  <c:v>0.0</c:v>
                </c:pt>
                <c:pt idx="587">
                  <c:v>1421.2646997268</c:v>
                </c:pt>
                <c:pt idx="588">
                  <c:v>1474.61119046472</c:v>
                </c:pt>
                <c:pt idx="589">
                  <c:v>1378.80160676484</c:v>
                </c:pt>
                <c:pt idx="590">
                  <c:v>1388.43609004192</c:v>
                </c:pt>
                <c:pt idx="591">
                  <c:v>996.455353750209</c:v>
                </c:pt>
                <c:pt idx="592">
                  <c:v>1079.41895974732</c:v>
                </c:pt>
                <c:pt idx="593">
                  <c:v>1124.02304899307</c:v>
                </c:pt>
                <c:pt idx="594">
                  <c:v>950.067100934621</c:v>
                </c:pt>
                <c:pt idx="595">
                  <c:v>680.65840189025</c:v>
                </c:pt>
                <c:pt idx="596">
                  <c:v>677.982156535504</c:v>
                </c:pt>
                <c:pt idx="597">
                  <c:v>598.586877678057</c:v>
                </c:pt>
                <c:pt idx="598">
                  <c:v>604.831450172463</c:v>
                </c:pt>
                <c:pt idx="599">
                  <c:v>566.471933421112</c:v>
                </c:pt>
                <c:pt idx="600">
                  <c:v>536.141152733998</c:v>
                </c:pt>
                <c:pt idx="601">
                  <c:v>529.004498454677</c:v>
                </c:pt>
                <c:pt idx="602">
                  <c:v>476.371673144683</c:v>
                </c:pt>
                <c:pt idx="603">
                  <c:v>460.314201016211</c:v>
                </c:pt>
                <c:pt idx="604">
                  <c:v>468.342937080447</c:v>
                </c:pt>
                <c:pt idx="605">
                  <c:v>484.40040920892</c:v>
                </c:pt>
                <c:pt idx="606">
                  <c:v>520.083680605525</c:v>
                </c:pt>
                <c:pt idx="607">
                  <c:v>432.124416612893</c:v>
                </c:pt>
                <c:pt idx="608">
                  <c:v>437.120074608417</c:v>
                </c:pt>
                <c:pt idx="609">
                  <c:v>435.246702860096</c:v>
                </c:pt>
                <c:pt idx="610">
                  <c:v>441.312858997518</c:v>
                </c:pt>
                <c:pt idx="611">
                  <c:v>591.271807041753</c:v>
                </c:pt>
                <c:pt idx="612">
                  <c:v>596.713505929736</c:v>
                </c:pt>
                <c:pt idx="613">
                  <c:v>587.52506354511</c:v>
                </c:pt>
                <c:pt idx="614">
                  <c:v>588.238728973042</c:v>
                </c:pt>
                <c:pt idx="615">
                  <c:v>592.966762433092</c:v>
                </c:pt>
                <c:pt idx="616">
                  <c:v>595.553799609346</c:v>
                </c:pt>
                <c:pt idx="617">
                  <c:v>593.145178790075</c:v>
                </c:pt>
                <c:pt idx="618">
                  <c:v>592.4315133621431</c:v>
                </c:pt>
                <c:pt idx="619">
                  <c:v>559.156862784808</c:v>
                </c:pt>
                <c:pt idx="620">
                  <c:v>552.644665754928</c:v>
                </c:pt>
                <c:pt idx="621">
                  <c:v>552.823082111911</c:v>
                </c:pt>
                <c:pt idx="622">
                  <c:v>525.257754958033</c:v>
                </c:pt>
                <c:pt idx="623">
                  <c:v>555.231702931182</c:v>
                </c:pt>
                <c:pt idx="624">
                  <c:v>567.096390670553</c:v>
                </c:pt>
                <c:pt idx="625">
                  <c:v>361.82837196158</c:v>
                </c:pt>
                <c:pt idx="626">
                  <c:v>563.528063530892</c:v>
                </c:pt>
                <c:pt idx="627">
                  <c:v>406.789293921303</c:v>
                </c:pt>
                <c:pt idx="628">
                  <c:v>396.173520680813</c:v>
                </c:pt>
                <c:pt idx="629">
                  <c:v>385.468539261831</c:v>
                </c:pt>
                <c:pt idx="630">
                  <c:v>393.943316218525</c:v>
                </c:pt>
                <c:pt idx="631">
                  <c:v>292.245992738199</c:v>
                </c:pt>
                <c:pt idx="632">
                  <c:v>297.866107983164</c:v>
                </c:pt>
                <c:pt idx="633">
                  <c:v>292.424409095182</c:v>
                </c:pt>
                <c:pt idx="634">
                  <c:v>304.11068047757</c:v>
                </c:pt>
                <c:pt idx="635">
                  <c:v>475.301175002785</c:v>
                </c:pt>
                <c:pt idx="636">
                  <c:v>464.506985405312</c:v>
                </c:pt>
                <c:pt idx="637">
                  <c:v>562.368357210503</c:v>
                </c:pt>
                <c:pt idx="638">
                  <c:v>467.807688009498</c:v>
                </c:pt>
                <c:pt idx="639">
                  <c:v>461.919948229058</c:v>
                </c:pt>
                <c:pt idx="640">
                  <c:v>444.524353423213</c:v>
                </c:pt>
                <c:pt idx="641">
                  <c:v>449.966052311195</c:v>
                </c:pt>
                <c:pt idx="642">
                  <c:v>447.379015134942</c:v>
                </c:pt>
                <c:pt idx="643">
                  <c:v>505.364331154425</c:v>
                </c:pt>
                <c:pt idx="644">
                  <c:v>456.656665698059</c:v>
                </c:pt>
                <c:pt idx="645">
                  <c:v>592.966762433092</c:v>
                </c:pt>
                <c:pt idx="646">
                  <c:v>461.206282801126</c:v>
                </c:pt>
                <c:pt idx="647">
                  <c:v>408.038208420184</c:v>
                </c:pt>
                <c:pt idx="648">
                  <c:v>422.400725157318</c:v>
                </c:pt>
                <c:pt idx="649">
                  <c:v>417.85110805425</c:v>
                </c:pt>
                <c:pt idx="650">
                  <c:v>429.358963079656</c:v>
                </c:pt>
                <c:pt idx="651">
                  <c:v>553.447539361351</c:v>
                </c:pt>
                <c:pt idx="652">
                  <c:v>525.614587671999</c:v>
                </c:pt>
                <c:pt idx="653">
                  <c:v>429.805003972113</c:v>
                </c:pt>
                <c:pt idx="654">
                  <c:v>468.164520723464</c:v>
                </c:pt>
                <c:pt idx="655">
                  <c:v>641.317595175492</c:v>
                </c:pt>
                <c:pt idx="656">
                  <c:v>642.120468781916</c:v>
                </c:pt>
                <c:pt idx="657">
                  <c:v>610.451565417429</c:v>
                </c:pt>
                <c:pt idx="658">
                  <c:v>657.10744276849</c:v>
                </c:pt>
                <c:pt idx="659">
                  <c:v>428.020840402283</c:v>
                </c:pt>
                <c:pt idx="660">
                  <c:v>217.667955519294</c:v>
                </c:pt>
                <c:pt idx="661">
                  <c:v>426.771925903402</c:v>
                </c:pt>
                <c:pt idx="662">
                  <c:v>426.325885010944</c:v>
                </c:pt>
                <c:pt idx="663">
                  <c:v>39.0464197257356</c:v>
                </c:pt>
                <c:pt idx="664">
                  <c:v>39.305123443361</c:v>
                </c:pt>
                <c:pt idx="665">
                  <c:v>38.957211547244</c:v>
                </c:pt>
                <c:pt idx="666">
                  <c:v>46.5755899904193</c:v>
                </c:pt>
                <c:pt idx="667">
                  <c:v>465.042234476261</c:v>
                </c:pt>
                <c:pt idx="668">
                  <c:v>452.553089487449</c:v>
                </c:pt>
                <c:pt idx="669">
                  <c:v>539.531063516675</c:v>
                </c:pt>
                <c:pt idx="670">
                  <c:v>464.685401762295</c:v>
                </c:pt>
                <c:pt idx="671">
                  <c:v>452.463881308958</c:v>
                </c:pt>
                <c:pt idx="672">
                  <c:v>498.58450958907</c:v>
                </c:pt>
                <c:pt idx="673">
                  <c:v>501.403488029402</c:v>
                </c:pt>
                <c:pt idx="674">
                  <c:v>497.96005233963</c:v>
                </c:pt>
                <c:pt idx="675">
                  <c:v>453.445171272364</c:v>
                </c:pt>
                <c:pt idx="676">
                  <c:v>435.246702860096</c:v>
                </c:pt>
                <c:pt idx="677">
                  <c:v>432.481249326859</c:v>
                </c:pt>
                <c:pt idx="678">
                  <c:v>438.101364571824</c:v>
                </c:pt>
                <c:pt idx="679">
                  <c:v>597.337963179176</c:v>
                </c:pt>
                <c:pt idx="680">
                  <c:v>897.077442910662</c:v>
                </c:pt>
                <c:pt idx="681">
                  <c:v>697.875580339112</c:v>
                </c:pt>
                <c:pt idx="682">
                  <c:v>927.58663995476</c:v>
                </c:pt>
                <c:pt idx="683">
                  <c:v>439.707111784671</c:v>
                </c:pt>
                <c:pt idx="684">
                  <c:v>436.049576466519</c:v>
                </c:pt>
                <c:pt idx="685">
                  <c:v>295.27907080691</c:v>
                </c:pt>
                <c:pt idx="686">
                  <c:v>437.566115500875</c:v>
                </c:pt>
                <c:pt idx="687">
                  <c:v>512.322569076763</c:v>
                </c:pt>
                <c:pt idx="688">
                  <c:v>503.84779212007</c:v>
                </c:pt>
                <c:pt idx="689">
                  <c:v>512.411777255255</c:v>
                </c:pt>
                <c:pt idx="690">
                  <c:v>354.513301325276</c:v>
                </c:pt>
                <c:pt idx="691">
                  <c:v>476.1932567877</c:v>
                </c:pt>
                <c:pt idx="692">
                  <c:v>431.589167541944</c:v>
                </c:pt>
                <c:pt idx="693">
                  <c:v>469.859476114803</c:v>
                </c:pt>
                <c:pt idx="694">
                  <c:v>429.62658761513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647.919000383864</c:v>
                </c:pt>
                <c:pt idx="704">
                  <c:v>605.188282886429</c:v>
                </c:pt>
                <c:pt idx="705">
                  <c:v>668.88292232937</c:v>
                </c:pt>
                <c:pt idx="706">
                  <c:v>599.122126749006</c:v>
                </c:pt>
                <c:pt idx="707">
                  <c:v>363.790951888393</c:v>
                </c:pt>
                <c:pt idx="708">
                  <c:v>364.593825494817</c:v>
                </c:pt>
                <c:pt idx="709">
                  <c:v>369.321858954867</c:v>
                </c:pt>
                <c:pt idx="710">
                  <c:v>224.269360727666</c:v>
                </c:pt>
                <c:pt idx="711">
                  <c:v>586.811398117177</c:v>
                </c:pt>
                <c:pt idx="712">
                  <c:v>608.132152776649</c:v>
                </c:pt>
                <c:pt idx="713">
                  <c:v>623.0299185847319</c:v>
                </c:pt>
                <c:pt idx="714">
                  <c:v>205.000394173499</c:v>
                </c:pt>
                <c:pt idx="715">
                  <c:v>201.610483390821</c:v>
                </c:pt>
                <c:pt idx="716">
                  <c:v>435.246702860096</c:v>
                </c:pt>
                <c:pt idx="717">
                  <c:v>428.556089473232</c:v>
                </c:pt>
                <c:pt idx="718">
                  <c:v>404.737505815998</c:v>
                </c:pt>
                <c:pt idx="719">
                  <c:v>810.991550666352</c:v>
                </c:pt>
                <c:pt idx="720">
                  <c:v>472.714137826531</c:v>
                </c:pt>
                <c:pt idx="721">
                  <c:v>501.082338586833</c:v>
                </c:pt>
                <c:pt idx="722">
                  <c:v>488.950026311987</c:v>
                </c:pt>
                <c:pt idx="723">
                  <c:v>185.64221944084</c:v>
                </c:pt>
                <c:pt idx="724">
                  <c:v>299.471855196012</c:v>
                </c:pt>
                <c:pt idx="725">
                  <c:v>222.931238050293</c:v>
                </c:pt>
                <c:pt idx="726">
                  <c:v>199.469487107025</c:v>
                </c:pt>
                <c:pt idx="727">
                  <c:v>248.890817991323</c:v>
                </c:pt>
                <c:pt idx="728">
                  <c:v>243.98436817429</c:v>
                </c:pt>
                <c:pt idx="729">
                  <c:v>351.83705597053</c:v>
                </c:pt>
                <c:pt idx="730">
                  <c:v>262.27204476505</c:v>
                </c:pt>
                <c:pt idx="731">
                  <c:v>366.645613600121</c:v>
                </c:pt>
                <c:pt idx="732">
                  <c:v>404.113048566557</c:v>
                </c:pt>
                <c:pt idx="733">
                  <c:v>369.589483490342</c:v>
                </c:pt>
                <c:pt idx="734">
                  <c:v>539.352647159692</c:v>
                </c:pt>
                <c:pt idx="735">
                  <c:v>388.501617330542</c:v>
                </c:pt>
                <c:pt idx="736">
                  <c:v>204.019104210092</c:v>
                </c:pt>
                <c:pt idx="737">
                  <c:v>159.861055856793</c:v>
                </c:pt>
                <c:pt idx="738">
                  <c:v>196.25799268133</c:v>
                </c:pt>
                <c:pt idx="739">
                  <c:v>214.813293807565</c:v>
                </c:pt>
                <c:pt idx="740">
                  <c:v>300.54235333791</c:v>
                </c:pt>
                <c:pt idx="741">
                  <c:v>223.555695299733</c:v>
                </c:pt>
                <c:pt idx="742">
                  <c:v>228.818977830733</c:v>
                </c:pt>
                <c:pt idx="743">
                  <c:v>573.43017134345</c:v>
                </c:pt>
                <c:pt idx="744">
                  <c:v>586.186940867737</c:v>
                </c:pt>
                <c:pt idx="745">
                  <c:v>576.284833055179</c:v>
                </c:pt>
                <c:pt idx="746">
                  <c:v>582.707821906568</c:v>
                </c:pt>
                <c:pt idx="747">
                  <c:v>484.043576494954</c:v>
                </c:pt>
                <c:pt idx="748">
                  <c:v>488.860818133495</c:v>
                </c:pt>
                <c:pt idx="749">
                  <c:v>354.691717682259</c:v>
                </c:pt>
                <c:pt idx="750">
                  <c:v>493.142810701088</c:v>
                </c:pt>
                <c:pt idx="751">
                  <c:v>195.901159967364</c:v>
                </c:pt>
                <c:pt idx="752">
                  <c:v>242.021788247477</c:v>
                </c:pt>
                <c:pt idx="753">
                  <c:v>196.525617216805</c:v>
                </c:pt>
                <c:pt idx="754">
                  <c:v>244.787241780714</c:v>
                </c:pt>
                <c:pt idx="755">
                  <c:v>221.59311537292</c:v>
                </c:pt>
                <c:pt idx="756">
                  <c:v>230.246308686597</c:v>
                </c:pt>
                <c:pt idx="757">
                  <c:v>234.349884897207</c:v>
                </c:pt>
                <c:pt idx="758">
                  <c:v>192.154416470721</c:v>
                </c:pt>
                <c:pt idx="759">
                  <c:v>247.463487135459</c:v>
                </c:pt>
                <c:pt idx="760">
                  <c:v>241.575747355019</c:v>
                </c:pt>
                <c:pt idx="761">
                  <c:v>240.505249213121</c:v>
                </c:pt>
                <c:pt idx="762">
                  <c:v>241.664955533511</c:v>
                </c:pt>
                <c:pt idx="763">
                  <c:v>306.251676761367</c:v>
                </c:pt>
                <c:pt idx="764">
                  <c:v>216.240624663429</c:v>
                </c:pt>
                <c:pt idx="765">
                  <c:v>318.383989036213</c:v>
                </c:pt>
                <c:pt idx="766">
                  <c:v>209.460803098074</c:v>
                </c:pt>
                <c:pt idx="767">
                  <c:v>380.829713980272</c:v>
                </c:pt>
                <c:pt idx="768">
                  <c:v>233.725427647766</c:v>
                </c:pt>
                <c:pt idx="769">
                  <c:v>338.366621018312</c:v>
                </c:pt>
                <c:pt idx="770">
                  <c:v>229.086602366207</c:v>
                </c:pt>
                <c:pt idx="771">
                  <c:v>389.304490936966</c:v>
                </c:pt>
                <c:pt idx="772">
                  <c:v>304.021472299079</c:v>
                </c:pt>
                <c:pt idx="773">
                  <c:v>408.038208420184</c:v>
                </c:pt>
                <c:pt idx="774">
                  <c:v>312.585457434264</c:v>
                </c:pt>
                <c:pt idx="775">
                  <c:v>730.6149818454981</c:v>
                </c:pt>
                <c:pt idx="776">
                  <c:v>551.306543077555</c:v>
                </c:pt>
                <c:pt idx="777">
                  <c:v>777.627691910525</c:v>
                </c:pt>
                <c:pt idx="778">
                  <c:v>600.995498497328</c:v>
                </c:pt>
                <c:pt idx="779">
                  <c:v>508.040576509171</c:v>
                </c:pt>
                <c:pt idx="780">
                  <c:v>520.4405133194909</c:v>
                </c:pt>
                <c:pt idx="781">
                  <c:v>584.670401833381</c:v>
                </c:pt>
                <c:pt idx="782">
                  <c:v>514.998814431509</c:v>
                </c:pt>
                <c:pt idx="783">
                  <c:v>829.725268149569</c:v>
                </c:pt>
                <c:pt idx="784">
                  <c:v>304.467513191536</c:v>
                </c:pt>
                <c:pt idx="785">
                  <c:v>638.016892571306</c:v>
                </c:pt>
                <c:pt idx="786">
                  <c:v>323.201230674754</c:v>
                </c:pt>
                <c:pt idx="787">
                  <c:v>604.117784744531</c:v>
                </c:pt>
                <c:pt idx="788">
                  <c:v>378.064260447035</c:v>
                </c:pt>
                <c:pt idx="789">
                  <c:v>21.7667955519294</c:v>
                </c:pt>
                <c:pt idx="790">
                  <c:v>21.7667955519294</c:v>
                </c:pt>
                <c:pt idx="791">
                  <c:v>344.343568977243</c:v>
                </c:pt>
                <c:pt idx="792">
                  <c:v>265.661955547728</c:v>
                </c:pt>
                <c:pt idx="793">
                  <c:v>330.873134025024</c:v>
                </c:pt>
                <c:pt idx="794">
                  <c:v>230.067892329614</c:v>
                </c:pt>
                <c:pt idx="795">
                  <c:v>6.8422672902991</c:v>
                </c:pt>
                <c:pt idx="796">
                  <c:v>7.38643717909734</c:v>
                </c:pt>
                <c:pt idx="797">
                  <c:v>9.17060074892761</c:v>
                </c:pt>
                <c:pt idx="798">
                  <c:v>7.1009710079245</c:v>
                </c:pt>
                <c:pt idx="799">
                  <c:v>8.519381045939561</c:v>
                </c:pt>
                <c:pt idx="800">
                  <c:v>249.426067062272</c:v>
                </c:pt>
                <c:pt idx="801">
                  <c:v>266.197204618677</c:v>
                </c:pt>
                <c:pt idx="802">
                  <c:v>292.008104262222</c:v>
                </c:pt>
                <c:pt idx="803">
                  <c:v>270.241308710292</c:v>
                </c:pt>
                <c:pt idx="804">
                  <c:v>269.170810568394</c:v>
                </c:pt>
                <c:pt idx="805">
                  <c:v>298.787925827577</c:v>
                </c:pt>
                <c:pt idx="806">
                  <c:v>498.495301410579</c:v>
                </c:pt>
                <c:pt idx="807">
                  <c:v>491.358647131258</c:v>
                </c:pt>
                <c:pt idx="808">
                  <c:v>316.421409109399</c:v>
                </c:pt>
                <c:pt idx="809">
                  <c:v>498.049260518121</c:v>
                </c:pt>
                <c:pt idx="810">
                  <c:v>497.96005233963</c:v>
                </c:pt>
                <c:pt idx="811">
                  <c:v>354.334884968293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600.014208533921</c:v>
                </c:pt>
                <c:pt idx="817">
                  <c:v>596.802714108227</c:v>
                </c:pt>
                <c:pt idx="818">
                  <c:v>518.210308857204</c:v>
                </c:pt>
                <c:pt idx="819">
                  <c:v>608.132152776649</c:v>
                </c:pt>
                <c:pt idx="820">
                  <c:v>601.798372103752</c:v>
                </c:pt>
                <c:pt idx="821">
                  <c:v>517.050602536814</c:v>
                </c:pt>
                <c:pt idx="822">
                  <c:v>604.831450172463</c:v>
                </c:pt>
                <c:pt idx="823">
                  <c:v>600.281833069396</c:v>
                </c:pt>
                <c:pt idx="824">
                  <c:v>515.534063502458</c:v>
                </c:pt>
                <c:pt idx="825">
                  <c:v>592.520721540634</c:v>
                </c:pt>
                <c:pt idx="826">
                  <c:v>588.684769865499</c:v>
                </c:pt>
                <c:pt idx="827">
                  <c:v>520.2620969625081</c:v>
                </c:pt>
                <c:pt idx="828">
                  <c:v>245.179757766076</c:v>
                </c:pt>
                <c:pt idx="829">
                  <c:v>252.090417993219</c:v>
                </c:pt>
                <c:pt idx="830">
                  <c:v>0.0</c:v>
                </c:pt>
                <c:pt idx="831">
                  <c:v>250.853397918137</c:v>
                </c:pt>
                <c:pt idx="832">
                  <c:v>284.514617268934</c:v>
                </c:pt>
                <c:pt idx="833">
                  <c:v>256.669771155783</c:v>
                </c:pt>
                <c:pt idx="834">
                  <c:v>1060.06078501466</c:v>
                </c:pt>
                <c:pt idx="835">
                  <c:v>464.417777226821</c:v>
                </c:pt>
                <c:pt idx="836">
                  <c:v>0.0</c:v>
                </c:pt>
                <c:pt idx="837">
                  <c:v>0.0</c:v>
                </c:pt>
                <c:pt idx="838">
                  <c:v>590.825766149296</c:v>
                </c:pt>
                <c:pt idx="839">
                  <c:v>565.669059814689</c:v>
                </c:pt>
                <c:pt idx="840">
                  <c:v>581.815740121653</c:v>
                </c:pt>
                <c:pt idx="841">
                  <c:v>573.519379521942</c:v>
                </c:pt>
                <c:pt idx="842">
                  <c:v>536.587193626455</c:v>
                </c:pt>
                <c:pt idx="843">
                  <c:v>501.082338586833</c:v>
                </c:pt>
                <c:pt idx="844">
                  <c:v>566.471933421112</c:v>
                </c:pt>
                <c:pt idx="845">
                  <c:v>558.443197356876</c:v>
                </c:pt>
                <c:pt idx="846">
                  <c:v>539.441855338184</c:v>
                </c:pt>
                <c:pt idx="847">
                  <c:v>553.625955718334</c:v>
                </c:pt>
                <c:pt idx="848">
                  <c:v>481.991788389649</c:v>
                </c:pt>
                <c:pt idx="849">
                  <c:v>477.35296310809</c:v>
                </c:pt>
                <c:pt idx="850">
                  <c:v>329.802635883126</c:v>
                </c:pt>
                <c:pt idx="851">
                  <c:v>322.041524354365</c:v>
                </c:pt>
                <c:pt idx="852">
                  <c:v>359.5089593208</c:v>
                </c:pt>
                <c:pt idx="853">
                  <c:v>362.809661924986</c:v>
                </c:pt>
                <c:pt idx="854">
                  <c:v>397.065602465728</c:v>
                </c:pt>
                <c:pt idx="855">
                  <c:v>401.079970497846</c:v>
                </c:pt>
                <c:pt idx="856">
                  <c:v>369.321858954867</c:v>
                </c:pt>
                <c:pt idx="857">
                  <c:v>306.608509475333</c:v>
                </c:pt>
                <c:pt idx="858">
                  <c:v>295.189862628419</c:v>
                </c:pt>
                <c:pt idx="859">
                  <c:v>386.539037403729</c:v>
                </c:pt>
                <c:pt idx="860">
                  <c:v>319.722111713585</c:v>
                </c:pt>
                <c:pt idx="861">
                  <c:v>270.836029900236</c:v>
                </c:pt>
                <c:pt idx="862">
                  <c:v>327.483223242347</c:v>
                </c:pt>
                <c:pt idx="863">
                  <c:v>325.699059672517</c:v>
                </c:pt>
                <c:pt idx="864">
                  <c:v>532.33493711836</c:v>
                </c:pt>
                <c:pt idx="865">
                  <c:v>501.825740074262</c:v>
                </c:pt>
                <c:pt idx="866">
                  <c:v>493.678059772037</c:v>
                </c:pt>
                <c:pt idx="867">
                  <c:v>474.230676860887</c:v>
                </c:pt>
                <c:pt idx="868">
                  <c:v>421.776267907877</c:v>
                </c:pt>
                <c:pt idx="869">
                  <c:v>439.171862713722</c:v>
                </c:pt>
                <c:pt idx="870">
                  <c:v>587.52506354511</c:v>
                </c:pt>
                <c:pt idx="871">
                  <c:v>575.125126734789</c:v>
                </c:pt>
                <c:pt idx="872">
                  <c:v>433.105706576299</c:v>
                </c:pt>
                <c:pt idx="873">
                  <c:v>432.659665683842</c:v>
                </c:pt>
                <c:pt idx="874">
                  <c:v>695.645375876824</c:v>
                </c:pt>
                <c:pt idx="875">
                  <c:v>675.038286645284</c:v>
                </c:pt>
                <c:pt idx="876">
                  <c:v>628.025576580257</c:v>
                </c:pt>
                <c:pt idx="877">
                  <c:v>637.124810786391</c:v>
                </c:pt>
                <c:pt idx="878">
                  <c:v>529.985788418083</c:v>
                </c:pt>
                <c:pt idx="879">
                  <c:v>574.411461306857</c:v>
                </c:pt>
                <c:pt idx="880">
                  <c:v>555.766952002131</c:v>
                </c:pt>
                <c:pt idx="881">
                  <c:v>555.766952002131</c:v>
                </c:pt>
                <c:pt idx="882">
                  <c:v>466.112732618159</c:v>
                </c:pt>
                <c:pt idx="883">
                  <c:v>510.449197328442</c:v>
                </c:pt>
                <c:pt idx="884">
                  <c:v>508.486617401628</c:v>
                </c:pt>
                <c:pt idx="885">
                  <c:v>426.593509546419</c:v>
                </c:pt>
                <c:pt idx="886">
                  <c:v>507.059286545764</c:v>
                </c:pt>
                <c:pt idx="887">
                  <c:v>508.040576509171</c:v>
                </c:pt>
                <c:pt idx="888">
                  <c:v>428.734505830215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73.15070636304129</c:v>
                </c:pt>
                <c:pt idx="896">
                  <c:v>0.0</c:v>
                </c:pt>
                <c:pt idx="897">
                  <c:v>165.391962923266</c:v>
                </c:pt>
                <c:pt idx="898">
                  <c:v>60.3939368387548</c:v>
                </c:pt>
                <c:pt idx="899">
                  <c:v>273.467671165735</c:v>
                </c:pt>
                <c:pt idx="900">
                  <c:v>292.754479355601</c:v>
                </c:pt>
                <c:pt idx="901">
                  <c:v>335.039155960578</c:v>
                </c:pt>
                <c:pt idx="902">
                  <c:v>289.49838084066</c:v>
                </c:pt>
                <c:pt idx="903">
                  <c:v>12.4891449888119</c:v>
                </c:pt>
                <c:pt idx="904">
                  <c:v>13.202810416744</c:v>
                </c:pt>
                <c:pt idx="905">
                  <c:v>12.9351858812695</c:v>
                </c:pt>
                <c:pt idx="906">
                  <c:v>21.5883791949463</c:v>
                </c:pt>
                <c:pt idx="907">
                  <c:v>27.3869107968947</c:v>
                </c:pt>
                <c:pt idx="908">
                  <c:v>0.0</c:v>
                </c:pt>
                <c:pt idx="909">
                  <c:v>559.959736391232</c:v>
                </c:pt>
                <c:pt idx="910">
                  <c:v>459.154494695821</c:v>
                </c:pt>
                <c:pt idx="911">
                  <c:v>553.625955718334</c:v>
                </c:pt>
                <c:pt idx="912">
                  <c:v>343.00544629987</c:v>
                </c:pt>
                <c:pt idx="913">
                  <c:v>520.172888784017</c:v>
                </c:pt>
                <c:pt idx="914">
                  <c:v>540.601561658573</c:v>
                </c:pt>
                <c:pt idx="915">
                  <c:v>456.032208448618</c:v>
                </c:pt>
                <c:pt idx="916">
                  <c:v>515.355647145475</c:v>
                </c:pt>
                <c:pt idx="917">
                  <c:v>550.949710363589</c:v>
                </c:pt>
                <c:pt idx="918">
                  <c:v>303.843055942096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447.379015134942</c:v>
                </c:pt>
                <c:pt idx="925">
                  <c:v>368.429777169952</c:v>
                </c:pt>
                <c:pt idx="926">
                  <c:v>0.0</c:v>
                </c:pt>
                <c:pt idx="927">
                  <c:v>384.487249298424</c:v>
                </c:pt>
                <c:pt idx="928">
                  <c:v>459.06528651733</c:v>
                </c:pt>
                <c:pt idx="929">
                  <c:v>439.707111784671</c:v>
                </c:pt>
                <c:pt idx="930">
                  <c:v>429.269754901164</c:v>
                </c:pt>
                <c:pt idx="931">
                  <c:v>363.969368245376</c:v>
                </c:pt>
                <c:pt idx="932">
                  <c:v>436.763241894451</c:v>
                </c:pt>
                <c:pt idx="933">
                  <c:v>441.134442640536</c:v>
                </c:pt>
                <c:pt idx="934">
                  <c:v>308.21425668818</c:v>
                </c:pt>
                <c:pt idx="935">
                  <c:v>445.862476100586</c:v>
                </c:pt>
                <c:pt idx="936">
                  <c:v>439.261070892214</c:v>
                </c:pt>
                <c:pt idx="937">
                  <c:v>364.504617316325</c:v>
                </c:pt>
                <c:pt idx="938">
                  <c:v>438.904238178248</c:v>
                </c:pt>
                <c:pt idx="939">
                  <c:v>443.721479816789</c:v>
                </c:pt>
                <c:pt idx="940">
                  <c:v>282.254676747149</c:v>
                </c:pt>
                <c:pt idx="941">
                  <c:v>317.581115429789</c:v>
                </c:pt>
                <c:pt idx="942">
                  <c:v>315.618535502976</c:v>
                </c:pt>
                <c:pt idx="943">
                  <c:v>263.877791977898</c:v>
                </c:pt>
                <c:pt idx="944">
                  <c:v>317.224282715823</c:v>
                </c:pt>
                <c:pt idx="945">
                  <c:v>321.14944256945</c:v>
                </c:pt>
                <c:pt idx="946">
                  <c:v>182.965974086095</c:v>
                </c:pt>
                <c:pt idx="947">
                  <c:v>1412.07625734217</c:v>
                </c:pt>
                <c:pt idx="948">
                  <c:v>3473.2312213886</c:v>
                </c:pt>
                <c:pt idx="949">
                  <c:v>590.379725256838</c:v>
                </c:pt>
                <c:pt idx="950">
                  <c:v>931.244175272912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438.547405464282</c:v>
                </c:pt>
                <c:pt idx="965">
                  <c:v>479.850792105852</c:v>
                </c:pt>
                <c:pt idx="966">
                  <c:v>337.296122876414</c:v>
                </c:pt>
                <c:pt idx="967">
                  <c:v>472.000472398599</c:v>
                </c:pt>
                <c:pt idx="968">
                  <c:v>474.498301396362</c:v>
                </c:pt>
                <c:pt idx="969">
                  <c:v>333.103338487312</c:v>
                </c:pt>
                <c:pt idx="970">
                  <c:v>524.811714065575</c:v>
                </c:pt>
                <c:pt idx="971">
                  <c:v>521.689427818372</c:v>
                </c:pt>
                <c:pt idx="972">
                  <c:v>412.49861734476</c:v>
                </c:pt>
                <c:pt idx="973">
                  <c:v>508.397409223137</c:v>
                </c:pt>
                <c:pt idx="974">
                  <c:v>514.374357182068</c:v>
                </c:pt>
                <c:pt idx="975">
                  <c:v>341.042866373057</c:v>
                </c:pt>
                <c:pt idx="976">
                  <c:v>360.04420839175</c:v>
                </c:pt>
                <c:pt idx="977">
                  <c:v>378.153468625527</c:v>
                </c:pt>
                <c:pt idx="978">
                  <c:v>388.055576438085</c:v>
                </c:pt>
                <c:pt idx="979">
                  <c:v>354.513301325276</c:v>
                </c:pt>
                <c:pt idx="980">
                  <c:v>357.367963037004</c:v>
                </c:pt>
                <c:pt idx="981">
                  <c:v>389.393699115458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431.589167541944</c:v>
                </c:pt>
                <c:pt idx="989">
                  <c:v>434.265412896689</c:v>
                </c:pt>
                <c:pt idx="990">
                  <c:v>266.910870046609</c:v>
                </c:pt>
                <c:pt idx="991">
                  <c:v>426.05826047547</c:v>
                </c:pt>
                <c:pt idx="992">
                  <c:v>430.161836686079</c:v>
                </c:pt>
                <c:pt idx="993">
                  <c:v>384.308832941441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464.774609940787</c:v>
                </c:pt>
                <c:pt idx="1003">
                  <c:v>465.309859011736</c:v>
                </c:pt>
                <c:pt idx="1004">
                  <c:v>385.914580154288</c:v>
                </c:pt>
                <c:pt idx="1005">
                  <c:v>464.95302629777</c:v>
                </c:pt>
                <c:pt idx="1006">
                  <c:v>463.347279084922</c:v>
                </c:pt>
                <c:pt idx="1007">
                  <c:v>289.212914669488</c:v>
                </c:pt>
                <c:pt idx="1008">
                  <c:v>0.0</c:v>
                </c:pt>
                <c:pt idx="1009">
                  <c:v>0.0</c:v>
                </c:pt>
                <c:pt idx="1010">
                  <c:v>455.586167556161</c:v>
                </c:pt>
                <c:pt idx="1011">
                  <c:v>495.462223341867</c:v>
                </c:pt>
                <c:pt idx="1012">
                  <c:v>0.0</c:v>
                </c:pt>
                <c:pt idx="1013">
                  <c:v>494.659349735444</c:v>
                </c:pt>
                <c:pt idx="1014">
                  <c:v>502.242044907222</c:v>
                </c:pt>
                <c:pt idx="1015">
                  <c:v>344.700401691209</c:v>
                </c:pt>
                <c:pt idx="1016">
                  <c:v>0.0</c:v>
                </c:pt>
                <c:pt idx="1017">
                  <c:v>0.0</c:v>
                </c:pt>
                <c:pt idx="1018">
                  <c:v>444.613561601705</c:v>
                </c:pt>
                <c:pt idx="1019">
                  <c:v>464.596193583804</c:v>
                </c:pt>
                <c:pt idx="1020">
                  <c:v>404.469881280523</c:v>
                </c:pt>
                <c:pt idx="1021">
                  <c:v>463.882528155871</c:v>
                </c:pt>
                <c:pt idx="1022">
                  <c:v>460.135784659228</c:v>
                </c:pt>
                <c:pt idx="1023">
                  <c:v>291.353910953284</c:v>
                </c:pt>
                <c:pt idx="1024">
                  <c:v>0.0</c:v>
                </c:pt>
                <c:pt idx="1025">
                  <c:v>0.0</c:v>
                </c:pt>
                <c:pt idx="1026">
                  <c:v>463.168862727939</c:v>
                </c:pt>
                <c:pt idx="1027">
                  <c:v>462.990446370956</c:v>
                </c:pt>
                <c:pt idx="1028">
                  <c:v>403.220966781642</c:v>
                </c:pt>
                <c:pt idx="1029">
                  <c:v>466.7371898676</c:v>
                </c:pt>
                <c:pt idx="1030">
                  <c:v>463.704111798888</c:v>
                </c:pt>
                <c:pt idx="1031">
                  <c:v>251.03181427512</c:v>
                </c:pt>
                <c:pt idx="1032">
                  <c:v>429.983420329096</c:v>
                </c:pt>
                <c:pt idx="1033">
                  <c:v>440.866818105061</c:v>
                </c:pt>
                <c:pt idx="1034">
                  <c:v>461.741531872075</c:v>
                </c:pt>
                <c:pt idx="1035">
                  <c:v>429.983420329096</c:v>
                </c:pt>
                <c:pt idx="1036">
                  <c:v>439.439487249197</c:v>
                </c:pt>
                <c:pt idx="1037">
                  <c:v>294.743821735961</c:v>
                </c:pt>
                <c:pt idx="1038">
                  <c:v>322.576773425314</c:v>
                </c:pt>
                <c:pt idx="1039">
                  <c:v>323.647271567212</c:v>
                </c:pt>
                <c:pt idx="1040">
                  <c:v>353.442803183377</c:v>
                </c:pt>
                <c:pt idx="1041">
                  <c:v>324.896186066093</c:v>
                </c:pt>
                <c:pt idx="1042">
                  <c:v>324.71776970911</c:v>
                </c:pt>
                <c:pt idx="1043">
                  <c:v>244.073576352782</c:v>
                </c:pt>
                <c:pt idx="1044">
                  <c:v>347.911896116904</c:v>
                </c:pt>
                <c:pt idx="1045">
                  <c:v>345.770899833107</c:v>
                </c:pt>
                <c:pt idx="1046">
                  <c:v>373.60385152246</c:v>
                </c:pt>
                <c:pt idx="1047">
                  <c:v>344.700401691209</c:v>
                </c:pt>
                <c:pt idx="1048">
                  <c:v>206.24930867238</c:v>
                </c:pt>
                <c:pt idx="1049">
                  <c:v>245.857739922612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313.834371933145</c:v>
                </c:pt>
                <c:pt idx="1059">
                  <c:v>304.913554083994</c:v>
                </c:pt>
                <c:pt idx="1060">
                  <c:v>534.178572807184</c:v>
                </c:pt>
                <c:pt idx="1061">
                  <c:v>530.610245667524</c:v>
                </c:pt>
                <c:pt idx="1062">
                  <c:v>654.788030127711</c:v>
                </c:pt>
                <c:pt idx="1063">
                  <c:v>532.75124195132</c:v>
                </c:pt>
                <c:pt idx="1064">
                  <c:v>539.174230802709</c:v>
                </c:pt>
                <c:pt idx="1065">
                  <c:v>637.66005985734</c:v>
                </c:pt>
                <c:pt idx="1066">
                  <c:v>25103.181427512</c:v>
                </c:pt>
                <c:pt idx="1067">
                  <c:v>24443.0409066748</c:v>
                </c:pt>
                <c:pt idx="1068">
                  <c:v>0.0</c:v>
                </c:pt>
                <c:pt idx="1069">
                  <c:v>0.0</c:v>
                </c:pt>
                <c:pt idx="1070">
                  <c:v>602.86887024565</c:v>
                </c:pt>
                <c:pt idx="1071">
                  <c:v>610.362357238937</c:v>
                </c:pt>
                <c:pt idx="1072">
                  <c:v>487.96873634858</c:v>
                </c:pt>
                <c:pt idx="1073">
                  <c:v>596.98113046521</c:v>
                </c:pt>
                <c:pt idx="1074">
                  <c:v>597.873212250125</c:v>
                </c:pt>
                <c:pt idx="1075">
                  <c:v>366.288780886155</c:v>
                </c:pt>
                <c:pt idx="1076">
                  <c:v>469.770267936312</c:v>
                </c:pt>
                <c:pt idx="1077">
                  <c:v>453.891212164822</c:v>
                </c:pt>
                <c:pt idx="1078">
                  <c:v>379.313174945916</c:v>
                </c:pt>
                <c:pt idx="1079">
                  <c:v>460.492617373194</c:v>
                </c:pt>
                <c:pt idx="1080">
                  <c:v>468.342937080447</c:v>
                </c:pt>
                <c:pt idx="1081">
                  <c:v>285.466171172844</c:v>
                </c:pt>
                <c:pt idx="1082">
                  <c:v>525.257754958033</c:v>
                </c:pt>
                <c:pt idx="1083">
                  <c:v>524.544089530101</c:v>
                </c:pt>
                <c:pt idx="1084">
                  <c:v>328.107680491788</c:v>
                </c:pt>
                <c:pt idx="1085">
                  <c:v>527.220334884846</c:v>
                </c:pt>
                <c:pt idx="1086">
                  <c:v>519.370015177593</c:v>
                </c:pt>
                <c:pt idx="1087">
                  <c:v>268.873449973422</c:v>
                </c:pt>
                <c:pt idx="1088">
                  <c:v>13.9164758446761</c:v>
                </c:pt>
                <c:pt idx="1089">
                  <c:v>14.8085576295913</c:v>
                </c:pt>
                <c:pt idx="1090">
                  <c:v>502.420461264205</c:v>
                </c:pt>
                <c:pt idx="1091">
                  <c:v>509.73553190051</c:v>
                </c:pt>
                <c:pt idx="1092">
                  <c:v>334.352252986194</c:v>
                </c:pt>
                <c:pt idx="1093">
                  <c:v>507.951368330679</c:v>
                </c:pt>
                <c:pt idx="1094">
                  <c:v>505.6319556899</c:v>
                </c:pt>
                <c:pt idx="1095">
                  <c:v>412.141784630794</c:v>
                </c:pt>
                <c:pt idx="1096">
                  <c:v>0.0</c:v>
                </c:pt>
                <c:pt idx="1097">
                  <c:v>325.253018780059</c:v>
                </c:pt>
                <c:pt idx="1098">
                  <c:v>323.468855210229</c:v>
                </c:pt>
                <c:pt idx="1099">
                  <c:v>306.162468582875</c:v>
                </c:pt>
                <c:pt idx="1100">
                  <c:v>483.686743780988</c:v>
                </c:pt>
                <c:pt idx="1101">
                  <c:v>487.076654563665</c:v>
                </c:pt>
                <c:pt idx="1102">
                  <c:v>389.839740007915</c:v>
                </c:pt>
                <c:pt idx="1103">
                  <c:v>483.686743780988</c:v>
                </c:pt>
                <c:pt idx="1104">
                  <c:v>480.118416641327</c:v>
                </c:pt>
                <c:pt idx="1105">
                  <c:v>315.26170278901</c:v>
                </c:pt>
                <c:pt idx="1106">
                  <c:v>473.873844146921</c:v>
                </c:pt>
                <c:pt idx="1107">
                  <c:v>480.832082069259</c:v>
                </c:pt>
                <c:pt idx="1108">
                  <c:v>389.839740007915</c:v>
                </c:pt>
                <c:pt idx="1109">
                  <c:v>545.597219654098</c:v>
                </c:pt>
                <c:pt idx="1110">
                  <c:v>542.564141585387</c:v>
                </c:pt>
                <c:pt idx="1111">
                  <c:v>460.135784659228</c:v>
                </c:pt>
                <c:pt idx="1112">
                  <c:v>386.449829225238</c:v>
                </c:pt>
                <c:pt idx="1113">
                  <c:v>462.990446370956</c:v>
                </c:pt>
                <c:pt idx="1114">
                  <c:v>320.257360784534</c:v>
                </c:pt>
                <c:pt idx="1115">
                  <c:v>430.697085757028</c:v>
                </c:pt>
                <c:pt idx="1116">
                  <c:v>364.504617316325</c:v>
                </c:pt>
                <c:pt idx="1117">
                  <c:v>431.589167541944</c:v>
                </c:pt>
                <c:pt idx="1118">
                  <c:v>426.593509546419</c:v>
                </c:pt>
                <c:pt idx="1119">
                  <c:v>362.720453746495</c:v>
                </c:pt>
                <c:pt idx="1120">
                  <c:v>432.659665683842</c:v>
                </c:pt>
                <c:pt idx="1121">
                  <c:v>279.400015035421</c:v>
                </c:pt>
                <c:pt idx="1122">
                  <c:v>437.120074608417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451.750215881026</c:v>
                </c:pt>
                <c:pt idx="1132">
                  <c:v>541.850476157454</c:v>
                </c:pt>
                <c:pt idx="1133">
                  <c:v>546.8461341529789</c:v>
                </c:pt>
                <c:pt idx="1134">
                  <c:v>395.905896145338</c:v>
                </c:pt>
                <c:pt idx="1135">
                  <c:v>501.885212193256</c:v>
                </c:pt>
                <c:pt idx="1136">
                  <c:v>487.433487277631</c:v>
                </c:pt>
                <c:pt idx="1137">
                  <c:v>428.377673116249</c:v>
                </c:pt>
                <c:pt idx="1138">
                  <c:v>515.266438966983</c:v>
                </c:pt>
                <c:pt idx="1139">
                  <c:v>522.5815096032881</c:v>
                </c:pt>
                <c:pt idx="1140">
                  <c:v>355.048550396225</c:v>
                </c:pt>
                <c:pt idx="1141">
                  <c:v>502.242044907222</c:v>
                </c:pt>
                <c:pt idx="1142">
                  <c:v>498.138468696613</c:v>
                </c:pt>
                <c:pt idx="1143">
                  <c:v>433.551747468757</c:v>
                </c:pt>
                <c:pt idx="1144">
                  <c:v>563.617271709384</c:v>
                </c:pt>
                <c:pt idx="1145">
                  <c:v>562.546773567486</c:v>
                </c:pt>
                <c:pt idx="1146">
                  <c:v>456.567457519567</c:v>
                </c:pt>
                <c:pt idx="1147">
                  <c:v>512.947026326204</c:v>
                </c:pt>
                <c:pt idx="1148">
                  <c:v>509.378699186544</c:v>
                </c:pt>
                <c:pt idx="1149">
                  <c:v>407.502959349235</c:v>
                </c:pt>
                <c:pt idx="1150">
                  <c:v>504.561457548002</c:v>
                </c:pt>
                <c:pt idx="1151">
                  <c:v>491.893896202207</c:v>
                </c:pt>
                <c:pt idx="1152">
                  <c:v>341.667323622498</c:v>
                </c:pt>
                <c:pt idx="1153">
                  <c:v>489.217650847461</c:v>
                </c:pt>
                <c:pt idx="1154">
                  <c:v>485.470907350818</c:v>
                </c:pt>
                <c:pt idx="1155">
                  <c:v>342.38098905043</c:v>
                </c:pt>
                <c:pt idx="1156">
                  <c:v>480.653665712276</c:v>
                </c:pt>
                <c:pt idx="1157">
                  <c:v>461.206282801126</c:v>
                </c:pt>
                <c:pt idx="1158">
                  <c:v>966.302989420077</c:v>
                </c:pt>
                <c:pt idx="1159">
                  <c:v>969.514483845772</c:v>
                </c:pt>
                <c:pt idx="1160">
                  <c:v>0.0</c:v>
                </c:pt>
                <c:pt idx="1161">
                  <c:v>0.0</c:v>
                </c:pt>
                <c:pt idx="1162">
                  <c:v>15.4</c:v>
                </c:pt>
                <c:pt idx="1163">
                  <c:v>25.5135390485729</c:v>
                </c:pt>
                <c:pt idx="1164">
                  <c:v>104.373568835071</c:v>
                </c:pt>
                <c:pt idx="1165">
                  <c:v>110.261308615511</c:v>
                </c:pt>
                <c:pt idx="1166">
                  <c:v>19.9826319820991</c:v>
                </c:pt>
                <c:pt idx="1167">
                  <c:v>11.8111628322764</c:v>
                </c:pt>
                <c:pt idx="1168">
                  <c:v>0.0</c:v>
                </c:pt>
                <c:pt idx="1169">
                  <c:v>25.691955405556</c:v>
                </c:pt>
                <c:pt idx="1170">
                  <c:v>502.242044907222</c:v>
                </c:pt>
                <c:pt idx="1171">
                  <c:v>506.880870188781</c:v>
                </c:pt>
                <c:pt idx="1172">
                  <c:v>1130.80287055843</c:v>
                </c:pt>
                <c:pt idx="1173">
                  <c:v>1087.62611216854</c:v>
                </c:pt>
                <c:pt idx="1174">
                  <c:v>591.985472469685</c:v>
                </c:pt>
                <c:pt idx="1175">
                  <c:v>538.63898173176</c:v>
                </c:pt>
                <c:pt idx="1176">
                  <c:v>500.457881337392</c:v>
                </c:pt>
                <c:pt idx="1177">
                  <c:v>477.977420357531</c:v>
                </c:pt>
                <c:pt idx="1178">
                  <c:v>49.9565799552477</c:v>
                </c:pt>
                <c:pt idx="1179">
                  <c:v>50.3134126692138</c:v>
                </c:pt>
                <c:pt idx="1180">
                  <c:v>0.0</c:v>
                </c:pt>
                <c:pt idx="1181">
                  <c:v>0.0</c:v>
                </c:pt>
                <c:pt idx="1182">
                  <c:v>1122.41730178023</c:v>
                </c:pt>
                <c:pt idx="1183">
                  <c:v>1103.14833522606</c:v>
                </c:pt>
                <c:pt idx="1184">
                  <c:v>114.543301183104</c:v>
                </c:pt>
                <c:pt idx="1185">
                  <c:v>115.613799325002</c:v>
                </c:pt>
                <c:pt idx="1186">
                  <c:v>116.505881109917</c:v>
                </c:pt>
                <c:pt idx="1187">
                  <c:v>114.543301183104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520.618929676474</c:v>
                </c:pt>
              </c:numCache>
            </c:numRef>
          </c:xVal>
          <c:yVal>
            <c:numRef>
              <c:f>Charts!$L$2:$L$1200</c:f>
              <c:numCache>
                <c:formatCode>General</c:formatCode>
                <c:ptCount val="1199"/>
                <c:pt idx="0">
                  <c:v>26.483872</c:v>
                </c:pt>
                <c:pt idx="1">
                  <c:v>0.0</c:v>
                </c:pt>
                <c:pt idx="2">
                  <c:v>0.0</c:v>
                </c:pt>
                <c:pt idx="3">
                  <c:v>50.512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53.568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54.24</c:v>
                </c:pt>
                <c:pt idx="12">
                  <c:v>0.0</c:v>
                </c:pt>
                <c:pt idx="13">
                  <c:v>0.0</c:v>
                </c:pt>
                <c:pt idx="14">
                  <c:v>42.126</c:v>
                </c:pt>
                <c:pt idx="15">
                  <c:v>41.697</c:v>
                </c:pt>
                <c:pt idx="16">
                  <c:v>38.048</c:v>
                </c:pt>
                <c:pt idx="17">
                  <c:v>38.532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60.669</c:v>
                </c:pt>
                <c:pt idx="78">
                  <c:v>59.514</c:v>
                </c:pt>
                <c:pt idx="79">
                  <c:v>58.101</c:v>
                </c:pt>
                <c:pt idx="80">
                  <c:v>61.359</c:v>
                </c:pt>
                <c:pt idx="81">
                  <c:v>59.8</c:v>
                </c:pt>
                <c:pt idx="82">
                  <c:v>62.244</c:v>
                </c:pt>
                <c:pt idx="83">
                  <c:v>59.8031</c:v>
                </c:pt>
                <c:pt idx="84">
                  <c:v>60.94755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51.46000000000001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28.512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34.98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45.58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54.72</c:v>
                </c:pt>
                <c:pt idx="260">
                  <c:v>52.92000000000001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85.12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76.68000000000001</c:v>
                </c:pt>
                <c:pt idx="279">
                  <c:v>0.0</c:v>
                </c:pt>
                <c:pt idx="280">
                  <c:v>76.95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66.67</c:v>
                </c:pt>
                <c:pt idx="287">
                  <c:v>65.54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56.55</c:v>
                </c:pt>
                <c:pt idx="303">
                  <c:v>55.68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63.25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81.84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52.8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39.9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241.6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105.86</c:v>
                </c:pt>
                <c:pt idx="369">
                  <c:v>0.0</c:v>
                </c:pt>
                <c:pt idx="370">
                  <c:v>134.85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91.97999999999998</c:v>
                </c:pt>
                <c:pt idx="461">
                  <c:v>0.0</c:v>
                </c:pt>
                <c:pt idx="462">
                  <c:v>68.25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94.5</c:v>
                </c:pt>
                <c:pt idx="469">
                  <c:v>0.0</c:v>
                </c:pt>
                <c:pt idx="470">
                  <c:v>80.01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32.705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33.12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27.55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39.117</c:v>
                </c:pt>
                <c:pt idx="599">
                  <c:v>0.0</c:v>
                </c:pt>
                <c:pt idx="600">
                  <c:v>0.0</c:v>
                </c:pt>
                <c:pt idx="601">
                  <c:v>40.341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48.985</c:v>
                </c:pt>
                <c:pt idx="606">
                  <c:v>0.0</c:v>
                </c:pt>
                <c:pt idx="607">
                  <c:v>52.2847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26.9892</c:v>
                </c:pt>
                <c:pt idx="615">
                  <c:v>0.0</c:v>
                </c:pt>
                <c:pt idx="616">
                  <c:v>27.258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32.3164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48.9345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54.5238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31.6642</c:v>
                </c:pt>
                <c:pt idx="637">
                  <c:v>0.0</c:v>
                </c:pt>
                <c:pt idx="638">
                  <c:v>0.0</c:v>
                </c:pt>
                <c:pt idx="639">
                  <c:v>32.7168</c:v>
                </c:pt>
                <c:pt idx="640">
                  <c:v>32.368</c:v>
                </c:pt>
                <c:pt idx="641">
                  <c:v>32.7148</c:v>
                </c:pt>
                <c:pt idx="642">
                  <c:v>32.4547</c:v>
                </c:pt>
                <c:pt idx="643">
                  <c:v>31.9176</c:v>
                </c:pt>
                <c:pt idx="644">
                  <c:v>31.79</c:v>
                </c:pt>
                <c:pt idx="645">
                  <c:v>30.8568</c:v>
                </c:pt>
                <c:pt idx="646">
                  <c:v>31.5648</c:v>
                </c:pt>
                <c:pt idx="647">
                  <c:v>34.3043</c:v>
                </c:pt>
                <c:pt idx="648">
                  <c:v>33.2588</c:v>
                </c:pt>
                <c:pt idx="649">
                  <c:v>34.3684</c:v>
                </c:pt>
                <c:pt idx="650">
                  <c:v>32.688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31.088</c:v>
                </c:pt>
                <c:pt idx="655">
                  <c:v>20.7746</c:v>
                </c:pt>
                <c:pt idx="656">
                  <c:v>20.622</c:v>
                </c:pt>
                <c:pt idx="657">
                  <c:v>21.2205</c:v>
                </c:pt>
                <c:pt idx="658">
                  <c:v>20.7746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331.76</c:v>
                </c:pt>
                <c:pt idx="667">
                  <c:v>30.3772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33.18</c:v>
                </c:pt>
                <c:pt idx="672">
                  <c:v>31.5252</c:v>
                </c:pt>
                <c:pt idx="673">
                  <c:v>31.7502</c:v>
                </c:pt>
                <c:pt idx="674">
                  <c:v>32.1205</c:v>
                </c:pt>
                <c:pt idx="675">
                  <c:v>0.0</c:v>
                </c:pt>
                <c:pt idx="676">
                  <c:v>0.0</c:v>
                </c:pt>
                <c:pt idx="677">
                  <c:v>31.9303</c:v>
                </c:pt>
                <c:pt idx="678">
                  <c:v>31.6744</c:v>
                </c:pt>
                <c:pt idx="679">
                  <c:v>25.44</c:v>
                </c:pt>
                <c:pt idx="680">
                  <c:v>0.0</c:v>
                </c:pt>
                <c:pt idx="681">
                  <c:v>23.3184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60.258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26.91832</c:v>
                </c:pt>
                <c:pt idx="704">
                  <c:v>27.18064</c:v>
                </c:pt>
                <c:pt idx="705">
                  <c:v>26.25102</c:v>
                </c:pt>
                <c:pt idx="706">
                  <c:v>27.46909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79.6146</c:v>
                </c:pt>
                <c:pt idx="711">
                  <c:v>22.1796</c:v>
                </c:pt>
                <c:pt idx="712">
                  <c:v>0.0</c:v>
                </c:pt>
                <c:pt idx="713">
                  <c:v>0.0</c:v>
                </c:pt>
                <c:pt idx="714">
                  <c:v>50.505</c:v>
                </c:pt>
                <c:pt idx="715">
                  <c:v>45.024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69.9774</c:v>
                </c:pt>
                <c:pt idx="724">
                  <c:v>0.0</c:v>
                </c:pt>
                <c:pt idx="725">
                  <c:v>51.49</c:v>
                </c:pt>
                <c:pt idx="726">
                  <c:v>49.97</c:v>
                </c:pt>
                <c:pt idx="727">
                  <c:v>64.887</c:v>
                </c:pt>
                <c:pt idx="728">
                  <c:v>54.77920000000001</c:v>
                </c:pt>
                <c:pt idx="729">
                  <c:v>0.0</c:v>
                </c:pt>
                <c:pt idx="730">
                  <c:v>51.2072</c:v>
                </c:pt>
                <c:pt idx="731">
                  <c:v>37.66986</c:v>
                </c:pt>
                <c:pt idx="732">
                  <c:v>28.7766</c:v>
                </c:pt>
                <c:pt idx="733">
                  <c:v>26.46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66.19600000000001</c:v>
                </c:pt>
                <c:pt idx="752">
                  <c:v>67.1067</c:v>
                </c:pt>
                <c:pt idx="753">
                  <c:v>64.6858</c:v>
                </c:pt>
                <c:pt idx="754">
                  <c:v>63.744</c:v>
                </c:pt>
                <c:pt idx="755">
                  <c:v>64.2522</c:v>
                </c:pt>
                <c:pt idx="756">
                  <c:v>67.0943</c:v>
                </c:pt>
                <c:pt idx="757">
                  <c:v>63.73040000000001</c:v>
                </c:pt>
                <c:pt idx="758">
                  <c:v>68.02680000000001</c:v>
                </c:pt>
                <c:pt idx="759">
                  <c:v>62.0912</c:v>
                </c:pt>
                <c:pt idx="760">
                  <c:v>66.822</c:v>
                </c:pt>
                <c:pt idx="761">
                  <c:v>61.6704</c:v>
                </c:pt>
                <c:pt idx="762">
                  <c:v>63.7659</c:v>
                </c:pt>
                <c:pt idx="763">
                  <c:v>58.618</c:v>
                </c:pt>
                <c:pt idx="764">
                  <c:v>67.86500000000001</c:v>
                </c:pt>
                <c:pt idx="765">
                  <c:v>59.43190000000001</c:v>
                </c:pt>
                <c:pt idx="766">
                  <c:v>66.432</c:v>
                </c:pt>
                <c:pt idx="767">
                  <c:v>58.938</c:v>
                </c:pt>
                <c:pt idx="768">
                  <c:v>64.6737</c:v>
                </c:pt>
                <c:pt idx="769">
                  <c:v>55.7039</c:v>
                </c:pt>
                <c:pt idx="770">
                  <c:v>68.208</c:v>
                </c:pt>
                <c:pt idx="771">
                  <c:v>58.5</c:v>
                </c:pt>
                <c:pt idx="772">
                  <c:v>70.9632</c:v>
                </c:pt>
                <c:pt idx="773">
                  <c:v>0.0</c:v>
                </c:pt>
                <c:pt idx="774">
                  <c:v>69.6049</c:v>
                </c:pt>
                <c:pt idx="775">
                  <c:v>25.8001</c:v>
                </c:pt>
                <c:pt idx="776">
                  <c:v>40.3312</c:v>
                </c:pt>
                <c:pt idx="777">
                  <c:v>29.1848</c:v>
                </c:pt>
                <c:pt idx="778">
                  <c:v>37.389</c:v>
                </c:pt>
                <c:pt idx="779">
                  <c:v>40.934</c:v>
                </c:pt>
                <c:pt idx="780">
                  <c:v>40.959</c:v>
                </c:pt>
                <c:pt idx="781">
                  <c:v>36.771</c:v>
                </c:pt>
                <c:pt idx="782">
                  <c:v>51.87</c:v>
                </c:pt>
                <c:pt idx="783">
                  <c:v>29.43</c:v>
                </c:pt>
                <c:pt idx="784">
                  <c:v>57.5789</c:v>
                </c:pt>
                <c:pt idx="785">
                  <c:v>36.2576</c:v>
                </c:pt>
                <c:pt idx="786">
                  <c:v>52.394</c:v>
                </c:pt>
                <c:pt idx="787">
                  <c:v>38.4131</c:v>
                </c:pt>
                <c:pt idx="788">
                  <c:v>60.2293</c:v>
                </c:pt>
                <c:pt idx="789">
                  <c:v>0.0</c:v>
                </c:pt>
                <c:pt idx="790">
                  <c:v>0.0</c:v>
                </c:pt>
                <c:pt idx="791">
                  <c:v>50.5325</c:v>
                </c:pt>
                <c:pt idx="792">
                  <c:v>58.052</c:v>
                </c:pt>
                <c:pt idx="793">
                  <c:v>52.4964</c:v>
                </c:pt>
                <c:pt idx="794">
                  <c:v>64.672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46.51649</c:v>
                </c:pt>
                <c:pt idx="801">
                  <c:v>51.55722</c:v>
                </c:pt>
                <c:pt idx="802">
                  <c:v>0.0</c:v>
                </c:pt>
                <c:pt idx="803">
                  <c:v>44.4037</c:v>
                </c:pt>
                <c:pt idx="804">
                  <c:v>44.67172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45.9816</c:v>
                </c:pt>
                <c:pt idx="829">
                  <c:v>48.6639</c:v>
                </c:pt>
                <c:pt idx="830">
                  <c:v>0.0</c:v>
                </c:pt>
                <c:pt idx="831">
                  <c:v>47.9026</c:v>
                </c:pt>
                <c:pt idx="832">
                  <c:v>45.3778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54.8064</c:v>
                </c:pt>
                <c:pt idx="839">
                  <c:v>56.5364</c:v>
                </c:pt>
                <c:pt idx="840">
                  <c:v>54.696</c:v>
                </c:pt>
                <c:pt idx="841">
                  <c:v>55.614</c:v>
                </c:pt>
                <c:pt idx="842">
                  <c:v>57.97490000000001</c:v>
                </c:pt>
                <c:pt idx="843">
                  <c:v>60.632</c:v>
                </c:pt>
                <c:pt idx="844">
                  <c:v>57.3792</c:v>
                </c:pt>
                <c:pt idx="845">
                  <c:v>57.35300000000001</c:v>
                </c:pt>
                <c:pt idx="846">
                  <c:v>57.963</c:v>
                </c:pt>
                <c:pt idx="847">
                  <c:v>57.48811</c:v>
                </c:pt>
                <c:pt idx="848">
                  <c:v>62.71852</c:v>
                </c:pt>
                <c:pt idx="849">
                  <c:v>62.74053</c:v>
                </c:pt>
                <c:pt idx="850">
                  <c:v>51.4349</c:v>
                </c:pt>
                <c:pt idx="851">
                  <c:v>50.9922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37.2813</c:v>
                </c:pt>
                <c:pt idx="861">
                  <c:v>55.5774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31.3048</c:v>
                </c:pt>
                <c:pt idx="866">
                  <c:v>0.0</c:v>
                </c:pt>
                <c:pt idx="867">
                  <c:v>34.4124</c:v>
                </c:pt>
                <c:pt idx="868">
                  <c:v>37.3584</c:v>
                </c:pt>
                <c:pt idx="869">
                  <c:v>34.3746</c:v>
                </c:pt>
                <c:pt idx="870">
                  <c:v>25.1089</c:v>
                </c:pt>
                <c:pt idx="871">
                  <c:v>24.9776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44.6462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43.0776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53.6092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55.5696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76.92299999999998</c:v>
                </c:pt>
                <c:pt idx="947">
                  <c:v>0.0</c:v>
                </c:pt>
                <c:pt idx="948">
                  <c:v>0.0</c:v>
                </c:pt>
                <c:pt idx="949">
                  <c:v>23.375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47.988</c:v>
                </c:pt>
                <c:pt idx="967">
                  <c:v>0.0</c:v>
                </c:pt>
                <c:pt idx="968">
                  <c:v>0.0</c:v>
                </c:pt>
                <c:pt idx="969">
                  <c:v>48.934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47.0376</c:v>
                </c:pt>
                <c:pt idx="976">
                  <c:v>46.575</c:v>
                </c:pt>
                <c:pt idx="977">
                  <c:v>47.685</c:v>
                </c:pt>
                <c:pt idx="978">
                  <c:v>0.0</c:v>
                </c:pt>
                <c:pt idx="979">
                  <c:v>45.89900000000001</c:v>
                </c:pt>
                <c:pt idx="980">
                  <c:v>47.1744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57.96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56.8089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48.22400000000001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52.761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55.1034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52.948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62.357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65.83290000000001</c:v>
                </c:pt>
                <c:pt idx="1049">
                  <c:v>60.768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109.2</c:v>
                </c:pt>
                <c:pt idx="1059">
                  <c:v>0.0</c:v>
                </c:pt>
                <c:pt idx="1060">
                  <c:v>43.105</c:v>
                </c:pt>
                <c:pt idx="1061">
                  <c:v>43.4294</c:v>
                </c:pt>
                <c:pt idx="1062">
                  <c:v>0.0</c:v>
                </c:pt>
                <c:pt idx="1063">
                  <c:v>43.105</c:v>
                </c:pt>
                <c:pt idx="1064">
                  <c:v>42.3657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41.6641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55.7136</c:v>
                </c:pt>
                <c:pt idx="1082">
                  <c:v>0.0</c:v>
                </c:pt>
                <c:pt idx="1083">
                  <c:v>0.0</c:v>
                </c:pt>
                <c:pt idx="1084">
                  <c:v>48.4158</c:v>
                </c:pt>
                <c:pt idx="1085">
                  <c:v>0.0</c:v>
                </c:pt>
                <c:pt idx="1086">
                  <c:v>0.0</c:v>
                </c:pt>
                <c:pt idx="1087">
                  <c:v>52.377</c:v>
                </c:pt>
                <c:pt idx="1088">
                  <c:v>975.0</c:v>
                </c:pt>
                <c:pt idx="1089">
                  <c:v>972.0</c:v>
                </c:pt>
                <c:pt idx="1090">
                  <c:v>0.0</c:v>
                </c:pt>
                <c:pt idx="1091">
                  <c:v>0.0</c:v>
                </c:pt>
                <c:pt idx="1092">
                  <c:v>48.175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51.04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50.6046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41.2731</c:v>
                </c:pt>
                <c:pt idx="1113">
                  <c:v>0.0</c:v>
                </c:pt>
                <c:pt idx="1114">
                  <c:v>54.289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53.214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37.752</c:v>
                </c:pt>
                <c:pt idx="1132">
                  <c:v>0.0</c:v>
                </c:pt>
                <c:pt idx="1133">
                  <c:v>0.0</c:v>
                </c:pt>
                <c:pt idx="1134">
                  <c:v>41.4036</c:v>
                </c:pt>
                <c:pt idx="1135">
                  <c:v>0.0</c:v>
                </c:pt>
                <c:pt idx="1136">
                  <c:v>0.0</c:v>
                </c:pt>
                <c:pt idx="1137">
                  <c:v>38.766</c:v>
                </c:pt>
                <c:pt idx="1138">
                  <c:v>0.0</c:v>
                </c:pt>
                <c:pt idx="1139">
                  <c:v>0.0</c:v>
                </c:pt>
                <c:pt idx="1140">
                  <c:v>43.6363</c:v>
                </c:pt>
                <c:pt idx="1141">
                  <c:v>0.0</c:v>
                </c:pt>
                <c:pt idx="1142">
                  <c:v>0.0</c:v>
                </c:pt>
                <c:pt idx="1143">
                  <c:v>40.8336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38.2694</c:v>
                </c:pt>
                <c:pt idx="1150">
                  <c:v>0.0</c:v>
                </c:pt>
                <c:pt idx="1151">
                  <c:v>0.0</c:v>
                </c:pt>
                <c:pt idx="1152">
                  <c:v>43.9416</c:v>
                </c:pt>
                <c:pt idx="1153">
                  <c:v>0.0</c:v>
                </c:pt>
                <c:pt idx="1154">
                  <c:v>0.0</c:v>
                </c:pt>
                <c:pt idx="1155">
                  <c:v>44.384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27496"/>
        <c:axId val="2113832296"/>
      </c:scatterChart>
      <c:valAx>
        <c:axId val="21138274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832296"/>
        <c:crosses val="autoZero"/>
        <c:crossBetween val="midCat"/>
      </c:valAx>
      <c:valAx>
        <c:axId val="21138322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8274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CL_data!$U$3:$U$11</c:f>
              <c:numCache>
                <c:formatCode>General</c:formatCode>
                <c:ptCount val="9"/>
                <c:pt idx="0">
                  <c:v>6.2</c:v>
                </c:pt>
                <c:pt idx="1">
                  <c:v>4.4</c:v>
                </c:pt>
                <c:pt idx="2">
                  <c:v>7.9</c:v>
                </c:pt>
                <c:pt idx="3">
                  <c:v>9.3</c:v>
                </c:pt>
                <c:pt idx="4">
                  <c:v>2.4</c:v>
                </c:pt>
                <c:pt idx="5">
                  <c:v>3.29</c:v>
                </c:pt>
                <c:pt idx="6">
                  <c:v>5.16</c:v>
                </c:pt>
                <c:pt idx="7">
                  <c:v>4.14</c:v>
                </c:pt>
                <c:pt idx="8">
                  <c:v>6.88</c:v>
                </c:pt>
              </c:numCache>
            </c:numRef>
          </c:xVal>
          <c:yVal>
            <c:numRef>
              <c:f>CL_data!$V$3:$V$11</c:f>
              <c:numCache>
                <c:formatCode>General</c:formatCode>
                <c:ptCount val="9"/>
                <c:pt idx="0">
                  <c:v>0.00497534715484773</c:v>
                </c:pt>
                <c:pt idx="1">
                  <c:v>0.00304139028032494</c:v>
                </c:pt>
                <c:pt idx="2">
                  <c:v>0.00651423360041691</c:v>
                </c:pt>
                <c:pt idx="3">
                  <c:v>0.00915398839274271</c:v>
                </c:pt>
                <c:pt idx="4">
                  <c:v>0.000972611266728914</c:v>
                </c:pt>
                <c:pt idx="5">
                  <c:v>0.00147040443473977</c:v>
                </c:pt>
                <c:pt idx="6">
                  <c:v>0.00238799697201984</c:v>
                </c:pt>
                <c:pt idx="7">
                  <c:v>0.00264756186028287</c:v>
                </c:pt>
                <c:pt idx="8">
                  <c:v>0.00188754747181892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82328"/>
        <c:axId val="2113077736"/>
      </c:scatterChart>
      <c:valAx>
        <c:axId val="21130823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077736"/>
        <c:crosses val="autoZero"/>
        <c:crossBetween val="midCat"/>
      </c:valAx>
      <c:valAx>
        <c:axId val="21130777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30823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4521200</xdr:colOff>
      <xdr:row>56</xdr:row>
      <xdr:rowOff>0</xdr:rowOff>
    </xdr:to>
    <xdr:sp macro="" textlink="">
      <xdr:nvSpPr>
        <xdr:cNvPr id="1101" name="Rectangle 7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11</xdr:row>
      <xdr:rowOff>466725</xdr:rowOff>
    </xdr:from>
    <xdr:ext cx="8829675" cy="1771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57150</xdr:colOff>
      <xdr:row>0</xdr:row>
      <xdr:rowOff>342900</xdr:rowOff>
    </xdr:from>
    <xdr:ext cx="8829675" cy="19431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57150</xdr:colOff>
      <xdr:row>22</xdr:row>
      <xdr:rowOff>447675</xdr:rowOff>
    </xdr:from>
    <xdr:ext cx="8820150" cy="17430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8172450</xdr:colOff>
      <xdr:row>3</xdr:row>
      <xdr:rowOff>381000</xdr:rowOff>
    </xdr:from>
    <xdr:ext cx="6534150" cy="44958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635000</xdr:colOff>
      <xdr:row>47</xdr:row>
      <xdr:rowOff>165100</xdr:rowOff>
    </xdr:to>
    <xdr:sp macro="" textlink="">
      <xdr:nvSpPr>
        <xdr:cNvPr id="2059" name="Rectangle 1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1085850</xdr:colOff>
      <xdr:row>14</xdr:row>
      <xdr:rowOff>361950</xdr:rowOff>
    </xdr:from>
    <xdr:ext cx="4286250" cy="30480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83</xdr:row>
      <xdr:rowOff>50800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889000</xdr:colOff>
      <xdr:row>82</xdr:row>
      <xdr:rowOff>12700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4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7.1640625" defaultRowHeight="12.75" customHeight="1" x14ac:dyDescent="0"/>
  <cols>
    <col min="1" max="1" width="26.1640625" customWidth="1"/>
    <col min="2" max="2" width="9.5" customWidth="1"/>
    <col min="3" max="8" width="6.5" customWidth="1"/>
    <col min="10" max="10" width="15.5" customWidth="1"/>
    <col min="11" max="11" width="73.6640625" customWidth="1"/>
    <col min="12" max="12" width="7.33203125" customWidth="1"/>
    <col min="13" max="13" width="4.83203125" customWidth="1"/>
    <col min="14" max="14" width="11" customWidth="1"/>
    <col min="15" max="15" width="5" customWidth="1"/>
    <col min="16" max="16" width="9.33203125" customWidth="1"/>
    <col min="17" max="17" width="28.33203125" customWidth="1"/>
    <col min="18" max="18" width="6.5" customWidth="1"/>
    <col min="19" max="19" width="14.83203125" customWidth="1"/>
    <col min="20" max="20" width="11.1640625" customWidth="1"/>
    <col min="21" max="21" width="10.33203125" customWidth="1"/>
    <col min="22" max="22" width="8.5" customWidth="1"/>
    <col min="23" max="23" width="7.33203125" customWidth="1"/>
    <col min="24" max="24" width="7.83203125" customWidth="1"/>
    <col min="25" max="25" width="6.83203125" customWidth="1"/>
    <col min="28" max="28" width="11.33203125" customWidth="1"/>
    <col min="29" max="29" width="14.5" customWidth="1"/>
    <col min="30" max="30" width="11.83203125" customWidth="1"/>
    <col min="31" max="31" width="11" customWidth="1"/>
    <col min="32" max="32" width="10.5" customWidth="1"/>
    <col min="33" max="33" width="9.6640625" customWidth="1"/>
    <col min="34" max="34" width="8.5" customWidth="1"/>
    <col min="35" max="35" width="6.5" hidden="1" customWidth="1"/>
    <col min="36" max="36" width="8.5" customWidth="1"/>
    <col min="37" max="37" width="7.1640625" customWidth="1"/>
    <col min="38" max="38" width="5.5" customWidth="1"/>
    <col min="39" max="39" width="0" hidden="1"/>
    <col min="42" max="42" width="18.5" customWidth="1"/>
  </cols>
  <sheetData>
    <row r="1" spans="1:57" ht="16.5" customHeight="1">
      <c r="A1" s="405" t="s">
        <v>0</v>
      </c>
      <c r="B1" s="407" t="s">
        <v>1</v>
      </c>
      <c r="C1" s="408"/>
      <c r="D1" s="409"/>
      <c r="E1" s="410"/>
      <c r="F1" s="410"/>
      <c r="G1" s="409"/>
      <c r="H1" s="411"/>
      <c r="I1" s="412"/>
      <c r="J1" s="413" t="s">
        <v>2</v>
      </c>
      <c r="K1" s="415" t="s">
        <v>3</v>
      </c>
      <c r="L1" s="417" t="s">
        <v>4</v>
      </c>
      <c r="M1" s="419" t="s">
        <v>5</v>
      </c>
      <c r="N1" s="421" t="s">
        <v>6</v>
      </c>
      <c r="O1" s="422"/>
      <c r="P1" s="422"/>
      <c r="Q1" s="422"/>
      <c r="R1" s="422"/>
      <c r="S1" s="422"/>
      <c r="T1" s="422"/>
      <c r="U1" s="423"/>
      <c r="V1" s="424"/>
      <c r="W1" s="424"/>
      <c r="X1" s="425"/>
      <c r="Y1" s="422"/>
      <c r="Z1" s="31"/>
      <c r="AA1" s="31"/>
      <c r="AB1" s="422" t="s">
        <v>7</v>
      </c>
      <c r="AC1" s="424"/>
      <c r="AD1" s="425"/>
      <c r="AE1" s="426"/>
      <c r="AF1" s="422"/>
      <c r="AG1" s="99"/>
      <c r="AH1" s="427" t="s">
        <v>8</v>
      </c>
      <c r="AI1" s="428"/>
      <c r="AJ1" s="428"/>
      <c r="AK1" s="428"/>
      <c r="AL1" s="429"/>
      <c r="AM1" s="430"/>
      <c r="AN1" s="431"/>
      <c r="AO1" s="431"/>
      <c r="AP1" s="294"/>
      <c r="AQ1" s="140"/>
      <c r="AR1" s="194"/>
      <c r="AS1" s="194"/>
      <c r="AT1" s="194"/>
    </row>
    <row r="2" spans="1:57" ht="72">
      <c r="A2" s="406"/>
      <c r="B2" s="195" t="s">
        <v>9</v>
      </c>
      <c r="C2" s="100" t="s">
        <v>10</v>
      </c>
      <c r="D2" s="163" t="s">
        <v>11</v>
      </c>
      <c r="E2" s="281" t="s">
        <v>12</v>
      </c>
      <c r="F2" s="281" t="s">
        <v>13</v>
      </c>
      <c r="G2" s="163" t="s">
        <v>14</v>
      </c>
      <c r="H2" s="110" t="s">
        <v>15</v>
      </c>
      <c r="I2" s="163" t="s">
        <v>16</v>
      </c>
      <c r="J2" s="414"/>
      <c r="K2" s="416"/>
      <c r="L2" s="418"/>
      <c r="M2" s="420"/>
      <c r="N2" s="82" t="s">
        <v>17</v>
      </c>
      <c r="O2" s="311" t="s">
        <v>18</v>
      </c>
      <c r="P2" s="311" t="s">
        <v>9</v>
      </c>
      <c r="Q2" s="311" t="s">
        <v>19</v>
      </c>
      <c r="R2" s="311" t="s">
        <v>20</v>
      </c>
      <c r="S2" s="311" t="s">
        <v>21</v>
      </c>
      <c r="T2" s="311" t="s">
        <v>22</v>
      </c>
      <c r="U2" s="311" t="s">
        <v>23</v>
      </c>
      <c r="V2" s="311" t="s">
        <v>24</v>
      </c>
      <c r="W2" s="311" t="s">
        <v>25</v>
      </c>
      <c r="X2" s="311" t="s">
        <v>26</v>
      </c>
      <c r="Y2" s="311" t="s">
        <v>27</v>
      </c>
      <c r="Z2" s="311" t="s">
        <v>28</v>
      </c>
      <c r="AA2" s="311" t="s">
        <v>29</v>
      </c>
      <c r="AB2" s="311" t="s">
        <v>30</v>
      </c>
      <c r="AC2" s="311" t="s">
        <v>31</v>
      </c>
      <c r="AD2" s="311" t="s">
        <v>32</v>
      </c>
      <c r="AE2" s="311" t="s">
        <v>33</v>
      </c>
      <c r="AF2" s="311" t="s">
        <v>34</v>
      </c>
      <c r="AG2" s="400" t="s">
        <v>35</v>
      </c>
      <c r="AH2" s="243" t="s">
        <v>36</v>
      </c>
      <c r="AI2" s="351" t="s">
        <v>37</v>
      </c>
      <c r="AJ2" s="351" t="s">
        <v>38</v>
      </c>
      <c r="AK2" s="351" t="s">
        <v>39</v>
      </c>
      <c r="AL2" s="351" t="s">
        <v>15</v>
      </c>
      <c r="AM2" s="39" t="s">
        <v>33</v>
      </c>
      <c r="AN2" s="356" t="s">
        <v>40</v>
      </c>
      <c r="AO2" s="130" t="s">
        <v>41</v>
      </c>
      <c r="AP2" s="130" t="s">
        <v>42</v>
      </c>
      <c r="AQ2" s="368" t="s">
        <v>43</v>
      </c>
      <c r="AR2" s="88"/>
      <c r="AS2" s="194"/>
      <c r="AT2" s="194"/>
    </row>
    <row r="3" spans="1:57" ht="24">
      <c r="A3" s="186" t="s">
        <v>44</v>
      </c>
      <c r="B3" s="301" t="str">
        <f t="shared" ref="B3:B66" si="0">P3</f>
        <v>MgO</v>
      </c>
      <c r="C3" s="290">
        <f t="shared" ref="C3:C66" si="1">AF3</f>
        <v>3.44</v>
      </c>
      <c r="D3" s="259">
        <f t="shared" ref="D3:D66" si="2">AH3</f>
        <v>0</v>
      </c>
      <c r="E3" s="374">
        <f t="shared" ref="E3:E66" si="3">AJ3</f>
        <v>7.6988000000000003</v>
      </c>
      <c r="F3" s="374">
        <f t="shared" ref="F3:F66" si="4">AK3</f>
        <v>2.1362000000000001</v>
      </c>
      <c r="G3" s="259">
        <f t="shared" ref="G3:G66" si="5">AN3</f>
        <v>0</v>
      </c>
      <c r="H3" s="324">
        <f t="shared" ref="H3:H28" si="6">AL3</f>
        <v>0</v>
      </c>
      <c r="I3" s="259">
        <f t="shared" ref="I3:I66" si="7">AO3</f>
        <v>0</v>
      </c>
      <c r="J3" s="186"/>
      <c r="K3" s="301" t="s">
        <v>45</v>
      </c>
      <c r="L3" s="186"/>
      <c r="M3" s="27"/>
      <c r="N3" s="212">
        <v>40963</v>
      </c>
      <c r="O3" s="186">
        <v>30</v>
      </c>
      <c r="P3" s="186" t="s">
        <v>46</v>
      </c>
      <c r="Q3" s="186"/>
      <c r="R3" s="186"/>
      <c r="S3" s="186">
        <v>800</v>
      </c>
      <c r="T3" s="186">
        <v>50</v>
      </c>
      <c r="U3" s="186">
        <v>400</v>
      </c>
      <c r="V3" s="186"/>
      <c r="W3" s="186"/>
      <c r="X3" s="186"/>
      <c r="Y3" s="186">
        <v>47</v>
      </c>
      <c r="Z3" s="186"/>
      <c r="AA3" s="398"/>
      <c r="AB3" s="288">
        <v>0.17660000000000001</v>
      </c>
      <c r="AC3" s="186">
        <v>0.63260000000000005</v>
      </c>
      <c r="AD3" s="186">
        <v>0.1908</v>
      </c>
      <c r="AE3" s="186" t="s">
        <v>47</v>
      </c>
      <c r="AF3" s="186">
        <v>3.44</v>
      </c>
      <c r="AG3" s="397"/>
      <c r="AH3" s="87"/>
      <c r="AI3" s="73"/>
      <c r="AJ3" s="73">
        <v>7.6988000000000003</v>
      </c>
      <c r="AK3" s="73">
        <v>2.1362000000000001</v>
      </c>
      <c r="AL3" s="73"/>
      <c r="AM3" s="186" t="s">
        <v>48</v>
      </c>
      <c r="AN3" s="24">
        <f t="shared" ref="AN3:AN66" si="8">((AH3*AF3)/10)</f>
        <v>0</v>
      </c>
      <c r="AO3" s="177">
        <f t="shared" ref="AO3:AO66" si="9">(AF3*AH3)*AJ3</f>
        <v>0</v>
      </c>
      <c r="AP3" s="247">
        <f t="shared" ref="AP3:AP66" si="10">(AF3/T3)*60</f>
        <v>4.1280000000000001</v>
      </c>
      <c r="AQ3" s="27"/>
      <c r="AR3" s="45"/>
      <c r="AS3" s="359"/>
      <c r="AT3" s="359"/>
    </row>
    <row r="4" spans="1:57" ht="12">
      <c r="A4" s="359" t="s">
        <v>49</v>
      </c>
      <c r="B4" s="359" t="str">
        <f t="shared" si="0"/>
        <v>MgO</v>
      </c>
      <c r="C4" s="141">
        <f t="shared" si="1"/>
        <v>3.36</v>
      </c>
      <c r="D4" s="277">
        <f t="shared" si="2"/>
        <v>776.45439757443103</v>
      </c>
      <c r="E4" s="20">
        <f t="shared" si="3"/>
        <v>0</v>
      </c>
      <c r="F4" s="20">
        <f t="shared" si="4"/>
        <v>0</v>
      </c>
      <c r="G4" s="277">
        <f t="shared" si="5"/>
        <v>260.88867758500885</v>
      </c>
      <c r="H4" s="3">
        <f t="shared" si="6"/>
        <v>0</v>
      </c>
      <c r="I4" s="277">
        <f t="shared" si="7"/>
        <v>0</v>
      </c>
      <c r="J4" s="359"/>
      <c r="K4" s="359"/>
      <c r="L4" s="359"/>
      <c r="M4" s="338"/>
      <c r="N4" s="89">
        <v>40963</v>
      </c>
      <c r="O4" s="359">
        <v>30</v>
      </c>
      <c r="P4" s="359" t="s">
        <v>46</v>
      </c>
      <c r="Q4" s="359"/>
      <c r="R4" s="359"/>
      <c r="S4" s="359">
        <v>800</v>
      </c>
      <c r="T4" s="359">
        <v>50</v>
      </c>
      <c r="U4" s="359">
        <v>400</v>
      </c>
      <c r="V4" s="359"/>
      <c r="W4" s="359"/>
      <c r="X4" s="359"/>
      <c r="Y4" s="359">
        <v>47</v>
      </c>
      <c r="Z4" s="359"/>
      <c r="AA4" s="210"/>
      <c r="AB4" s="248">
        <v>0.1759</v>
      </c>
      <c r="AC4" s="359">
        <v>0.63690000000000002</v>
      </c>
      <c r="AD4" s="359">
        <v>0.18720000000000001</v>
      </c>
      <c r="AE4" s="359" t="s">
        <v>47</v>
      </c>
      <c r="AF4" s="359">
        <v>3.36</v>
      </c>
      <c r="AG4" s="153"/>
      <c r="AH4" s="346">
        <v>776.45439757443103</v>
      </c>
      <c r="AI4" s="24"/>
      <c r="AJ4" s="24"/>
      <c r="AK4" s="24"/>
      <c r="AL4" s="24"/>
      <c r="AM4" s="359"/>
      <c r="AN4" s="24">
        <f t="shared" si="8"/>
        <v>260.88867758500885</v>
      </c>
      <c r="AO4" s="54">
        <f t="shared" si="9"/>
        <v>0</v>
      </c>
      <c r="AP4" s="261">
        <f t="shared" si="10"/>
        <v>4.032</v>
      </c>
      <c r="AQ4" s="116"/>
      <c r="AR4" s="45"/>
      <c r="AS4" s="359"/>
      <c r="AT4" s="359"/>
    </row>
    <row r="5" spans="1:57" ht="12">
      <c r="A5" s="359" t="s">
        <v>50</v>
      </c>
      <c r="B5" s="359" t="str">
        <f t="shared" si="0"/>
        <v>MgO</v>
      </c>
      <c r="C5" s="141">
        <f t="shared" si="1"/>
        <v>4.3899999999999997</v>
      </c>
      <c r="D5" s="277">
        <f t="shared" si="2"/>
        <v>0</v>
      </c>
      <c r="E5" s="20">
        <f t="shared" si="3"/>
        <v>0</v>
      </c>
      <c r="F5" s="20">
        <f t="shared" si="4"/>
        <v>0</v>
      </c>
      <c r="G5" s="277">
        <f t="shared" si="5"/>
        <v>0</v>
      </c>
      <c r="H5" s="3">
        <f t="shared" si="6"/>
        <v>0</v>
      </c>
      <c r="I5" s="277">
        <f t="shared" si="7"/>
        <v>0</v>
      </c>
      <c r="J5" s="359"/>
      <c r="K5" s="359" t="s">
        <v>45</v>
      </c>
      <c r="L5" s="359"/>
      <c r="M5" s="338"/>
      <c r="N5" s="89">
        <v>40966</v>
      </c>
      <c r="O5" s="359">
        <v>31</v>
      </c>
      <c r="P5" s="359" t="s">
        <v>46</v>
      </c>
      <c r="Q5" s="359"/>
      <c r="R5" s="359"/>
      <c r="S5" s="359">
        <v>800</v>
      </c>
      <c r="T5" s="359">
        <v>65</v>
      </c>
      <c r="U5" s="359">
        <v>400</v>
      </c>
      <c r="V5" s="359"/>
      <c r="W5" s="359"/>
      <c r="X5" s="359"/>
      <c r="Y5" s="359">
        <v>47</v>
      </c>
      <c r="Z5" s="359"/>
      <c r="AA5" s="210"/>
      <c r="AB5" s="248">
        <v>0.19539999999999999</v>
      </c>
      <c r="AC5" s="359">
        <v>0.58340000000000003</v>
      </c>
      <c r="AD5" s="359">
        <v>0.22109999999999999</v>
      </c>
      <c r="AE5" s="359" t="s">
        <v>47</v>
      </c>
      <c r="AF5" s="359">
        <v>4.3899999999999997</v>
      </c>
      <c r="AG5" s="153"/>
      <c r="AH5" s="346"/>
      <c r="AI5" s="24"/>
      <c r="AJ5" s="24"/>
      <c r="AK5" s="24"/>
      <c r="AL5" s="24"/>
      <c r="AM5" s="359"/>
      <c r="AN5" s="24">
        <f t="shared" si="8"/>
        <v>0</v>
      </c>
      <c r="AO5" s="54">
        <f t="shared" si="9"/>
        <v>0</v>
      </c>
      <c r="AP5" s="261">
        <f t="shared" si="10"/>
        <v>4.0523076923076919</v>
      </c>
      <c r="AQ5" s="338"/>
      <c r="AR5" s="45"/>
      <c r="AS5" s="359"/>
      <c r="AT5" s="359"/>
    </row>
    <row r="6" spans="1:57" ht="12">
      <c r="A6" s="359" t="s">
        <v>51</v>
      </c>
      <c r="B6" s="359" t="str">
        <f t="shared" si="0"/>
        <v>MgO</v>
      </c>
      <c r="C6" s="141">
        <f t="shared" si="1"/>
        <v>4.51</v>
      </c>
      <c r="D6" s="277">
        <f t="shared" si="2"/>
        <v>362.74223173697601</v>
      </c>
      <c r="E6" s="20">
        <f t="shared" si="3"/>
        <v>11.2</v>
      </c>
      <c r="F6" s="20">
        <f t="shared" si="4"/>
        <v>1.2506310789999999</v>
      </c>
      <c r="G6" s="277">
        <f t="shared" si="5"/>
        <v>163.59674651337619</v>
      </c>
      <c r="H6" s="3">
        <f t="shared" si="6"/>
        <v>0.72499999999999998</v>
      </c>
      <c r="I6" s="277">
        <f t="shared" si="7"/>
        <v>18322.835609498132</v>
      </c>
      <c r="J6" s="359" t="s">
        <v>52</v>
      </c>
      <c r="K6" s="359" t="s">
        <v>53</v>
      </c>
      <c r="L6" s="359"/>
      <c r="M6" s="338"/>
      <c r="N6" s="89">
        <v>40966</v>
      </c>
      <c r="O6" s="359">
        <v>31</v>
      </c>
      <c r="P6" s="359" t="s">
        <v>46</v>
      </c>
      <c r="Q6" s="359"/>
      <c r="R6" s="359"/>
      <c r="S6" s="359">
        <v>800</v>
      </c>
      <c r="T6" s="359">
        <v>65</v>
      </c>
      <c r="U6" s="359">
        <v>400</v>
      </c>
      <c r="V6" s="359"/>
      <c r="W6" s="359"/>
      <c r="X6" s="359"/>
      <c r="Y6" s="359">
        <v>47</v>
      </c>
      <c r="Z6" s="359"/>
      <c r="AA6" s="210"/>
      <c r="AB6" s="248">
        <v>0.1958</v>
      </c>
      <c r="AC6" s="359">
        <v>0.57779999999999998</v>
      </c>
      <c r="AD6" s="359">
        <v>0.22639999999999999</v>
      </c>
      <c r="AE6" s="359" t="s">
        <v>47</v>
      </c>
      <c r="AF6" s="359">
        <v>4.51</v>
      </c>
      <c r="AG6" s="153"/>
      <c r="AH6" s="346">
        <v>362.74223173697601</v>
      </c>
      <c r="AI6" s="24"/>
      <c r="AJ6" s="24">
        <v>11.2</v>
      </c>
      <c r="AK6" s="24">
        <v>1.2506310789999999</v>
      </c>
      <c r="AL6" s="24">
        <v>0.72499999999999998</v>
      </c>
      <c r="AM6" s="359" t="s">
        <v>54</v>
      </c>
      <c r="AN6" s="24">
        <f t="shared" si="8"/>
        <v>163.59674651337619</v>
      </c>
      <c r="AO6" s="54">
        <f t="shared" si="9"/>
        <v>18322.835609498132</v>
      </c>
      <c r="AP6" s="261">
        <f t="shared" si="10"/>
        <v>4.1630769230769227</v>
      </c>
      <c r="AQ6" s="338"/>
      <c r="AR6" s="45"/>
      <c r="AS6" s="359"/>
      <c r="AT6" s="359"/>
    </row>
    <row r="7" spans="1:57" ht="12">
      <c r="A7" s="359" t="s">
        <v>55</v>
      </c>
      <c r="B7" s="359" t="str">
        <f t="shared" si="0"/>
        <v>MgO</v>
      </c>
      <c r="C7" s="141">
        <f t="shared" si="1"/>
        <v>0</v>
      </c>
      <c r="D7" s="277">
        <f t="shared" si="2"/>
        <v>0</v>
      </c>
      <c r="E7" s="20">
        <f t="shared" si="3"/>
        <v>0</v>
      </c>
      <c r="F7" s="20">
        <f t="shared" si="4"/>
        <v>0</v>
      </c>
      <c r="G7" s="277">
        <f t="shared" si="5"/>
        <v>0</v>
      </c>
      <c r="H7" s="3">
        <f t="shared" si="6"/>
        <v>0</v>
      </c>
      <c r="I7" s="277">
        <f t="shared" si="7"/>
        <v>0</v>
      </c>
      <c r="J7" s="359"/>
      <c r="K7" s="359" t="s">
        <v>56</v>
      </c>
      <c r="L7" s="359"/>
      <c r="M7" s="338"/>
      <c r="N7" s="89">
        <v>40966</v>
      </c>
      <c r="O7" s="359">
        <v>31</v>
      </c>
      <c r="P7" s="359" t="s">
        <v>46</v>
      </c>
      <c r="Q7" s="359"/>
      <c r="R7" s="359"/>
      <c r="S7" s="359">
        <v>800</v>
      </c>
      <c r="T7" s="359">
        <v>65</v>
      </c>
      <c r="U7" s="359">
        <v>400</v>
      </c>
      <c r="V7" s="359"/>
      <c r="W7" s="359"/>
      <c r="X7" s="359"/>
      <c r="Y7" s="359">
        <v>47</v>
      </c>
      <c r="Z7" s="359"/>
      <c r="AA7" s="210"/>
      <c r="AB7" s="248"/>
      <c r="AC7" s="359"/>
      <c r="AD7" s="359"/>
      <c r="AE7" s="359"/>
      <c r="AF7" s="359"/>
      <c r="AG7" s="153"/>
      <c r="AH7" s="346"/>
      <c r="AI7" s="24"/>
      <c r="AJ7" s="24"/>
      <c r="AK7" s="24"/>
      <c r="AL7" s="24"/>
      <c r="AM7" s="359"/>
      <c r="AN7" s="24">
        <f t="shared" si="8"/>
        <v>0</v>
      </c>
      <c r="AO7" s="54">
        <f t="shared" si="9"/>
        <v>0</v>
      </c>
      <c r="AP7" s="261">
        <f t="shared" si="10"/>
        <v>0</v>
      </c>
      <c r="AQ7" s="338"/>
      <c r="AR7" s="45"/>
      <c r="AS7" s="359"/>
      <c r="AT7" s="359"/>
    </row>
    <row r="8" spans="1:57" ht="12">
      <c r="A8" s="359" t="s">
        <v>57</v>
      </c>
      <c r="B8" s="359" t="str">
        <f t="shared" si="0"/>
        <v>MgO</v>
      </c>
      <c r="C8" s="141">
        <f t="shared" si="1"/>
        <v>0</v>
      </c>
      <c r="D8" s="277">
        <f t="shared" si="2"/>
        <v>0</v>
      </c>
      <c r="E8" s="20">
        <f t="shared" si="3"/>
        <v>0</v>
      </c>
      <c r="F8" s="20">
        <f t="shared" si="4"/>
        <v>0</v>
      </c>
      <c r="G8" s="277">
        <f t="shared" si="5"/>
        <v>0</v>
      </c>
      <c r="H8" s="3">
        <f t="shared" si="6"/>
        <v>0</v>
      </c>
      <c r="I8" s="277">
        <f t="shared" si="7"/>
        <v>0</v>
      </c>
      <c r="J8" s="359"/>
      <c r="K8" s="359" t="s">
        <v>56</v>
      </c>
      <c r="L8" s="359"/>
      <c r="M8" s="338"/>
      <c r="N8" s="89">
        <v>40966</v>
      </c>
      <c r="O8" s="359">
        <v>31</v>
      </c>
      <c r="P8" s="359" t="s">
        <v>46</v>
      </c>
      <c r="Q8" s="359"/>
      <c r="R8" s="359"/>
      <c r="S8" s="359">
        <v>800</v>
      </c>
      <c r="T8" s="359">
        <v>65</v>
      </c>
      <c r="U8" s="359">
        <v>400</v>
      </c>
      <c r="V8" s="359"/>
      <c r="W8" s="359"/>
      <c r="X8" s="359"/>
      <c r="Y8" s="359">
        <v>47</v>
      </c>
      <c r="Z8" s="359"/>
      <c r="AA8" s="210"/>
      <c r="AB8" s="248"/>
      <c r="AC8" s="359"/>
      <c r="AD8" s="359"/>
      <c r="AE8" s="359"/>
      <c r="AF8" s="359"/>
      <c r="AG8" s="153"/>
      <c r="AH8" s="346"/>
      <c r="AI8" s="24"/>
      <c r="AJ8" s="24"/>
      <c r="AK8" s="24"/>
      <c r="AL8" s="24"/>
      <c r="AM8" s="359"/>
      <c r="AN8" s="24">
        <f t="shared" si="8"/>
        <v>0</v>
      </c>
      <c r="AO8" s="54">
        <f t="shared" si="9"/>
        <v>0</v>
      </c>
      <c r="AP8" s="261">
        <f t="shared" si="10"/>
        <v>0</v>
      </c>
      <c r="AQ8" s="338"/>
      <c r="AR8" s="45"/>
      <c r="AS8" s="359"/>
      <c r="AT8" s="359"/>
    </row>
    <row r="9" spans="1:57" ht="12">
      <c r="A9" s="359" t="s">
        <v>58</v>
      </c>
      <c r="B9" s="359" t="str">
        <f t="shared" si="0"/>
        <v>MgO</v>
      </c>
      <c r="C9" s="141">
        <f t="shared" si="1"/>
        <v>4.37</v>
      </c>
      <c r="D9" s="277">
        <f t="shared" si="2"/>
        <v>343</v>
      </c>
      <c r="E9" s="20">
        <f t="shared" si="3"/>
        <v>0</v>
      </c>
      <c r="F9" s="20">
        <f t="shared" si="4"/>
        <v>0</v>
      </c>
      <c r="G9" s="277">
        <f t="shared" si="5"/>
        <v>149.89100000000002</v>
      </c>
      <c r="H9" s="3">
        <f t="shared" si="6"/>
        <v>0</v>
      </c>
      <c r="I9" s="277">
        <f t="shared" si="7"/>
        <v>0</v>
      </c>
      <c r="J9" s="359"/>
      <c r="K9" s="359" t="s">
        <v>45</v>
      </c>
      <c r="L9" s="359"/>
      <c r="M9" s="338"/>
      <c r="N9" s="89">
        <v>40966</v>
      </c>
      <c r="O9" s="359">
        <v>32</v>
      </c>
      <c r="P9" s="359" t="s">
        <v>46</v>
      </c>
      <c r="Q9" s="359"/>
      <c r="R9" s="359"/>
      <c r="S9" s="359">
        <v>800</v>
      </c>
      <c r="T9" s="359">
        <v>65</v>
      </c>
      <c r="U9" s="359">
        <v>400</v>
      </c>
      <c r="V9" s="359"/>
      <c r="W9" s="359"/>
      <c r="X9" s="359"/>
      <c r="Y9" s="359">
        <v>47</v>
      </c>
      <c r="Z9" s="359"/>
      <c r="AA9" s="210"/>
      <c r="AB9" s="248">
        <v>0.19550000000000001</v>
      </c>
      <c r="AC9" s="359">
        <v>0.58440000000000003</v>
      </c>
      <c r="AD9" s="359">
        <v>0.22009999999999999</v>
      </c>
      <c r="AE9" s="359" t="s">
        <v>47</v>
      </c>
      <c r="AF9" s="359">
        <v>4.37</v>
      </c>
      <c r="AG9" s="153"/>
      <c r="AH9" s="346">
        <v>343</v>
      </c>
      <c r="AI9" s="24"/>
      <c r="AJ9" s="24"/>
      <c r="AK9" s="24"/>
      <c r="AL9" s="24"/>
      <c r="AM9" s="359"/>
      <c r="AN9" s="24">
        <f t="shared" si="8"/>
        <v>149.89100000000002</v>
      </c>
      <c r="AO9" s="54">
        <f t="shared" si="9"/>
        <v>0</v>
      </c>
      <c r="AP9" s="261">
        <f t="shared" si="10"/>
        <v>4.0338461538461541</v>
      </c>
      <c r="AQ9" s="338"/>
      <c r="AR9" s="45"/>
      <c r="AS9" s="359"/>
      <c r="AT9" s="359"/>
    </row>
    <row r="10" spans="1:57" ht="12">
      <c r="A10" s="359" t="s">
        <v>59</v>
      </c>
      <c r="B10" s="359" t="str">
        <f t="shared" si="0"/>
        <v>MgO</v>
      </c>
      <c r="C10" s="141">
        <f t="shared" si="1"/>
        <v>4.32</v>
      </c>
      <c r="D10" s="277">
        <f t="shared" si="2"/>
        <v>306.93573454667199</v>
      </c>
      <c r="E10" s="20">
        <f t="shared" si="3"/>
        <v>12.4</v>
      </c>
      <c r="F10" s="20">
        <f t="shared" si="4"/>
        <v>1.1084423670000001</v>
      </c>
      <c r="G10" s="277">
        <f t="shared" si="5"/>
        <v>132.5962373241623</v>
      </c>
      <c r="H10" s="3">
        <f t="shared" si="6"/>
        <v>0.84099999999999997</v>
      </c>
      <c r="I10" s="277">
        <f t="shared" si="7"/>
        <v>16441.933428196127</v>
      </c>
      <c r="J10" s="359" t="s">
        <v>52</v>
      </c>
      <c r="K10" s="359" t="s">
        <v>53</v>
      </c>
      <c r="L10" s="359"/>
      <c r="M10" s="338"/>
      <c r="N10" s="89">
        <v>40966</v>
      </c>
      <c r="O10" s="359">
        <v>32</v>
      </c>
      <c r="P10" s="359" t="s">
        <v>46</v>
      </c>
      <c r="Q10" s="359"/>
      <c r="R10" s="359"/>
      <c r="S10" s="359">
        <v>800</v>
      </c>
      <c r="T10" s="359">
        <v>65</v>
      </c>
      <c r="U10" s="359">
        <v>400</v>
      </c>
      <c r="V10" s="359"/>
      <c r="W10" s="359"/>
      <c r="X10" s="359"/>
      <c r="Y10" s="359">
        <v>47</v>
      </c>
      <c r="Z10" s="359"/>
      <c r="AA10" s="210"/>
      <c r="AB10" s="248">
        <v>0.1933</v>
      </c>
      <c r="AC10" s="359">
        <v>0.58689999999999998</v>
      </c>
      <c r="AD10" s="359">
        <v>0.2198</v>
      </c>
      <c r="AE10" s="359" t="s">
        <v>47</v>
      </c>
      <c r="AF10" s="359">
        <v>4.32</v>
      </c>
      <c r="AG10" s="153"/>
      <c r="AH10" s="346">
        <v>306.93573454667199</v>
      </c>
      <c r="AI10" s="24"/>
      <c r="AJ10" s="24">
        <v>12.4</v>
      </c>
      <c r="AK10" s="24">
        <v>1.1084423670000001</v>
      </c>
      <c r="AL10" s="24">
        <v>0.84099999999999997</v>
      </c>
      <c r="AM10" s="359" t="s">
        <v>54</v>
      </c>
      <c r="AN10" s="24">
        <f t="shared" si="8"/>
        <v>132.5962373241623</v>
      </c>
      <c r="AO10" s="54">
        <f t="shared" si="9"/>
        <v>16441.933428196127</v>
      </c>
      <c r="AP10" s="261">
        <f t="shared" si="10"/>
        <v>3.9876923076923076</v>
      </c>
      <c r="AQ10" s="338"/>
      <c r="AR10" s="45"/>
      <c r="AS10" s="359"/>
      <c r="AT10" s="359"/>
    </row>
    <row r="11" spans="1:57" ht="12">
      <c r="A11" s="359" t="s">
        <v>60</v>
      </c>
      <c r="B11" s="359" t="str">
        <f t="shared" si="0"/>
        <v>MgO</v>
      </c>
      <c r="C11" s="141">
        <f t="shared" si="1"/>
        <v>0</v>
      </c>
      <c r="D11" s="277">
        <f t="shared" si="2"/>
        <v>296.39450729961499</v>
      </c>
      <c r="E11" s="20">
        <f t="shared" si="3"/>
        <v>0</v>
      </c>
      <c r="F11" s="20">
        <f t="shared" si="4"/>
        <v>0</v>
      </c>
      <c r="G11" s="277">
        <f t="shared" si="5"/>
        <v>0</v>
      </c>
      <c r="H11" s="3">
        <f t="shared" si="6"/>
        <v>0</v>
      </c>
      <c r="I11" s="277">
        <f t="shared" si="7"/>
        <v>0</v>
      </c>
      <c r="J11" s="359"/>
      <c r="K11" s="359" t="s">
        <v>56</v>
      </c>
      <c r="L11" s="359"/>
      <c r="M11" s="338"/>
      <c r="N11" s="89">
        <v>40966</v>
      </c>
      <c r="O11" s="359">
        <v>32</v>
      </c>
      <c r="P11" s="359" t="s">
        <v>46</v>
      </c>
      <c r="Q11" s="359"/>
      <c r="R11" s="359"/>
      <c r="S11" s="359">
        <v>800</v>
      </c>
      <c r="T11" s="359">
        <v>65</v>
      </c>
      <c r="U11" s="359">
        <v>400</v>
      </c>
      <c r="V11" s="359"/>
      <c r="W11" s="359"/>
      <c r="X11" s="359"/>
      <c r="Y11" s="359">
        <v>47</v>
      </c>
      <c r="Z11" s="359"/>
      <c r="AA11" s="210"/>
      <c r="AB11" s="248"/>
      <c r="AC11" s="359"/>
      <c r="AD11" s="359"/>
      <c r="AE11" s="359"/>
      <c r="AF11" s="359"/>
      <c r="AG11" s="307"/>
      <c r="AH11" s="38">
        <v>296.39450729961499</v>
      </c>
      <c r="AI11" s="8"/>
      <c r="AJ11" s="24"/>
      <c r="AK11" s="24"/>
      <c r="AL11" s="24"/>
      <c r="AM11" s="359"/>
      <c r="AN11" s="24">
        <f t="shared" si="8"/>
        <v>0</v>
      </c>
      <c r="AO11" s="54">
        <f t="shared" si="9"/>
        <v>0</v>
      </c>
      <c r="AP11" s="261">
        <f t="shared" si="10"/>
        <v>0</v>
      </c>
      <c r="AQ11" s="338"/>
      <c r="AR11" s="45"/>
      <c r="AS11" s="359"/>
      <c r="AT11" s="359"/>
    </row>
    <row r="12" spans="1:57" ht="12">
      <c r="A12" s="359" t="s">
        <v>61</v>
      </c>
      <c r="B12" s="359" t="str">
        <f t="shared" si="0"/>
        <v>MgO</v>
      </c>
      <c r="C12" s="141">
        <f t="shared" si="1"/>
        <v>0</v>
      </c>
      <c r="D12" s="277">
        <f t="shared" si="2"/>
        <v>302.719243647849</v>
      </c>
      <c r="E12" s="20">
        <f t="shared" si="3"/>
        <v>0</v>
      </c>
      <c r="F12" s="20">
        <f t="shared" si="4"/>
        <v>0</v>
      </c>
      <c r="G12" s="277">
        <f t="shared" si="5"/>
        <v>0</v>
      </c>
      <c r="H12" s="3">
        <f t="shared" si="6"/>
        <v>0</v>
      </c>
      <c r="I12" s="277">
        <f t="shared" si="7"/>
        <v>0</v>
      </c>
      <c r="J12" s="359"/>
      <c r="K12" s="359" t="s">
        <v>56</v>
      </c>
      <c r="L12" s="359"/>
      <c r="M12" s="338"/>
      <c r="N12" s="89">
        <v>40966</v>
      </c>
      <c r="O12" s="359">
        <v>32</v>
      </c>
      <c r="P12" s="359" t="s">
        <v>46</v>
      </c>
      <c r="Q12" s="359"/>
      <c r="R12" s="359"/>
      <c r="S12" s="359">
        <v>800</v>
      </c>
      <c r="T12" s="359">
        <v>65</v>
      </c>
      <c r="U12" s="359">
        <v>400</v>
      </c>
      <c r="V12" s="359"/>
      <c r="W12" s="359"/>
      <c r="X12" s="359"/>
      <c r="Y12" s="359">
        <v>47</v>
      </c>
      <c r="Z12" s="359"/>
      <c r="AA12" s="210"/>
      <c r="AB12" s="248"/>
      <c r="AC12" s="359"/>
      <c r="AD12" s="359"/>
      <c r="AE12" s="359"/>
      <c r="AF12" s="359"/>
      <c r="AG12" s="307"/>
      <c r="AH12" s="38">
        <v>302.719243647849</v>
      </c>
      <c r="AI12" s="8"/>
      <c r="AJ12" s="24"/>
      <c r="AK12" s="24"/>
      <c r="AL12" s="24"/>
      <c r="AM12" s="359"/>
      <c r="AN12" s="24">
        <f t="shared" si="8"/>
        <v>0</v>
      </c>
      <c r="AO12" s="54">
        <f t="shared" si="9"/>
        <v>0</v>
      </c>
      <c r="AP12" s="261">
        <f t="shared" si="10"/>
        <v>0</v>
      </c>
      <c r="AQ12" s="338"/>
      <c r="AR12" s="45"/>
      <c r="AS12" s="359"/>
      <c r="AT12" s="359"/>
    </row>
    <row r="13" spans="1:57" ht="12">
      <c r="A13" s="359" t="s">
        <v>62</v>
      </c>
      <c r="B13" s="359" t="str">
        <f t="shared" si="0"/>
        <v>MgO</v>
      </c>
      <c r="C13" s="141">
        <f t="shared" si="1"/>
        <v>4.3099999999999996</v>
      </c>
      <c r="D13" s="277">
        <f t="shared" si="2"/>
        <v>0</v>
      </c>
      <c r="E13" s="20">
        <f t="shared" si="3"/>
        <v>0</v>
      </c>
      <c r="F13" s="20">
        <f t="shared" si="4"/>
        <v>0</v>
      </c>
      <c r="G13" s="277">
        <f t="shared" si="5"/>
        <v>0</v>
      </c>
      <c r="H13" s="3">
        <f t="shared" si="6"/>
        <v>0</v>
      </c>
      <c r="I13" s="277">
        <f t="shared" si="7"/>
        <v>0</v>
      </c>
      <c r="J13" s="359"/>
      <c r="K13" s="359" t="s">
        <v>45</v>
      </c>
      <c r="L13" s="359"/>
      <c r="M13" s="338"/>
      <c r="N13" s="89">
        <v>40967</v>
      </c>
      <c r="O13" s="359">
        <v>33</v>
      </c>
      <c r="P13" s="359" t="s">
        <v>46</v>
      </c>
      <c r="Q13" s="359"/>
      <c r="R13" s="359"/>
      <c r="S13" s="359">
        <v>800</v>
      </c>
      <c r="T13" s="359">
        <v>65</v>
      </c>
      <c r="U13" s="359">
        <v>400</v>
      </c>
      <c r="V13" s="359"/>
      <c r="W13" s="359"/>
      <c r="X13" s="359"/>
      <c r="Y13" s="359">
        <v>47</v>
      </c>
      <c r="Z13" s="359"/>
      <c r="AA13" s="210"/>
      <c r="AB13" s="248">
        <v>0.1938</v>
      </c>
      <c r="AC13" s="359">
        <v>0.58760000000000001</v>
      </c>
      <c r="AD13" s="359">
        <v>0.21859999999999999</v>
      </c>
      <c r="AE13" s="359" t="s">
        <v>47</v>
      </c>
      <c r="AF13" s="359">
        <v>4.3099999999999996</v>
      </c>
      <c r="AG13" s="153"/>
      <c r="AH13" s="346"/>
      <c r="AI13" s="24"/>
      <c r="AJ13" s="24"/>
      <c r="AK13" s="24"/>
      <c r="AL13" s="24"/>
      <c r="AM13" s="359"/>
      <c r="AN13" s="24">
        <f t="shared" si="8"/>
        <v>0</v>
      </c>
      <c r="AO13" s="54">
        <f t="shared" si="9"/>
        <v>0</v>
      </c>
      <c r="AP13" s="261">
        <f t="shared" si="10"/>
        <v>3.9784615384615383</v>
      </c>
      <c r="AQ13" s="338"/>
      <c r="AR13" s="45"/>
      <c r="AS13" s="359"/>
      <c r="AT13" s="359"/>
    </row>
    <row r="14" spans="1:57" ht="12">
      <c r="A14" s="359" t="s">
        <v>63</v>
      </c>
      <c r="B14" s="359" t="str">
        <f t="shared" si="0"/>
        <v>MgO</v>
      </c>
      <c r="C14" s="141">
        <f t="shared" si="1"/>
        <v>4.5199999999999996</v>
      </c>
      <c r="D14" s="277">
        <f t="shared" si="2"/>
        <v>326.03395802957601</v>
      </c>
      <c r="E14" s="20">
        <f t="shared" si="3"/>
        <v>12</v>
      </c>
      <c r="F14" s="20">
        <f t="shared" si="4"/>
        <v>1.4111313320000001</v>
      </c>
      <c r="G14" s="277">
        <f t="shared" si="5"/>
        <v>147.36734902936834</v>
      </c>
      <c r="H14" s="3">
        <f t="shared" si="6"/>
        <v>0.84899999999999998</v>
      </c>
      <c r="I14" s="277">
        <f t="shared" si="7"/>
        <v>17684.081883524203</v>
      </c>
      <c r="J14" s="359" t="s">
        <v>52</v>
      </c>
      <c r="K14" s="359" t="s">
        <v>53</v>
      </c>
      <c r="L14" s="359"/>
      <c r="M14" s="338"/>
      <c r="N14" s="89">
        <v>40967</v>
      </c>
      <c r="O14" s="359">
        <v>33</v>
      </c>
      <c r="P14" s="359" t="s">
        <v>46</v>
      </c>
      <c r="Q14" s="359"/>
      <c r="R14" s="359"/>
      <c r="S14" s="359">
        <v>800</v>
      </c>
      <c r="T14" s="359">
        <v>65</v>
      </c>
      <c r="U14" s="359">
        <v>400</v>
      </c>
      <c r="V14" s="359"/>
      <c r="W14" s="359"/>
      <c r="X14" s="359"/>
      <c r="Y14" s="359">
        <v>47</v>
      </c>
      <c r="Z14" s="359"/>
      <c r="AA14" s="210"/>
      <c r="AB14" s="248">
        <v>0.1961</v>
      </c>
      <c r="AC14" s="359">
        <v>0.57740000000000002</v>
      </c>
      <c r="AD14" s="359">
        <v>0.22639999999999999</v>
      </c>
      <c r="AE14" s="359" t="s">
        <v>47</v>
      </c>
      <c r="AF14" s="359">
        <v>4.5199999999999996</v>
      </c>
      <c r="AG14" s="153"/>
      <c r="AH14" s="346">
        <v>326.03395802957601</v>
      </c>
      <c r="AI14" s="24"/>
      <c r="AJ14" s="24">
        <v>12</v>
      </c>
      <c r="AK14" s="24">
        <v>1.4111313320000001</v>
      </c>
      <c r="AL14" s="24">
        <v>0.84899999999999998</v>
      </c>
      <c r="AM14" s="359" t="s">
        <v>54</v>
      </c>
      <c r="AN14" s="24">
        <f t="shared" si="8"/>
        <v>147.36734902936834</v>
      </c>
      <c r="AO14" s="54">
        <f t="shared" si="9"/>
        <v>17684.081883524203</v>
      </c>
      <c r="AP14" s="261">
        <f t="shared" si="10"/>
        <v>4.1723076923076921</v>
      </c>
      <c r="AQ14" s="338"/>
      <c r="AR14" s="45"/>
      <c r="AS14" s="359"/>
      <c r="AT14" s="359"/>
    </row>
    <row r="15" spans="1:57" ht="12">
      <c r="A15" s="359" t="s">
        <v>64</v>
      </c>
      <c r="B15" s="359" t="str">
        <f t="shared" si="0"/>
        <v>MgO</v>
      </c>
      <c r="C15" s="141">
        <f t="shared" si="1"/>
        <v>0</v>
      </c>
      <c r="D15" s="277">
        <f t="shared" si="2"/>
        <v>271.46760522127897</v>
      </c>
      <c r="E15" s="20">
        <f t="shared" si="3"/>
        <v>0</v>
      </c>
      <c r="F15" s="20">
        <f t="shared" si="4"/>
        <v>0</v>
      </c>
      <c r="G15" s="277">
        <f t="shared" si="5"/>
        <v>0</v>
      </c>
      <c r="H15" s="3">
        <f t="shared" si="6"/>
        <v>0</v>
      </c>
      <c r="I15" s="277">
        <f t="shared" si="7"/>
        <v>0</v>
      </c>
      <c r="J15" s="359"/>
      <c r="K15" s="359" t="s">
        <v>56</v>
      </c>
      <c r="L15" s="359"/>
      <c r="M15" s="338"/>
      <c r="N15" s="89">
        <v>40967</v>
      </c>
      <c r="O15" s="359">
        <v>33</v>
      </c>
      <c r="P15" s="359" t="s">
        <v>46</v>
      </c>
      <c r="Q15" s="359"/>
      <c r="R15" s="359"/>
      <c r="S15" s="359">
        <v>800</v>
      </c>
      <c r="T15" s="359">
        <v>65</v>
      </c>
      <c r="U15" s="359">
        <v>400</v>
      </c>
      <c r="V15" s="359"/>
      <c r="W15" s="359"/>
      <c r="X15" s="359"/>
      <c r="Y15" s="359">
        <v>47</v>
      </c>
      <c r="Z15" s="359"/>
      <c r="AA15" s="210"/>
      <c r="AB15" s="248"/>
      <c r="AC15" s="359"/>
      <c r="AD15" s="359"/>
      <c r="AE15" s="359"/>
      <c r="AF15" s="359"/>
      <c r="AG15" s="307"/>
      <c r="AH15" s="38">
        <v>271.46760522127897</v>
      </c>
      <c r="AI15" s="8"/>
      <c r="AJ15" s="24"/>
      <c r="AK15" s="24"/>
      <c r="AL15" s="24"/>
      <c r="AM15" s="359"/>
      <c r="AN15" s="24">
        <f t="shared" si="8"/>
        <v>0</v>
      </c>
      <c r="AO15" s="54">
        <f t="shared" si="9"/>
        <v>0</v>
      </c>
      <c r="AP15" s="261">
        <f t="shared" si="10"/>
        <v>0</v>
      </c>
      <c r="AQ15" s="338"/>
      <c r="AR15" s="45"/>
      <c r="AS15" s="359"/>
      <c r="AT15" s="359"/>
    </row>
    <row r="16" spans="1:57" ht="12">
      <c r="A16" s="359" t="s">
        <v>65</v>
      </c>
      <c r="B16" s="359" t="str">
        <f t="shared" si="0"/>
        <v>MgO</v>
      </c>
      <c r="C16" s="141">
        <f t="shared" si="1"/>
        <v>0</v>
      </c>
      <c r="D16" s="277">
        <f t="shared" si="2"/>
        <v>284.98517898515303</v>
      </c>
      <c r="E16" s="20">
        <f t="shared" si="3"/>
        <v>0</v>
      </c>
      <c r="F16" s="20">
        <f t="shared" si="4"/>
        <v>0</v>
      </c>
      <c r="G16" s="277">
        <f t="shared" si="5"/>
        <v>0</v>
      </c>
      <c r="H16" s="3">
        <f t="shared" si="6"/>
        <v>0</v>
      </c>
      <c r="I16" s="277">
        <f t="shared" si="7"/>
        <v>0</v>
      </c>
      <c r="J16" s="359"/>
      <c r="K16" s="359" t="s">
        <v>56</v>
      </c>
      <c r="L16" s="359"/>
      <c r="M16" s="338"/>
      <c r="N16" s="89">
        <v>40967</v>
      </c>
      <c r="O16" s="359">
        <v>33</v>
      </c>
      <c r="P16" s="359" t="s">
        <v>46</v>
      </c>
      <c r="Q16" s="359"/>
      <c r="R16" s="359"/>
      <c r="S16" s="359">
        <v>800</v>
      </c>
      <c r="T16" s="359">
        <v>65</v>
      </c>
      <c r="U16" s="359">
        <v>400</v>
      </c>
      <c r="V16" s="359"/>
      <c r="W16" s="359"/>
      <c r="X16" s="359"/>
      <c r="Y16" s="359">
        <v>47</v>
      </c>
      <c r="Z16" s="359"/>
      <c r="AA16" s="210"/>
      <c r="AB16" s="248"/>
      <c r="AC16" s="359"/>
      <c r="AD16" s="359"/>
      <c r="AE16" s="359"/>
      <c r="AF16" s="359"/>
      <c r="AG16" s="307"/>
      <c r="AH16" s="38">
        <v>284.98517898515303</v>
      </c>
      <c r="AI16" s="8"/>
      <c r="AJ16" s="24"/>
      <c r="AK16" s="24"/>
      <c r="AL16" s="24"/>
      <c r="AM16" s="359"/>
      <c r="AN16" s="24">
        <f t="shared" si="8"/>
        <v>0</v>
      </c>
      <c r="AO16" s="54">
        <f t="shared" si="9"/>
        <v>0</v>
      </c>
      <c r="AP16" s="261">
        <f t="shared" si="10"/>
        <v>0</v>
      </c>
      <c r="AQ16" s="338"/>
      <c r="AR16" s="45"/>
      <c r="AS16" s="359"/>
      <c r="AT16" s="359"/>
    </row>
    <row r="17" spans="1:46" ht="12">
      <c r="A17" s="359" t="s">
        <v>66</v>
      </c>
      <c r="B17" s="359" t="str">
        <f t="shared" si="0"/>
        <v>MgO</v>
      </c>
      <c r="C17" s="141">
        <f t="shared" si="1"/>
        <v>3.57</v>
      </c>
      <c r="D17" s="277">
        <f t="shared" si="2"/>
        <v>408.87560274762802</v>
      </c>
      <c r="E17" s="20">
        <f t="shared" si="3"/>
        <v>11.8</v>
      </c>
      <c r="F17" s="20">
        <f t="shared" si="4"/>
        <v>1.34550726</v>
      </c>
      <c r="G17" s="277">
        <f t="shared" si="5"/>
        <v>145.96859018090319</v>
      </c>
      <c r="H17" s="3">
        <f t="shared" si="6"/>
        <v>0.82799999999999996</v>
      </c>
      <c r="I17" s="277">
        <f t="shared" si="7"/>
        <v>17224.29364134658</v>
      </c>
      <c r="J17" s="359" t="s">
        <v>52</v>
      </c>
      <c r="K17" s="359" t="s">
        <v>67</v>
      </c>
      <c r="L17" s="359"/>
      <c r="M17" s="338"/>
      <c r="N17" s="89">
        <v>40969</v>
      </c>
      <c r="O17" s="359">
        <v>34</v>
      </c>
      <c r="P17" s="359" t="s">
        <v>46</v>
      </c>
      <c r="Q17" s="359"/>
      <c r="R17" s="359"/>
      <c r="S17" s="359">
        <v>800</v>
      </c>
      <c r="T17" s="359">
        <v>55</v>
      </c>
      <c r="U17" s="359">
        <v>400</v>
      </c>
      <c r="V17" s="359"/>
      <c r="W17" s="359"/>
      <c r="X17" s="359"/>
      <c r="Y17" s="359">
        <v>47</v>
      </c>
      <c r="Z17" s="359"/>
      <c r="AA17" s="210"/>
      <c r="AB17" s="248">
        <v>0.154</v>
      </c>
      <c r="AC17" s="359">
        <v>0.62560000000000004</v>
      </c>
      <c r="AD17" s="359">
        <v>0.22040000000000001</v>
      </c>
      <c r="AE17" s="359" t="s">
        <v>47</v>
      </c>
      <c r="AF17" s="359">
        <v>3.57</v>
      </c>
      <c r="AG17" s="153"/>
      <c r="AH17" s="346">
        <v>408.87560274762802</v>
      </c>
      <c r="AI17" s="24"/>
      <c r="AJ17" s="24">
        <v>11.8</v>
      </c>
      <c r="AK17" s="24">
        <v>1.34550726</v>
      </c>
      <c r="AL17" s="24">
        <v>0.82799999999999996</v>
      </c>
      <c r="AM17" s="359" t="s">
        <v>54</v>
      </c>
      <c r="AN17" s="24">
        <f t="shared" si="8"/>
        <v>145.96859018090319</v>
      </c>
      <c r="AO17" s="54">
        <f t="shared" si="9"/>
        <v>17224.29364134658</v>
      </c>
      <c r="AP17" s="261">
        <f t="shared" si="10"/>
        <v>3.8945454545454541</v>
      </c>
      <c r="AQ17" s="338"/>
      <c r="AR17" s="45"/>
      <c r="AS17" s="359"/>
      <c r="AT17" s="359"/>
    </row>
    <row r="18" spans="1:46" ht="12">
      <c r="A18" s="359" t="s">
        <v>68</v>
      </c>
      <c r="B18" s="359" t="str">
        <f t="shared" si="0"/>
        <v>MgO</v>
      </c>
      <c r="C18" s="141">
        <f t="shared" si="1"/>
        <v>3.69</v>
      </c>
      <c r="D18" s="277">
        <f t="shared" si="2"/>
        <v>423.75733533170899</v>
      </c>
      <c r="E18" s="20">
        <f t="shared" si="3"/>
        <v>11.3</v>
      </c>
      <c r="F18" s="20">
        <f t="shared" si="4"/>
        <v>1.7115316920000001</v>
      </c>
      <c r="G18" s="277">
        <f t="shared" si="5"/>
        <v>156.3664567374006</v>
      </c>
      <c r="H18" s="3">
        <f t="shared" si="6"/>
        <v>0.80700000000000005</v>
      </c>
      <c r="I18" s="277">
        <f t="shared" si="7"/>
        <v>17669.409611326271</v>
      </c>
      <c r="J18" s="359" t="s">
        <v>52</v>
      </c>
      <c r="K18" s="359" t="s">
        <v>67</v>
      </c>
      <c r="L18" s="359"/>
      <c r="M18" s="338"/>
      <c r="N18" s="89">
        <v>40969</v>
      </c>
      <c r="O18" s="359">
        <v>34</v>
      </c>
      <c r="P18" s="359" t="s">
        <v>46</v>
      </c>
      <c r="Q18" s="359"/>
      <c r="R18" s="359"/>
      <c r="S18" s="359">
        <v>800</v>
      </c>
      <c r="T18" s="359">
        <v>55</v>
      </c>
      <c r="U18" s="359">
        <v>400</v>
      </c>
      <c r="V18" s="359"/>
      <c r="W18" s="359"/>
      <c r="X18" s="359"/>
      <c r="Y18" s="359">
        <v>47</v>
      </c>
      <c r="Z18" s="359"/>
      <c r="AA18" s="210"/>
      <c r="AB18" s="248">
        <v>0.19500000000000001</v>
      </c>
      <c r="AC18" s="359">
        <v>0.61919999999999997</v>
      </c>
      <c r="AD18" s="359">
        <v>0.18579999999999999</v>
      </c>
      <c r="AE18" s="359" t="s">
        <v>47</v>
      </c>
      <c r="AF18" s="359">
        <v>3.69</v>
      </c>
      <c r="AG18" s="153"/>
      <c r="AH18" s="346">
        <v>423.75733533170899</v>
      </c>
      <c r="AI18" s="24"/>
      <c r="AJ18" s="24">
        <v>11.3</v>
      </c>
      <c r="AK18" s="24">
        <v>1.7115316920000001</v>
      </c>
      <c r="AL18" s="24">
        <v>0.80700000000000005</v>
      </c>
      <c r="AM18" s="359" t="s">
        <v>54</v>
      </c>
      <c r="AN18" s="24">
        <f t="shared" si="8"/>
        <v>156.3664567374006</v>
      </c>
      <c r="AO18" s="54">
        <f t="shared" si="9"/>
        <v>17669.409611326271</v>
      </c>
      <c r="AP18" s="261">
        <f t="shared" si="10"/>
        <v>4.0254545454545454</v>
      </c>
      <c r="AQ18" s="338"/>
      <c r="AR18" s="45"/>
      <c r="AS18" s="359"/>
      <c r="AT18" s="359"/>
    </row>
    <row r="19" spans="1:46" ht="12">
      <c r="A19" s="359" t="s">
        <v>69</v>
      </c>
      <c r="B19" s="359" t="str">
        <f t="shared" si="0"/>
        <v>MgO</v>
      </c>
      <c r="C19" s="141">
        <f t="shared" si="1"/>
        <v>3.28</v>
      </c>
      <c r="D19" s="277">
        <f t="shared" si="2"/>
        <v>655.54032032877205</v>
      </c>
      <c r="E19" s="20">
        <f t="shared" si="3"/>
        <v>11.6</v>
      </c>
      <c r="F19" s="20">
        <f t="shared" si="4"/>
        <v>0.65226086900000002</v>
      </c>
      <c r="G19" s="277">
        <f t="shared" si="5"/>
        <v>215.01722506783722</v>
      </c>
      <c r="H19" s="3">
        <f t="shared" si="6"/>
        <v>0.79</v>
      </c>
      <c r="I19" s="277">
        <f t="shared" si="7"/>
        <v>24941.998107869116</v>
      </c>
      <c r="J19" s="359" t="s">
        <v>52</v>
      </c>
      <c r="K19" s="359" t="s">
        <v>67</v>
      </c>
      <c r="L19" s="359"/>
      <c r="M19" s="338"/>
      <c r="N19" s="89">
        <v>40969</v>
      </c>
      <c r="O19" s="359">
        <v>34</v>
      </c>
      <c r="P19" s="359" t="s">
        <v>46</v>
      </c>
      <c r="Q19" s="359"/>
      <c r="R19" s="359"/>
      <c r="S19" s="359">
        <v>800</v>
      </c>
      <c r="T19" s="359">
        <v>55</v>
      </c>
      <c r="U19" s="359">
        <v>400</v>
      </c>
      <c r="V19" s="359"/>
      <c r="W19" s="359"/>
      <c r="X19" s="359"/>
      <c r="Y19" s="359">
        <v>47</v>
      </c>
      <c r="Z19" s="359"/>
      <c r="AA19" s="210"/>
      <c r="AB19" s="248">
        <v>0.16969999999999999</v>
      </c>
      <c r="AC19" s="359">
        <v>0.64139999999999997</v>
      </c>
      <c r="AD19" s="359">
        <v>0.18890000000000001</v>
      </c>
      <c r="AE19" s="359" t="s">
        <v>47</v>
      </c>
      <c r="AF19" s="359">
        <v>3.28</v>
      </c>
      <c r="AG19" s="153"/>
      <c r="AH19" s="346">
        <v>655.54032032877205</v>
      </c>
      <c r="AI19" s="24"/>
      <c r="AJ19" s="24">
        <v>11.6</v>
      </c>
      <c r="AK19" s="24">
        <v>0.65226086900000002</v>
      </c>
      <c r="AL19" s="24">
        <v>0.79</v>
      </c>
      <c r="AM19" s="359" t="s">
        <v>54</v>
      </c>
      <c r="AN19" s="24">
        <f t="shared" si="8"/>
        <v>215.01722506783722</v>
      </c>
      <c r="AO19" s="54">
        <f t="shared" si="9"/>
        <v>24941.998107869116</v>
      </c>
      <c r="AP19" s="261">
        <f t="shared" si="10"/>
        <v>3.5781818181818181</v>
      </c>
      <c r="AQ19" s="338"/>
      <c r="AR19" s="45"/>
      <c r="AS19" s="359"/>
      <c r="AT19" s="359"/>
    </row>
    <row r="20" spans="1:46" ht="12">
      <c r="A20" s="359" t="s">
        <v>70</v>
      </c>
      <c r="B20" s="359" t="str">
        <f t="shared" si="0"/>
        <v>MgO</v>
      </c>
      <c r="C20" s="141">
        <f t="shared" si="1"/>
        <v>3.38</v>
      </c>
      <c r="D20" s="277">
        <f t="shared" si="2"/>
        <v>669.30592296904695</v>
      </c>
      <c r="E20" s="20">
        <f t="shared" si="3"/>
        <v>11.4</v>
      </c>
      <c r="F20" s="20">
        <f t="shared" si="4"/>
        <v>1.863820222</v>
      </c>
      <c r="G20" s="277">
        <f t="shared" si="5"/>
        <v>226.22540196353785</v>
      </c>
      <c r="H20" s="3">
        <f t="shared" si="6"/>
        <v>0.72899999999999998</v>
      </c>
      <c r="I20" s="277">
        <f t="shared" si="7"/>
        <v>25789.695823843314</v>
      </c>
      <c r="J20" s="359" t="s">
        <v>52</v>
      </c>
      <c r="K20" s="359" t="s">
        <v>67</v>
      </c>
      <c r="L20" s="359"/>
      <c r="M20" s="338"/>
      <c r="N20" s="89">
        <v>40969</v>
      </c>
      <c r="O20" s="359">
        <v>34</v>
      </c>
      <c r="P20" s="359" t="s">
        <v>46</v>
      </c>
      <c r="Q20" s="359"/>
      <c r="R20" s="359"/>
      <c r="S20" s="359">
        <v>800</v>
      </c>
      <c r="T20" s="359">
        <v>55</v>
      </c>
      <c r="U20" s="359">
        <v>400</v>
      </c>
      <c r="V20" s="359"/>
      <c r="W20" s="359"/>
      <c r="X20" s="359"/>
      <c r="Y20" s="359">
        <v>47</v>
      </c>
      <c r="Z20" s="359"/>
      <c r="AA20" s="210"/>
      <c r="AB20" s="248">
        <v>0.17449999999999999</v>
      </c>
      <c r="AC20" s="359">
        <v>0.63590000000000002</v>
      </c>
      <c r="AD20" s="359">
        <v>0.18959999999999999</v>
      </c>
      <c r="AE20" s="359" t="s">
        <v>47</v>
      </c>
      <c r="AF20" s="359">
        <v>3.38</v>
      </c>
      <c r="AG20" s="153"/>
      <c r="AH20" s="346">
        <v>669.30592296904695</v>
      </c>
      <c r="AI20" s="24"/>
      <c r="AJ20" s="24">
        <v>11.4</v>
      </c>
      <c r="AK20" s="24">
        <v>1.863820222</v>
      </c>
      <c r="AL20" s="24">
        <v>0.72899999999999998</v>
      </c>
      <c r="AM20" s="359" t="s">
        <v>54</v>
      </c>
      <c r="AN20" s="24">
        <f t="shared" si="8"/>
        <v>226.22540196353785</v>
      </c>
      <c r="AO20" s="54">
        <f t="shared" si="9"/>
        <v>25789.695823843314</v>
      </c>
      <c r="AP20" s="261">
        <f t="shared" si="10"/>
        <v>3.687272727272727</v>
      </c>
      <c r="AQ20" s="338"/>
      <c r="AR20" s="45"/>
      <c r="AS20" s="359"/>
      <c r="AT20" s="359"/>
    </row>
    <row r="21" spans="1:46" ht="12">
      <c r="A21" s="359" t="s">
        <v>71</v>
      </c>
      <c r="B21" s="359" t="str">
        <f t="shared" si="0"/>
        <v>MgO</v>
      </c>
      <c r="C21" s="141">
        <f t="shared" si="1"/>
        <v>2.04</v>
      </c>
      <c r="D21" s="277">
        <f t="shared" si="2"/>
        <v>1790.02440098855</v>
      </c>
      <c r="E21" s="20">
        <f t="shared" si="3"/>
        <v>0</v>
      </c>
      <c r="F21" s="20">
        <f t="shared" si="4"/>
        <v>0</v>
      </c>
      <c r="G21" s="277">
        <f t="shared" si="5"/>
        <v>365.16497780166424</v>
      </c>
      <c r="H21" s="3">
        <f t="shared" si="6"/>
        <v>0</v>
      </c>
      <c r="I21" s="277">
        <f t="shared" si="7"/>
        <v>0</v>
      </c>
      <c r="J21" s="359"/>
      <c r="K21" s="359" t="s">
        <v>67</v>
      </c>
      <c r="L21" s="359"/>
      <c r="M21" s="338"/>
      <c r="N21" s="89">
        <v>40973</v>
      </c>
      <c r="O21" s="359">
        <v>35</v>
      </c>
      <c r="P21" s="359" t="s">
        <v>46</v>
      </c>
      <c r="Q21" s="359"/>
      <c r="R21" s="359"/>
      <c r="S21" s="359">
        <v>800</v>
      </c>
      <c r="T21" s="359">
        <v>45</v>
      </c>
      <c r="U21" s="359">
        <v>400</v>
      </c>
      <c r="V21" s="359"/>
      <c r="W21" s="359"/>
      <c r="X21" s="359"/>
      <c r="Y21" s="359">
        <v>47</v>
      </c>
      <c r="Z21" s="359"/>
      <c r="AA21" s="210"/>
      <c r="AB21" s="248">
        <v>0.15989999999999999</v>
      </c>
      <c r="AC21" s="359">
        <v>0.71489999999999998</v>
      </c>
      <c r="AD21" s="359">
        <v>0.12520000000000001</v>
      </c>
      <c r="AE21" s="359" t="s">
        <v>47</v>
      </c>
      <c r="AF21" s="359">
        <v>2.04</v>
      </c>
      <c r="AG21" s="153"/>
      <c r="AH21" s="346">
        <v>1790.02440098855</v>
      </c>
      <c r="AI21" s="24"/>
      <c r="AJ21" s="24"/>
      <c r="AK21" s="24"/>
      <c r="AL21" s="8"/>
      <c r="AM21" s="359"/>
      <c r="AN21" s="24">
        <f t="shared" si="8"/>
        <v>365.16497780166424</v>
      </c>
      <c r="AO21" s="54">
        <f t="shared" si="9"/>
        <v>0</v>
      </c>
      <c r="AP21" s="261">
        <f t="shared" si="10"/>
        <v>2.72</v>
      </c>
      <c r="AQ21" s="338"/>
      <c r="AR21" s="45"/>
      <c r="AS21" s="359"/>
      <c r="AT21" s="359"/>
    </row>
    <row r="22" spans="1:46" ht="12">
      <c r="A22" s="359" t="s">
        <v>72</v>
      </c>
      <c r="B22" s="359" t="str">
        <f t="shared" si="0"/>
        <v>MgO</v>
      </c>
      <c r="C22" s="141">
        <f t="shared" si="1"/>
        <v>3.67</v>
      </c>
      <c r="D22" s="277">
        <f t="shared" si="2"/>
        <v>509.69934100477701</v>
      </c>
      <c r="E22" s="20">
        <f t="shared" si="3"/>
        <v>0</v>
      </c>
      <c r="F22" s="20">
        <f t="shared" si="4"/>
        <v>0</v>
      </c>
      <c r="G22" s="277">
        <f t="shared" si="5"/>
        <v>187.05965814875316</v>
      </c>
      <c r="H22" s="3">
        <f t="shared" si="6"/>
        <v>0</v>
      </c>
      <c r="I22" s="277">
        <f t="shared" si="7"/>
        <v>0</v>
      </c>
      <c r="J22" s="359"/>
      <c r="K22" s="359" t="s">
        <v>67</v>
      </c>
      <c r="L22" s="359"/>
      <c r="M22" s="338"/>
      <c r="N22" s="89">
        <v>40973</v>
      </c>
      <c r="O22" s="359">
        <v>35</v>
      </c>
      <c r="P22" s="359" t="s">
        <v>46</v>
      </c>
      <c r="Q22" s="359"/>
      <c r="R22" s="359"/>
      <c r="S22" s="359">
        <v>800</v>
      </c>
      <c r="T22" s="359">
        <v>45</v>
      </c>
      <c r="U22" s="359">
        <v>400</v>
      </c>
      <c r="V22" s="359"/>
      <c r="W22" s="359"/>
      <c r="X22" s="359"/>
      <c r="Y22" s="359">
        <v>47</v>
      </c>
      <c r="Z22" s="359"/>
      <c r="AA22" s="210"/>
      <c r="AB22" s="248">
        <v>0.18909999999999999</v>
      </c>
      <c r="AC22" s="359">
        <v>0.62029999999999996</v>
      </c>
      <c r="AD22" s="359">
        <v>0.19059999999999999</v>
      </c>
      <c r="AE22" s="359" t="s">
        <v>47</v>
      </c>
      <c r="AF22" s="359">
        <v>3.67</v>
      </c>
      <c r="AG22" s="153"/>
      <c r="AH22" s="346">
        <v>509.69934100477701</v>
      </c>
      <c r="AI22" s="24"/>
      <c r="AJ22" s="24"/>
      <c r="AK22" s="24"/>
      <c r="AL22" s="8"/>
      <c r="AM22" s="359"/>
      <c r="AN22" s="24">
        <f t="shared" si="8"/>
        <v>187.05965814875316</v>
      </c>
      <c r="AO22" s="54">
        <f t="shared" si="9"/>
        <v>0</v>
      </c>
      <c r="AP22" s="261">
        <f t="shared" si="10"/>
        <v>4.8933333333333326</v>
      </c>
      <c r="AQ22" s="338"/>
      <c r="AR22" s="45"/>
      <c r="AS22" s="359"/>
      <c r="AT22" s="359"/>
    </row>
    <row r="23" spans="1:46" ht="12">
      <c r="A23" s="359" t="s">
        <v>73</v>
      </c>
      <c r="B23" s="359" t="str">
        <f t="shared" si="0"/>
        <v>MgO</v>
      </c>
      <c r="C23" s="141">
        <f t="shared" si="1"/>
        <v>4.0999999999999996</v>
      </c>
      <c r="D23" s="277">
        <f t="shared" si="2"/>
        <v>360.882015163966</v>
      </c>
      <c r="E23" s="20">
        <f t="shared" si="3"/>
        <v>0</v>
      </c>
      <c r="F23" s="20">
        <f t="shared" si="4"/>
        <v>0</v>
      </c>
      <c r="G23" s="277">
        <f t="shared" si="5"/>
        <v>147.96162621722607</v>
      </c>
      <c r="H23" s="3">
        <f t="shared" si="6"/>
        <v>0</v>
      </c>
      <c r="I23" s="277">
        <f t="shared" si="7"/>
        <v>0</v>
      </c>
      <c r="J23" s="359"/>
      <c r="K23" s="359" t="s">
        <v>67</v>
      </c>
      <c r="L23" s="359"/>
      <c r="M23" s="338"/>
      <c r="N23" s="89">
        <v>40973</v>
      </c>
      <c r="O23" s="359">
        <v>35</v>
      </c>
      <c r="P23" s="359" t="s">
        <v>46</v>
      </c>
      <c r="Q23" s="359"/>
      <c r="R23" s="359"/>
      <c r="S23" s="359">
        <v>800</v>
      </c>
      <c r="T23" s="359">
        <v>45</v>
      </c>
      <c r="U23" s="359">
        <v>400</v>
      </c>
      <c r="V23" s="359"/>
      <c r="W23" s="359"/>
      <c r="X23" s="359"/>
      <c r="Y23" s="359">
        <v>47</v>
      </c>
      <c r="Z23" s="359"/>
      <c r="AA23" s="210"/>
      <c r="AB23" s="248">
        <v>0.184</v>
      </c>
      <c r="AC23" s="359">
        <v>0.59730000000000005</v>
      </c>
      <c r="AD23" s="359">
        <v>0.21870000000000001</v>
      </c>
      <c r="AE23" s="359" t="s">
        <v>47</v>
      </c>
      <c r="AF23" s="359">
        <v>4.0999999999999996</v>
      </c>
      <c r="AG23" s="153"/>
      <c r="AH23" s="346">
        <v>360.882015163966</v>
      </c>
      <c r="AI23" s="24"/>
      <c r="AJ23" s="24"/>
      <c r="AK23" s="24"/>
      <c r="AL23" s="8"/>
      <c r="AM23" s="359"/>
      <c r="AN23" s="24">
        <f t="shared" si="8"/>
        <v>147.96162621722607</v>
      </c>
      <c r="AO23" s="54">
        <f t="shared" si="9"/>
        <v>0</v>
      </c>
      <c r="AP23" s="261">
        <f t="shared" si="10"/>
        <v>5.4666666666666659</v>
      </c>
      <c r="AQ23" s="338"/>
      <c r="AR23" s="45"/>
      <c r="AS23" s="359"/>
      <c r="AT23" s="359"/>
    </row>
    <row r="24" spans="1:46" ht="12">
      <c r="A24" s="359" t="s">
        <v>74</v>
      </c>
      <c r="B24" s="359" t="str">
        <f t="shared" si="0"/>
        <v>MgO</v>
      </c>
      <c r="C24" s="141">
        <f t="shared" si="1"/>
        <v>2.5499999999999998</v>
      </c>
      <c r="D24" s="277">
        <f t="shared" si="2"/>
        <v>1036.7607033576501</v>
      </c>
      <c r="E24" s="20">
        <f t="shared" si="3"/>
        <v>0</v>
      </c>
      <c r="F24" s="20">
        <f t="shared" si="4"/>
        <v>0</v>
      </c>
      <c r="G24" s="277">
        <f t="shared" si="5"/>
        <v>264.37397935620072</v>
      </c>
      <c r="H24" s="3">
        <f t="shared" si="6"/>
        <v>0</v>
      </c>
      <c r="I24" s="277">
        <f t="shared" si="7"/>
        <v>0</v>
      </c>
      <c r="J24" s="359"/>
      <c r="K24" s="359" t="s">
        <v>67</v>
      </c>
      <c r="L24" s="359"/>
      <c r="M24" s="338"/>
      <c r="N24" s="89">
        <v>40973</v>
      </c>
      <c r="O24" s="359">
        <v>35</v>
      </c>
      <c r="P24" s="359" t="s">
        <v>46</v>
      </c>
      <c r="Q24" s="359"/>
      <c r="R24" s="359"/>
      <c r="S24" s="359">
        <v>800</v>
      </c>
      <c r="T24" s="359">
        <v>45</v>
      </c>
      <c r="U24" s="359">
        <v>400</v>
      </c>
      <c r="V24" s="359"/>
      <c r="W24" s="359"/>
      <c r="X24" s="359"/>
      <c r="Y24" s="359">
        <v>47</v>
      </c>
      <c r="Z24" s="359"/>
      <c r="AA24" s="210"/>
      <c r="AB24" s="248">
        <v>0.1711</v>
      </c>
      <c r="AC24" s="359">
        <v>0.68379999999999996</v>
      </c>
      <c r="AD24" s="359">
        <v>0.14510000000000001</v>
      </c>
      <c r="AE24" s="359" t="s">
        <v>47</v>
      </c>
      <c r="AF24" s="359">
        <v>2.5499999999999998</v>
      </c>
      <c r="AG24" s="153"/>
      <c r="AH24" s="346">
        <v>1036.7607033576501</v>
      </c>
      <c r="AI24" s="24"/>
      <c r="AJ24" s="24"/>
      <c r="AK24" s="24"/>
      <c r="AL24" s="8"/>
      <c r="AM24" s="359"/>
      <c r="AN24" s="24">
        <f t="shared" si="8"/>
        <v>264.37397935620072</v>
      </c>
      <c r="AO24" s="54">
        <f t="shared" si="9"/>
        <v>0</v>
      </c>
      <c r="AP24" s="261">
        <f t="shared" si="10"/>
        <v>3.4</v>
      </c>
      <c r="AQ24" s="338"/>
      <c r="AR24" s="45"/>
      <c r="AS24" s="359"/>
      <c r="AT24" s="359"/>
    </row>
    <row r="25" spans="1:46" ht="12">
      <c r="A25" s="67" t="s">
        <v>75</v>
      </c>
      <c r="B25" s="359" t="str">
        <f t="shared" si="0"/>
        <v>MgO</v>
      </c>
      <c r="C25" s="141">
        <f t="shared" si="1"/>
        <v>21.41</v>
      </c>
      <c r="D25" s="277">
        <f t="shared" si="2"/>
        <v>48.241616460062801</v>
      </c>
      <c r="E25" s="20">
        <f t="shared" si="3"/>
        <v>0</v>
      </c>
      <c r="F25" s="20">
        <f t="shared" si="4"/>
        <v>0</v>
      </c>
      <c r="G25" s="277">
        <f t="shared" si="5"/>
        <v>103.28530084099445</v>
      </c>
      <c r="H25" s="3">
        <f t="shared" si="6"/>
        <v>0</v>
      </c>
      <c r="I25" s="277">
        <f t="shared" si="7"/>
        <v>0</v>
      </c>
      <c r="J25" s="67"/>
      <c r="K25" s="67" t="s">
        <v>76</v>
      </c>
      <c r="L25" s="67"/>
      <c r="M25" s="371"/>
      <c r="N25" s="309">
        <v>40974</v>
      </c>
      <c r="O25" s="67">
        <v>36</v>
      </c>
      <c r="P25" s="67" t="s">
        <v>46</v>
      </c>
      <c r="Q25" s="67"/>
      <c r="R25" s="67"/>
      <c r="S25" s="67">
        <v>800</v>
      </c>
      <c r="T25" s="67">
        <v>300</v>
      </c>
      <c r="U25" s="67">
        <v>400</v>
      </c>
      <c r="V25" s="67"/>
      <c r="W25" s="67"/>
      <c r="X25" s="67"/>
      <c r="Y25" s="359">
        <v>47</v>
      </c>
      <c r="Z25" s="359"/>
      <c r="AA25" s="210"/>
      <c r="AB25" s="182">
        <v>0.38900000000000001</v>
      </c>
      <c r="AC25" s="67">
        <v>0.17979999999999999</v>
      </c>
      <c r="AD25" s="67">
        <v>0.43120000000000003</v>
      </c>
      <c r="AE25" s="359" t="s">
        <v>47</v>
      </c>
      <c r="AF25" s="67">
        <v>21.41</v>
      </c>
      <c r="AG25" s="315"/>
      <c r="AH25" s="66">
        <v>48.241616460062801</v>
      </c>
      <c r="AI25" s="216"/>
      <c r="AJ25" s="216"/>
      <c r="AK25" s="24"/>
      <c r="AL25" s="8"/>
      <c r="AM25" s="67"/>
      <c r="AN25" s="24">
        <f t="shared" si="8"/>
        <v>103.28530084099445</v>
      </c>
      <c r="AO25" s="54">
        <f t="shared" si="9"/>
        <v>0</v>
      </c>
      <c r="AP25" s="261">
        <f t="shared" si="10"/>
        <v>4.282</v>
      </c>
      <c r="AQ25" s="371"/>
      <c r="AR25" s="41"/>
      <c r="AS25" s="67"/>
      <c r="AT25" s="67"/>
    </row>
    <row r="26" spans="1:46" ht="12">
      <c r="A26" s="67" t="s">
        <v>77</v>
      </c>
      <c r="B26" s="359" t="str">
        <f t="shared" si="0"/>
        <v>MgO</v>
      </c>
      <c r="C26" s="141">
        <f t="shared" si="1"/>
        <v>21.64</v>
      </c>
      <c r="D26" s="277">
        <f t="shared" si="2"/>
        <v>45.389284381447297</v>
      </c>
      <c r="E26" s="20">
        <f t="shared" si="3"/>
        <v>0</v>
      </c>
      <c r="F26" s="20">
        <f t="shared" si="4"/>
        <v>0</v>
      </c>
      <c r="G26" s="277">
        <f t="shared" si="5"/>
        <v>98.22241140145195</v>
      </c>
      <c r="H26" s="3">
        <f t="shared" si="6"/>
        <v>0</v>
      </c>
      <c r="I26" s="277">
        <f t="shared" si="7"/>
        <v>0</v>
      </c>
      <c r="J26" s="67"/>
      <c r="K26" s="67" t="s">
        <v>76</v>
      </c>
      <c r="L26" s="67"/>
      <c r="M26" s="371"/>
      <c r="N26" s="309">
        <v>40974</v>
      </c>
      <c r="O26" s="67">
        <v>36</v>
      </c>
      <c r="P26" s="67" t="s">
        <v>46</v>
      </c>
      <c r="Q26" s="67"/>
      <c r="R26" s="67"/>
      <c r="S26" s="67">
        <v>800</v>
      </c>
      <c r="T26" s="67">
        <v>300</v>
      </c>
      <c r="U26" s="67">
        <v>400</v>
      </c>
      <c r="V26" s="67"/>
      <c r="W26" s="67"/>
      <c r="X26" s="67"/>
      <c r="Y26" s="359">
        <v>47</v>
      </c>
      <c r="Z26" s="359"/>
      <c r="AA26" s="210"/>
      <c r="AB26" s="182">
        <v>0.51680000000000004</v>
      </c>
      <c r="AC26" s="67">
        <v>0.17730000000000001</v>
      </c>
      <c r="AD26" s="67">
        <v>0.30590000000000001</v>
      </c>
      <c r="AE26" s="359" t="s">
        <v>47</v>
      </c>
      <c r="AF26" s="67">
        <v>21.64</v>
      </c>
      <c r="AG26" s="315"/>
      <c r="AH26" s="66">
        <v>45.389284381447297</v>
      </c>
      <c r="AI26" s="216"/>
      <c r="AJ26" s="216"/>
      <c r="AK26" s="24"/>
      <c r="AL26" s="8"/>
      <c r="AM26" s="67"/>
      <c r="AN26" s="24">
        <f t="shared" si="8"/>
        <v>98.22241140145195</v>
      </c>
      <c r="AO26" s="54">
        <f t="shared" si="9"/>
        <v>0</v>
      </c>
      <c r="AP26" s="261">
        <f t="shared" si="10"/>
        <v>4.3280000000000003</v>
      </c>
      <c r="AQ26" s="371"/>
      <c r="AR26" s="41"/>
      <c r="AS26" s="67"/>
      <c r="AT26" s="67"/>
    </row>
    <row r="27" spans="1:46" ht="12">
      <c r="A27" s="381" t="s">
        <v>78</v>
      </c>
      <c r="B27" s="359" t="str">
        <f t="shared" si="0"/>
        <v>MgO</v>
      </c>
      <c r="C27" s="141">
        <f t="shared" si="1"/>
        <v>0</v>
      </c>
      <c r="D27" s="277">
        <f t="shared" si="2"/>
        <v>0</v>
      </c>
      <c r="E27" s="20">
        <f t="shared" si="3"/>
        <v>0</v>
      </c>
      <c r="F27" s="20">
        <f t="shared" si="4"/>
        <v>0</v>
      </c>
      <c r="G27" s="277">
        <f t="shared" si="5"/>
        <v>0</v>
      </c>
      <c r="H27" s="3">
        <f t="shared" si="6"/>
        <v>0</v>
      </c>
      <c r="I27" s="277">
        <f t="shared" si="7"/>
        <v>0</v>
      </c>
      <c r="J27" s="381"/>
      <c r="K27" s="381"/>
      <c r="L27" s="381"/>
      <c r="M27" s="17"/>
      <c r="N27" s="56">
        <v>40976</v>
      </c>
      <c r="O27" s="381">
        <v>37</v>
      </c>
      <c r="P27" s="381" t="s">
        <v>46</v>
      </c>
      <c r="Q27" s="381"/>
      <c r="R27" s="381"/>
      <c r="S27" s="381"/>
      <c r="T27" s="381">
        <v>300</v>
      </c>
      <c r="U27" s="381">
        <v>400</v>
      </c>
      <c r="V27" s="381"/>
      <c r="W27" s="381"/>
      <c r="X27" s="381"/>
      <c r="Y27" s="359">
        <v>47</v>
      </c>
      <c r="Z27" s="359"/>
      <c r="AA27" s="210"/>
      <c r="AB27" s="396"/>
      <c r="AC27" s="381"/>
      <c r="AD27" s="381"/>
      <c r="AE27" s="381"/>
      <c r="AF27" s="381"/>
      <c r="AG27" s="57"/>
      <c r="AH27" s="102"/>
      <c r="AI27" s="224"/>
      <c r="AJ27" s="224"/>
      <c r="AK27" s="24"/>
      <c r="AL27" s="224"/>
      <c r="AM27" s="381"/>
      <c r="AN27" s="24">
        <f t="shared" si="8"/>
        <v>0</v>
      </c>
      <c r="AO27" s="54">
        <f t="shared" si="9"/>
        <v>0</v>
      </c>
      <c r="AP27" s="261">
        <f t="shared" si="10"/>
        <v>0</v>
      </c>
      <c r="AQ27" s="17"/>
      <c r="AR27" s="318"/>
      <c r="AS27" s="381"/>
      <c r="AT27" s="381"/>
    </row>
    <row r="28" spans="1:46" ht="12">
      <c r="A28" s="381" t="s">
        <v>79</v>
      </c>
      <c r="B28" s="359" t="str">
        <f t="shared" si="0"/>
        <v>MgO</v>
      </c>
      <c r="C28" s="141">
        <f t="shared" si="1"/>
        <v>0</v>
      </c>
      <c r="D28" s="277">
        <f t="shared" si="2"/>
        <v>0</v>
      </c>
      <c r="E28" s="20">
        <f t="shared" si="3"/>
        <v>0</v>
      </c>
      <c r="F28" s="20">
        <f t="shared" si="4"/>
        <v>0</v>
      </c>
      <c r="G28" s="277">
        <f t="shared" si="5"/>
        <v>0</v>
      </c>
      <c r="H28" s="3">
        <f t="shared" si="6"/>
        <v>0</v>
      </c>
      <c r="I28" s="277">
        <f t="shared" si="7"/>
        <v>0</v>
      </c>
      <c r="J28" s="381"/>
      <c r="K28" s="381"/>
      <c r="L28" s="381"/>
      <c r="M28" s="17"/>
      <c r="N28" s="56">
        <v>40976</v>
      </c>
      <c r="O28" s="381">
        <v>37</v>
      </c>
      <c r="P28" s="381" t="s">
        <v>46</v>
      </c>
      <c r="Q28" s="381"/>
      <c r="R28" s="381"/>
      <c r="S28" s="381"/>
      <c r="T28" s="381">
        <v>300</v>
      </c>
      <c r="U28" s="381">
        <v>400</v>
      </c>
      <c r="V28" s="381"/>
      <c r="W28" s="381"/>
      <c r="X28" s="381"/>
      <c r="Y28" s="359">
        <v>47</v>
      </c>
      <c r="Z28" s="359"/>
      <c r="AA28" s="210"/>
      <c r="AB28" s="396"/>
      <c r="AC28" s="381"/>
      <c r="AD28" s="381"/>
      <c r="AE28" s="381"/>
      <c r="AF28" s="381"/>
      <c r="AG28" s="57"/>
      <c r="AH28" s="102"/>
      <c r="AI28" s="224"/>
      <c r="AJ28" s="224"/>
      <c r="AK28" s="24"/>
      <c r="AL28" s="224"/>
      <c r="AM28" s="381"/>
      <c r="AN28" s="24">
        <f t="shared" si="8"/>
        <v>0</v>
      </c>
      <c r="AO28" s="54">
        <f t="shared" si="9"/>
        <v>0</v>
      </c>
      <c r="AP28" s="261">
        <f t="shared" si="10"/>
        <v>0</v>
      </c>
      <c r="AQ28" s="17"/>
      <c r="AR28" s="318"/>
      <c r="AS28" s="381"/>
      <c r="AT28" s="381"/>
    </row>
    <row r="29" spans="1:46" ht="12">
      <c r="A29" s="359" t="s">
        <v>80</v>
      </c>
      <c r="B29" s="359" t="str">
        <f t="shared" si="0"/>
        <v>NA</v>
      </c>
      <c r="C29" s="141">
        <f t="shared" si="1"/>
        <v>3.83</v>
      </c>
      <c r="D29" s="277">
        <f t="shared" si="2"/>
        <v>386.304974995105</v>
      </c>
      <c r="E29" s="20">
        <f t="shared" si="3"/>
        <v>0</v>
      </c>
      <c r="F29" s="20">
        <f t="shared" si="4"/>
        <v>0</v>
      </c>
      <c r="G29" s="277">
        <f t="shared" si="5"/>
        <v>147.95480542312521</v>
      </c>
      <c r="H29" s="3"/>
      <c r="I29" s="277">
        <f t="shared" si="7"/>
        <v>0</v>
      </c>
      <c r="J29" s="359" t="s">
        <v>81</v>
      </c>
      <c r="K29" s="359" t="s">
        <v>82</v>
      </c>
      <c r="L29" s="359"/>
      <c r="M29" s="338"/>
      <c r="N29" s="89">
        <v>40773</v>
      </c>
      <c r="O29" s="359"/>
      <c r="P29" s="359" t="s">
        <v>83</v>
      </c>
      <c r="Q29" s="359"/>
      <c r="R29" s="359"/>
      <c r="S29" s="359"/>
      <c r="T29" s="359"/>
      <c r="U29" s="359"/>
      <c r="V29" s="359"/>
      <c r="W29" s="359"/>
      <c r="X29" s="359"/>
      <c r="Y29" s="359">
        <v>47</v>
      </c>
      <c r="Z29" s="359"/>
      <c r="AA29" s="210"/>
      <c r="AB29" s="248">
        <v>0.1837</v>
      </c>
      <c r="AC29" s="359">
        <v>0.61129999999999995</v>
      </c>
      <c r="AD29" s="359">
        <v>0.20499999999999999</v>
      </c>
      <c r="AE29" s="359" t="s">
        <v>47</v>
      </c>
      <c r="AF29" s="359">
        <v>3.83</v>
      </c>
      <c r="AG29" s="153"/>
      <c r="AH29" s="346">
        <v>386.304974995105</v>
      </c>
      <c r="AI29" s="24"/>
      <c r="AJ29" s="24"/>
      <c r="AK29" s="24"/>
      <c r="AL29" s="24">
        <v>9999</v>
      </c>
      <c r="AM29" s="359" t="s">
        <v>54</v>
      </c>
      <c r="AN29" s="24">
        <f t="shared" si="8"/>
        <v>147.95480542312521</v>
      </c>
      <c r="AO29" s="54">
        <f t="shared" si="9"/>
        <v>0</v>
      </c>
      <c r="AP29" s="261" t="e">
        <f t="shared" si="10"/>
        <v>#DIV/0!</v>
      </c>
      <c r="AQ29" s="338"/>
      <c r="AR29" s="45"/>
      <c r="AS29" s="359"/>
      <c r="AT29" s="359"/>
    </row>
    <row r="30" spans="1:46" ht="12">
      <c r="A30" s="359" t="s">
        <v>84</v>
      </c>
      <c r="B30" s="359">
        <f t="shared" si="0"/>
        <v>0</v>
      </c>
      <c r="C30" s="141">
        <f t="shared" si="1"/>
        <v>0</v>
      </c>
      <c r="D30" s="277">
        <f t="shared" si="2"/>
        <v>0</v>
      </c>
      <c r="E30" s="20">
        <f t="shared" si="3"/>
        <v>0</v>
      </c>
      <c r="F30" s="20">
        <f t="shared" si="4"/>
        <v>0</v>
      </c>
      <c r="G30" s="277">
        <f t="shared" si="5"/>
        <v>0</v>
      </c>
      <c r="H30" s="3">
        <f>AL30</f>
        <v>0</v>
      </c>
      <c r="I30" s="277">
        <f t="shared" si="7"/>
        <v>0</v>
      </c>
      <c r="J30" s="359"/>
      <c r="K30" s="359"/>
      <c r="L30" s="359"/>
      <c r="M30" s="338"/>
      <c r="N30" s="8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>
        <v>47</v>
      </c>
      <c r="Z30" s="359"/>
      <c r="AA30" s="210"/>
      <c r="AB30" s="248"/>
      <c r="AC30" s="359"/>
      <c r="AD30" s="359"/>
      <c r="AE30" s="359"/>
      <c r="AF30" s="359"/>
      <c r="AG30" s="153"/>
      <c r="AH30" s="346"/>
      <c r="AI30" s="24"/>
      <c r="AJ30" s="24"/>
      <c r="AK30" s="24"/>
      <c r="AL30" s="24"/>
      <c r="AM30" s="359"/>
      <c r="AN30" s="24">
        <f t="shared" si="8"/>
        <v>0</v>
      </c>
      <c r="AO30" s="54">
        <f t="shared" si="9"/>
        <v>0</v>
      </c>
      <c r="AP30" s="261" t="e">
        <f t="shared" si="10"/>
        <v>#DIV/0!</v>
      </c>
      <c r="AQ30" s="338"/>
      <c r="AR30" s="45"/>
      <c r="AS30" s="359"/>
      <c r="AT30" s="359"/>
    </row>
    <row r="31" spans="1:46" ht="12">
      <c r="A31" s="359" t="s">
        <v>85</v>
      </c>
      <c r="B31" s="359" t="str">
        <f t="shared" si="0"/>
        <v>NA</v>
      </c>
      <c r="C31" s="141">
        <f t="shared" si="1"/>
        <v>4.5999999999999996</v>
      </c>
      <c r="D31" s="277">
        <f t="shared" si="2"/>
        <v>256.70988707539902</v>
      </c>
      <c r="E31" s="20">
        <f t="shared" si="3"/>
        <v>0</v>
      </c>
      <c r="F31" s="20">
        <f t="shared" si="4"/>
        <v>0</v>
      </c>
      <c r="G31" s="277">
        <f t="shared" si="5"/>
        <v>118.08654805468355</v>
      </c>
      <c r="H31" s="3"/>
      <c r="I31" s="277">
        <f t="shared" si="7"/>
        <v>0</v>
      </c>
      <c r="J31" s="359" t="s">
        <v>81</v>
      </c>
      <c r="K31" s="359" t="s">
        <v>82</v>
      </c>
      <c r="L31" s="359"/>
      <c r="M31" s="338"/>
      <c r="N31" s="89">
        <v>40773</v>
      </c>
      <c r="O31" s="359"/>
      <c r="P31" s="359" t="s">
        <v>83</v>
      </c>
      <c r="Q31" s="359"/>
      <c r="R31" s="359"/>
      <c r="S31" s="359"/>
      <c r="T31" s="359"/>
      <c r="U31" s="359"/>
      <c r="V31" s="359"/>
      <c r="W31" s="359"/>
      <c r="X31" s="359"/>
      <c r="Y31" s="359">
        <v>47</v>
      </c>
      <c r="Z31" s="359"/>
      <c r="AA31" s="210"/>
      <c r="AB31" s="248">
        <v>0.1978</v>
      </c>
      <c r="AC31" s="359">
        <v>0.57330000000000003</v>
      </c>
      <c r="AD31" s="359">
        <v>0.22889999999999999</v>
      </c>
      <c r="AE31" s="359" t="s">
        <v>47</v>
      </c>
      <c r="AF31" s="359">
        <v>4.5999999999999996</v>
      </c>
      <c r="AG31" s="153"/>
      <c r="AH31" s="346">
        <v>256.70988707539902</v>
      </c>
      <c r="AI31" s="24"/>
      <c r="AJ31" s="24"/>
      <c r="AK31" s="24"/>
      <c r="AL31" s="24">
        <v>9999</v>
      </c>
      <c r="AM31" s="359" t="s">
        <v>54</v>
      </c>
      <c r="AN31" s="24">
        <f t="shared" si="8"/>
        <v>118.08654805468355</v>
      </c>
      <c r="AO31" s="54">
        <f t="shared" si="9"/>
        <v>0</v>
      </c>
      <c r="AP31" s="261" t="e">
        <f t="shared" si="10"/>
        <v>#DIV/0!</v>
      </c>
      <c r="AQ31" s="338"/>
      <c r="AR31" s="45"/>
      <c r="AS31" s="359"/>
      <c r="AT31" s="359"/>
    </row>
    <row r="32" spans="1:46" ht="24">
      <c r="A32" s="359" t="s">
        <v>86</v>
      </c>
      <c r="B32" s="359" t="str">
        <f t="shared" si="0"/>
        <v>MgO</v>
      </c>
      <c r="C32" s="141">
        <f t="shared" si="1"/>
        <v>5.5579999999999998</v>
      </c>
      <c r="D32" s="277">
        <f t="shared" si="2"/>
        <v>387.79314825351298</v>
      </c>
      <c r="E32" s="20">
        <f t="shared" si="3"/>
        <v>0</v>
      </c>
      <c r="F32" s="20">
        <f t="shared" si="4"/>
        <v>0</v>
      </c>
      <c r="G32" s="277">
        <f t="shared" si="5"/>
        <v>215.53543179930253</v>
      </c>
      <c r="H32" s="3">
        <f t="shared" ref="H32:H95" si="11">AL32</f>
        <v>0</v>
      </c>
      <c r="I32" s="277">
        <f t="shared" si="7"/>
        <v>0</v>
      </c>
      <c r="J32" s="359" t="s">
        <v>87</v>
      </c>
      <c r="K32" s="359" t="s">
        <v>88</v>
      </c>
      <c r="L32" s="359"/>
      <c r="M32" s="338"/>
      <c r="N32" s="89">
        <v>40980</v>
      </c>
      <c r="O32" s="359">
        <v>38</v>
      </c>
      <c r="P32" s="359" t="s">
        <v>46</v>
      </c>
      <c r="Q32" s="359"/>
      <c r="R32" s="359"/>
      <c r="S32" s="359">
        <v>800</v>
      </c>
      <c r="T32" s="359">
        <v>300</v>
      </c>
      <c r="U32" s="359">
        <v>400</v>
      </c>
      <c r="V32" s="359"/>
      <c r="W32" s="359"/>
      <c r="X32" s="359"/>
      <c r="Y32" s="359">
        <v>47</v>
      </c>
      <c r="Z32" s="359"/>
      <c r="AA32" s="210"/>
      <c r="AB32" s="248">
        <v>0.2077</v>
      </c>
      <c r="AC32" s="359">
        <v>0.53</v>
      </c>
      <c r="AD32" s="359">
        <v>0.26240000000000002</v>
      </c>
      <c r="AE32" s="359" t="s">
        <v>47</v>
      </c>
      <c r="AF32" s="359">
        <v>5.5579999999999998</v>
      </c>
      <c r="AG32" s="307"/>
      <c r="AH32" s="38">
        <v>387.79314825351298</v>
      </c>
      <c r="AI32" s="8"/>
      <c r="AJ32" s="24"/>
      <c r="AK32" s="24"/>
      <c r="AL32" s="8"/>
      <c r="AM32" s="359"/>
      <c r="AN32" s="24">
        <f t="shared" si="8"/>
        <v>215.53543179930253</v>
      </c>
      <c r="AO32" s="54">
        <f t="shared" si="9"/>
        <v>0</v>
      </c>
      <c r="AP32" s="261">
        <f t="shared" si="10"/>
        <v>1.1115999999999999</v>
      </c>
      <c r="AQ32" s="338"/>
      <c r="AR32" s="45"/>
      <c r="AS32" s="359"/>
      <c r="AT32" s="359"/>
    </row>
    <row r="33" spans="1:46" ht="24">
      <c r="A33" s="359" t="s">
        <v>89</v>
      </c>
      <c r="B33" s="359" t="str">
        <f t="shared" si="0"/>
        <v>MgO</v>
      </c>
      <c r="C33" s="141">
        <f t="shared" si="1"/>
        <v>5.5529999999999999</v>
      </c>
      <c r="D33" s="277">
        <f t="shared" si="2"/>
        <v>397.590288871366</v>
      </c>
      <c r="E33" s="20">
        <f t="shared" si="3"/>
        <v>0</v>
      </c>
      <c r="F33" s="20">
        <f t="shared" si="4"/>
        <v>0</v>
      </c>
      <c r="G33" s="277">
        <f t="shared" si="5"/>
        <v>220.78188741026952</v>
      </c>
      <c r="H33" s="3">
        <f t="shared" si="11"/>
        <v>0</v>
      </c>
      <c r="I33" s="277">
        <f t="shared" si="7"/>
        <v>0</v>
      </c>
      <c r="J33" s="359" t="s">
        <v>90</v>
      </c>
      <c r="K33" s="359" t="s">
        <v>76</v>
      </c>
      <c r="L33" s="359"/>
      <c r="M33" s="338"/>
      <c r="N33" s="89">
        <v>40980</v>
      </c>
      <c r="O33" s="359">
        <v>38</v>
      </c>
      <c r="P33" s="359" t="s">
        <v>46</v>
      </c>
      <c r="Q33" s="359"/>
      <c r="R33" s="359"/>
      <c r="S33" s="359">
        <v>800</v>
      </c>
      <c r="T33" s="359">
        <v>300</v>
      </c>
      <c r="U33" s="359">
        <v>400</v>
      </c>
      <c r="V33" s="359"/>
      <c r="W33" s="359"/>
      <c r="X33" s="359"/>
      <c r="Y33" s="359">
        <v>47</v>
      </c>
      <c r="Z33" s="359"/>
      <c r="AA33" s="210"/>
      <c r="AB33" s="248">
        <v>0.2069</v>
      </c>
      <c r="AC33" s="359">
        <v>0.53010000000000002</v>
      </c>
      <c r="AD33" s="359">
        <v>0.26300000000000001</v>
      </c>
      <c r="AE33" s="359" t="s">
        <v>47</v>
      </c>
      <c r="AF33" s="359">
        <v>5.5529999999999999</v>
      </c>
      <c r="AG33" s="307"/>
      <c r="AH33" s="38">
        <v>397.590288871366</v>
      </c>
      <c r="AI33" s="8"/>
      <c r="AJ33" s="24"/>
      <c r="AK33" s="24"/>
      <c r="AL33" s="8"/>
      <c r="AM33" s="359"/>
      <c r="AN33" s="24">
        <f t="shared" si="8"/>
        <v>220.78188741026952</v>
      </c>
      <c r="AO33" s="54">
        <f t="shared" si="9"/>
        <v>0</v>
      </c>
      <c r="AP33" s="261">
        <f t="shared" si="10"/>
        <v>1.1105999999999998</v>
      </c>
      <c r="AQ33" s="338"/>
      <c r="AR33" s="45"/>
      <c r="AS33" s="359"/>
      <c r="AT33" s="359"/>
    </row>
    <row r="34" spans="1:46" ht="24">
      <c r="A34" s="359" t="s">
        <v>91</v>
      </c>
      <c r="B34" s="359" t="str">
        <f t="shared" si="0"/>
        <v>MgO</v>
      </c>
      <c r="C34" s="141">
        <f t="shared" si="1"/>
        <v>5.52</v>
      </c>
      <c r="D34" s="277">
        <f t="shared" si="2"/>
        <v>485.26849667924398</v>
      </c>
      <c r="E34" s="20">
        <f t="shared" si="3"/>
        <v>0</v>
      </c>
      <c r="F34" s="20">
        <f t="shared" si="4"/>
        <v>0</v>
      </c>
      <c r="G34" s="277">
        <f t="shared" si="5"/>
        <v>267.86821016694267</v>
      </c>
      <c r="H34" s="3">
        <f t="shared" si="11"/>
        <v>0</v>
      </c>
      <c r="I34" s="277">
        <f t="shared" si="7"/>
        <v>0</v>
      </c>
      <c r="J34" s="359" t="s">
        <v>87</v>
      </c>
      <c r="K34" s="359" t="s">
        <v>88</v>
      </c>
      <c r="L34" s="359"/>
      <c r="M34" s="338"/>
      <c r="N34" s="89">
        <v>40980</v>
      </c>
      <c r="O34" s="359">
        <v>38</v>
      </c>
      <c r="P34" s="359" t="s">
        <v>46</v>
      </c>
      <c r="Q34" s="359"/>
      <c r="R34" s="359"/>
      <c r="S34" s="359">
        <v>800</v>
      </c>
      <c r="T34" s="359">
        <v>300</v>
      </c>
      <c r="U34" s="359">
        <v>400</v>
      </c>
      <c r="V34" s="359"/>
      <c r="W34" s="359"/>
      <c r="X34" s="359"/>
      <c r="Y34" s="359">
        <v>47</v>
      </c>
      <c r="Z34" s="359"/>
      <c r="AA34" s="210"/>
      <c r="AB34" s="248">
        <v>0.21229999999999999</v>
      </c>
      <c r="AC34" s="359">
        <v>0.53149999999999997</v>
      </c>
      <c r="AD34" s="359">
        <v>0.25609999999999999</v>
      </c>
      <c r="AE34" s="359" t="s">
        <v>47</v>
      </c>
      <c r="AF34" s="359">
        <v>5.52</v>
      </c>
      <c r="AG34" s="307"/>
      <c r="AH34" s="38">
        <v>485.26849667924398</v>
      </c>
      <c r="AI34" s="8"/>
      <c r="AJ34" s="24"/>
      <c r="AK34" s="24"/>
      <c r="AL34" s="8"/>
      <c r="AM34" s="359"/>
      <c r="AN34" s="24">
        <f t="shared" si="8"/>
        <v>267.86821016694267</v>
      </c>
      <c r="AO34" s="54">
        <f t="shared" si="9"/>
        <v>0</v>
      </c>
      <c r="AP34" s="261">
        <f t="shared" si="10"/>
        <v>1.1040000000000001</v>
      </c>
      <c r="AQ34" s="338"/>
      <c r="AR34" s="45"/>
      <c r="AS34" s="359"/>
      <c r="AT34" s="359"/>
    </row>
    <row r="35" spans="1:46" ht="24">
      <c r="A35" s="359" t="s">
        <v>92</v>
      </c>
      <c r="B35" s="359" t="str">
        <f t="shared" si="0"/>
        <v>MgO</v>
      </c>
      <c r="C35" s="141">
        <f t="shared" si="1"/>
        <v>5.4969999999999999</v>
      </c>
      <c r="D35" s="277">
        <f t="shared" si="2"/>
        <v>402.42685196119299</v>
      </c>
      <c r="E35" s="20">
        <f t="shared" si="3"/>
        <v>0</v>
      </c>
      <c r="F35" s="20">
        <f t="shared" si="4"/>
        <v>0</v>
      </c>
      <c r="G35" s="277">
        <f t="shared" si="5"/>
        <v>221.21404052306781</v>
      </c>
      <c r="H35" s="3">
        <f t="shared" si="11"/>
        <v>0</v>
      </c>
      <c r="I35" s="277">
        <f t="shared" si="7"/>
        <v>0</v>
      </c>
      <c r="J35" s="359" t="s">
        <v>90</v>
      </c>
      <c r="K35" s="359" t="s">
        <v>76</v>
      </c>
      <c r="L35" s="359"/>
      <c r="M35" s="338"/>
      <c r="N35" s="89">
        <v>40980</v>
      </c>
      <c r="O35" s="359">
        <v>38</v>
      </c>
      <c r="P35" s="359" t="s">
        <v>46</v>
      </c>
      <c r="Q35" s="359"/>
      <c r="R35" s="359"/>
      <c r="S35" s="359">
        <v>800</v>
      </c>
      <c r="T35" s="359">
        <v>300</v>
      </c>
      <c r="U35" s="359">
        <v>400</v>
      </c>
      <c r="V35" s="359"/>
      <c r="W35" s="359"/>
      <c r="X35" s="359"/>
      <c r="Y35" s="359">
        <v>47</v>
      </c>
      <c r="Z35" s="359"/>
      <c r="AA35" s="210"/>
      <c r="AB35" s="248">
        <v>0.1963</v>
      </c>
      <c r="AC35" s="359">
        <v>0.53249999999999997</v>
      </c>
      <c r="AD35" s="359">
        <v>0.2712</v>
      </c>
      <c r="AE35" s="359" t="s">
        <v>47</v>
      </c>
      <c r="AF35" s="359">
        <v>5.4969999999999999</v>
      </c>
      <c r="AG35" s="307"/>
      <c r="AH35" s="38">
        <v>402.42685196119299</v>
      </c>
      <c r="AI35" s="8"/>
      <c r="AJ35" s="24"/>
      <c r="AK35" s="24"/>
      <c r="AL35" s="8"/>
      <c r="AM35" s="359"/>
      <c r="AN35" s="24">
        <f t="shared" si="8"/>
        <v>221.21404052306781</v>
      </c>
      <c r="AO35" s="54">
        <f t="shared" si="9"/>
        <v>0</v>
      </c>
      <c r="AP35" s="261">
        <f t="shared" si="10"/>
        <v>1.0993999999999999</v>
      </c>
      <c r="AQ35" s="338"/>
      <c r="AR35" s="45"/>
      <c r="AS35" s="359"/>
      <c r="AT35" s="359"/>
    </row>
    <row r="36" spans="1:46" ht="24">
      <c r="A36" s="359" t="s">
        <v>93</v>
      </c>
      <c r="B36" s="359" t="str">
        <f t="shared" si="0"/>
        <v>MgO</v>
      </c>
      <c r="C36" s="141">
        <f t="shared" si="1"/>
        <v>0</v>
      </c>
      <c r="D36" s="277">
        <f t="shared" si="2"/>
        <v>141.37645954876999</v>
      </c>
      <c r="E36" s="20">
        <f t="shared" si="3"/>
        <v>0</v>
      </c>
      <c r="F36" s="20">
        <f t="shared" si="4"/>
        <v>0</v>
      </c>
      <c r="G36" s="277">
        <f t="shared" si="5"/>
        <v>0</v>
      </c>
      <c r="H36" s="3">
        <f t="shared" si="11"/>
        <v>0</v>
      </c>
      <c r="I36" s="277">
        <f t="shared" si="7"/>
        <v>0</v>
      </c>
      <c r="J36" s="359" t="s">
        <v>94</v>
      </c>
      <c r="K36" s="359" t="s">
        <v>95</v>
      </c>
      <c r="L36" s="359"/>
      <c r="M36" s="338"/>
      <c r="N36" s="89">
        <v>40981</v>
      </c>
      <c r="O36" s="359">
        <v>39</v>
      </c>
      <c r="P36" s="359" t="s">
        <v>46</v>
      </c>
      <c r="Q36" s="359"/>
      <c r="R36" s="359"/>
      <c r="S36" s="359">
        <v>800</v>
      </c>
      <c r="T36" s="359">
        <v>300</v>
      </c>
      <c r="U36" s="359">
        <v>400</v>
      </c>
      <c r="V36" s="359"/>
      <c r="W36" s="359"/>
      <c r="X36" s="359"/>
      <c r="Y36" s="359">
        <v>47</v>
      </c>
      <c r="Z36" s="359"/>
      <c r="AA36" s="210"/>
      <c r="AB36" s="248"/>
      <c r="AC36" s="359"/>
      <c r="AD36" s="359"/>
      <c r="AE36" s="359"/>
      <c r="AF36" s="359"/>
      <c r="AG36" s="307"/>
      <c r="AH36" s="38">
        <v>141.37645954876999</v>
      </c>
      <c r="AI36" s="8"/>
      <c r="AJ36" s="24"/>
      <c r="AK36" s="24"/>
      <c r="AL36" s="24"/>
      <c r="AM36" s="359"/>
      <c r="AN36" s="24">
        <f t="shared" si="8"/>
        <v>0</v>
      </c>
      <c r="AO36" s="54">
        <f t="shared" si="9"/>
        <v>0</v>
      </c>
      <c r="AP36" s="261">
        <f t="shared" si="10"/>
        <v>0</v>
      </c>
      <c r="AQ36" s="338"/>
      <c r="AR36" s="45"/>
      <c r="AS36" s="359"/>
      <c r="AT36" s="359"/>
    </row>
    <row r="37" spans="1:46" ht="12">
      <c r="A37" s="359" t="s">
        <v>96</v>
      </c>
      <c r="B37" s="359" t="str">
        <f t="shared" si="0"/>
        <v>MgO</v>
      </c>
      <c r="C37" s="141">
        <f t="shared" si="1"/>
        <v>0</v>
      </c>
      <c r="D37" s="277">
        <f t="shared" si="2"/>
        <v>139.14419966115801</v>
      </c>
      <c r="E37" s="20">
        <f t="shared" si="3"/>
        <v>0</v>
      </c>
      <c r="F37" s="20">
        <f t="shared" si="4"/>
        <v>0</v>
      </c>
      <c r="G37" s="277">
        <f t="shared" si="5"/>
        <v>0</v>
      </c>
      <c r="H37" s="3">
        <f t="shared" si="11"/>
        <v>0</v>
      </c>
      <c r="I37" s="277">
        <f t="shared" si="7"/>
        <v>0</v>
      </c>
      <c r="J37" s="359"/>
      <c r="K37" s="359" t="s">
        <v>95</v>
      </c>
      <c r="L37" s="359"/>
      <c r="M37" s="338"/>
      <c r="N37" s="89">
        <v>40981</v>
      </c>
      <c r="O37" s="359">
        <v>39</v>
      </c>
      <c r="P37" s="359" t="s">
        <v>46</v>
      </c>
      <c r="Q37" s="359"/>
      <c r="R37" s="359"/>
      <c r="S37" s="359">
        <v>800</v>
      </c>
      <c r="T37" s="359">
        <v>300</v>
      </c>
      <c r="U37" s="359">
        <v>400</v>
      </c>
      <c r="V37" s="359"/>
      <c r="W37" s="359"/>
      <c r="X37" s="359"/>
      <c r="Y37" s="359">
        <v>47</v>
      </c>
      <c r="Z37" s="359"/>
      <c r="AA37" s="210"/>
      <c r="AB37" s="248"/>
      <c r="AC37" s="359"/>
      <c r="AD37" s="359"/>
      <c r="AE37" s="359"/>
      <c r="AF37" s="359"/>
      <c r="AG37" s="307"/>
      <c r="AH37" s="38">
        <v>139.14419966115801</v>
      </c>
      <c r="AI37" s="8"/>
      <c r="AJ37" s="24"/>
      <c r="AK37" s="24"/>
      <c r="AL37" s="24"/>
      <c r="AM37" s="359"/>
      <c r="AN37" s="24">
        <f t="shared" si="8"/>
        <v>0</v>
      </c>
      <c r="AO37" s="54">
        <f t="shared" si="9"/>
        <v>0</v>
      </c>
      <c r="AP37" s="261">
        <f t="shared" si="10"/>
        <v>0</v>
      </c>
      <c r="AQ37" s="338"/>
      <c r="AR37" s="45"/>
      <c r="AS37" s="359"/>
      <c r="AT37" s="359"/>
    </row>
    <row r="38" spans="1:46" ht="12">
      <c r="A38" s="359" t="s">
        <v>97</v>
      </c>
      <c r="B38" s="359" t="str">
        <f t="shared" si="0"/>
        <v>MgO</v>
      </c>
      <c r="C38" s="141">
        <f t="shared" si="1"/>
        <v>0</v>
      </c>
      <c r="D38" s="277">
        <f t="shared" si="2"/>
        <v>116.697586346836</v>
      </c>
      <c r="E38" s="20">
        <f t="shared" si="3"/>
        <v>0</v>
      </c>
      <c r="F38" s="20">
        <f t="shared" si="4"/>
        <v>0</v>
      </c>
      <c r="G38" s="277">
        <f t="shared" si="5"/>
        <v>0</v>
      </c>
      <c r="H38" s="3">
        <f t="shared" si="11"/>
        <v>0</v>
      </c>
      <c r="I38" s="277">
        <f t="shared" si="7"/>
        <v>0</v>
      </c>
      <c r="J38" s="359"/>
      <c r="K38" s="359" t="s">
        <v>95</v>
      </c>
      <c r="L38" s="359"/>
      <c r="M38" s="338"/>
      <c r="N38" s="89">
        <v>40981</v>
      </c>
      <c r="O38" s="359">
        <v>39</v>
      </c>
      <c r="P38" s="359" t="s">
        <v>46</v>
      </c>
      <c r="Q38" s="359"/>
      <c r="R38" s="359"/>
      <c r="S38" s="359">
        <v>800</v>
      </c>
      <c r="T38" s="359">
        <v>300</v>
      </c>
      <c r="U38" s="359">
        <v>400</v>
      </c>
      <c r="V38" s="359"/>
      <c r="W38" s="359"/>
      <c r="X38" s="359"/>
      <c r="Y38" s="359">
        <v>47</v>
      </c>
      <c r="Z38" s="359"/>
      <c r="AA38" s="210"/>
      <c r="AB38" s="248"/>
      <c r="AC38" s="359"/>
      <c r="AD38" s="359"/>
      <c r="AE38" s="359"/>
      <c r="AF38" s="359"/>
      <c r="AG38" s="307"/>
      <c r="AH38" s="38">
        <v>116.697586346836</v>
      </c>
      <c r="AI38" s="8"/>
      <c r="AJ38" s="24"/>
      <c r="AK38" s="24"/>
      <c r="AL38" s="24"/>
      <c r="AM38" s="359"/>
      <c r="AN38" s="24">
        <f t="shared" si="8"/>
        <v>0</v>
      </c>
      <c r="AO38" s="54">
        <f t="shared" si="9"/>
        <v>0</v>
      </c>
      <c r="AP38" s="261">
        <f t="shared" si="10"/>
        <v>0</v>
      </c>
      <c r="AQ38" s="338"/>
      <c r="AR38" s="45"/>
      <c r="AS38" s="359"/>
      <c r="AT38" s="359"/>
    </row>
    <row r="39" spans="1:46" ht="12">
      <c r="A39" s="359" t="s">
        <v>98</v>
      </c>
      <c r="B39" s="359" t="str">
        <f t="shared" si="0"/>
        <v>MgO</v>
      </c>
      <c r="C39" s="141">
        <f t="shared" si="1"/>
        <v>0</v>
      </c>
      <c r="D39" s="277">
        <f t="shared" si="2"/>
        <v>135.175737638736</v>
      </c>
      <c r="E39" s="20">
        <f t="shared" si="3"/>
        <v>0</v>
      </c>
      <c r="F39" s="20">
        <f t="shared" si="4"/>
        <v>0</v>
      </c>
      <c r="G39" s="277">
        <f t="shared" si="5"/>
        <v>0</v>
      </c>
      <c r="H39" s="3">
        <f t="shared" si="11"/>
        <v>0</v>
      </c>
      <c r="I39" s="277">
        <f t="shared" si="7"/>
        <v>0</v>
      </c>
      <c r="J39" s="359"/>
      <c r="K39" s="359" t="s">
        <v>95</v>
      </c>
      <c r="L39" s="359"/>
      <c r="M39" s="338"/>
      <c r="N39" s="89">
        <v>40981</v>
      </c>
      <c r="O39" s="359">
        <v>39</v>
      </c>
      <c r="P39" s="359" t="s">
        <v>46</v>
      </c>
      <c r="Q39" s="359"/>
      <c r="R39" s="359"/>
      <c r="S39" s="359">
        <v>800</v>
      </c>
      <c r="T39" s="359">
        <v>300</v>
      </c>
      <c r="U39" s="359">
        <v>400</v>
      </c>
      <c r="V39" s="359"/>
      <c r="W39" s="359"/>
      <c r="X39" s="359"/>
      <c r="Y39" s="359">
        <v>47</v>
      </c>
      <c r="Z39" s="359"/>
      <c r="AA39" s="210"/>
      <c r="AB39" s="248"/>
      <c r="AC39" s="359"/>
      <c r="AD39" s="359"/>
      <c r="AE39" s="359"/>
      <c r="AF39" s="359"/>
      <c r="AG39" s="307"/>
      <c r="AH39" s="38">
        <v>135.175737638736</v>
      </c>
      <c r="AI39" s="8"/>
      <c r="AJ39" s="24"/>
      <c r="AK39" s="24"/>
      <c r="AL39" s="24"/>
      <c r="AM39" s="359"/>
      <c r="AN39" s="24">
        <f t="shared" si="8"/>
        <v>0</v>
      </c>
      <c r="AO39" s="54">
        <f t="shared" si="9"/>
        <v>0</v>
      </c>
      <c r="AP39" s="261">
        <f t="shared" si="10"/>
        <v>0</v>
      </c>
      <c r="AQ39" s="338"/>
      <c r="AR39" s="45"/>
      <c r="AS39" s="359"/>
      <c r="AT39" s="359"/>
    </row>
    <row r="40" spans="1:46" ht="24">
      <c r="A40" s="359" t="s">
        <v>99</v>
      </c>
      <c r="B40" s="359" t="str">
        <f t="shared" si="0"/>
        <v>MgO</v>
      </c>
      <c r="C40" s="141">
        <f t="shared" si="1"/>
        <v>0</v>
      </c>
      <c r="D40" s="277">
        <f t="shared" si="2"/>
        <v>0</v>
      </c>
      <c r="E40" s="20">
        <f t="shared" si="3"/>
        <v>0</v>
      </c>
      <c r="F40" s="20">
        <f t="shared" si="4"/>
        <v>0</v>
      </c>
      <c r="G40" s="277">
        <f t="shared" si="5"/>
        <v>0</v>
      </c>
      <c r="H40" s="3">
        <f t="shared" si="11"/>
        <v>0</v>
      </c>
      <c r="I40" s="277">
        <f t="shared" si="7"/>
        <v>0</v>
      </c>
      <c r="J40" s="359" t="s">
        <v>100</v>
      </c>
      <c r="K40" s="359" t="s">
        <v>101</v>
      </c>
      <c r="L40" s="359"/>
      <c r="M40" s="338"/>
      <c r="N40" s="89">
        <v>40981</v>
      </c>
      <c r="O40" s="359">
        <v>40</v>
      </c>
      <c r="P40" s="359" t="s">
        <v>46</v>
      </c>
      <c r="Q40" s="359"/>
      <c r="R40" s="359"/>
      <c r="S40" s="359">
        <v>20</v>
      </c>
      <c r="T40" s="359">
        <v>55</v>
      </c>
      <c r="U40" s="359">
        <v>400</v>
      </c>
      <c r="V40" s="359"/>
      <c r="W40" s="359"/>
      <c r="X40" s="359"/>
      <c r="Y40" s="359">
        <v>47</v>
      </c>
      <c r="Z40" s="359"/>
      <c r="AA40" s="210"/>
      <c r="AB40" s="248"/>
      <c r="AC40" s="359"/>
      <c r="AD40" s="359"/>
      <c r="AE40" s="359"/>
      <c r="AF40" s="359"/>
      <c r="AG40" s="153"/>
      <c r="AH40" s="346"/>
      <c r="AI40" s="24"/>
      <c r="AJ40" s="24"/>
      <c r="AK40" s="24"/>
      <c r="AL40" s="24"/>
      <c r="AM40" s="359"/>
      <c r="AN40" s="24">
        <f t="shared" si="8"/>
        <v>0</v>
      </c>
      <c r="AO40" s="54">
        <f t="shared" si="9"/>
        <v>0</v>
      </c>
      <c r="AP40" s="261">
        <f t="shared" si="10"/>
        <v>0</v>
      </c>
      <c r="AQ40" s="338"/>
      <c r="AR40" s="45"/>
      <c r="AS40" s="359"/>
      <c r="AT40" s="359"/>
    </row>
    <row r="41" spans="1:46" ht="24">
      <c r="A41" s="359" t="s">
        <v>102</v>
      </c>
      <c r="B41" s="359" t="str">
        <f t="shared" si="0"/>
        <v>MgO</v>
      </c>
      <c r="C41" s="141">
        <f t="shared" si="1"/>
        <v>0</v>
      </c>
      <c r="D41" s="277">
        <f t="shared" si="2"/>
        <v>0</v>
      </c>
      <c r="E41" s="20">
        <f t="shared" si="3"/>
        <v>0</v>
      </c>
      <c r="F41" s="20">
        <f t="shared" si="4"/>
        <v>0</v>
      </c>
      <c r="G41" s="277">
        <f t="shared" si="5"/>
        <v>0</v>
      </c>
      <c r="H41" s="3">
        <f t="shared" si="11"/>
        <v>0</v>
      </c>
      <c r="I41" s="277">
        <f t="shared" si="7"/>
        <v>0</v>
      </c>
      <c r="J41" s="359" t="s">
        <v>100</v>
      </c>
      <c r="K41" s="359" t="s">
        <v>101</v>
      </c>
      <c r="L41" s="359"/>
      <c r="M41" s="338"/>
      <c r="N41" s="89">
        <v>40981</v>
      </c>
      <c r="O41" s="359">
        <v>40</v>
      </c>
      <c r="P41" s="359" t="s">
        <v>46</v>
      </c>
      <c r="Q41" s="359"/>
      <c r="R41" s="359"/>
      <c r="S41" s="359">
        <v>20</v>
      </c>
      <c r="T41" s="359">
        <v>55</v>
      </c>
      <c r="U41" s="359">
        <v>400</v>
      </c>
      <c r="V41" s="359"/>
      <c r="W41" s="359"/>
      <c r="X41" s="359"/>
      <c r="Y41" s="359">
        <v>47</v>
      </c>
      <c r="Z41" s="359"/>
      <c r="AA41" s="210"/>
      <c r="AB41" s="248"/>
      <c r="AC41" s="359"/>
      <c r="AD41" s="359"/>
      <c r="AE41" s="359"/>
      <c r="AF41" s="359"/>
      <c r="AG41" s="153"/>
      <c r="AH41" s="346"/>
      <c r="AI41" s="24"/>
      <c r="AJ41" s="24"/>
      <c r="AK41" s="24"/>
      <c r="AL41" s="24"/>
      <c r="AM41" s="359"/>
      <c r="AN41" s="24">
        <f t="shared" si="8"/>
        <v>0</v>
      </c>
      <c r="AO41" s="54">
        <f t="shared" si="9"/>
        <v>0</v>
      </c>
      <c r="AP41" s="261">
        <f t="shared" si="10"/>
        <v>0</v>
      </c>
      <c r="AQ41" s="338"/>
      <c r="AR41" s="45"/>
      <c r="AS41" s="359"/>
      <c r="AT41" s="359"/>
    </row>
    <row r="42" spans="1:46" ht="24">
      <c r="A42" s="359" t="s">
        <v>103</v>
      </c>
      <c r="B42" s="359" t="str">
        <f t="shared" si="0"/>
        <v>MgO</v>
      </c>
      <c r="C42" s="141">
        <f t="shared" si="1"/>
        <v>0</v>
      </c>
      <c r="D42" s="277">
        <f t="shared" si="2"/>
        <v>0</v>
      </c>
      <c r="E42" s="20">
        <f t="shared" si="3"/>
        <v>0</v>
      </c>
      <c r="F42" s="20">
        <f t="shared" si="4"/>
        <v>0</v>
      </c>
      <c r="G42" s="277">
        <f t="shared" si="5"/>
        <v>0</v>
      </c>
      <c r="H42" s="3">
        <f t="shared" si="11"/>
        <v>0</v>
      </c>
      <c r="I42" s="277">
        <f t="shared" si="7"/>
        <v>0</v>
      </c>
      <c r="J42" s="359" t="s">
        <v>100</v>
      </c>
      <c r="K42" s="359" t="s">
        <v>101</v>
      </c>
      <c r="L42" s="359"/>
      <c r="M42" s="338"/>
      <c r="N42" s="89">
        <v>40981</v>
      </c>
      <c r="O42" s="359">
        <v>40</v>
      </c>
      <c r="P42" s="359" t="s">
        <v>46</v>
      </c>
      <c r="Q42" s="359"/>
      <c r="R42" s="359"/>
      <c r="S42" s="359">
        <v>20</v>
      </c>
      <c r="T42" s="359">
        <v>55</v>
      </c>
      <c r="U42" s="359">
        <v>400</v>
      </c>
      <c r="V42" s="359"/>
      <c r="W42" s="359"/>
      <c r="X42" s="359"/>
      <c r="Y42" s="359">
        <v>47</v>
      </c>
      <c r="Z42" s="359"/>
      <c r="AA42" s="210"/>
      <c r="AB42" s="248"/>
      <c r="AC42" s="359"/>
      <c r="AD42" s="359"/>
      <c r="AE42" s="359"/>
      <c r="AF42" s="359"/>
      <c r="AG42" s="153"/>
      <c r="AH42" s="346"/>
      <c r="AI42" s="24"/>
      <c r="AJ42" s="24"/>
      <c r="AK42" s="24"/>
      <c r="AL42" s="24"/>
      <c r="AM42" s="359"/>
      <c r="AN42" s="24">
        <f t="shared" si="8"/>
        <v>0</v>
      </c>
      <c r="AO42" s="54">
        <f t="shared" si="9"/>
        <v>0</v>
      </c>
      <c r="AP42" s="261">
        <f t="shared" si="10"/>
        <v>0</v>
      </c>
      <c r="AQ42" s="338"/>
      <c r="AR42" s="45"/>
      <c r="AS42" s="359"/>
      <c r="AT42" s="359"/>
    </row>
    <row r="43" spans="1:46" ht="24">
      <c r="A43" s="359" t="s">
        <v>104</v>
      </c>
      <c r="B43" s="359" t="str">
        <f t="shared" si="0"/>
        <v>MgO</v>
      </c>
      <c r="C43" s="141">
        <f t="shared" si="1"/>
        <v>0</v>
      </c>
      <c r="D43" s="277">
        <f t="shared" si="2"/>
        <v>0</v>
      </c>
      <c r="E43" s="20">
        <f t="shared" si="3"/>
        <v>0</v>
      </c>
      <c r="F43" s="20">
        <f t="shared" si="4"/>
        <v>0</v>
      </c>
      <c r="G43" s="277">
        <f t="shared" si="5"/>
        <v>0</v>
      </c>
      <c r="H43" s="3">
        <f t="shared" si="11"/>
        <v>0</v>
      </c>
      <c r="I43" s="277">
        <f t="shared" si="7"/>
        <v>0</v>
      </c>
      <c r="J43" s="359" t="s">
        <v>100</v>
      </c>
      <c r="K43" s="359" t="s">
        <v>101</v>
      </c>
      <c r="L43" s="359"/>
      <c r="M43" s="338"/>
      <c r="N43" s="89">
        <v>40981</v>
      </c>
      <c r="O43" s="359">
        <v>40</v>
      </c>
      <c r="P43" s="359" t="s">
        <v>46</v>
      </c>
      <c r="Q43" s="359"/>
      <c r="R43" s="359"/>
      <c r="S43" s="359">
        <v>20</v>
      </c>
      <c r="T43" s="359">
        <v>55</v>
      </c>
      <c r="U43" s="359">
        <v>400</v>
      </c>
      <c r="V43" s="359"/>
      <c r="W43" s="359"/>
      <c r="X43" s="359"/>
      <c r="Y43" s="359">
        <v>47</v>
      </c>
      <c r="Z43" s="359"/>
      <c r="AA43" s="210"/>
      <c r="AB43" s="248"/>
      <c r="AC43" s="359"/>
      <c r="AD43" s="359"/>
      <c r="AE43" s="359"/>
      <c r="AF43" s="359"/>
      <c r="AG43" s="153"/>
      <c r="AH43" s="346"/>
      <c r="AI43" s="24"/>
      <c r="AJ43" s="24"/>
      <c r="AK43" s="24"/>
      <c r="AL43" s="24"/>
      <c r="AM43" s="359"/>
      <c r="AN43" s="24">
        <f t="shared" si="8"/>
        <v>0</v>
      </c>
      <c r="AO43" s="54">
        <f t="shared" si="9"/>
        <v>0</v>
      </c>
      <c r="AP43" s="261">
        <f t="shared" si="10"/>
        <v>0</v>
      </c>
      <c r="AQ43" s="338"/>
      <c r="AR43" s="45"/>
      <c r="AS43" s="359"/>
      <c r="AT43" s="359"/>
    </row>
    <row r="44" spans="1:46" ht="24">
      <c r="A44" s="359" t="s">
        <v>105</v>
      </c>
      <c r="B44" s="359" t="str">
        <f t="shared" si="0"/>
        <v>MgO</v>
      </c>
      <c r="C44" s="141">
        <f t="shared" si="1"/>
        <v>0</v>
      </c>
      <c r="D44" s="277">
        <f t="shared" si="2"/>
        <v>0</v>
      </c>
      <c r="E44" s="20">
        <f t="shared" si="3"/>
        <v>0</v>
      </c>
      <c r="F44" s="20">
        <f t="shared" si="4"/>
        <v>0</v>
      </c>
      <c r="G44" s="277">
        <f t="shared" si="5"/>
        <v>0</v>
      </c>
      <c r="H44" s="3">
        <f t="shared" si="11"/>
        <v>0</v>
      </c>
      <c r="I44" s="277">
        <f t="shared" si="7"/>
        <v>0</v>
      </c>
      <c r="J44" s="359" t="s">
        <v>100</v>
      </c>
      <c r="K44" s="359" t="s">
        <v>101</v>
      </c>
      <c r="L44" s="359"/>
      <c r="M44" s="338"/>
      <c r="N44" s="89">
        <v>40981</v>
      </c>
      <c r="O44" s="359">
        <v>41</v>
      </c>
      <c r="P44" s="359" t="s">
        <v>46</v>
      </c>
      <c r="Q44" s="359"/>
      <c r="R44" s="359"/>
      <c r="S44" s="359">
        <v>20</v>
      </c>
      <c r="T44" s="359">
        <v>55</v>
      </c>
      <c r="U44" s="359">
        <v>400</v>
      </c>
      <c r="V44" s="359"/>
      <c r="W44" s="359"/>
      <c r="X44" s="359"/>
      <c r="Y44" s="359">
        <v>47</v>
      </c>
      <c r="Z44" s="359"/>
      <c r="AA44" s="210"/>
      <c r="AB44" s="248"/>
      <c r="AC44" s="359"/>
      <c r="AD44" s="359"/>
      <c r="AE44" s="359"/>
      <c r="AF44" s="359"/>
      <c r="AG44" s="153"/>
      <c r="AH44" s="346"/>
      <c r="AI44" s="24"/>
      <c r="AJ44" s="24"/>
      <c r="AK44" s="24"/>
      <c r="AL44" s="24"/>
      <c r="AM44" s="359"/>
      <c r="AN44" s="24">
        <f t="shared" si="8"/>
        <v>0</v>
      </c>
      <c r="AO44" s="54">
        <f t="shared" si="9"/>
        <v>0</v>
      </c>
      <c r="AP44" s="261">
        <f t="shared" si="10"/>
        <v>0</v>
      </c>
      <c r="AQ44" s="338"/>
      <c r="AR44" s="45"/>
      <c r="AS44" s="359"/>
      <c r="AT44" s="359"/>
    </row>
    <row r="45" spans="1:46" ht="24">
      <c r="A45" s="359" t="s">
        <v>106</v>
      </c>
      <c r="B45" s="359" t="str">
        <f t="shared" si="0"/>
        <v>MgO</v>
      </c>
      <c r="C45" s="141">
        <f t="shared" si="1"/>
        <v>0</v>
      </c>
      <c r="D45" s="277">
        <f t="shared" si="2"/>
        <v>0</v>
      </c>
      <c r="E45" s="20">
        <f t="shared" si="3"/>
        <v>0</v>
      </c>
      <c r="F45" s="20">
        <f t="shared" si="4"/>
        <v>0</v>
      </c>
      <c r="G45" s="277">
        <f t="shared" si="5"/>
        <v>0</v>
      </c>
      <c r="H45" s="3">
        <f t="shared" si="11"/>
        <v>0</v>
      </c>
      <c r="I45" s="277">
        <f t="shared" si="7"/>
        <v>0</v>
      </c>
      <c r="J45" s="359" t="s">
        <v>100</v>
      </c>
      <c r="K45" s="359" t="s">
        <v>101</v>
      </c>
      <c r="L45" s="359"/>
      <c r="M45" s="338"/>
      <c r="N45" s="89">
        <v>40981</v>
      </c>
      <c r="O45" s="359">
        <v>41</v>
      </c>
      <c r="P45" s="359" t="s">
        <v>46</v>
      </c>
      <c r="Q45" s="359"/>
      <c r="R45" s="359"/>
      <c r="S45" s="359">
        <v>20</v>
      </c>
      <c r="T45" s="359">
        <v>55</v>
      </c>
      <c r="U45" s="359">
        <v>400</v>
      </c>
      <c r="V45" s="359"/>
      <c r="W45" s="359"/>
      <c r="X45" s="359"/>
      <c r="Y45" s="359">
        <v>47</v>
      </c>
      <c r="Z45" s="359"/>
      <c r="AA45" s="210"/>
      <c r="AB45" s="248"/>
      <c r="AC45" s="359"/>
      <c r="AD45" s="359"/>
      <c r="AE45" s="359"/>
      <c r="AF45" s="359"/>
      <c r="AG45" s="153"/>
      <c r="AH45" s="346"/>
      <c r="AI45" s="24"/>
      <c r="AJ45" s="24"/>
      <c r="AK45" s="24"/>
      <c r="AL45" s="24"/>
      <c r="AM45" s="359"/>
      <c r="AN45" s="24">
        <f t="shared" si="8"/>
        <v>0</v>
      </c>
      <c r="AO45" s="54">
        <f t="shared" si="9"/>
        <v>0</v>
      </c>
      <c r="AP45" s="261">
        <f t="shared" si="10"/>
        <v>0</v>
      </c>
      <c r="AQ45" s="338"/>
      <c r="AR45" s="45"/>
      <c r="AS45" s="359"/>
      <c r="AT45" s="359"/>
    </row>
    <row r="46" spans="1:46" ht="24">
      <c r="A46" s="359" t="s">
        <v>107</v>
      </c>
      <c r="B46" s="359" t="str">
        <f t="shared" si="0"/>
        <v>MgO</v>
      </c>
      <c r="C46" s="141">
        <f t="shared" si="1"/>
        <v>0</v>
      </c>
      <c r="D46" s="277">
        <f t="shared" si="2"/>
        <v>0</v>
      </c>
      <c r="E46" s="20">
        <f t="shared" si="3"/>
        <v>0</v>
      </c>
      <c r="F46" s="20">
        <f t="shared" si="4"/>
        <v>0</v>
      </c>
      <c r="G46" s="277">
        <f t="shared" si="5"/>
        <v>0</v>
      </c>
      <c r="H46" s="3">
        <f t="shared" si="11"/>
        <v>0</v>
      </c>
      <c r="I46" s="277">
        <f t="shared" si="7"/>
        <v>0</v>
      </c>
      <c r="J46" s="359" t="s">
        <v>100</v>
      </c>
      <c r="K46" s="359" t="s">
        <v>101</v>
      </c>
      <c r="L46" s="359"/>
      <c r="M46" s="338"/>
      <c r="N46" s="89">
        <v>40981</v>
      </c>
      <c r="O46" s="359">
        <v>41</v>
      </c>
      <c r="P46" s="359" t="s">
        <v>46</v>
      </c>
      <c r="Q46" s="359"/>
      <c r="R46" s="359"/>
      <c r="S46" s="359">
        <v>20</v>
      </c>
      <c r="T46" s="359">
        <v>55</v>
      </c>
      <c r="U46" s="359">
        <v>400</v>
      </c>
      <c r="V46" s="359"/>
      <c r="W46" s="359"/>
      <c r="X46" s="359"/>
      <c r="Y46" s="359">
        <v>47</v>
      </c>
      <c r="Z46" s="359"/>
      <c r="AA46" s="210"/>
      <c r="AB46" s="248"/>
      <c r="AC46" s="359"/>
      <c r="AD46" s="359"/>
      <c r="AE46" s="359"/>
      <c r="AF46" s="359"/>
      <c r="AG46" s="153"/>
      <c r="AH46" s="346"/>
      <c r="AI46" s="24"/>
      <c r="AJ46" s="24"/>
      <c r="AK46" s="24"/>
      <c r="AL46" s="24"/>
      <c r="AM46" s="359"/>
      <c r="AN46" s="24">
        <f t="shared" si="8"/>
        <v>0</v>
      </c>
      <c r="AO46" s="54">
        <f t="shared" si="9"/>
        <v>0</v>
      </c>
      <c r="AP46" s="261">
        <f t="shared" si="10"/>
        <v>0</v>
      </c>
      <c r="AQ46" s="338"/>
      <c r="AR46" s="45"/>
      <c r="AS46" s="359"/>
      <c r="AT46" s="359"/>
    </row>
    <row r="47" spans="1:46" ht="24">
      <c r="A47" s="359" t="s">
        <v>108</v>
      </c>
      <c r="B47" s="359" t="str">
        <f t="shared" si="0"/>
        <v>MgO</v>
      </c>
      <c r="C47" s="141">
        <f t="shared" si="1"/>
        <v>0</v>
      </c>
      <c r="D47" s="277">
        <f t="shared" si="2"/>
        <v>0</v>
      </c>
      <c r="E47" s="20">
        <f t="shared" si="3"/>
        <v>0</v>
      </c>
      <c r="F47" s="20">
        <f t="shared" si="4"/>
        <v>0</v>
      </c>
      <c r="G47" s="277">
        <f t="shared" si="5"/>
        <v>0</v>
      </c>
      <c r="H47" s="3">
        <f t="shared" si="11"/>
        <v>0</v>
      </c>
      <c r="I47" s="277">
        <f t="shared" si="7"/>
        <v>0</v>
      </c>
      <c r="J47" s="359" t="s">
        <v>100</v>
      </c>
      <c r="K47" s="359" t="s">
        <v>101</v>
      </c>
      <c r="L47" s="359"/>
      <c r="M47" s="338"/>
      <c r="N47" s="89">
        <v>40981</v>
      </c>
      <c r="O47" s="359">
        <v>41</v>
      </c>
      <c r="P47" s="359" t="s">
        <v>46</v>
      </c>
      <c r="Q47" s="359"/>
      <c r="R47" s="359"/>
      <c r="S47" s="359">
        <v>20</v>
      </c>
      <c r="T47" s="359">
        <v>55</v>
      </c>
      <c r="U47" s="359">
        <v>400</v>
      </c>
      <c r="V47" s="359"/>
      <c r="W47" s="359"/>
      <c r="X47" s="359"/>
      <c r="Y47" s="359">
        <v>47</v>
      </c>
      <c r="Z47" s="359"/>
      <c r="AA47" s="210"/>
      <c r="AB47" s="248"/>
      <c r="AC47" s="359"/>
      <c r="AD47" s="359"/>
      <c r="AE47" s="359"/>
      <c r="AF47" s="359"/>
      <c r="AG47" s="153"/>
      <c r="AH47" s="346"/>
      <c r="AI47" s="24"/>
      <c r="AJ47" s="24"/>
      <c r="AK47" s="24"/>
      <c r="AL47" s="24"/>
      <c r="AM47" s="359"/>
      <c r="AN47" s="24">
        <f t="shared" si="8"/>
        <v>0</v>
      </c>
      <c r="AO47" s="54">
        <f t="shared" si="9"/>
        <v>0</v>
      </c>
      <c r="AP47" s="261">
        <f t="shared" si="10"/>
        <v>0</v>
      </c>
      <c r="AQ47" s="338"/>
      <c r="AR47" s="45"/>
      <c r="AS47" s="359"/>
      <c r="AT47" s="359"/>
    </row>
    <row r="48" spans="1:46" ht="24">
      <c r="A48" s="359" t="s">
        <v>109</v>
      </c>
      <c r="B48" s="359" t="str">
        <f t="shared" si="0"/>
        <v>MgO</v>
      </c>
      <c r="C48" s="141">
        <f t="shared" si="1"/>
        <v>0</v>
      </c>
      <c r="D48" s="277">
        <f t="shared" si="2"/>
        <v>836.72541453995905</v>
      </c>
      <c r="E48" s="20">
        <f t="shared" si="3"/>
        <v>0</v>
      </c>
      <c r="F48" s="20">
        <f t="shared" si="4"/>
        <v>0</v>
      </c>
      <c r="G48" s="277">
        <f t="shared" si="5"/>
        <v>0</v>
      </c>
      <c r="H48" s="3">
        <f t="shared" si="11"/>
        <v>0</v>
      </c>
      <c r="I48" s="277">
        <f t="shared" si="7"/>
        <v>0</v>
      </c>
      <c r="J48" s="359" t="s">
        <v>110</v>
      </c>
      <c r="K48" s="359" t="s">
        <v>101</v>
      </c>
      <c r="L48" s="359"/>
      <c r="M48" s="338"/>
      <c r="N48" s="89">
        <v>40982</v>
      </c>
      <c r="O48" s="359">
        <v>43</v>
      </c>
      <c r="P48" s="359" t="s">
        <v>46</v>
      </c>
      <c r="Q48" s="359"/>
      <c r="R48" s="359"/>
      <c r="S48" s="359">
        <v>20</v>
      </c>
      <c r="T48" s="359">
        <v>55</v>
      </c>
      <c r="U48" s="359">
        <v>400</v>
      </c>
      <c r="V48" s="359"/>
      <c r="W48" s="359"/>
      <c r="X48" s="359"/>
      <c r="Y48" s="359">
        <v>47</v>
      </c>
      <c r="Z48" s="359"/>
      <c r="AA48" s="210"/>
      <c r="AB48" s="248"/>
      <c r="AC48" s="359"/>
      <c r="AD48" s="359"/>
      <c r="AE48" s="359"/>
      <c r="AF48" s="359"/>
      <c r="AG48" s="153"/>
      <c r="AH48" s="346">
        <v>836.72541453995905</v>
      </c>
      <c r="AI48" s="24"/>
      <c r="AJ48" s="24"/>
      <c r="AK48" s="24"/>
      <c r="AL48" s="24"/>
      <c r="AM48" s="359"/>
      <c r="AN48" s="24">
        <f t="shared" si="8"/>
        <v>0</v>
      </c>
      <c r="AO48" s="54">
        <f t="shared" si="9"/>
        <v>0</v>
      </c>
      <c r="AP48" s="261">
        <f t="shared" si="10"/>
        <v>0</v>
      </c>
      <c r="AQ48" s="338"/>
      <c r="AR48" s="45"/>
      <c r="AS48" s="359"/>
      <c r="AT48" s="359"/>
    </row>
    <row r="49" spans="1:46" ht="24">
      <c r="A49" s="359" t="s">
        <v>111</v>
      </c>
      <c r="B49" s="359" t="str">
        <f t="shared" si="0"/>
        <v>MgO</v>
      </c>
      <c r="C49" s="141">
        <f t="shared" si="1"/>
        <v>0</v>
      </c>
      <c r="D49" s="277">
        <f t="shared" si="2"/>
        <v>837.46950116916298</v>
      </c>
      <c r="E49" s="20">
        <f t="shared" si="3"/>
        <v>0</v>
      </c>
      <c r="F49" s="20">
        <f t="shared" si="4"/>
        <v>0</v>
      </c>
      <c r="G49" s="277">
        <f t="shared" si="5"/>
        <v>0</v>
      </c>
      <c r="H49" s="3">
        <f t="shared" si="11"/>
        <v>0</v>
      </c>
      <c r="I49" s="277">
        <f t="shared" si="7"/>
        <v>0</v>
      </c>
      <c r="J49" s="359" t="s">
        <v>110</v>
      </c>
      <c r="K49" s="359" t="s">
        <v>101</v>
      </c>
      <c r="L49" s="359"/>
      <c r="M49" s="338"/>
      <c r="N49" s="89">
        <v>40982</v>
      </c>
      <c r="O49" s="359">
        <v>43</v>
      </c>
      <c r="P49" s="359" t="s">
        <v>46</v>
      </c>
      <c r="Q49" s="359"/>
      <c r="R49" s="359"/>
      <c r="S49" s="359">
        <v>20</v>
      </c>
      <c r="T49" s="359">
        <v>55</v>
      </c>
      <c r="U49" s="359">
        <v>400</v>
      </c>
      <c r="V49" s="359"/>
      <c r="W49" s="359"/>
      <c r="X49" s="359"/>
      <c r="Y49" s="359">
        <v>47</v>
      </c>
      <c r="Z49" s="359"/>
      <c r="AA49" s="210"/>
      <c r="AB49" s="248"/>
      <c r="AC49" s="359"/>
      <c r="AD49" s="359"/>
      <c r="AE49" s="359"/>
      <c r="AF49" s="359"/>
      <c r="AG49" s="153"/>
      <c r="AH49" s="346">
        <v>837.46950116916298</v>
      </c>
      <c r="AI49" s="24"/>
      <c r="AJ49" s="24"/>
      <c r="AK49" s="24"/>
      <c r="AL49" s="24"/>
      <c r="AM49" s="359"/>
      <c r="AN49" s="24">
        <f t="shared" si="8"/>
        <v>0</v>
      </c>
      <c r="AO49" s="54">
        <f t="shared" si="9"/>
        <v>0</v>
      </c>
      <c r="AP49" s="261">
        <f t="shared" si="10"/>
        <v>0</v>
      </c>
      <c r="AQ49" s="338"/>
      <c r="AR49" s="45"/>
      <c r="AS49" s="359"/>
      <c r="AT49" s="359"/>
    </row>
    <row r="50" spans="1:46" ht="24">
      <c r="A50" s="359" t="s">
        <v>112</v>
      </c>
      <c r="B50" s="359" t="str">
        <f t="shared" si="0"/>
        <v>MgO</v>
      </c>
      <c r="C50" s="141">
        <f t="shared" si="1"/>
        <v>0</v>
      </c>
      <c r="D50" s="277">
        <f t="shared" si="2"/>
        <v>773.10600774301201</v>
      </c>
      <c r="E50" s="20">
        <f t="shared" si="3"/>
        <v>0</v>
      </c>
      <c r="F50" s="20">
        <f t="shared" si="4"/>
        <v>0</v>
      </c>
      <c r="G50" s="277">
        <f t="shared" si="5"/>
        <v>0</v>
      </c>
      <c r="H50" s="3">
        <f t="shared" si="11"/>
        <v>0</v>
      </c>
      <c r="I50" s="277">
        <f t="shared" si="7"/>
        <v>0</v>
      </c>
      <c r="J50" s="359" t="s">
        <v>110</v>
      </c>
      <c r="K50" s="359" t="s">
        <v>101</v>
      </c>
      <c r="L50" s="359"/>
      <c r="M50" s="338"/>
      <c r="N50" s="89">
        <v>40982</v>
      </c>
      <c r="O50" s="359">
        <v>43</v>
      </c>
      <c r="P50" s="359" t="s">
        <v>46</v>
      </c>
      <c r="Q50" s="359"/>
      <c r="R50" s="359"/>
      <c r="S50" s="359">
        <v>20</v>
      </c>
      <c r="T50" s="359">
        <v>55</v>
      </c>
      <c r="U50" s="359">
        <v>400</v>
      </c>
      <c r="V50" s="359"/>
      <c r="W50" s="359"/>
      <c r="X50" s="359"/>
      <c r="Y50" s="359">
        <v>47</v>
      </c>
      <c r="Z50" s="359"/>
      <c r="AA50" s="210"/>
      <c r="AB50" s="248"/>
      <c r="AC50" s="359"/>
      <c r="AD50" s="359"/>
      <c r="AE50" s="359"/>
      <c r="AF50" s="359"/>
      <c r="AG50" s="153"/>
      <c r="AH50" s="346">
        <v>773.10600774301201</v>
      </c>
      <c r="AI50" s="24"/>
      <c r="AJ50" s="24"/>
      <c r="AK50" s="24"/>
      <c r="AL50" s="24"/>
      <c r="AM50" s="359"/>
      <c r="AN50" s="24">
        <f t="shared" si="8"/>
        <v>0</v>
      </c>
      <c r="AO50" s="54">
        <f t="shared" si="9"/>
        <v>0</v>
      </c>
      <c r="AP50" s="261">
        <f t="shared" si="10"/>
        <v>0</v>
      </c>
      <c r="AQ50" s="338"/>
      <c r="AR50" s="45"/>
      <c r="AS50" s="359"/>
      <c r="AT50" s="359"/>
    </row>
    <row r="51" spans="1:46" ht="24">
      <c r="A51" s="359" t="s">
        <v>113</v>
      </c>
      <c r="B51" s="359" t="str">
        <f t="shared" si="0"/>
        <v>MgO</v>
      </c>
      <c r="C51" s="141">
        <f t="shared" si="1"/>
        <v>0</v>
      </c>
      <c r="D51" s="277">
        <f t="shared" si="2"/>
        <v>752.51961100170001</v>
      </c>
      <c r="E51" s="20">
        <f t="shared" si="3"/>
        <v>0</v>
      </c>
      <c r="F51" s="20">
        <f t="shared" si="4"/>
        <v>0</v>
      </c>
      <c r="G51" s="277">
        <f t="shared" si="5"/>
        <v>0</v>
      </c>
      <c r="H51" s="3">
        <f t="shared" si="11"/>
        <v>0</v>
      </c>
      <c r="I51" s="277">
        <f t="shared" si="7"/>
        <v>0</v>
      </c>
      <c r="J51" s="359" t="s">
        <v>110</v>
      </c>
      <c r="K51" s="359" t="s">
        <v>101</v>
      </c>
      <c r="L51" s="359"/>
      <c r="M51" s="338"/>
      <c r="N51" s="89">
        <v>40982</v>
      </c>
      <c r="O51" s="359">
        <v>43</v>
      </c>
      <c r="P51" s="359" t="s">
        <v>46</v>
      </c>
      <c r="Q51" s="359"/>
      <c r="R51" s="359"/>
      <c r="S51" s="359">
        <v>20</v>
      </c>
      <c r="T51" s="359">
        <v>55</v>
      </c>
      <c r="U51" s="359">
        <v>400</v>
      </c>
      <c r="V51" s="359"/>
      <c r="W51" s="359"/>
      <c r="X51" s="359"/>
      <c r="Y51" s="359">
        <v>47</v>
      </c>
      <c r="Z51" s="359"/>
      <c r="AA51" s="210"/>
      <c r="AB51" s="248"/>
      <c r="AC51" s="359"/>
      <c r="AD51" s="359"/>
      <c r="AE51" s="359"/>
      <c r="AF51" s="359"/>
      <c r="AG51" s="153"/>
      <c r="AH51" s="346">
        <v>752.51961100170001</v>
      </c>
      <c r="AI51" s="24"/>
      <c r="AJ51" s="24"/>
      <c r="AK51" s="24"/>
      <c r="AL51" s="24"/>
      <c r="AM51" s="359"/>
      <c r="AN51" s="24">
        <f t="shared" si="8"/>
        <v>0</v>
      </c>
      <c r="AO51" s="54">
        <f t="shared" si="9"/>
        <v>0</v>
      </c>
      <c r="AP51" s="261">
        <f t="shared" si="10"/>
        <v>0</v>
      </c>
      <c r="AQ51" s="338"/>
      <c r="AR51" s="45"/>
      <c r="AS51" s="359"/>
      <c r="AT51" s="359"/>
    </row>
    <row r="52" spans="1:46" ht="24">
      <c r="A52" s="359" t="s">
        <v>114</v>
      </c>
      <c r="B52" s="359" t="str">
        <f t="shared" si="0"/>
        <v>MgO</v>
      </c>
      <c r="C52" s="141">
        <f t="shared" si="1"/>
        <v>0</v>
      </c>
      <c r="D52" s="277">
        <f t="shared" si="2"/>
        <v>731.68518538398598</v>
      </c>
      <c r="E52" s="20">
        <f t="shared" si="3"/>
        <v>0</v>
      </c>
      <c r="F52" s="20">
        <f t="shared" si="4"/>
        <v>0</v>
      </c>
      <c r="G52" s="277">
        <f t="shared" si="5"/>
        <v>0</v>
      </c>
      <c r="H52" s="3">
        <f t="shared" si="11"/>
        <v>0</v>
      </c>
      <c r="I52" s="277">
        <f t="shared" si="7"/>
        <v>0</v>
      </c>
      <c r="J52" s="359" t="s">
        <v>110</v>
      </c>
      <c r="K52" s="359" t="s">
        <v>101</v>
      </c>
      <c r="L52" s="359"/>
      <c r="M52" s="338"/>
      <c r="N52" s="89">
        <v>40983</v>
      </c>
      <c r="O52" s="359">
        <v>44</v>
      </c>
      <c r="P52" s="359" t="s">
        <v>46</v>
      </c>
      <c r="Q52" s="359"/>
      <c r="R52" s="359"/>
      <c r="S52" s="359">
        <v>20</v>
      </c>
      <c r="T52" s="359">
        <v>55</v>
      </c>
      <c r="U52" s="359">
        <v>400</v>
      </c>
      <c r="V52" s="359"/>
      <c r="W52" s="359"/>
      <c r="X52" s="359"/>
      <c r="Y52" s="359">
        <v>47</v>
      </c>
      <c r="Z52" s="359"/>
      <c r="AA52" s="210"/>
      <c r="AB52" s="248"/>
      <c r="AC52" s="359"/>
      <c r="AD52" s="359"/>
      <c r="AE52" s="359"/>
      <c r="AF52" s="359"/>
      <c r="AG52" s="153"/>
      <c r="AH52" s="346">
        <v>731.68518538398598</v>
      </c>
      <c r="AI52" s="24"/>
      <c r="AJ52" s="24"/>
      <c r="AK52" s="24"/>
      <c r="AL52" s="24"/>
      <c r="AM52" s="359"/>
      <c r="AN52" s="24">
        <f t="shared" si="8"/>
        <v>0</v>
      </c>
      <c r="AO52" s="54">
        <f t="shared" si="9"/>
        <v>0</v>
      </c>
      <c r="AP52" s="261">
        <f t="shared" si="10"/>
        <v>0</v>
      </c>
      <c r="AQ52" s="338"/>
      <c r="AR52" s="45"/>
      <c r="AS52" s="359"/>
      <c r="AT52" s="359"/>
    </row>
    <row r="53" spans="1:46" ht="24">
      <c r="A53" s="359" t="s">
        <v>115</v>
      </c>
      <c r="B53" s="359" t="str">
        <f t="shared" si="0"/>
        <v>MgO</v>
      </c>
      <c r="C53" s="141">
        <f t="shared" si="1"/>
        <v>0</v>
      </c>
      <c r="D53" s="277">
        <f t="shared" si="2"/>
        <v>734.66153190080297</v>
      </c>
      <c r="E53" s="20">
        <f t="shared" si="3"/>
        <v>0</v>
      </c>
      <c r="F53" s="20">
        <f t="shared" si="4"/>
        <v>0</v>
      </c>
      <c r="G53" s="277">
        <f t="shared" si="5"/>
        <v>0</v>
      </c>
      <c r="H53" s="3">
        <f t="shared" si="11"/>
        <v>0</v>
      </c>
      <c r="I53" s="277">
        <f t="shared" si="7"/>
        <v>0</v>
      </c>
      <c r="J53" s="359" t="s">
        <v>110</v>
      </c>
      <c r="K53" s="359" t="s">
        <v>101</v>
      </c>
      <c r="L53" s="359"/>
      <c r="M53" s="338"/>
      <c r="N53" s="89">
        <v>40983</v>
      </c>
      <c r="O53" s="359">
        <v>44</v>
      </c>
      <c r="P53" s="359" t="s">
        <v>46</v>
      </c>
      <c r="Q53" s="359"/>
      <c r="R53" s="359"/>
      <c r="S53" s="359">
        <v>20</v>
      </c>
      <c r="T53" s="359">
        <v>55</v>
      </c>
      <c r="U53" s="359">
        <v>400</v>
      </c>
      <c r="V53" s="359"/>
      <c r="W53" s="359"/>
      <c r="X53" s="359"/>
      <c r="Y53" s="359">
        <v>47</v>
      </c>
      <c r="Z53" s="359"/>
      <c r="AA53" s="210"/>
      <c r="AB53" s="248"/>
      <c r="AC53" s="359"/>
      <c r="AD53" s="359"/>
      <c r="AE53" s="359"/>
      <c r="AF53" s="359"/>
      <c r="AG53" s="153"/>
      <c r="AH53" s="346">
        <v>734.66153190080297</v>
      </c>
      <c r="AI53" s="24"/>
      <c r="AJ53" s="24"/>
      <c r="AK53" s="24"/>
      <c r="AL53" s="24"/>
      <c r="AM53" s="359"/>
      <c r="AN53" s="24">
        <f t="shared" si="8"/>
        <v>0</v>
      </c>
      <c r="AO53" s="54">
        <f t="shared" si="9"/>
        <v>0</v>
      </c>
      <c r="AP53" s="261">
        <f t="shared" si="10"/>
        <v>0</v>
      </c>
      <c r="AQ53" s="338"/>
      <c r="AR53" s="45"/>
      <c r="AS53" s="359"/>
      <c r="AT53" s="359"/>
    </row>
    <row r="54" spans="1:46" ht="24">
      <c r="A54" s="359" t="s">
        <v>116</v>
      </c>
      <c r="B54" s="359" t="str">
        <f t="shared" si="0"/>
        <v>MgO</v>
      </c>
      <c r="C54" s="141">
        <f t="shared" si="1"/>
        <v>0</v>
      </c>
      <c r="D54" s="277">
        <f t="shared" si="2"/>
        <v>1981.3786791322</v>
      </c>
      <c r="E54" s="20">
        <f t="shared" si="3"/>
        <v>0</v>
      </c>
      <c r="F54" s="20">
        <f t="shared" si="4"/>
        <v>0</v>
      </c>
      <c r="G54" s="277">
        <f t="shared" si="5"/>
        <v>0</v>
      </c>
      <c r="H54" s="3">
        <f t="shared" si="11"/>
        <v>0</v>
      </c>
      <c r="I54" s="277">
        <f t="shared" si="7"/>
        <v>0</v>
      </c>
      <c r="J54" s="359" t="s">
        <v>110</v>
      </c>
      <c r="K54" s="359" t="s">
        <v>101</v>
      </c>
      <c r="L54" s="359"/>
      <c r="M54" s="338"/>
      <c r="N54" s="89">
        <v>40983</v>
      </c>
      <c r="O54" s="359">
        <v>44</v>
      </c>
      <c r="P54" s="359" t="s">
        <v>46</v>
      </c>
      <c r="Q54" s="359"/>
      <c r="R54" s="359"/>
      <c r="S54" s="359">
        <v>20</v>
      </c>
      <c r="T54" s="359">
        <v>55</v>
      </c>
      <c r="U54" s="359">
        <v>400</v>
      </c>
      <c r="V54" s="359"/>
      <c r="W54" s="359"/>
      <c r="X54" s="359"/>
      <c r="Y54" s="359">
        <v>47</v>
      </c>
      <c r="Z54" s="359"/>
      <c r="AA54" s="210"/>
      <c r="AB54" s="248"/>
      <c r="AC54" s="359"/>
      <c r="AD54" s="359"/>
      <c r="AE54" s="359"/>
      <c r="AF54" s="359"/>
      <c r="AG54" s="153"/>
      <c r="AH54" s="346">
        <v>1981.3786791322</v>
      </c>
      <c r="AI54" s="24"/>
      <c r="AJ54" s="24"/>
      <c r="AK54" s="24"/>
      <c r="AL54" s="24"/>
      <c r="AM54" s="359"/>
      <c r="AN54" s="24">
        <f t="shared" si="8"/>
        <v>0</v>
      </c>
      <c r="AO54" s="54">
        <f t="shared" si="9"/>
        <v>0</v>
      </c>
      <c r="AP54" s="261">
        <f t="shared" si="10"/>
        <v>0</v>
      </c>
      <c r="AQ54" s="338"/>
      <c r="AR54" s="45"/>
      <c r="AS54" s="359"/>
      <c r="AT54" s="359"/>
    </row>
    <row r="55" spans="1:46" ht="24">
      <c r="A55" s="359" t="s">
        <v>117</v>
      </c>
      <c r="B55" s="359" t="str">
        <f t="shared" si="0"/>
        <v>MgO</v>
      </c>
      <c r="C55" s="141">
        <f t="shared" si="1"/>
        <v>0</v>
      </c>
      <c r="D55" s="277">
        <f t="shared" si="2"/>
        <v>751.27946661969304</v>
      </c>
      <c r="E55" s="20">
        <f t="shared" si="3"/>
        <v>0</v>
      </c>
      <c r="F55" s="20">
        <f t="shared" si="4"/>
        <v>0</v>
      </c>
      <c r="G55" s="277">
        <f t="shared" si="5"/>
        <v>0</v>
      </c>
      <c r="H55" s="3">
        <f t="shared" si="11"/>
        <v>0</v>
      </c>
      <c r="I55" s="277">
        <f t="shared" si="7"/>
        <v>0</v>
      </c>
      <c r="J55" s="359" t="s">
        <v>110</v>
      </c>
      <c r="K55" s="359" t="s">
        <v>101</v>
      </c>
      <c r="L55" s="359"/>
      <c r="M55" s="338"/>
      <c r="N55" s="89">
        <v>40983</v>
      </c>
      <c r="O55" s="359">
        <v>44</v>
      </c>
      <c r="P55" s="359" t="s">
        <v>46</v>
      </c>
      <c r="Q55" s="359"/>
      <c r="R55" s="359"/>
      <c r="S55" s="359">
        <v>20</v>
      </c>
      <c r="T55" s="359">
        <v>55</v>
      </c>
      <c r="U55" s="359">
        <v>400</v>
      </c>
      <c r="V55" s="359"/>
      <c r="W55" s="359"/>
      <c r="X55" s="359"/>
      <c r="Y55" s="359">
        <v>47</v>
      </c>
      <c r="Z55" s="359"/>
      <c r="AA55" s="210"/>
      <c r="AB55" s="248"/>
      <c r="AC55" s="359"/>
      <c r="AD55" s="359"/>
      <c r="AE55" s="359"/>
      <c r="AF55" s="359"/>
      <c r="AG55" s="153"/>
      <c r="AH55" s="346">
        <v>751.27946661969304</v>
      </c>
      <c r="AI55" s="24"/>
      <c r="AJ55" s="24"/>
      <c r="AK55" s="24"/>
      <c r="AL55" s="24"/>
      <c r="AM55" s="359"/>
      <c r="AN55" s="24">
        <f t="shared" si="8"/>
        <v>0</v>
      </c>
      <c r="AO55" s="54">
        <f t="shared" si="9"/>
        <v>0</v>
      </c>
      <c r="AP55" s="261">
        <f t="shared" si="10"/>
        <v>0</v>
      </c>
      <c r="AQ55" s="338"/>
      <c r="AR55" s="45"/>
      <c r="AS55" s="359"/>
      <c r="AT55" s="359"/>
    </row>
    <row r="56" spans="1:46" ht="12">
      <c r="A56" s="359" t="s">
        <v>118</v>
      </c>
      <c r="B56" s="359" t="str">
        <f t="shared" si="0"/>
        <v>MgO</v>
      </c>
      <c r="C56" s="141">
        <f t="shared" si="1"/>
        <v>4.6399999999999997</v>
      </c>
      <c r="D56" s="277">
        <f t="shared" si="2"/>
        <v>723.25220358634101</v>
      </c>
      <c r="E56" s="20">
        <f t="shared" si="3"/>
        <v>0</v>
      </c>
      <c r="F56" s="20">
        <f t="shared" si="4"/>
        <v>0</v>
      </c>
      <c r="G56" s="277">
        <f t="shared" si="5"/>
        <v>335.58902246406217</v>
      </c>
      <c r="H56" s="3">
        <f t="shared" si="11"/>
        <v>0</v>
      </c>
      <c r="I56" s="277">
        <f t="shared" si="7"/>
        <v>0</v>
      </c>
      <c r="J56" s="359" t="s">
        <v>119</v>
      </c>
      <c r="K56" s="359" t="s">
        <v>101</v>
      </c>
      <c r="L56" s="359"/>
      <c r="M56" s="338"/>
      <c r="N56" s="89">
        <v>40984</v>
      </c>
      <c r="O56" s="359">
        <v>45</v>
      </c>
      <c r="P56" s="359" t="s">
        <v>46</v>
      </c>
      <c r="Q56" s="359"/>
      <c r="R56" s="359"/>
      <c r="S56" s="359">
        <v>20</v>
      </c>
      <c r="T56" s="359">
        <v>55</v>
      </c>
      <c r="U56" s="359">
        <v>400</v>
      </c>
      <c r="V56" s="359"/>
      <c r="W56" s="359"/>
      <c r="X56" s="359"/>
      <c r="Y56" s="359">
        <v>47</v>
      </c>
      <c r="Z56" s="359"/>
      <c r="AA56" s="210"/>
      <c r="AB56" s="248">
        <v>0.15029999999999999</v>
      </c>
      <c r="AC56" s="359">
        <v>0.57179999999999997</v>
      </c>
      <c r="AD56" s="359">
        <v>0.27789999999999998</v>
      </c>
      <c r="AE56" s="359" t="s">
        <v>47</v>
      </c>
      <c r="AF56" s="359">
        <v>4.6399999999999997</v>
      </c>
      <c r="AG56" s="153"/>
      <c r="AH56" s="346">
        <v>723.25220358634101</v>
      </c>
      <c r="AI56" s="24"/>
      <c r="AJ56" s="24"/>
      <c r="AK56" s="24"/>
      <c r="AL56" s="24"/>
      <c r="AM56" s="359"/>
      <c r="AN56" s="24">
        <f t="shared" si="8"/>
        <v>335.58902246406217</v>
      </c>
      <c r="AO56" s="54">
        <f t="shared" si="9"/>
        <v>0</v>
      </c>
      <c r="AP56" s="261">
        <f t="shared" si="10"/>
        <v>5.0618181818181816</v>
      </c>
      <c r="AQ56" s="338"/>
      <c r="AR56" s="45"/>
      <c r="AS56" s="359"/>
      <c r="AT56" s="359"/>
    </row>
    <row r="57" spans="1:46" ht="12">
      <c r="A57" s="359" t="s">
        <v>120</v>
      </c>
      <c r="B57" s="359" t="str">
        <f t="shared" si="0"/>
        <v>MgO</v>
      </c>
      <c r="C57" s="141">
        <f t="shared" si="1"/>
        <v>4.67</v>
      </c>
      <c r="D57" s="277">
        <f t="shared" si="2"/>
        <v>740.490210496234</v>
      </c>
      <c r="E57" s="20">
        <f t="shared" si="3"/>
        <v>0</v>
      </c>
      <c r="F57" s="20">
        <f t="shared" si="4"/>
        <v>0</v>
      </c>
      <c r="G57" s="277">
        <f t="shared" si="5"/>
        <v>345.80892830174128</v>
      </c>
      <c r="H57" s="3">
        <f t="shared" si="11"/>
        <v>0</v>
      </c>
      <c r="I57" s="277">
        <f t="shared" si="7"/>
        <v>0</v>
      </c>
      <c r="J57" s="359" t="s">
        <v>119</v>
      </c>
      <c r="K57" s="359" t="s">
        <v>101</v>
      </c>
      <c r="L57" s="359"/>
      <c r="M57" s="338"/>
      <c r="N57" s="89">
        <v>40984</v>
      </c>
      <c r="O57" s="359">
        <v>45</v>
      </c>
      <c r="P57" s="359" t="s">
        <v>46</v>
      </c>
      <c r="Q57" s="359"/>
      <c r="R57" s="359"/>
      <c r="S57" s="359">
        <v>20</v>
      </c>
      <c r="T57" s="359">
        <v>55</v>
      </c>
      <c r="U57" s="359">
        <v>400</v>
      </c>
      <c r="V57" s="359"/>
      <c r="W57" s="359"/>
      <c r="X57" s="359"/>
      <c r="Y57" s="359">
        <v>47</v>
      </c>
      <c r="Z57" s="359"/>
      <c r="AA57" s="210"/>
      <c r="AB57" s="248">
        <v>0.1774</v>
      </c>
      <c r="AC57" s="359">
        <v>0.57040000000000002</v>
      </c>
      <c r="AD57" s="359">
        <v>0.25209999999999999</v>
      </c>
      <c r="AE57" s="359" t="s">
        <v>47</v>
      </c>
      <c r="AF57" s="359">
        <v>4.67</v>
      </c>
      <c r="AG57" s="153"/>
      <c r="AH57" s="346">
        <v>740.490210496234</v>
      </c>
      <c r="AI57" s="24"/>
      <c r="AJ57" s="24"/>
      <c r="AK57" s="24"/>
      <c r="AL57" s="24"/>
      <c r="AM57" s="359"/>
      <c r="AN57" s="24">
        <f t="shared" si="8"/>
        <v>345.80892830174128</v>
      </c>
      <c r="AO57" s="54">
        <f t="shared" si="9"/>
        <v>0</v>
      </c>
      <c r="AP57" s="261">
        <f t="shared" si="10"/>
        <v>5.0945454545454547</v>
      </c>
      <c r="AQ57" s="338"/>
      <c r="AR57" s="45"/>
      <c r="AS57" s="359"/>
      <c r="AT57" s="359"/>
    </row>
    <row r="58" spans="1:46" ht="12">
      <c r="A58" s="359" t="s">
        <v>121</v>
      </c>
      <c r="B58" s="359" t="str">
        <f t="shared" si="0"/>
        <v>MgO</v>
      </c>
      <c r="C58" s="141">
        <f t="shared" si="1"/>
        <v>4.71</v>
      </c>
      <c r="D58" s="277">
        <f t="shared" si="2"/>
        <v>738.62999392322399</v>
      </c>
      <c r="E58" s="20">
        <f t="shared" si="3"/>
        <v>0</v>
      </c>
      <c r="F58" s="20">
        <f t="shared" si="4"/>
        <v>0</v>
      </c>
      <c r="G58" s="277">
        <f t="shared" si="5"/>
        <v>347.89472713783846</v>
      </c>
      <c r="H58" s="3">
        <f t="shared" si="11"/>
        <v>0</v>
      </c>
      <c r="I58" s="277">
        <f t="shared" si="7"/>
        <v>0</v>
      </c>
      <c r="J58" s="359" t="s">
        <v>119</v>
      </c>
      <c r="K58" s="359" t="s">
        <v>101</v>
      </c>
      <c r="L58" s="359"/>
      <c r="M58" s="338"/>
      <c r="N58" s="89">
        <v>40984</v>
      </c>
      <c r="O58" s="359">
        <v>45</v>
      </c>
      <c r="P58" s="359" t="s">
        <v>46</v>
      </c>
      <c r="Q58" s="359"/>
      <c r="R58" s="359"/>
      <c r="S58" s="359">
        <v>20</v>
      </c>
      <c r="T58" s="359">
        <v>55</v>
      </c>
      <c r="U58" s="359">
        <v>400</v>
      </c>
      <c r="V58" s="359"/>
      <c r="W58" s="359"/>
      <c r="X58" s="359"/>
      <c r="Y58" s="359">
        <v>47</v>
      </c>
      <c r="Z58" s="359"/>
      <c r="AA58" s="210"/>
      <c r="AB58" s="248">
        <v>0.17680000000000001</v>
      </c>
      <c r="AC58" s="359">
        <v>0.56820000000000004</v>
      </c>
      <c r="AD58" s="359">
        <v>0.255</v>
      </c>
      <c r="AE58" s="359" t="s">
        <v>47</v>
      </c>
      <c r="AF58" s="359">
        <v>4.71</v>
      </c>
      <c r="AG58" s="153"/>
      <c r="AH58" s="346">
        <v>738.62999392322399</v>
      </c>
      <c r="AI58" s="24"/>
      <c r="AJ58" s="24"/>
      <c r="AK58" s="24"/>
      <c r="AL58" s="24"/>
      <c r="AM58" s="359"/>
      <c r="AN58" s="24">
        <f t="shared" si="8"/>
        <v>347.89472713783846</v>
      </c>
      <c r="AO58" s="54">
        <f t="shared" si="9"/>
        <v>0</v>
      </c>
      <c r="AP58" s="261">
        <f t="shared" si="10"/>
        <v>5.1381818181818177</v>
      </c>
      <c r="AQ58" s="338"/>
      <c r="AR58" s="45"/>
      <c r="AS58" s="359"/>
      <c r="AT58" s="359"/>
    </row>
    <row r="59" spans="1:46" ht="24">
      <c r="A59" s="359" t="s">
        <v>122</v>
      </c>
      <c r="B59" s="359" t="str">
        <f t="shared" si="0"/>
        <v>MgO</v>
      </c>
      <c r="C59" s="141">
        <f t="shared" si="1"/>
        <v>4.62</v>
      </c>
      <c r="D59" s="277">
        <f t="shared" si="2"/>
        <v>671.04212510385605</v>
      </c>
      <c r="E59" s="20">
        <f t="shared" si="3"/>
        <v>0</v>
      </c>
      <c r="F59" s="20">
        <f t="shared" si="4"/>
        <v>0</v>
      </c>
      <c r="G59" s="277">
        <f t="shared" si="5"/>
        <v>310.02146179798149</v>
      </c>
      <c r="H59" s="3">
        <f t="shared" si="11"/>
        <v>0</v>
      </c>
      <c r="I59" s="277">
        <f t="shared" si="7"/>
        <v>0</v>
      </c>
      <c r="J59" s="359" t="s">
        <v>110</v>
      </c>
      <c r="K59" s="359" t="s">
        <v>101</v>
      </c>
      <c r="L59" s="359"/>
      <c r="M59" s="338"/>
      <c r="N59" s="89">
        <v>40984</v>
      </c>
      <c r="O59" s="359">
        <v>45</v>
      </c>
      <c r="P59" s="359" t="s">
        <v>46</v>
      </c>
      <c r="Q59" s="359"/>
      <c r="R59" s="359"/>
      <c r="S59" s="359">
        <v>20</v>
      </c>
      <c r="T59" s="359">
        <v>55</v>
      </c>
      <c r="U59" s="359">
        <v>400</v>
      </c>
      <c r="V59" s="359"/>
      <c r="W59" s="359"/>
      <c r="X59" s="359"/>
      <c r="Y59" s="359">
        <v>47</v>
      </c>
      <c r="Z59" s="359"/>
      <c r="AA59" s="210"/>
      <c r="AB59" s="248">
        <v>0.18459999999999999</v>
      </c>
      <c r="AC59" s="359">
        <v>0.57240000000000002</v>
      </c>
      <c r="AD59" s="359">
        <v>0.2429</v>
      </c>
      <c r="AE59" s="359" t="s">
        <v>47</v>
      </c>
      <c r="AF59" s="359">
        <v>4.62</v>
      </c>
      <c r="AG59" s="153"/>
      <c r="AH59" s="346">
        <v>671.04212510385605</v>
      </c>
      <c r="AI59" s="24"/>
      <c r="AJ59" s="24"/>
      <c r="AK59" s="24"/>
      <c r="AL59" s="24"/>
      <c r="AM59" s="359"/>
      <c r="AN59" s="24">
        <f t="shared" si="8"/>
        <v>310.02146179798149</v>
      </c>
      <c r="AO59" s="54">
        <f t="shared" si="9"/>
        <v>0</v>
      </c>
      <c r="AP59" s="261">
        <f t="shared" si="10"/>
        <v>5.04</v>
      </c>
      <c r="AQ59" s="338"/>
      <c r="AR59" s="45"/>
      <c r="AS59" s="359"/>
      <c r="AT59" s="359"/>
    </row>
    <row r="60" spans="1:46" ht="24">
      <c r="A60" s="359" t="s">
        <v>123</v>
      </c>
      <c r="B60" s="359" t="str">
        <f t="shared" si="0"/>
        <v>MgO</v>
      </c>
      <c r="C60" s="141">
        <f t="shared" si="1"/>
        <v>0</v>
      </c>
      <c r="D60" s="277">
        <f t="shared" si="2"/>
        <v>742.35042706924503</v>
      </c>
      <c r="E60" s="20">
        <f t="shared" si="3"/>
        <v>0</v>
      </c>
      <c r="F60" s="20">
        <f t="shared" si="4"/>
        <v>0</v>
      </c>
      <c r="G60" s="277">
        <f t="shared" si="5"/>
        <v>0</v>
      </c>
      <c r="H60" s="3">
        <f t="shared" si="11"/>
        <v>0</v>
      </c>
      <c r="I60" s="277">
        <f t="shared" si="7"/>
        <v>0</v>
      </c>
      <c r="J60" s="359" t="s">
        <v>110</v>
      </c>
      <c r="K60" s="359" t="s">
        <v>101</v>
      </c>
      <c r="L60" s="359"/>
      <c r="M60" s="338"/>
      <c r="N60" s="89">
        <v>40984</v>
      </c>
      <c r="O60" s="359">
        <v>46</v>
      </c>
      <c r="P60" s="359" t="s">
        <v>46</v>
      </c>
      <c r="Q60" s="359"/>
      <c r="R60" s="359"/>
      <c r="S60" s="359">
        <v>20</v>
      </c>
      <c r="T60" s="359">
        <v>55</v>
      </c>
      <c r="U60" s="359">
        <v>400</v>
      </c>
      <c r="V60" s="359"/>
      <c r="W60" s="359"/>
      <c r="X60" s="359"/>
      <c r="Y60" s="359">
        <v>47</v>
      </c>
      <c r="Z60" s="359"/>
      <c r="AA60" s="210"/>
      <c r="AB60" s="248"/>
      <c r="AC60" s="359"/>
      <c r="AD60" s="359"/>
      <c r="AE60" s="359"/>
      <c r="AF60" s="359"/>
      <c r="AG60" s="153"/>
      <c r="AH60" s="346">
        <v>742.35042706924503</v>
      </c>
      <c r="AI60" s="24"/>
      <c r="AJ60" s="24"/>
      <c r="AK60" s="24"/>
      <c r="AL60" s="24"/>
      <c r="AM60" s="359"/>
      <c r="AN60" s="24">
        <f t="shared" si="8"/>
        <v>0</v>
      </c>
      <c r="AO60" s="54">
        <f t="shared" si="9"/>
        <v>0</v>
      </c>
      <c r="AP60" s="261">
        <f t="shared" si="10"/>
        <v>0</v>
      </c>
      <c r="AQ60" s="338"/>
      <c r="AR60" s="45"/>
      <c r="AS60" s="359"/>
      <c r="AT60" s="359"/>
    </row>
    <row r="61" spans="1:46" ht="24">
      <c r="A61" s="359" t="s">
        <v>124</v>
      </c>
      <c r="B61" s="359" t="str">
        <f t="shared" si="0"/>
        <v>MgO</v>
      </c>
      <c r="C61" s="141">
        <f t="shared" si="1"/>
        <v>0</v>
      </c>
      <c r="D61" s="277">
        <f t="shared" si="2"/>
        <v>761.57266499034904</v>
      </c>
      <c r="E61" s="20">
        <f t="shared" si="3"/>
        <v>0</v>
      </c>
      <c r="F61" s="20">
        <f t="shared" si="4"/>
        <v>0</v>
      </c>
      <c r="G61" s="277">
        <f t="shared" si="5"/>
        <v>0</v>
      </c>
      <c r="H61" s="3">
        <f t="shared" si="11"/>
        <v>0</v>
      </c>
      <c r="I61" s="277">
        <f t="shared" si="7"/>
        <v>0</v>
      </c>
      <c r="J61" s="359" t="s">
        <v>110</v>
      </c>
      <c r="K61" s="359" t="s">
        <v>101</v>
      </c>
      <c r="L61" s="359"/>
      <c r="M61" s="338"/>
      <c r="N61" s="89">
        <v>40984</v>
      </c>
      <c r="O61" s="359">
        <v>46</v>
      </c>
      <c r="P61" s="359" t="s">
        <v>46</v>
      </c>
      <c r="Q61" s="359"/>
      <c r="R61" s="359"/>
      <c r="S61" s="359">
        <v>20</v>
      </c>
      <c r="T61" s="359">
        <v>55</v>
      </c>
      <c r="U61" s="359">
        <v>400</v>
      </c>
      <c r="V61" s="359"/>
      <c r="W61" s="359"/>
      <c r="X61" s="359"/>
      <c r="Y61" s="359">
        <v>47</v>
      </c>
      <c r="Z61" s="359"/>
      <c r="AA61" s="210"/>
      <c r="AB61" s="248"/>
      <c r="AC61" s="359"/>
      <c r="AD61" s="359"/>
      <c r="AE61" s="359"/>
      <c r="AF61" s="359"/>
      <c r="AG61" s="153"/>
      <c r="AH61" s="346">
        <v>761.57266499034904</v>
      </c>
      <c r="AI61" s="24"/>
      <c r="AJ61" s="24"/>
      <c r="AK61" s="24"/>
      <c r="AL61" s="24"/>
      <c r="AM61" s="359"/>
      <c r="AN61" s="24">
        <f t="shared" si="8"/>
        <v>0</v>
      </c>
      <c r="AO61" s="54">
        <f t="shared" si="9"/>
        <v>0</v>
      </c>
      <c r="AP61" s="261">
        <f t="shared" si="10"/>
        <v>0</v>
      </c>
      <c r="AQ61" s="338"/>
      <c r="AR61" s="45"/>
      <c r="AS61" s="359"/>
      <c r="AT61" s="359"/>
    </row>
    <row r="62" spans="1:46" ht="24">
      <c r="A62" s="359" t="s">
        <v>125</v>
      </c>
      <c r="B62" s="359" t="str">
        <f t="shared" si="0"/>
        <v>MgO</v>
      </c>
      <c r="C62" s="141">
        <f t="shared" si="1"/>
        <v>0</v>
      </c>
      <c r="D62" s="277">
        <f t="shared" si="2"/>
        <v>729.45292549637395</v>
      </c>
      <c r="E62" s="20">
        <f t="shared" si="3"/>
        <v>0</v>
      </c>
      <c r="F62" s="20">
        <f t="shared" si="4"/>
        <v>0</v>
      </c>
      <c r="G62" s="277">
        <f t="shared" si="5"/>
        <v>0</v>
      </c>
      <c r="H62" s="3">
        <f t="shared" si="11"/>
        <v>0</v>
      </c>
      <c r="I62" s="277">
        <f t="shared" si="7"/>
        <v>0</v>
      </c>
      <c r="J62" s="359" t="s">
        <v>110</v>
      </c>
      <c r="K62" s="359" t="s">
        <v>101</v>
      </c>
      <c r="L62" s="359"/>
      <c r="M62" s="338"/>
      <c r="N62" s="89">
        <v>40984</v>
      </c>
      <c r="O62" s="359">
        <v>46</v>
      </c>
      <c r="P62" s="359" t="s">
        <v>46</v>
      </c>
      <c r="Q62" s="359"/>
      <c r="R62" s="359"/>
      <c r="S62" s="359">
        <v>20</v>
      </c>
      <c r="T62" s="359">
        <v>55</v>
      </c>
      <c r="U62" s="359">
        <v>400</v>
      </c>
      <c r="V62" s="359"/>
      <c r="W62" s="359"/>
      <c r="X62" s="359"/>
      <c r="Y62" s="359">
        <v>47</v>
      </c>
      <c r="Z62" s="359"/>
      <c r="AA62" s="210"/>
      <c r="AB62" s="248"/>
      <c r="AC62" s="134"/>
      <c r="AD62" s="359"/>
      <c r="AE62" s="359"/>
      <c r="AF62" s="359"/>
      <c r="AG62" s="153"/>
      <c r="AH62" s="346">
        <v>729.45292549637395</v>
      </c>
      <c r="AI62" s="24"/>
      <c r="AJ62" s="24"/>
      <c r="AK62" s="24"/>
      <c r="AL62" s="24"/>
      <c r="AM62" s="359"/>
      <c r="AN62" s="24">
        <f t="shared" si="8"/>
        <v>0</v>
      </c>
      <c r="AO62" s="54">
        <f t="shared" si="9"/>
        <v>0</v>
      </c>
      <c r="AP62" s="261">
        <f t="shared" si="10"/>
        <v>0</v>
      </c>
      <c r="AQ62" s="338"/>
      <c r="AR62" s="45"/>
      <c r="AS62" s="359"/>
      <c r="AT62" s="359"/>
    </row>
    <row r="63" spans="1:46" ht="24">
      <c r="A63" s="359" t="s">
        <v>126</v>
      </c>
      <c r="B63" s="359" t="str">
        <f t="shared" si="0"/>
        <v>MgO</v>
      </c>
      <c r="C63" s="141">
        <f t="shared" si="1"/>
        <v>0</v>
      </c>
      <c r="D63" s="277">
        <f t="shared" si="2"/>
        <v>674.14248605887303</v>
      </c>
      <c r="E63" s="20">
        <f t="shared" si="3"/>
        <v>0</v>
      </c>
      <c r="F63" s="20">
        <f t="shared" si="4"/>
        <v>0</v>
      </c>
      <c r="G63" s="277">
        <f t="shared" si="5"/>
        <v>0</v>
      </c>
      <c r="H63" s="3">
        <f t="shared" si="11"/>
        <v>0</v>
      </c>
      <c r="I63" s="277">
        <f t="shared" si="7"/>
        <v>0</v>
      </c>
      <c r="J63" s="359" t="s">
        <v>110</v>
      </c>
      <c r="K63" s="359" t="s">
        <v>101</v>
      </c>
      <c r="L63" s="359"/>
      <c r="M63" s="338"/>
      <c r="N63" s="89">
        <v>40984</v>
      </c>
      <c r="O63" s="359">
        <v>46</v>
      </c>
      <c r="P63" s="359" t="s">
        <v>46</v>
      </c>
      <c r="Q63" s="359"/>
      <c r="R63" s="359"/>
      <c r="S63" s="359">
        <v>20</v>
      </c>
      <c r="T63" s="359">
        <v>55</v>
      </c>
      <c r="U63" s="359">
        <v>400</v>
      </c>
      <c r="V63" s="359"/>
      <c r="W63" s="359"/>
      <c r="X63" s="359"/>
      <c r="Y63" s="359">
        <v>47</v>
      </c>
      <c r="Z63" s="359"/>
      <c r="AA63" s="210"/>
      <c r="AB63" s="248"/>
      <c r="AC63" s="134"/>
      <c r="AD63" s="359"/>
      <c r="AE63" s="359"/>
      <c r="AF63" s="359"/>
      <c r="AG63" s="153"/>
      <c r="AH63" s="346">
        <v>674.14248605887303</v>
      </c>
      <c r="AI63" s="24"/>
      <c r="AJ63" s="24"/>
      <c r="AK63" s="24"/>
      <c r="AL63" s="24"/>
      <c r="AM63" s="359"/>
      <c r="AN63" s="24">
        <f t="shared" si="8"/>
        <v>0</v>
      </c>
      <c r="AO63" s="54">
        <f t="shared" si="9"/>
        <v>0</v>
      </c>
      <c r="AP63" s="261">
        <f t="shared" si="10"/>
        <v>0</v>
      </c>
      <c r="AQ63" s="338"/>
      <c r="AR63" s="45"/>
      <c r="AS63" s="359"/>
      <c r="AT63" s="359"/>
    </row>
    <row r="64" spans="1:46" ht="24">
      <c r="A64" s="359" t="s">
        <v>127</v>
      </c>
      <c r="B64" s="359" t="str">
        <f t="shared" si="0"/>
        <v>MgO</v>
      </c>
      <c r="C64" s="141">
        <f t="shared" si="1"/>
        <v>3.48</v>
      </c>
      <c r="D64" s="277">
        <f t="shared" si="2"/>
        <v>1367.50721003885</v>
      </c>
      <c r="E64" s="20">
        <f t="shared" si="3"/>
        <v>0</v>
      </c>
      <c r="F64" s="20">
        <f t="shared" si="4"/>
        <v>0</v>
      </c>
      <c r="G64" s="277">
        <f t="shared" si="5"/>
        <v>475.89250909351978</v>
      </c>
      <c r="H64" s="3">
        <f t="shared" si="11"/>
        <v>0</v>
      </c>
      <c r="I64" s="277">
        <f t="shared" si="7"/>
        <v>0</v>
      </c>
      <c r="J64" s="359" t="s">
        <v>110</v>
      </c>
      <c r="K64" s="359" t="s">
        <v>101</v>
      </c>
      <c r="L64" s="359"/>
      <c r="M64" s="338"/>
      <c r="N64" s="89">
        <v>40984</v>
      </c>
      <c r="O64" s="359">
        <v>47</v>
      </c>
      <c r="P64" s="359" t="s">
        <v>46</v>
      </c>
      <c r="Q64" s="359"/>
      <c r="R64" s="359"/>
      <c r="S64" s="359">
        <v>20</v>
      </c>
      <c r="T64" s="359">
        <v>55</v>
      </c>
      <c r="U64" s="359">
        <v>400</v>
      </c>
      <c r="V64" s="359"/>
      <c r="W64" s="359"/>
      <c r="X64" s="359"/>
      <c r="Y64" s="359">
        <v>47</v>
      </c>
      <c r="Z64" s="359"/>
      <c r="AA64" s="210"/>
      <c r="AB64" s="248">
        <v>0.16189999999999999</v>
      </c>
      <c r="AC64" s="134">
        <v>0.63029999999999997</v>
      </c>
      <c r="AD64" s="359">
        <v>0.20780000000000001</v>
      </c>
      <c r="AE64" s="359" t="s">
        <v>47</v>
      </c>
      <c r="AF64" s="359">
        <v>3.48</v>
      </c>
      <c r="AG64" s="153"/>
      <c r="AH64" s="346">
        <v>1367.50721003885</v>
      </c>
      <c r="AI64" s="24"/>
      <c r="AJ64" s="24"/>
      <c r="AK64" s="24"/>
      <c r="AL64" s="24"/>
      <c r="AM64" s="359"/>
      <c r="AN64" s="24">
        <f t="shared" si="8"/>
        <v>475.89250909351978</v>
      </c>
      <c r="AO64" s="54">
        <f t="shared" si="9"/>
        <v>0</v>
      </c>
      <c r="AP64" s="261">
        <f t="shared" si="10"/>
        <v>3.7963636363636364</v>
      </c>
      <c r="AQ64" s="338"/>
      <c r="AR64" s="45"/>
      <c r="AS64" s="359"/>
      <c r="AT64" s="359"/>
    </row>
    <row r="65" spans="1:46" ht="24">
      <c r="A65" s="359" t="s">
        <v>128</v>
      </c>
      <c r="B65" s="359" t="str">
        <f t="shared" si="0"/>
        <v>MgO</v>
      </c>
      <c r="C65" s="141">
        <f t="shared" si="1"/>
        <v>3.86</v>
      </c>
      <c r="D65" s="277">
        <f t="shared" si="2"/>
        <v>1281.0691466129799</v>
      </c>
      <c r="E65" s="20">
        <f t="shared" si="3"/>
        <v>0</v>
      </c>
      <c r="F65" s="20">
        <f t="shared" si="4"/>
        <v>0</v>
      </c>
      <c r="G65" s="277">
        <f t="shared" si="5"/>
        <v>494.49269059261024</v>
      </c>
      <c r="H65" s="3">
        <f t="shared" si="11"/>
        <v>0</v>
      </c>
      <c r="I65" s="277">
        <f t="shared" si="7"/>
        <v>0</v>
      </c>
      <c r="J65" s="359" t="s">
        <v>110</v>
      </c>
      <c r="K65" s="359" t="s">
        <v>101</v>
      </c>
      <c r="L65" s="359"/>
      <c r="M65" s="338"/>
      <c r="N65" s="89">
        <v>40984</v>
      </c>
      <c r="O65" s="359">
        <v>47</v>
      </c>
      <c r="P65" s="359" t="s">
        <v>46</v>
      </c>
      <c r="Q65" s="359"/>
      <c r="R65" s="359"/>
      <c r="S65" s="359">
        <v>20</v>
      </c>
      <c r="T65" s="359">
        <v>55</v>
      </c>
      <c r="U65" s="359">
        <v>400</v>
      </c>
      <c r="V65" s="359"/>
      <c r="W65" s="359"/>
      <c r="X65" s="359"/>
      <c r="Y65" s="359">
        <v>47</v>
      </c>
      <c r="Z65" s="359"/>
      <c r="AA65" s="210"/>
      <c r="AB65" s="248">
        <v>0.1326</v>
      </c>
      <c r="AC65" s="134">
        <v>0.60970000000000002</v>
      </c>
      <c r="AD65" s="359">
        <v>0.25769999999999998</v>
      </c>
      <c r="AE65" s="359" t="s">
        <v>47</v>
      </c>
      <c r="AF65" s="359">
        <v>3.86</v>
      </c>
      <c r="AG65" s="153"/>
      <c r="AH65" s="346">
        <v>1281.0691466129799</v>
      </c>
      <c r="AI65" s="24"/>
      <c r="AJ65" s="24"/>
      <c r="AK65" s="24"/>
      <c r="AL65" s="24"/>
      <c r="AM65" s="359"/>
      <c r="AN65" s="24">
        <f t="shared" si="8"/>
        <v>494.49269059261024</v>
      </c>
      <c r="AO65" s="54">
        <f t="shared" si="9"/>
        <v>0</v>
      </c>
      <c r="AP65" s="261">
        <f t="shared" si="10"/>
        <v>4.2109090909090909</v>
      </c>
      <c r="AQ65" s="338"/>
      <c r="AR65" s="45"/>
      <c r="AS65" s="359"/>
      <c r="AT65" s="359"/>
    </row>
    <row r="66" spans="1:46" ht="24">
      <c r="A66" s="359" t="s">
        <v>129</v>
      </c>
      <c r="B66" s="359" t="str">
        <f t="shared" si="0"/>
        <v>MgO</v>
      </c>
      <c r="C66" s="141">
        <f t="shared" si="1"/>
        <v>6.55</v>
      </c>
      <c r="D66" s="277">
        <f t="shared" si="2"/>
        <v>493.20542072408699</v>
      </c>
      <c r="E66" s="20">
        <f t="shared" si="3"/>
        <v>0</v>
      </c>
      <c r="F66" s="20">
        <f t="shared" si="4"/>
        <v>0</v>
      </c>
      <c r="G66" s="277">
        <f t="shared" si="5"/>
        <v>323.04955057427696</v>
      </c>
      <c r="H66" s="3">
        <f t="shared" si="11"/>
        <v>0</v>
      </c>
      <c r="I66" s="277">
        <f t="shared" si="7"/>
        <v>0</v>
      </c>
      <c r="J66" s="359" t="s">
        <v>110</v>
      </c>
      <c r="K66" s="359" t="s">
        <v>101</v>
      </c>
      <c r="L66" s="359"/>
      <c r="M66" s="338"/>
      <c r="N66" s="89">
        <v>40984</v>
      </c>
      <c r="O66" s="359">
        <v>47</v>
      </c>
      <c r="P66" s="359" t="s">
        <v>46</v>
      </c>
      <c r="Q66" s="359"/>
      <c r="R66" s="359"/>
      <c r="S66" s="359">
        <v>20</v>
      </c>
      <c r="T66" s="359">
        <v>55</v>
      </c>
      <c r="U66" s="359">
        <v>400</v>
      </c>
      <c r="V66" s="359"/>
      <c r="W66" s="359"/>
      <c r="X66" s="359"/>
      <c r="Y66" s="359">
        <v>47</v>
      </c>
      <c r="Z66" s="359"/>
      <c r="AA66" s="210"/>
      <c r="AB66" s="248">
        <v>0.20519999999999999</v>
      </c>
      <c r="AC66" s="359">
        <v>0.49059999999999998</v>
      </c>
      <c r="AD66" s="359">
        <v>0.30409999999999998</v>
      </c>
      <c r="AE66" s="359" t="s">
        <v>47</v>
      </c>
      <c r="AF66" s="359">
        <v>6.55</v>
      </c>
      <c r="AG66" s="153"/>
      <c r="AH66" s="346">
        <v>493.20542072408699</v>
      </c>
      <c r="AI66" s="24"/>
      <c r="AJ66" s="24"/>
      <c r="AK66" s="24"/>
      <c r="AL66" s="24"/>
      <c r="AM66" s="359"/>
      <c r="AN66" s="24">
        <f t="shared" si="8"/>
        <v>323.04955057427696</v>
      </c>
      <c r="AO66" s="54">
        <f t="shared" si="9"/>
        <v>0</v>
      </c>
      <c r="AP66" s="261">
        <f t="shared" si="10"/>
        <v>7.1454545454545455</v>
      </c>
      <c r="AQ66" s="338"/>
      <c r="AR66" s="45"/>
      <c r="AS66" s="359"/>
      <c r="AT66" s="359"/>
    </row>
    <row r="67" spans="1:46" ht="36">
      <c r="A67" s="359" t="s">
        <v>130</v>
      </c>
      <c r="B67" s="359" t="str">
        <f t="shared" ref="B67:B130" si="12">P67</f>
        <v>MgO</v>
      </c>
      <c r="C67" s="141">
        <f t="shared" ref="C67:C130" si="13">AF67</f>
        <v>6.39</v>
      </c>
      <c r="D67" s="277">
        <f t="shared" ref="D67:D130" si="14">AH67</f>
        <v>559.18110184684701</v>
      </c>
      <c r="E67" s="20">
        <f t="shared" ref="E67:E130" si="15">AJ67</f>
        <v>0</v>
      </c>
      <c r="F67" s="20">
        <f t="shared" ref="F67:F130" si="16">AK67</f>
        <v>0</v>
      </c>
      <c r="G67" s="277">
        <f t="shared" ref="G67:G130" si="17">AN67</f>
        <v>357.31672408013526</v>
      </c>
      <c r="H67" s="3">
        <f t="shared" si="11"/>
        <v>0</v>
      </c>
      <c r="I67" s="277">
        <f t="shared" ref="I67:I130" si="18">AO67</f>
        <v>0</v>
      </c>
      <c r="J67" s="359" t="s">
        <v>131</v>
      </c>
      <c r="K67" s="359" t="s">
        <v>101</v>
      </c>
      <c r="L67" s="359"/>
      <c r="M67" s="338"/>
      <c r="N67" s="89">
        <v>40984</v>
      </c>
      <c r="O67" s="359">
        <v>47</v>
      </c>
      <c r="P67" s="359" t="s">
        <v>46</v>
      </c>
      <c r="Q67" s="359"/>
      <c r="R67" s="359"/>
      <c r="S67" s="359">
        <v>20</v>
      </c>
      <c r="T67" s="359">
        <v>55</v>
      </c>
      <c r="U67" s="359">
        <v>400</v>
      </c>
      <c r="V67" s="359"/>
      <c r="W67" s="359"/>
      <c r="X67" s="359"/>
      <c r="Y67" s="359">
        <v>47</v>
      </c>
      <c r="Z67" s="359"/>
      <c r="AA67" s="210"/>
      <c r="AB67" s="248">
        <v>0.1988</v>
      </c>
      <c r="AC67" s="359">
        <v>0.4965</v>
      </c>
      <c r="AD67" s="359">
        <v>0.30470000000000003</v>
      </c>
      <c r="AE67" s="359" t="s">
        <v>47</v>
      </c>
      <c r="AF67" s="359">
        <v>6.39</v>
      </c>
      <c r="AG67" s="153"/>
      <c r="AH67" s="346">
        <v>559.18110184684701</v>
      </c>
      <c r="AI67" s="24"/>
      <c r="AJ67" s="24"/>
      <c r="AK67" s="24"/>
      <c r="AL67" s="24"/>
      <c r="AM67" s="359"/>
      <c r="AN67" s="24">
        <f t="shared" ref="AN67:AN130" si="19">((AH67*AF67)/10)</f>
        <v>357.31672408013526</v>
      </c>
      <c r="AO67" s="54">
        <f t="shared" ref="AO67:AO130" si="20">(AF67*AH67)*AJ67</f>
        <v>0</v>
      </c>
      <c r="AP67" s="261">
        <f t="shared" ref="AP67:AP130" si="21">(AF67/T67)*60</f>
        <v>6.9709090909090907</v>
      </c>
      <c r="AQ67" s="338"/>
      <c r="AR67" s="45"/>
      <c r="AS67" s="359"/>
      <c r="AT67" s="359"/>
    </row>
    <row r="68" spans="1:46" ht="12">
      <c r="A68" s="359" t="s">
        <v>132</v>
      </c>
      <c r="B68" s="359" t="str">
        <f t="shared" si="12"/>
        <v>MgO</v>
      </c>
      <c r="C68" s="141">
        <f t="shared" si="13"/>
        <v>6.75</v>
      </c>
      <c r="D68" s="277">
        <f t="shared" si="14"/>
        <v>292.05400196259097</v>
      </c>
      <c r="E68" s="20">
        <f t="shared" si="15"/>
        <v>0</v>
      </c>
      <c r="F68" s="20">
        <f t="shared" si="16"/>
        <v>0</v>
      </c>
      <c r="G68" s="277">
        <f t="shared" si="17"/>
        <v>197.13645132474889</v>
      </c>
      <c r="H68" s="3">
        <f t="shared" si="11"/>
        <v>0</v>
      </c>
      <c r="I68" s="277">
        <f t="shared" si="18"/>
        <v>0</v>
      </c>
      <c r="J68" s="359" t="s">
        <v>133</v>
      </c>
      <c r="K68" s="359" t="s">
        <v>134</v>
      </c>
      <c r="L68" s="359"/>
      <c r="M68" s="338" t="s">
        <v>135</v>
      </c>
      <c r="N68" s="89">
        <v>40987</v>
      </c>
      <c r="O68" s="359">
        <v>51</v>
      </c>
      <c r="P68" s="359" t="s">
        <v>46</v>
      </c>
      <c r="Q68" s="359"/>
      <c r="R68" s="359"/>
      <c r="S68" s="359">
        <v>800</v>
      </c>
      <c r="T68" s="359">
        <v>65</v>
      </c>
      <c r="U68" s="359">
        <v>400</v>
      </c>
      <c r="V68" s="359"/>
      <c r="W68" s="359"/>
      <c r="X68" s="359"/>
      <c r="Y68" s="359">
        <v>47</v>
      </c>
      <c r="Z68" s="359"/>
      <c r="AA68" s="210"/>
      <c r="AB68" s="248">
        <v>0.28570000000000001</v>
      </c>
      <c r="AC68" s="359">
        <v>0.48299999999999998</v>
      </c>
      <c r="AD68" s="359">
        <v>0.22950000000000001</v>
      </c>
      <c r="AE68" s="359" t="s">
        <v>47</v>
      </c>
      <c r="AF68" s="359">
        <v>6.75</v>
      </c>
      <c r="AG68" s="153"/>
      <c r="AH68" s="346">
        <v>292.05400196259097</v>
      </c>
      <c r="AI68" s="24"/>
      <c r="AJ68" s="24"/>
      <c r="AK68" s="24"/>
      <c r="AL68" s="24"/>
      <c r="AM68" s="359"/>
      <c r="AN68" s="24">
        <f t="shared" si="19"/>
        <v>197.13645132474889</v>
      </c>
      <c r="AO68" s="54">
        <f t="shared" si="20"/>
        <v>0</v>
      </c>
      <c r="AP68" s="261">
        <f t="shared" si="21"/>
        <v>6.2307692307692308</v>
      </c>
      <c r="AQ68" s="338"/>
      <c r="AR68" s="45"/>
      <c r="AS68" s="359"/>
      <c r="AT68" s="359"/>
    </row>
    <row r="69" spans="1:46" ht="12">
      <c r="A69" s="359" t="s">
        <v>136</v>
      </c>
      <c r="B69" s="359" t="str">
        <f t="shared" si="12"/>
        <v>MgO</v>
      </c>
      <c r="C69" s="141">
        <f t="shared" si="13"/>
        <v>0</v>
      </c>
      <c r="D69" s="277">
        <f t="shared" si="14"/>
        <v>294.65830516480497</v>
      </c>
      <c r="E69" s="20">
        <f t="shared" si="15"/>
        <v>0</v>
      </c>
      <c r="F69" s="20">
        <f t="shared" si="16"/>
        <v>0</v>
      </c>
      <c r="G69" s="277">
        <f t="shared" si="17"/>
        <v>0</v>
      </c>
      <c r="H69" s="3">
        <f t="shared" si="11"/>
        <v>0</v>
      </c>
      <c r="I69" s="277">
        <f t="shared" si="18"/>
        <v>0</v>
      </c>
      <c r="J69" s="359" t="s">
        <v>133</v>
      </c>
      <c r="K69" s="359" t="s">
        <v>137</v>
      </c>
      <c r="L69" s="359"/>
      <c r="M69" s="338" t="s">
        <v>138</v>
      </c>
      <c r="N69" s="89">
        <v>40987</v>
      </c>
      <c r="O69" s="359">
        <v>51</v>
      </c>
      <c r="P69" s="359" t="s">
        <v>46</v>
      </c>
      <c r="Q69" s="359"/>
      <c r="R69" s="359"/>
      <c r="S69" s="359">
        <v>800</v>
      </c>
      <c r="T69" s="359">
        <v>65</v>
      </c>
      <c r="U69" s="359">
        <v>400</v>
      </c>
      <c r="V69" s="359"/>
      <c r="W69" s="359"/>
      <c r="X69" s="359"/>
      <c r="Y69" s="359">
        <v>47</v>
      </c>
      <c r="Z69" s="359"/>
      <c r="AA69" s="210"/>
      <c r="AB69" s="248"/>
      <c r="AC69" s="359"/>
      <c r="AD69" s="359"/>
      <c r="AE69" s="359"/>
      <c r="AF69" s="359"/>
      <c r="AG69" s="153"/>
      <c r="AH69" s="346">
        <v>294.65830516480497</v>
      </c>
      <c r="AI69" s="24"/>
      <c r="AJ69" s="24"/>
      <c r="AK69" s="24"/>
      <c r="AL69" s="24"/>
      <c r="AM69" s="359"/>
      <c r="AN69" s="24">
        <f t="shared" si="19"/>
        <v>0</v>
      </c>
      <c r="AO69" s="54">
        <f t="shared" si="20"/>
        <v>0</v>
      </c>
      <c r="AP69" s="261">
        <f t="shared" si="21"/>
        <v>0</v>
      </c>
      <c r="AQ69" s="338"/>
      <c r="AR69" s="45"/>
      <c r="AS69" s="359"/>
      <c r="AT69" s="359"/>
    </row>
    <row r="70" spans="1:46" ht="12">
      <c r="A70" s="359" t="s">
        <v>139</v>
      </c>
      <c r="B70" s="359" t="str">
        <f t="shared" si="12"/>
        <v>MgO</v>
      </c>
      <c r="C70" s="141">
        <f t="shared" si="13"/>
        <v>6.68</v>
      </c>
      <c r="D70" s="277">
        <f t="shared" si="14"/>
        <v>319.21316392853902</v>
      </c>
      <c r="E70" s="20">
        <f t="shared" si="15"/>
        <v>0</v>
      </c>
      <c r="F70" s="20">
        <f t="shared" si="16"/>
        <v>0</v>
      </c>
      <c r="G70" s="277">
        <f t="shared" si="17"/>
        <v>213.23439350426406</v>
      </c>
      <c r="H70" s="3">
        <f t="shared" si="11"/>
        <v>0</v>
      </c>
      <c r="I70" s="277">
        <f t="shared" si="18"/>
        <v>0</v>
      </c>
      <c r="J70" s="134" t="s">
        <v>140</v>
      </c>
      <c r="K70" s="359"/>
      <c r="L70" s="359"/>
      <c r="M70" s="338" t="s">
        <v>141</v>
      </c>
      <c r="N70" s="89">
        <v>40987</v>
      </c>
      <c r="O70" s="359">
        <v>51</v>
      </c>
      <c r="P70" s="359" t="s">
        <v>46</v>
      </c>
      <c r="Q70" s="359"/>
      <c r="R70" s="359"/>
      <c r="S70" s="359">
        <v>800</v>
      </c>
      <c r="T70" s="359">
        <v>65</v>
      </c>
      <c r="U70" s="359">
        <v>400</v>
      </c>
      <c r="V70" s="359"/>
      <c r="W70" s="359"/>
      <c r="X70" s="359"/>
      <c r="Y70" s="359">
        <v>47</v>
      </c>
      <c r="Z70" s="359"/>
      <c r="AA70" s="210"/>
      <c r="AB70" s="248">
        <v>0.28000000000000003</v>
      </c>
      <c r="AC70" s="359">
        <v>0.48559999999999998</v>
      </c>
      <c r="AD70" s="359">
        <v>0.2344</v>
      </c>
      <c r="AE70" s="359" t="s">
        <v>47</v>
      </c>
      <c r="AF70" s="359">
        <v>6.68</v>
      </c>
      <c r="AG70" s="153"/>
      <c r="AH70" s="346">
        <v>319.21316392853902</v>
      </c>
      <c r="AI70" s="24"/>
      <c r="AJ70" s="24"/>
      <c r="AK70" s="24"/>
      <c r="AL70" s="24"/>
      <c r="AM70" s="359"/>
      <c r="AN70" s="24">
        <f t="shared" si="19"/>
        <v>213.23439350426406</v>
      </c>
      <c r="AO70" s="54">
        <f t="shared" si="20"/>
        <v>0</v>
      </c>
      <c r="AP70" s="261">
        <f t="shared" si="21"/>
        <v>6.1661538461538461</v>
      </c>
      <c r="AQ70" s="338"/>
      <c r="AR70" s="45"/>
      <c r="AS70" s="359"/>
      <c r="AT70" s="359"/>
    </row>
    <row r="71" spans="1:46" ht="24">
      <c r="A71" s="359" t="s">
        <v>142</v>
      </c>
      <c r="B71" s="359" t="str">
        <f t="shared" si="12"/>
        <v>MgO</v>
      </c>
      <c r="C71" s="141">
        <f t="shared" si="13"/>
        <v>0</v>
      </c>
      <c r="D71" s="277">
        <f t="shared" si="14"/>
        <v>305.199532411863</v>
      </c>
      <c r="E71" s="20">
        <f t="shared" si="15"/>
        <v>0</v>
      </c>
      <c r="F71" s="20">
        <f t="shared" si="16"/>
        <v>0</v>
      </c>
      <c r="G71" s="277">
        <f t="shared" si="17"/>
        <v>0</v>
      </c>
      <c r="H71" s="3">
        <f t="shared" si="11"/>
        <v>0</v>
      </c>
      <c r="I71" s="277">
        <f t="shared" si="18"/>
        <v>0</v>
      </c>
      <c r="J71" s="359" t="s">
        <v>133</v>
      </c>
      <c r="K71" s="359" t="s">
        <v>143</v>
      </c>
      <c r="L71" s="359"/>
      <c r="M71" s="338" t="s">
        <v>144</v>
      </c>
      <c r="N71" s="89">
        <v>40987</v>
      </c>
      <c r="O71" s="359">
        <v>51</v>
      </c>
      <c r="P71" s="359" t="s">
        <v>46</v>
      </c>
      <c r="Q71" s="359"/>
      <c r="R71" s="359"/>
      <c r="S71" s="359">
        <v>800</v>
      </c>
      <c r="T71" s="359">
        <v>65</v>
      </c>
      <c r="U71" s="359">
        <v>400</v>
      </c>
      <c r="V71" s="359"/>
      <c r="W71" s="359"/>
      <c r="X71" s="359"/>
      <c r="Y71" s="359">
        <v>47</v>
      </c>
      <c r="Z71" s="359"/>
      <c r="AA71" s="210"/>
      <c r="AB71" s="248"/>
      <c r="AC71" s="359"/>
      <c r="AD71" s="359"/>
      <c r="AE71" s="359"/>
      <c r="AF71" s="359"/>
      <c r="AG71" s="153"/>
      <c r="AH71" s="346">
        <v>305.199532411863</v>
      </c>
      <c r="AI71" s="24"/>
      <c r="AJ71" s="24"/>
      <c r="AK71" s="24"/>
      <c r="AL71" s="24"/>
      <c r="AM71" s="359"/>
      <c r="AN71" s="24">
        <f t="shared" si="19"/>
        <v>0</v>
      </c>
      <c r="AO71" s="54">
        <f t="shared" si="20"/>
        <v>0</v>
      </c>
      <c r="AP71" s="261">
        <f t="shared" si="21"/>
        <v>0</v>
      </c>
      <c r="AQ71" s="338"/>
      <c r="AR71" s="45"/>
      <c r="AS71" s="359"/>
      <c r="AT71" s="359"/>
    </row>
    <row r="72" spans="1:46" ht="12">
      <c r="A72" s="359" t="s">
        <v>145</v>
      </c>
      <c r="B72" s="359" t="str">
        <f t="shared" si="12"/>
        <v>MgO</v>
      </c>
      <c r="C72" s="141">
        <f t="shared" si="13"/>
        <v>4.83</v>
      </c>
      <c r="D72" s="277">
        <f t="shared" si="14"/>
        <v>414.82829578126001</v>
      </c>
      <c r="E72" s="20">
        <f t="shared" si="15"/>
        <v>0</v>
      </c>
      <c r="F72" s="20">
        <f t="shared" si="16"/>
        <v>0</v>
      </c>
      <c r="G72" s="277">
        <f t="shared" si="17"/>
        <v>200.3620668623486</v>
      </c>
      <c r="H72" s="3">
        <f t="shared" si="11"/>
        <v>0</v>
      </c>
      <c r="I72" s="277">
        <f t="shared" si="18"/>
        <v>0</v>
      </c>
      <c r="J72" s="359" t="s">
        <v>133</v>
      </c>
      <c r="K72" s="359" t="s">
        <v>137</v>
      </c>
      <c r="L72" s="359"/>
      <c r="M72" s="338" t="s">
        <v>138</v>
      </c>
      <c r="N72" s="89">
        <v>40987</v>
      </c>
      <c r="O72" s="359">
        <v>52</v>
      </c>
      <c r="P72" s="359" t="s">
        <v>46</v>
      </c>
      <c r="Q72" s="359"/>
      <c r="R72" s="359"/>
      <c r="S72" s="359">
        <v>800</v>
      </c>
      <c r="T72" s="359">
        <v>65</v>
      </c>
      <c r="U72" s="359">
        <v>400</v>
      </c>
      <c r="V72" s="359"/>
      <c r="W72" s="359"/>
      <c r="X72" s="359"/>
      <c r="Y72" s="359">
        <v>47</v>
      </c>
      <c r="Z72" s="359"/>
      <c r="AA72" s="210"/>
      <c r="AB72" s="248">
        <v>0.23519999999999999</v>
      </c>
      <c r="AC72" s="359">
        <v>0.56240000000000001</v>
      </c>
      <c r="AD72" s="359">
        <v>0.2024</v>
      </c>
      <c r="AE72" s="359" t="s">
        <v>47</v>
      </c>
      <c r="AF72" s="359">
        <v>4.83</v>
      </c>
      <c r="AG72" s="153"/>
      <c r="AH72" s="346">
        <v>414.82829578126001</v>
      </c>
      <c r="AI72" s="24"/>
      <c r="AJ72" s="24"/>
      <c r="AK72" s="24"/>
      <c r="AL72" s="24"/>
      <c r="AM72" s="359"/>
      <c r="AN72" s="24">
        <f t="shared" si="19"/>
        <v>200.3620668623486</v>
      </c>
      <c r="AO72" s="54">
        <f t="shared" si="20"/>
        <v>0</v>
      </c>
      <c r="AP72" s="261">
        <f t="shared" si="21"/>
        <v>4.4584615384615383</v>
      </c>
      <c r="AQ72" s="338"/>
      <c r="AR72" s="45"/>
      <c r="AS72" s="359"/>
      <c r="AT72" s="359"/>
    </row>
    <row r="73" spans="1:46" ht="12">
      <c r="A73" s="359" t="s">
        <v>146</v>
      </c>
      <c r="B73" s="359" t="str">
        <f t="shared" si="12"/>
        <v>MgO</v>
      </c>
      <c r="C73" s="141">
        <f t="shared" si="13"/>
        <v>0</v>
      </c>
      <c r="D73" s="277">
        <f t="shared" si="14"/>
        <v>270.35147527747301</v>
      </c>
      <c r="E73" s="20">
        <f t="shared" si="15"/>
        <v>0</v>
      </c>
      <c r="F73" s="20">
        <f t="shared" si="16"/>
        <v>0</v>
      </c>
      <c r="G73" s="277">
        <f t="shared" si="17"/>
        <v>0</v>
      </c>
      <c r="H73" s="3">
        <f t="shared" si="11"/>
        <v>0</v>
      </c>
      <c r="I73" s="277">
        <f t="shared" si="18"/>
        <v>0</v>
      </c>
      <c r="J73" s="359"/>
      <c r="K73" s="359" t="s">
        <v>137</v>
      </c>
      <c r="L73" s="359"/>
      <c r="M73" s="338" t="s">
        <v>138</v>
      </c>
      <c r="N73" s="89">
        <v>40987</v>
      </c>
      <c r="O73" s="359">
        <v>52</v>
      </c>
      <c r="P73" s="359" t="s">
        <v>46</v>
      </c>
      <c r="Q73" s="359"/>
      <c r="R73" s="359"/>
      <c r="S73" s="359">
        <v>800</v>
      </c>
      <c r="T73" s="359">
        <v>65</v>
      </c>
      <c r="U73" s="359">
        <v>400</v>
      </c>
      <c r="V73" s="359"/>
      <c r="W73" s="359"/>
      <c r="X73" s="359"/>
      <c r="Y73" s="359">
        <v>47</v>
      </c>
      <c r="Z73" s="359"/>
      <c r="AA73" s="210"/>
      <c r="AB73" s="248"/>
      <c r="AC73" s="359"/>
      <c r="AD73" s="359"/>
      <c r="AE73" s="359"/>
      <c r="AF73" s="359"/>
      <c r="AG73" s="153"/>
      <c r="AH73" s="346">
        <v>270.35147527747301</v>
      </c>
      <c r="AI73" s="24"/>
      <c r="AJ73" s="24"/>
      <c r="AK73" s="24"/>
      <c r="AL73" s="24"/>
      <c r="AM73" s="359"/>
      <c r="AN73" s="24">
        <f t="shared" si="19"/>
        <v>0</v>
      </c>
      <c r="AO73" s="54">
        <f t="shared" si="20"/>
        <v>0</v>
      </c>
      <c r="AP73" s="261">
        <f t="shared" si="21"/>
        <v>0</v>
      </c>
      <c r="AQ73" s="338"/>
      <c r="AR73" s="45"/>
      <c r="AS73" s="359"/>
      <c r="AT73" s="359"/>
    </row>
    <row r="74" spans="1:46" ht="12">
      <c r="A74" s="359" t="s">
        <v>147</v>
      </c>
      <c r="B74" s="359" t="str">
        <f t="shared" si="12"/>
        <v>MgO</v>
      </c>
      <c r="C74" s="141">
        <f t="shared" si="13"/>
        <v>5.86</v>
      </c>
      <c r="D74" s="277">
        <f t="shared" si="14"/>
        <v>269.35935977186801</v>
      </c>
      <c r="E74" s="20">
        <f t="shared" si="15"/>
        <v>0</v>
      </c>
      <c r="F74" s="20">
        <f t="shared" si="16"/>
        <v>0</v>
      </c>
      <c r="G74" s="277">
        <f t="shared" si="17"/>
        <v>157.84458482631467</v>
      </c>
      <c r="H74" s="3">
        <f t="shared" si="11"/>
        <v>0</v>
      </c>
      <c r="I74" s="277">
        <f t="shared" si="18"/>
        <v>0</v>
      </c>
      <c r="J74" s="359"/>
      <c r="K74" s="359" t="s">
        <v>137</v>
      </c>
      <c r="L74" s="359"/>
      <c r="M74" s="338" t="s">
        <v>138</v>
      </c>
      <c r="N74" s="89">
        <v>40987</v>
      </c>
      <c r="O74" s="359">
        <v>52</v>
      </c>
      <c r="P74" s="359" t="s">
        <v>46</v>
      </c>
      <c r="Q74" s="359"/>
      <c r="R74" s="359"/>
      <c r="S74" s="359">
        <v>800</v>
      </c>
      <c r="T74" s="359">
        <v>65</v>
      </c>
      <c r="U74" s="359">
        <v>400</v>
      </c>
      <c r="V74" s="359"/>
      <c r="W74" s="359"/>
      <c r="X74" s="359"/>
      <c r="Y74" s="359">
        <v>47</v>
      </c>
      <c r="Z74" s="359"/>
      <c r="AA74" s="210"/>
      <c r="AB74" s="248">
        <v>0.25340000000000001</v>
      </c>
      <c r="AC74" s="359">
        <v>0.51759999999999995</v>
      </c>
      <c r="AD74" s="359">
        <v>0.22900000000000001</v>
      </c>
      <c r="AE74" s="359" t="s">
        <v>47</v>
      </c>
      <c r="AF74" s="359">
        <v>5.86</v>
      </c>
      <c r="AG74" s="153"/>
      <c r="AH74" s="346">
        <v>269.35935977186801</v>
      </c>
      <c r="AI74" s="24"/>
      <c r="AJ74" s="24"/>
      <c r="AK74" s="24"/>
      <c r="AL74" s="24"/>
      <c r="AM74" s="359"/>
      <c r="AN74" s="24">
        <f t="shared" si="19"/>
        <v>157.84458482631467</v>
      </c>
      <c r="AO74" s="54">
        <f t="shared" si="20"/>
        <v>0</v>
      </c>
      <c r="AP74" s="261">
        <f t="shared" si="21"/>
        <v>5.4092307692307688</v>
      </c>
      <c r="AQ74" s="338"/>
      <c r="AR74" s="45"/>
      <c r="AS74" s="359"/>
      <c r="AT74" s="359"/>
    </row>
    <row r="75" spans="1:46" ht="24">
      <c r="A75" s="359" t="s">
        <v>148</v>
      </c>
      <c r="B75" s="359" t="str">
        <f t="shared" si="12"/>
        <v>MgO</v>
      </c>
      <c r="C75" s="141">
        <f t="shared" si="13"/>
        <v>0</v>
      </c>
      <c r="D75" s="277">
        <f t="shared" si="14"/>
        <v>258.942146963011</v>
      </c>
      <c r="E75" s="20">
        <f t="shared" si="15"/>
        <v>0</v>
      </c>
      <c r="F75" s="20">
        <f t="shared" si="16"/>
        <v>0</v>
      </c>
      <c r="G75" s="277">
        <f t="shared" si="17"/>
        <v>0</v>
      </c>
      <c r="H75" s="3">
        <f t="shared" si="11"/>
        <v>0</v>
      </c>
      <c r="I75" s="277">
        <f t="shared" si="18"/>
        <v>0</v>
      </c>
      <c r="J75" s="359" t="s">
        <v>149</v>
      </c>
      <c r="K75" s="359" t="s">
        <v>143</v>
      </c>
      <c r="L75" s="359"/>
      <c r="M75" s="338" t="s">
        <v>135</v>
      </c>
      <c r="N75" s="89">
        <v>40987</v>
      </c>
      <c r="O75" s="359">
        <v>52</v>
      </c>
      <c r="P75" s="359" t="s">
        <v>46</v>
      </c>
      <c r="Q75" s="359"/>
      <c r="R75" s="359"/>
      <c r="S75" s="359">
        <v>800</v>
      </c>
      <c r="T75" s="359">
        <v>65</v>
      </c>
      <c r="U75" s="359">
        <v>400</v>
      </c>
      <c r="V75" s="359"/>
      <c r="W75" s="359"/>
      <c r="X75" s="359"/>
      <c r="Y75" s="359">
        <v>47</v>
      </c>
      <c r="Z75" s="359"/>
      <c r="AA75" s="210"/>
      <c r="AB75" s="248"/>
      <c r="AC75" s="359"/>
      <c r="AD75" s="359"/>
      <c r="AE75" s="359"/>
      <c r="AF75" s="359"/>
      <c r="AG75" s="153"/>
      <c r="AH75" s="346">
        <v>258.942146963011</v>
      </c>
      <c r="AI75" s="24"/>
      <c r="AJ75" s="24"/>
      <c r="AK75" s="24"/>
      <c r="AL75" s="24"/>
      <c r="AM75" s="359"/>
      <c r="AN75" s="24">
        <f t="shared" si="19"/>
        <v>0</v>
      </c>
      <c r="AO75" s="54">
        <f t="shared" si="20"/>
        <v>0</v>
      </c>
      <c r="AP75" s="261">
        <f t="shared" si="21"/>
        <v>0</v>
      </c>
      <c r="AQ75" s="338"/>
      <c r="AR75" s="45"/>
      <c r="AS75" s="359"/>
      <c r="AT75" s="359"/>
    </row>
    <row r="76" spans="1:46" ht="12">
      <c r="A76" s="359" t="s">
        <v>150</v>
      </c>
      <c r="B76" s="359" t="str">
        <f t="shared" si="12"/>
        <v>MgO</v>
      </c>
      <c r="C76" s="141">
        <f t="shared" si="13"/>
        <v>4.96</v>
      </c>
      <c r="D76" s="277">
        <f t="shared" si="14"/>
        <v>423.013248702505</v>
      </c>
      <c r="E76" s="20">
        <f t="shared" si="15"/>
        <v>0</v>
      </c>
      <c r="F76" s="20">
        <f t="shared" si="16"/>
        <v>0</v>
      </c>
      <c r="G76" s="277">
        <f t="shared" si="17"/>
        <v>209.81457135644246</v>
      </c>
      <c r="H76" s="3">
        <f t="shared" si="11"/>
        <v>0</v>
      </c>
      <c r="I76" s="277">
        <f t="shared" si="18"/>
        <v>0</v>
      </c>
      <c r="J76" s="359" t="s">
        <v>133</v>
      </c>
      <c r="K76" s="359" t="s">
        <v>137</v>
      </c>
      <c r="L76" s="359"/>
      <c r="M76" s="338" t="s">
        <v>138</v>
      </c>
      <c r="N76" s="89">
        <v>40989</v>
      </c>
      <c r="O76" s="359">
        <v>53</v>
      </c>
      <c r="P76" s="359" t="s">
        <v>46</v>
      </c>
      <c r="Q76" s="359"/>
      <c r="R76" s="359"/>
      <c r="S76" s="359">
        <v>800</v>
      </c>
      <c r="T76" s="359">
        <v>65</v>
      </c>
      <c r="U76" s="359">
        <v>400</v>
      </c>
      <c r="V76" s="359"/>
      <c r="W76" s="359"/>
      <c r="X76" s="359"/>
      <c r="Y76" s="359">
        <v>47</v>
      </c>
      <c r="Z76" s="359"/>
      <c r="AA76" s="210"/>
      <c r="AB76" s="248">
        <v>0.2344</v>
      </c>
      <c r="AC76" s="359">
        <v>0.55649999999999999</v>
      </c>
      <c r="AD76" s="359">
        <v>0.20910000000000001</v>
      </c>
      <c r="AE76" s="359" t="s">
        <v>47</v>
      </c>
      <c r="AF76" s="359">
        <v>4.96</v>
      </c>
      <c r="AG76" s="153"/>
      <c r="AH76" s="346">
        <v>423.013248702505</v>
      </c>
      <c r="AI76" s="24"/>
      <c r="AJ76" s="24"/>
      <c r="AK76" s="24"/>
      <c r="AL76" s="24"/>
      <c r="AM76" s="359"/>
      <c r="AN76" s="24">
        <f t="shared" si="19"/>
        <v>209.81457135644246</v>
      </c>
      <c r="AO76" s="54">
        <f t="shared" si="20"/>
        <v>0</v>
      </c>
      <c r="AP76" s="261">
        <f t="shared" si="21"/>
        <v>4.5784615384615384</v>
      </c>
      <c r="AQ76" s="338"/>
      <c r="AR76" s="45"/>
      <c r="AS76" s="359"/>
      <c r="AT76" s="359"/>
    </row>
    <row r="77" spans="1:46" ht="12">
      <c r="A77" s="359" t="s">
        <v>151</v>
      </c>
      <c r="B77" s="359" t="str">
        <f t="shared" si="12"/>
        <v>MgO</v>
      </c>
      <c r="C77" s="141">
        <f t="shared" si="13"/>
        <v>0</v>
      </c>
      <c r="D77" s="277">
        <f t="shared" si="14"/>
        <v>311.89631207469898</v>
      </c>
      <c r="E77" s="20">
        <f t="shared" si="15"/>
        <v>0</v>
      </c>
      <c r="F77" s="20">
        <f t="shared" si="16"/>
        <v>0</v>
      </c>
      <c r="G77" s="277">
        <f t="shared" si="17"/>
        <v>0</v>
      </c>
      <c r="H77" s="3">
        <f t="shared" si="11"/>
        <v>0</v>
      </c>
      <c r="I77" s="277">
        <f t="shared" si="18"/>
        <v>0</v>
      </c>
      <c r="J77" s="359"/>
      <c r="K77" s="359"/>
      <c r="L77" s="359"/>
      <c r="M77" s="338"/>
      <c r="N77" s="89">
        <v>40989</v>
      </c>
      <c r="O77" s="359">
        <v>53</v>
      </c>
      <c r="P77" s="359" t="s">
        <v>46</v>
      </c>
      <c r="Q77" s="359"/>
      <c r="R77" s="359"/>
      <c r="S77" s="359">
        <v>800</v>
      </c>
      <c r="T77" s="359">
        <v>65</v>
      </c>
      <c r="U77" s="359">
        <v>400</v>
      </c>
      <c r="V77" s="359"/>
      <c r="W77" s="359"/>
      <c r="X77" s="359"/>
      <c r="Y77" s="359">
        <v>47</v>
      </c>
      <c r="Z77" s="359"/>
      <c r="AA77" s="210"/>
      <c r="AB77" s="248"/>
      <c r="AC77" s="359"/>
      <c r="AD77" s="359"/>
      <c r="AE77" s="359"/>
      <c r="AF77" s="359"/>
      <c r="AG77" s="153"/>
      <c r="AH77" s="346">
        <v>311.89631207469898</v>
      </c>
      <c r="AI77" s="24"/>
      <c r="AJ77" s="24"/>
      <c r="AK77" s="24"/>
      <c r="AL77" s="24"/>
      <c r="AM77" s="359"/>
      <c r="AN77" s="24">
        <f t="shared" si="19"/>
        <v>0</v>
      </c>
      <c r="AO77" s="54">
        <f t="shared" si="20"/>
        <v>0</v>
      </c>
      <c r="AP77" s="261">
        <f t="shared" si="21"/>
        <v>0</v>
      </c>
      <c r="AQ77" s="338"/>
      <c r="AR77" s="45"/>
      <c r="AS77" s="359"/>
      <c r="AT77" s="359"/>
    </row>
    <row r="78" spans="1:46" ht="24">
      <c r="A78" s="359" t="s">
        <v>152</v>
      </c>
      <c r="B78" s="359" t="str">
        <f t="shared" si="12"/>
        <v>MgO</v>
      </c>
      <c r="C78" s="141">
        <f t="shared" si="13"/>
        <v>5.85</v>
      </c>
      <c r="D78" s="277">
        <f t="shared" si="14"/>
        <v>251.37726623277001</v>
      </c>
      <c r="E78" s="20">
        <f t="shared" si="15"/>
        <v>0</v>
      </c>
      <c r="F78" s="20">
        <f t="shared" si="16"/>
        <v>0</v>
      </c>
      <c r="G78" s="277">
        <f t="shared" si="17"/>
        <v>147.05570074617043</v>
      </c>
      <c r="H78" s="3">
        <f t="shared" si="11"/>
        <v>0</v>
      </c>
      <c r="I78" s="277">
        <f t="shared" si="18"/>
        <v>0</v>
      </c>
      <c r="J78" s="359" t="s">
        <v>149</v>
      </c>
      <c r="K78" s="359" t="s">
        <v>143</v>
      </c>
      <c r="L78" s="359"/>
      <c r="M78" s="338" t="s">
        <v>135</v>
      </c>
      <c r="N78" s="89">
        <v>40989</v>
      </c>
      <c r="O78" s="359">
        <v>53</v>
      </c>
      <c r="P78" s="359" t="s">
        <v>46</v>
      </c>
      <c r="Q78" s="359"/>
      <c r="R78" s="359"/>
      <c r="S78" s="359">
        <v>800</v>
      </c>
      <c r="T78" s="359">
        <v>65</v>
      </c>
      <c r="U78" s="359">
        <v>400</v>
      </c>
      <c r="V78" s="359"/>
      <c r="W78" s="359"/>
      <c r="X78" s="359"/>
      <c r="Y78" s="359">
        <v>47</v>
      </c>
      <c r="Z78" s="359"/>
      <c r="AA78" s="210"/>
      <c r="AB78" s="248">
        <v>0.25679999999999997</v>
      </c>
      <c r="AC78" s="359">
        <v>0.51819999999999999</v>
      </c>
      <c r="AD78" s="359">
        <v>0.22500000000000001</v>
      </c>
      <c r="AE78" s="359" t="s">
        <v>47</v>
      </c>
      <c r="AF78" s="359">
        <v>5.85</v>
      </c>
      <c r="AG78" s="153"/>
      <c r="AH78" s="346">
        <v>251.37726623277001</v>
      </c>
      <c r="AI78" s="24"/>
      <c r="AJ78" s="24"/>
      <c r="AK78" s="24"/>
      <c r="AL78" s="24"/>
      <c r="AM78" s="359"/>
      <c r="AN78" s="24">
        <f t="shared" si="19"/>
        <v>147.05570074617043</v>
      </c>
      <c r="AO78" s="54">
        <f t="shared" si="20"/>
        <v>0</v>
      </c>
      <c r="AP78" s="261">
        <f t="shared" si="21"/>
        <v>5.3999999999999995</v>
      </c>
      <c r="AQ78" s="338"/>
      <c r="AR78" s="45"/>
      <c r="AS78" s="359"/>
      <c r="AT78" s="359"/>
    </row>
    <row r="79" spans="1:46" ht="12">
      <c r="A79" s="359" t="s">
        <v>153</v>
      </c>
      <c r="B79" s="359" t="str">
        <f t="shared" si="12"/>
        <v>MgO</v>
      </c>
      <c r="C79" s="141">
        <f t="shared" si="13"/>
        <v>0</v>
      </c>
      <c r="D79" s="277">
        <f t="shared" si="14"/>
        <v>261.67046460342601</v>
      </c>
      <c r="E79" s="20">
        <f t="shared" si="15"/>
        <v>0</v>
      </c>
      <c r="F79" s="20">
        <f t="shared" si="16"/>
        <v>0</v>
      </c>
      <c r="G79" s="277">
        <f t="shared" si="17"/>
        <v>0</v>
      </c>
      <c r="H79" s="3">
        <f t="shared" si="11"/>
        <v>0</v>
      </c>
      <c r="I79" s="277">
        <f t="shared" si="18"/>
        <v>0</v>
      </c>
      <c r="J79" s="359" t="s">
        <v>133</v>
      </c>
      <c r="K79" s="359" t="s">
        <v>137</v>
      </c>
      <c r="L79" s="359"/>
      <c r="M79" s="338" t="s">
        <v>138</v>
      </c>
      <c r="N79" s="89">
        <v>40989</v>
      </c>
      <c r="O79" s="359">
        <v>53</v>
      </c>
      <c r="P79" s="359" t="s">
        <v>46</v>
      </c>
      <c r="Q79" s="359"/>
      <c r="R79" s="359"/>
      <c r="S79" s="359">
        <v>800</v>
      </c>
      <c r="T79" s="359">
        <v>65</v>
      </c>
      <c r="U79" s="359">
        <v>400</v>
      </c>
      <c r="V79" s="359"/>
      <c r="W79" s="359"/>
      <c r="X79" s="359"/>
      <c r="Y79" s="359">
        <v>47</v>
      </c>
      <c r="Z79" s="359"/>
      <c r="AA79" s="210"/>
      <c r="AB79" s="248"/>
      <c r="AC79" s="359"/>
      <c r="AD79" s="359"/>
      <c r="AE79" s="359"/>
      <c r="AF79" s="359"/>
      <c r="AG79" s="153"/>
      <c r="AH79" s="346">
        <v>261.67046460342601</v>
      </c>
      <c r="AI79" s="24"/>
      <c r="AJ79" s="24"/>
      <c r="AK79" s="24"/>
      <c r="AL79" s="24"/>
      <c r="AM79" s="359"/>
      <c r="AN79" s="24">
        <f t="shared" si="19"/>
        <v>0</v>
      </c>
      <c r="AO79" s="54">
        <f t="shared" si="20"/>
        <v>0</v>
      </c>
      <c r="AP79" s="261">
        <f t="shared" si="21"/>
        <v>0</v>
      </c>
      <c r="AQ79" s="338"/>
      <c r="AR79" s="45"/>
      <c r="AS79" s="359"/>
      <c r="AT79" s="359"/>
    </row>
    <row r="80" spans="1:46" ht="12">
      <c r="A80" s="359" t="s">
        <v>154</v>
      </c>
      <c r="B80" s="359" t="str">
        <f t="shared" si="12"/>
        <v>MgO</v>
      </c>
      <c r="C80" s="141">
        <f t="shared" si="13"/>
        <v>5.67</v>
      </c>
      <c r="D80" s="277">
        <f t="shared" si="14"/>
        <v>294.53429072660498</v>
      </c>
      <c r="E80" s="20">
        <f t="shared" si="15"/>
        <v>10.7</v>
      </c>
      <c r="F80" s="20">
        <f t="shared" si="16"/>
        <v>0.91840182100000001</v>
      </c>
      <c r="G80" s="277">
        <f t="shared" si="17"/>
        <v>167.00094284198502</v>
      </c>
      <c r="H80" s="3">
        <f t="shared" si="11"/>
        <v>1.0749</v>
      </c>
      <c r="I80" s="277">
        <f t="shared" si="18"/>
        <v>17869.100884092393</v>
      </c>
      <c r="J80" s="359" t="s">
        <v>52</v>
      </c>
      <c r="K80" s="359" t="s">
        <v>155</v>
      </c>
      <c r="L80" s="359"/>
      <c r="M80" s="338"/>
      <c r="N80" s="89">
        <v>40990</v>
      </c>
      <c r="O80" s="359">
        <v>55</v>
      </c>
      <c r="P80" s="359" t="s">
        <v>46</v>
      </c>
      <c r="Q80" s="359"/>
      <c r="R80" s="359"/>
      <c r="S80" s="359">
        <v>800</v>
      </c>
      <c r="T80" s="359">
        <v>65</v>
      </c>
      <c r="U80" s="359">
        <v>400</v>
      </c>
      <c r="V80" s="359"/>
      <c r="W80" s="359"/>
      <c r="X80" s="359"/>
      <c r="Y80" s="359">
        <v>47</v>
      </c>
      <c r="Z80" s="359"/>
      <c r="AA80" s="210"/>
      <c r="AB80" s="248">
        <v>0.21099999999999999</v>
      </c>
      <c r="AC80" s="359">
        <v>0.52539999999999998</v>
      </c>
      <c r="AD80" s="359">
        <v>0.2326</v>
      </c>
      <c r="AE80" s="359" t="s">
        <v>47</v>
      </c>
      <c r="AF80" s="359">
        <v>5.67</v>
      </c>
      <c r="AG80" s="153"/>
      <c r="AH80" s="346">
        <v>294.53429072660498</v>
      </c>
      <c r="AI80" s="24"/>
      <c r="AJ80" s="24">
        <v>10.7</v>
      </c>
      <c r="AK80" s="24">
        <v>0.91840182100000001</v>
      </c>
      <c r="AL80" s="24">
        <v>1.0749</v>
      </c>
      <c r="AM80" s="359" t="s">
        <v>156</v>
      </c>
      <c r="AN80" s="24">
        <f t="shared" si="19"/>
        <v>167.00094284198502</v>
      </c>
      <c r="AO80" s="54">
        <f t="shared" si="20"/>
        <v>17869.100884092393</v>
      </c>
      <c r="AP80" s="261">
        <f t="shared" si="21"/>
        <v>5.2338461538461534</v>
      </c>
      <c r="AQ80" s="338"/>
      <c r="AR80" s="45"/>
      <c r="AS80" s="359"/>
      <c r="AT80" s="359"/>
    </row>
    <row r="81" spans="1:46" ht="12">
      <c r="A81" s="359" t="s">
        <v>157</v>
      </c>
      <c r="B81" s="359" t="str">
        <f t="shared" si="12"/>
        <v>MgO</v>
      </c>
      <c r="C81" s="141">
        <f t="shared" si="13"/>
        <v>5.46</v>
      </c>
      <c r="D81" s="277">
        <f t="shared" si="14"/>
        <v>303.95938802985597</v>
      </c>
      <c r="E81" s="20">
        <f t="shared" si="15"/>
        <v>10.9</v>
      </c>
      <c r="F81" s="20">
        <f t="shared" si="16"/>
        <v>0.88848968500000003</v>
      </c>
      <c r="G81" s="277">
        <f t="shared" si="17"/>
        <v>165.96182586430137</v>
      </c>
      <c r="H81" s="3">
        <f t="shared" si="11"/>
        <v>1.0398000000000001</v>
      </c>
      <c r="I81" s="277">
        <f t="shared" si="18"/>
        <v>18089.839019208848</v>
      </c>
      <c r="J81" s="359" t="s">
        <v>52</v>
      </c>
      <c r="K81" s="359" t="s">
        <v>155</v>
      </c>
      <c r="L81" s="359"/>
      <c r="M81" s="338"/>
      <c r="N81" s="89">
        <v>40990</v>
      </c>
      <c r="O81" s="359">
        <v>55</v>
      </c>
      <c r="P81" s="359" t="s">
        <v>46</v>
      </c>
      <c r="Q81" s="359"/>
      <c r="R81" s="359"/>
      <c r="S81" s="359">
        <v>800</v>
      </c>
      <c r="T81" s="359">
        <v>65</v>
      </c>
      <c r="U81" s="359">
        <v>400</v>
      </c>
      <c r="V81" s="359"/>
      <c r="W81" s="359"/>
      <c r="X81" s="359"/>
      <c r="Y81" s="359">
        <v>47</v>
      </c>
      <c r="Z81" s="359"/>
      <c r="AA81" s="210"/>
      <c r="AB81" s="248">
        <v>0.2014</v>
      </c>
      <c r="AC81" s="359">
        <v>0.53449999999999998</v>
      </c>
      <c r="AD81" s="359">
        <v>0.2641</v>
      </c>
      <c r="AE81" s="359" t="s">
        <v>47</v>
      </c>
      <c r="AF81" s="359">
        <v>5.46</v>
      </c>
      <c r="AG81" s="153"/>
      <c r="AH81" s="346">
        <v>303.95938802985597</v>
      </c>
      <c r="AI81" s="24"/>
      <c r="AJ81" s="24">
        <v>10.9</v>
      </c>
      <c r="AK81" s="24">
        <v>0.88848968500000003</v>
      </c>
      <c r="AL81" s="24">
        <v>1.0398000000000001</v>
      </c>
      <c r="AM81" s="359" t="s">
        <v>156</v>
      </c>
      <c r="AN81" s="24">
        <f t="shared" si="19"/>
        <v>165.96182586430137</v>
      </c>
      <c r="AO81" s="54">
        <f t="shared" si="20"/>
        <v>18089.839019208848</v>
      </c>
      <c r="AP81" s="261">
        <f t="shared" si="21"/>
        <v>5.04</v>
      </c>
      <c r="AQ81" s="338"/>
      <c r="AR81" s="45"/>
      <c r="AS81" s="359"/>
      <c r="AT81" s="359"/>
    </row>
    <row r="82" spans="1:46" ht="12">
      <c r="A82" s="359" t="s">
        <v>158</v>
      </c>
      <c r="B82" s="359" t="str">
        <f t="shared" si="12"/>
        <v>MgO</v>
      </c>
      <c r="C82" s="141">
        <f t="shared" si="13"/>
        <v>5.43</v>
      </c>
      <c r="D82" s="277">
        <f t="shared" si="14"/>
        <v>301.60311370404298</v>
      </c>
      <c r="E82" s="20">
        <f t="shared" si="15"/>
        <v>10.7</v>
      </c>
      <c r="F82" s="20">
        <f t="shared" si="16"/>
        <v>1.144083779</v>
      </c>
      <c r="G82" s="277">
        <f t="shared" si="17"/>
        <v>163.77049074129533</v>
      </c>
      <c r="H82" s="3">
        <f t="shared" si="11"/>
        <v>1.0513999999999999</v>
      </c>
      <c r="I82" s="277">
        <f t="shared" si="18"/>
        <v>17523.4425093186</v>
      </c>
      <c r="J82" s="359" t="s">
        <v>52</v>
      </c>
      <c r="K82" s="359" t="s">
        <v>155</v>
      </c>
      <c r="L82" s="359"/>
      <c r="M82" s="338"/>
      <c r="N82" s="89">
        <v>40990</v>
      </c>
      <c r="O82" s="359">
        <v>55</v>
      </c>
      <c r="P82" s="359" t="s">
        <v>46</v>
      </c>
      <c r="Q82" s="359"/>
      <c r="R82" s="359"/>
      <c r="S82" s="359">
        <v>800</v>
      </c>
      <c r="T82" s="359">
        <v>65</v>
      </c>
      <c r="U82" s="359">
        <v>400</v>
      </c>
      <c r="V82" s="359"/>
      <c r="W82" s="359"/>
      <c r="X82" s="359"/>
      <c r="Y82" s="359">
        <v>47</v>
      </c>
      <c r="Z82" s="359"/>
      <c r="AA82" s="210"/>
      <c r="AB82" s="248">
        <v>0.18970000000000001</v>
      </c>
      <c r="AC82" s="359">
        <v>0.53590000000000004</v>
      </c>
      <c r="AD82" s="359">
        <v>0.27439999999999998</v>
      </c>
      <c r="AE82" s="359" t="s">
        <v>47</v>
      </c>
      <c r="AF82" s="359">
        <v>5.43</v>
      </c>
      <c r="AG82" s="153"/>
      <c r="AH82" s="346">
        <v>301.60311370404298</v>
      </c>
      <c r="AI82" s="24"/>
      <c r="AJ82" s="24">
        <v>10.7</v>
      </c>
      <c r="AK82" s="24">
        <v>1.144083779</v>
      </c>
      <c r="AL82" s="24">
        <v>1.0513999999999999</v>
      </c>
      <c r="AM82" s="359" t="s">
        <v>156</v>
      </c>
      <c r="AN82" s="24">
        <f t="shared" si="19"/>
        <v>163.77049074129533</v>
      </c>
      <c r="AO82" s="54">
        <f t="shared" si="20"/>
        <v>17523.4425093186</v>
      </c>
      <c r="AP82" s="261">
        <f t="shared" si="21"/>
        <v>5.0123076923076919</v>
      </c>
      <c r="AQ82" s="338"/>
      <c r="AR82" s="45"/>
      <c r="AS82" s="359"/>
      <c r="AT82" s="359"/>
    </row>
    <row r="83" spans="1:46" ht="12">
      <c r="A83" s="359" t="s">
        <v>159</v>
      </c>
      <c r="B83" s="359" t="str">
        <f t="shared" si="12"/>
        <v>MgO</v>
      </c>
      <c r="C83" s="141">
        <f t="shared" si="13"/>
        <v>5.43</v>
      </c>
      <c r="D83" s="277">
        <f t="shared" si="14"/>
        <v>297.38662280521999</v>
      </c>
      <c r="E83" s="20">
        <f t="shared" si="15"/>
        <v>11.3</v>
      </c>
      <c r="F83" s="20">
        <f t="shared" si="16"/>
        <v>1.009830193</v>
      </c>
      <c r="G83" s="277">
        <f t="shared" si="17"/>
        <v>161.48093618323443</v>
      </c>
      <c r="H83" s="3">
        <f t="shared" si="11"/>
        <v>0.9899</v>
      </c>
      <c r="I83" s="277">
        <f t="shared" si="18"/>
        <v>18247.345788705494</v>
      </c>
      <c r="J83" s="359" t="s">
        <v>52</v>
      </c>
      <c r="K83" s="359" t="s">
        <v>155</v>
      </c>
      <c r="L83" s="359"/>
      <c r="M83" s="338"/>
      <c r="N83" s="89">
        <v>40990</v>
      </c>
      <c r="O83" s="359">
        <v>55</v>
      </c>
      <c r="P83" s="359" t="s">
        <v>46</v>
      </c>
      <c r="Q83" s="359"/>
      <c r="R83" s="359"/>
      <c r="S83" s="359">
        <v>800</v>
      </c>
      <c r="T83" s="359">
        <v>65</v>
      </c>
      <c r="U83" s="359">
        <v>400</v>
      </c>
      <c r="V83" s="359"/>
      <c r="W83" s="359"/>
      <c r="X83" s="359"/>
      <c r="Y83" s="359">
        <v>47</v>
      </c>
      <c r="Z83" s="359"/>
      <c r="AA83" s="210"/>
      <c r="AB83" s="248">
        <v>0.20019999999999999</v>
      </c>
      <c r="AC83" s="359">
        <v>0.53610000000000002</v>
      </c>
      <c r="AD83" s="359">
        <v>0.26379999999999998</v>
      </c>
      <c r="AE83" s="359" t="s">
        <v>47</v>
      </c>
      <c r="AF83" s="359">
        <v>5.43</v>
      </c>
      <c r="AG83" s="153"/>
      <c r="AH83" s="346">
        <v>297.38662280521999</v>
      </c>
      <c r="AI83" s="24"/>
      <c r="AJ83" s="24">
        <v>11.3</v>
      </c>
      <c r="AK83" s="24">
        <v>1.009830193</v>
      </c>
      <c r="AL83" s="24">
        <v>0.9899</v>
      </c>
      <c r="AM83" s="359" t="s">
        <v>156</v>
      </c>
      <c r="AN83" s="24">
        <f t="shared" si="19"/>
        <v>161.48093618323443</v>
      </c>
      <c r="AO83" s="54">
        <f t="shared" si="20"/>
        <v>18247.345788705494</v>
      </c>
      <c r="AP83" s="261">
        <f t="shared" si="21"/>
        <v>5.0123076923076919</v>
      </c>
      <c r="AQ83" s="338"/>
      <c r="AR83" s="45"/>
      <c r="AS83" s="359"/>
      <c r="AT83" s="359"/>
    </row>
    <row r="84" spans="1:46" ht="12">
      <c r="A84" s="359" t="s">
        <v>160</v>
      </c>
      <c r="B84" s="359" t="str">
        <f t="shared" si="12"/>
        <v>MgO</v>
      </c>
      <c r="C84" s="141">
        <f t="shared" si="13"/>
        <v>5.2</v>
      </c>
      <c r="D84" s="277">
        <f t="shared" si="14"/>
        <v>275.3120528055</v>
      </c>
      <c r="E84" s="20">
        <f t="shared" si="15"/>
        <v>11.5</v>
      </c>
      <c r="F84" s="20">
        <f t="shared" si="16"/>
        <v>0.77722222500000004</v>
      </c>
      <c r="G84" s="277">
        <f t="shared" si="17"/>
        <v>143.16226745886001</v>
      </c>
      <c r="H84" s="3">
        <f t="shared" si="11"/>
        <v>0.96</v>
      </c>
      <c r="I84" s="277">
        <f t="shared" si="18"/>
        <v>16463.660757768903</v>
      </c>
      <c r="J84" s="359" t="s">
        <v>52</v>
      </c>
      <c r="K84" s="359" t="s">
        <v>155</v>
      </c>
      <c r="L84" s="359"/>
      <c r="M84" s="338"/>
      <c r="N84" s="89">
        <v>40991</v>
      </c>
      <c r="O84" s="359">
        <v>56</v>
      </c>
      <c r="P84" s="359" t="s">
        <v>46</v>
      </c>
      <c r="Q84" s="359"/>
      <c r="R84" s="359"/>
      <c r="S84" s="359">
        <v>800</v>
      </c>
      <c r="T84" s="359">
        <v>65</v>
      </c>
      <c r="U84" s="359">
        <v>400</v>
      </c>
      <c r="V84" s="359"/>
      <c r="W84" s="359"/>
      <c r="X84" s="359"/>
      <c r="Y84" s="359">
        <v>47</v>
      </c>
      <c r="Z84" s="359"/>
      <c r="AA84" s="210"/>
      <c r="AB84" s="248">
        <v>0.1981</v>
      </c>
      <c r="AC84" s="359">
        <v>0.54559999999999997</v>
      </c>
      <c r="AD84" s="359">
        <v>0.25619999999999998</v>
      </c>
      <c r="AE84" s="359" t="s">
        <v>47</v>
      </c>
      <c r="AF84" s="359">
        <v>5.2</v>
      </c>
      <c r="AG84" s="153"/>
      <c r="AH84" s="346">
        <v>275.3120528055</v>
      </c>
      <c r="AI84" s="24"/>
      <c r="AJ84" s="24">
        <v>11.5</v>
      </c>
      <c r="AK84" s="24">
        <v>0.77722222500000004</v>
      </c>
      <c r="AL84" s="24">
        <v>0.96</v>
      </c>
      <c r="AM84" s="359" t="s">
        <v>156</v>
      </c>
      <c r="AN84" s="24">
        <f t="shared" si="19"/>
        <v>143.16226745886001</v>
      </c>
      <c r="AO84" s="54">
        <f t="shared" si="20"/>
        <v>16463.660757768903</v>
      </c>
      <c r="AP84" s="261">
        <f t="shared" si="21"/>
        <v>4.8</v>
      </c>
      <c r="AQ84" s="338"/>
      <c r="AR84" s="45"/>
      <c r="AS84" s="359"/>
      <c r="AT84" s="359"/>
    </row>
    <row r="85" spans="1:46" ht="12">
      <c r="A85" s="359" t="s">
        <v>161</v>
      </c>
      <c r="B85" s="359" t="str">
        <f t="shared" si="12"/>
        <v>MgO</v>
      </c>
      <c r="C85" s="141">
        <f t="shared" si="13"/>
        <v>5.32</v>
      </c>
      <c r="D85" s="277">
        <f t="shared" si="14"/>
        <v>271.09556190667701</v>
      </c>
      <c r="E85" s="20">
        <f t="shared" si="15"/>
        <v>11.7</v>
      </c>
      <c r="F85" s="20">
        <f t="shared" si="16"/>
        <v>0.70149613499999997</v>
      </c>
      <c r="G85" s="277">
        <f t="shared" si="17"/>
        <v>144.22283893435218</v>
      </c>
      <c r="H85" s="3">
        <f t="shared" si="11"/>
        <v>1.01</v>
      </c>
      <c r="I85" s="277">
        <f t="shared" si="18"/>
        <v>16874.072155319202</v>
      </c>
      <c r="J85" s="359" t="s">
        <v>52</v>
      </c>
      <c r="K85" s="359" t="s">
        <v>155</v>
      </c>
      <c r="L85" s="359"/>
      <c r="M85" s="338"/>
      <c r="N85" s="89">
        <v>40991</v>
      </c>
      <c r="O85" s="359">
        <v>56</v>
      </c>
      <c r="P85" s="359" t="s">
        <v>46</v>
      </c>
      <c r="Q85" s="359"/>
      <c r="R85" s="359"/>
      <c r="S85" s="359">
        <v>800</v>
      </c>
      <c r="T85" s="359">
        <v>65</v>
      </c>
      <c r="U85" s="359">
        <v>400</v>
      </c>
      <c r="V85" s="359"/>
      <c r="W85" s="359"/>
      <c r="X85" s="359"/>
      <c r="Y85" s="359">
        <v>47</v>
      </c>
      <c r="Z85" s="359"/>
      <c r="AA85" s="210"/>
      <c r="AB85" s="248">
        <v>0.1976</v>
      </c>
      <c r="AC85" s="359">
        <v>0.54059999999999997</v>
      </c>
      <c r="AD85" s="359">
        <v>0.26169999999999999</v>
      </c>
      <c r="AE85" s="359" t="s">
        <v>47</v>
      </c>
      <c r="AF85" s="359">
        <v>5.32</v>
      </c>
      <c r="AG85" s="153"/>
      <c r="AH85" s="346">
        <v>271.09556190667701</v>
      </c>
      <c r="AI85" s="24"/>
      <c r="AJ85" s="24">
        <v>11.7</v>
      </c>
      <c r="AK85" s="24">
        <v>0.70149613499999997</v>
      </c>
      <c r="AL85" s="24">
        <v>1.01</v>
      </c>
      <c r="AM85" s="359" t="s">
        <v>156</v>
      </c>
      <c r="AN85" s="24">
        <f t="shared" si="19"/>
        <v>144.22283893435218</v>
      </c>
      <c r="AO85" s="54">
        <f t="shared" si="20"/>
        <v>16874.072155319202</v>
      </c>
      <c r="AP85" s="261">
        <f t="shared" si="21"/>
        <v>4.9107692307692306</v>
      </c>
      <c r="AQ85" s="338"/>
      <c r="AR85" s="45"/>
      <c r="AS85" s="359"/>
      <c r="AT85" s="359"/>
    </row>
    <row r="86" spans="1:46" ht="12">
      <c r="A86" s="359" t="s">
        <v>162</v>
      </c>
      <c r="B86" s="359" t="str">
        <f t="shared" si="12"/>
        <v>MgO</v>
      </c>
      <c r="C86" s="141">
        <f t="shared" si="13"/>
        <v>5.18</v>
      </c>
      <c r="D86" s="277">
        <f t="shared" si="14"/>
        <v>252.98945392937799</v>
      </c>
      <c r="E86" s="20">
        <f t="shared" si="15"/>
        <v>11.545</v>
      </c>
      <c r="F86" s="20">
        <f t="shared" si="16"/>
        <v>0.73954348599999997</v>
      </c>
      <c r="G86" s="277">
        <f t="shared" si="17"/>
        <v>131.0485371354178</v>
      </c>
      <c r="H86" s="3">
        <f t="shared" si="11"/>
        <v>1.04</v>
      </c>
      <c r="I86" s="277">
        <f t="shared" si="18"/>
        <v>15129.553612283984</v>
      </c>
      <c r="J86" s="359" t="s">
        <v>52</v>
      </c>
      <c r="K86" s="359" t="s">
        <v>155</v>
      </c>
      <c r="L86" s="359"/>
      <c r="M86" s="338"/>
      <c r="N86" s="89">
        <v>40991</v>
      </c>
      <c r="O86" s="359">
        <v>56</v>
      </c>
      <c r="P86" s="359" t="s">
        <v>46</v>
      </c>
      <c r="Q86" s="359"/>
      <c r="R86" s="359"/>
      <c r="S86" s="359">
        <v>800</v>
      </c>
      <c r="T86" s="359">
        <v>65</v>
      </c>
      <c r="U86" s="359">
        <v>400</v>
      </c>
      <c r="V86" s="359"/>
      <c r="W86" s="359"/>
      <c r="X86" s="359"/>
      <c r="Y86" s="359">
        <v>47</v>
      </c>
      <c r="Z86" s="359"/>
      <c r="AA86" s="210"/>
      <c r="AB86" s="248">
        <v>0.20219999999999999</v>
      </c>
      <c r="AC86" s="359">
        <v>0.54679999999999995</v>
      </c>
      <c r="AD86" s="359">
        <v>0.25109999999999999</v>
      </c>
      <c r="AE86" s="359" t="s">
        <v>47</v>
      </c>
      <c r="AF86" s="359">
        <v>5.18</v>
      </c>
      <c r="AG86" s="153"/>
      <c r="AH86" s="346">
        <v>252.98945392937799</v>
      </c>
      <c r="AI86" s="24"/>
      <c r="AJ86" s="24">
        <v>11.545</v>
      </c>
      <c r="AK86" s="24">
        <v>0.73954348599999997</v>
      </c>
      <c r="AL86" s="24">
        <v>1.04</v>
      </c>
      <c r="AM86" s="359" t="s">
        <v>156</v>
      </c>
      <c r="AN86" s="24">
        <f t="shared" si="19"/>
        <v>131.0485371354178</v>
      </c>
      <c r="AO86" s="54">
        <f t="shared" si="20"/>
        <v>15129.553612283984</v>
      </c>
      <c r="AP86" s="261">
        <f t="shared" si="21"/>
        <v>4.7815384615384611</v>
      </c>
      <c r="AQ86" s="338"/>
      <c r="AR86" s="45"/>
      <c r="AS86" s="359"/>
      <c r="AT86" s="359"/>
    </row>
    <row r="87" spans="1:46" ht="12">
      <c r="A87" s="359" t="s">
        <v>163</v>
      </c>
      <c r="B87" s="359" t="str">
        <f t="shared" si="12"/>
        <v>MgO</v>
      </c>
      <c r="C87" s="141">
        <f t="shared" si="13"/>
        <v>5.27</v>
      </c>
      <c r="D87" s="277">
        <f t="shared" si="14"/>
        <v>259.06616140121201</v>
      </c>
      <c r="E87" s="20">
        <f t="shared" si="15"/>
        <v>11.565</v>
      </c>
      <c r="F87" s="20">
        <f t="shared" si="16"/>
        <v>0.90405650900000001</v>
      </c>
      <c r="G87" s="277">
        <f t="shared" si="17"/>
        <v>136.52786705843872</v>
      </c>
      <c r="H87" s="3">
        <f t="shared" si="11"/>
        <v>1.04</v>
      </c>
      <c r="I87" s="277">
        <f t="shared" si="18"/>
        <v>15789.447825308436</v>
      </c>
      <c r="J87" s="359" t="s">
        <v>52</v>
      </c>
      <c r="K87" s="359" t="s">
        <v>155</v>
      </c>
      <c r="L87" s="359"/>
      <c r="M87" s="338"/>
      <c r="N87" s="89">
        <v>40991</v>
      </c>
      <c r="O87" s="359">
        <v>56</v>
      </c>
      <c r="P87" s="359" t="s">
        <v>46</v>
      </c>
      <c r="Q87" s="359"/>
      <c r="R87" s="359"/>
      <c r="S87" s="359">
        <v>800</v>
      </c>
      <c r="T87" s="359">
        <v>65</v>
      </c>
      <c r="U87" s="359">
        <v>400</v>
      </c>
      <c r="V87" s="359"/>
      <c r="W87" s="359"/>
      <c r="X87" s="359"/>
      <c r="Y87" s="359">
        <v>47</v>
      </c>
      <c r="Z87" s="359"/>
      <c r="AA87" s="210"/>
      <c r="AB87" s="248">
        <v>0.1986</v>
      </c>
      <c r="AC87" s="359">
        <v>0.54300000000000004</v>
      </c>
      <c r="AD87" s="359">
        <v>0.25840000000000002</v>
      </c>
      <c r="AE87" s="359" t="s">
        <v>47</v>
      </c>
      <c r="AF87" s="359">
        <v>5.27</v>
      </c>
      <c r="AG87" s="153"/>
      <c r="AH87" s="346">
        <v>259.06616140121201</v>
      </c>
      <c r="AI87" s="24"/>
      <c r="AJ87" s="24">
        <v>11.565</v>
      </c>
      <c r="AK87" s="24">
        <v>0.90405650900000001</v>
      </c>
      <c r="AL87" s="24">
        <v>1.04</v>
      </c>
      <c r="AM87" s="359" t="s">
        <v>156</v>
      </c>
      <c r="AN87" s="24">
        <f t="shared" si="19"/>
        <v>136.52786705843872</v>
      </c>
      <c r="AO87" s="54">
        <f t="shared" si="20"/>
        <v>15789.447825308436</v>
      </c>
      <c r="AP87" s="261">
        <f t="shared" si="21"/>
        <v>4.8646153846153846</v>
      </c>
      <c r="AQ87" s="338"/>
      <c r="AR87" s="45"/>
      <c r="AS87" s="359"/>
      <c r="AT87" s="359"/>
    </row>
    <row r="88" spans="1:46" ht="24">
      <c r="A88" s="359" t="s">
        <v>164</v>
      </c>
      <c r="B88" s="359" t="str">
        <f t="shared" si="12"/>
        <v>MgO</v>
      </c>
      <c r="C88" s="141">
        <f t="shared" si="13"/>
        <v>0</v>
      </c>
      <c r="D88" s="277">
        <f t="shared" si="14"/>
        <v>550.624105611</v>
      </c>
      <c r="E88" s="20">
        <f t="shared" si="15"/>
        <v>0</v>
      </c>
      <c r="F88" s="20">
        <f t="shared" si="16"/>
        <v>0</v>
      </c>
      <c r="G88" s="277">
        <f t="shared" si="17"/>
        <v>0</v>
      </c>
      <c r="H88" s="3">
        <f t="shared" si="11"/>
        <v>0</v>
      </c>
      <c r="I88" s="277">
        <f t="shared" si="18"/>
        <v>0</v>
      </c>
      <c r="J88" s="359" t="s">
        <v>165</v>
      </c>
      <c r="K88" s="359" t="s">
        <v>166</v>
      </c>
      <c r="L88" s="359"/>
      <c r="M88" s="338"/>
      <c r="N88" s="89">
        <v>40997</v>
      </c>
      <c r="O88" s="359" t="s">
        <v>167</v>
      </c>
      <c r="P88" s="359" t="s">
        <v>46</v>
      </c>
      <c r="Q88" s="359"/>
      <c r="R88" s="359"/>
      <c r="S88" s="359" t="s">
        <v>168</v>
      </c>
      <c r="T88" s="359" t="s">
        <v>169</v>
      </c>
      <c r="U88" s="359">
        <v>400</v>
      </c>
      <c r="V88" s="359"/>
      <c r="W88" s="359"/>
      <c r="X88" s="359"/>
      <c r="Y88" s="359">
        <v>47</v>
      </c>
      <c r="Z88" s="359"/>
      <c r="AA88" s="210"/>
      <c r="AB88" s="248"/>
      <c r="AC88" s="359"/>
      <c r="AD88" s="359"/>
      <c r="AE88" s="359"/>
      <c r="AF88" s="359"/>
      <c r="AG88" s="153"/>
      <c r="AH88" s="346">
        <v>550.624105611</v>
      </c>
      <c r="AI88" s="24"/>
      <c r="AJ88" s="24"/>
      <c r="AK88" s="24"/>
      <c r="AL88" s="24"/>
      <c r="AM88" s="359"/>
      <c r="AN88" s="24">
        <f t="shared" si="19"/>
        <v>0</v>
      </c>
      <c r="AO88" s="54">
        <f t="shared" si="20"/>
        <v>0</v>
      </c>
      <c r="AP88" s="261" t="e">
        <f t="shared" si="21"/>
        <v>#VALUE!</v>
      </c>
      <c r="AQ88" s="338"/>
      <c r="AR88" s="45"/>
      <c r="AS88" s="359"/>
      <c r="AT88" s="359"/>
    </row>
    <row r="89" spans="1:46" ht="13.5" customHeight="1">
      <c r="A89" s="359" t="s">
        <v>170</v>
      </c>
      <c r="B89" s="359" t="str">
        <f t="shared" si="12"/>
        <v>MgO</v>
      </c>
      <c r="C89" s="141">
        <f t="shared" si="13"/>
        <v>0</v>
      </c>
      <c r="D89" s="277">
        <f t="shared" si="14"/>
        <v>589.68865364421299</v>
      </c>
      <c r="E89" s="20">
        <f t="shared" si="15"/>
        <v>0</v>
      </c>
      <c r="F89" s="20">
        <f t="shared" si="16"/>
        <v>0</v>
      </c>
      <c r="G89" s="277">
        <f t="shared" si="17"/>
        <v>0</v>
      </c>
      <c r="H89" s="3">
        <f t="shared" si="11"/>
        <v>0</v>
      </c>
      <c r="I89" s="277">
        <f t="shared" si="18"/>
        <v>0</v>
      </c>
      <c r="J89" s="359" t="s">
        <v>171</v>
      </c>
      <c r="K89" s="359" t="s">
        <v>143</v>
      </c>
      <c r="L89" s="359"/>
      <c r="M89" s="338" t="s">
        <v>141</v>
      </c>
      <c r="N89" s="89">
        <v>40997</v>
      </c>
      <c r="O89" s="359" t="s">
        <v>167</v>
      </c>
      <c r="P89" s="359" t="s">
        <v>46</v>
      </c>
      <c r="Q89" s="359"/>
      <c r="R89" s="359"/>
      <c r="S89" s="359" t="s">
        <v>168</v>
      </c>
      <c r="T89" s="359" t="s">
        <v>169</v>
      </c>
      <c r="U89" s="359">
        <v>400</v>
      </c>
      <c r="V89" s="359"/>
      <c r="W89" s="359"/>
      <c r="X89" s="359"/>
      <c r="Y89" s="359">
        <v>47</v>
      </c>
      <c r="Z89" s="359"/>
      <c r="AA89" s="210"/>
      <c r="AB89" s="248"/>
      <c r="AC89" s="359"/>
      <c r="AD89" s="359"/>
      <c r="AE89" s="359"/>
      <c r="AF89" s="359"/>
      <c r="AG89" s="153"/>
      <c r="AH89" s="346">
        <v>589.68865364421299</v>
      </c>
      <c r="AI89" s="24"/>
      <c r="AJ89" s="24"/>
      <c r="AK89" s="24"/>
      <c r="AL89" s="24"/>
      <c r="AM89" s="359"/>
      <c r="AN89" s="24">
        <f t="shared" si="19"/>
        <v>0</v>
      </c>
      <c r="AO89" s="54">
        <f t="shared" si="20"/>
        <v>0</v>
      </c>
      <c r="AP89" s="261" t="e">
        <f t="shared" si="21"/>
        <v>#VALUE!</v>
      </c>
      <c r="AQ89" s="338"/>
      <c r="AR89" s="45"/>
      <c r="AS89" s="359"/>
      <c r="AT89" s="359"/>
    </row>
    <row r="90" spans="1:46" ht="24">
      <c r="A90" s="359" t="s">
        <v>172</v>
      </c>
      <c r="B90" s="359" t="str">
        <f t="shared" si="12"/>
        <v>MgO</v>
      </c>
      <c r="C90" s="141">
        <f t="shared" si="13"/>
        <v>0</v>
      </c>
      <c r="D90" s="277">
        <f t="shared" si="14"/>
        <v>513.047730836195</v>
      </c>
      <c r="E90" s="20">
        <f t="shared" si="15"/>
        <v>0</v>
      </c>
      <c r="F90" s="20">
        <f t="shared" si="16"/>
        <v>0</v>
      </c>
      <c r="G90" s="277">
        <f t="shared" si="17"/>
        <v>0</v>
      </c>
      <c r="H90" s="3">
        <f t="shared" si="11"/>
        <v>0</v>
      </c>
      <c r="I90" s="277">
        <f t="shared" si="18"/>
        <v>0</v>
      </c>
      <c r="J90" s="359" t="s">
        <v>133</v>
      </c>
      <c r="K90" s="359" t="s">
        <v>173</v>
      </c>
      <c r="L90" s="359"/>
      <c r="M90" s="338"/>
      <c r="N90" s="89">
        <v>40997</v>
      </c>
      <c r="O90" s="359" t="s">
        <v>167</v>
      </c>
      <c r="P90" s="359" t="s">
        <v>46</v>
      </c>
      <c r="Q90" s="359"/>
      <c r="R90" s="359"/>
      <c r="S90" s="359" t="s">
        <v>168</v>
      </c>
      <c r="T90" s="359" t="s">
        <v>169</v>
      </c>
      <c r="U90" s="359">
        <v>400</v>
      </c>
      <c r="V90" s="359"/>
      <c r="W90" s="359"/>
      <c r="X90" s="359"/>
      <c r="Y90" s="359">
        <v>47</v>
      </c>
      <c r="Z90" s="359"/>
      <c r="AA90" s="210"/>
      <c r="AB90" s="248"/>
      <c r="AC90" s="359"/>
      <c r="AD90" s="359"/>
      <c r="AE90" s="359"/>
      <c r="AF90" s="359"/>
      <c r="AG90" s="153"/>
      <c r="AH90" s="346">
        <v>513.047730836195</v>
      </c>
      <c r="AI90" s="24"/>
      <c r="AJ90" s="24"/>
      <c r="AK90" s="24"/>
      <c r="AL90" s="24"/>
      <c r="AM90" s="359"/>
      <c r="AN90" s="24">
        <f t="shared" si="19"/>
        <v>0</v>
      </c>
      <c r="AO90" s="54">
        <f t="shared" si="20"/>
        <v>0</v>
      </c>
      <c r="AP90" s="261" t="e">
        <f t="shared" si="21"/>
        <v>#VALUE!</v>
      </c>
      <c r="AQ90" s="338"/>
      <c r="AR90" s="45"/>
      <c r="AS90" s="359"/>
      <c r="AT90" s="359"/>
    </row>
    <row r="91" spans="1:46" ht="24">
      <c r="A91" s="359" t="s">
        <v>174</v>
      </c>
      <c r="B91" s="359" t="str">
        <f t="shared" si="12"/>
        <v>MgO</v>
      </c>
      <c r="C91" s="141">
        <f t="shared" si="13"/>
        <v>0</v>
      </c>
      <c r="D91" s="277">
        <f t="shared" si="14"/>
        <v>524.20903027425595</v>
      </c>
      <c r="E91" s="20">
        <f t="shared" si="15"/>
        <v>0</v>
      </c>
      <c r="F91" s="20">
        <f t="shared" si="16"/>
        <v>0</v>
      </c>
      <c r="G91" s="277">
        <f t="shared" si="17"/>
        <v>0</v>
      </c>
      <c r="H91" s="3">
        <f t="shared" si="11"/>
        <v>0</v>
      </c>
      <c r="I91" s="277">
        <f t="shared" si="18"/>
        <v>0</v>
      </c>
      <c r="J91" s="359" t="s">
        <v>133</v>
      </c>
      <c r="K91" s="359" t="s">
        <v>173</v>
      </c>
      <c r="L91" s="359"/>
      <c r="M91" s="338"/>
      <c r="N91" s="89">
        <v>40997</v>
      </c>
      <c r="O91" s="359" t="s">
        <v>167</v>
      </c>
      <c r="P91" s="359" t="s">
        <v>46</v>
      </c>
      <c r="Q91" s="359"/>
      <c r="R91" s="359"/>
      <c r="S91" s="359" t="s">
        <v>168</v>
      </c>
      <c r="T91" s="359" t="s">
        <v>169</v>
      </c>
      <c r="U91" s="359">
        <v>400</v>
      </c>
      <c r="V91" s="359"/>
      <c r="W91" s="359"/>
      <c r="X91" s="359"/>
      <c r="Y91" s="359">
        <v>47</v>
      </c>
      <c r="Z91" s="359"/>
      <c r="AA91" s="210"/>
      <c r="AB91" s="248"/>
      <c r="AC91" s="359"/>
      <c r="AD91" s="359"/>
      <c r="AE91" s="359"/>
      <c r="AF91" s="359"/>
      <c r="AG91" s="153"/>
      <c r="AH91" s="346">
        <v>524.20903027425595</v>
      </c>
      <c r="AI91" s="24"/>
      <c r="AJ91" s="24"/>
      <c r="AK91" s="24"/>
      <c r="AL91" s="24"/>
      <c r="AM91" s="359"/>
      <c r="AN91" s="24">
        <f t="shared" si="19"/>
        <v>0</v>
      </c>
      <c r="AO91" s="54">
        <f t="shared" si="20"/>
        <v>0</v>
      </c>
      <c r="AP91" s="261" t="e">
        <f t="shared" si="21"/>
        <v>#VALUE!</v>
      </c>
      <c r="AQ91" s="338"/>
      <c r="AR91" s="45"/>
      <c r="AS91" s="359"/>
      <c r="AT91" s="359"/>
    </row>
    <row r="92" spans="1:46" ht="24">
      <c r="A92" s="359" t="s">
        <v>175</v>
      </c>
      <c r="B92" s="359" t="str">
        <f t="shared" si="12"/>
        <v>MgO</v>
      </c>
      <c r="C92" s="141">
        <f t="shared" si="13"/>
        <v>0</v>
      </c>
      <c r="D92" s="277">
        <f t="shared" si="14"/>
        <v>343.02393606306902</v>
      </c>
      <c r="E92" s="20">
        <f t="shared" si="15"/>
        <v>0</v>
      </c>
      <c r="F92" s="20">
        <f t="shared" si="16"/>
        <v>0</v>
      </c>
      <c r="G92" s="277">
        <f t="shared" si="17"/>
        <v>0</v>
      </c>
      <c r="H92" s="3">
        <f t="shared" si="11"/>
        <v>0</v>
      </c>
      <c r="I92" s="277">
        <f t="shared" si="18"/>
        <v>0</v>
      </c>
      <c r="J92" s="359" t="s">
        <v>171</v>
      </c>
      <c r="K92" s="359" t="s">
        <v>173</v>
      </c>
      <c r="L92" s="359"/>
      <c r="M92" s="338" t="s">
        <v>141</v>
      </c>
      <c r="N92" s="89">
        <v>40998</v>
      </c>
      <c r="O92" s="359" t="s">
        <v>176</v>
      </c>
      <c r="P92" s="359" t="s">
        <v>46</v>
      </c>
      <c r="Q92" s="359"/>
      <c r="R92" s="359"/>
      <c r="S92" s="359" t="s">
        <v>168</v>
      </c>
      <c r="T92" s="359" t="s">
        <v>169</v>
      </c>
      <c r="U92" s="359">
        <v>400</v>
      </c>
      <c r="V92" s="359"/>
      <c r="W92" s="359"/>
      <c r="X92" s="359"/>
      <c r="Y92" s="359">
        <v>47</v>
      </c>
      <c r="Z92" s="359"/>
      <c r="AA92" s="210"/>
      <c r="AB92" s="248"/>
      <c r="AC92" s="359"/>
      <c r="AD92" s="359"/>
      <c r="AE92" s="359"/>
      <c r="AF92" s="359"/>
      <c r="AG92" s="153"/>
      <c r="AH92" s="346">
        <v>343.02393606306902</v>
      </c>
      <c r="AI92" s="24"/>
      <c r="AJ92" s="24"/>
      <c r="AK92" s="24"/>
      <c r="AL92" s="24"/>
      <c r="AM92" s="359"/>
      <c r="AN92" s="24">
        <f t="shared" si="19"/>
        <v>0</v>
      </c>
      <c r="AO92" s="54">
        <f t="shared" si="20"/>
        <v>0</v>
      </c>
      <c r="AP92" s="261" t="e">
        <f t="shared" si="21"/>
        <v>#VALUE!</v>
      </c>
      <c r="AQ92" s="338"/>
      <c r="AR92" s="45"/>
      <c r="AS92" s="359"/>
      <c r="AT92" s="359"/>
    </row>
    <row r="93" spans="1:46" ht="24">
      <c r="A93" s="359" t="s">
        <v>177</v>
      </c>
      <c r="B93" s="359" t="str">
        <f t="shared" si="12"/>
        <v>MgO</v>
      </c>
      <c r="C93" s="141">
        <f t="shared" si="13"/>
        <v>0</v>
      </c>
      <c r="D93" s="277">
        <f t="shared" si="14"/>
        <v>319.46119280494099</v>
      </c>
      <c r="E93" s="20">
        <f t="shared" si="15"/>
        <v>0</v>
      </c>
      <c r="F93" s="20">
        <f t="shared" si="16"/>
        <v>0</v>
      </c>
      <c r="G93" s="277">
        <f t="shared" si="17"/>
        <v>0</v>
      </c>
      <c r="H93" s="3">
        <f t="shared" si="11"/>
        <v>0</v>
      </c>
      <c r="I93" s="277">
        <f t="shared" si="18"/>
        <v>0</v>
      </c>
      <c r="J93" s="359"/>
      <c r="K93" s="359" t="s">
        <v>173</v>
      </c>
      <c r="L93" s="359"/>
      <c r="M93" s="338"/>
      <c r="N93" s="89">
        <v>40998</v>
      </c>
      <c r="O93" s="359" t="s">
        <v>176</v>
      </c>
      <c r="P93" s="359" t="s">
        <v>46</v>
      </c>
      <c r="Q93" s="359"/>
      <c r="R93" s="359"/>
      <c r="S93" s="359" t="s">
        <v>168</v>
      </c>
      <c r="T93" s="359" t="s">
        <v>169</v>
      </c>
      <c r="U93" s="359">
        <v>400</v>
      </c>
      <c r="V93" s="359"/>
      <c r="W93" s="359"/>
      <c r="X93" s="359"/>
      <c r="Y93" s="359">
        <v>47</v>
      </c>
      <c r="Z93" s="359"/>
      <c r="AA93" s="210"/>
      <c r="AB93" s="248"/>
      <c r="AC93" s="359"/>
      <c r="AD93" s="359"/>
      <c r="AE93" s="359"/>
      <c r="AF93" s="359"/>
      <c r="AG93" s="153"/>
      <c r="AH93" s="346">
        <v>319.46119280494099</v>
      </c>
      <c r="AI93" s="24"/>
      <c r="AJ93" s="24"/>
      <c r="AK93" s="24"/>
      <c r="AL93" s="24"/>
      <c r="AM93" s="359"/>
      <c r="AN93" s="24">
        <f t="shared" si="19"/>
        <v>0</v>
      </c>
      <c r="AO93" s="54">
        <f t="shared" si="20"/>
        <v>0</v>
      </c>
      <c r="AP93" s="261" t="e">
        <f t="shared" si="21"/>
        <v>#VALUE!</v>
      </c>
      <c r="AQ93" s="338"/>
      <c r="AR93" s="45"/>
      <c r="AS93" s="359"/>
      <c r="AT93" s="359"/>
    </row>
    <row r="94" spans="1:46" ht="24">
      <c r="A94" s="359" t="s">
        <v>178</v>
      </c>
      <c r="B94" s="359" t="str">
        <f t="shared" si="12"/>
        <v>MgO</v>
      </c>
      <c r="C94" s="141">
        <f t="shared" si="13"/>
        <v>0</v>
      </c>
      <c r="D94" s="277">
        <f t="shared" si="14"/>
        <v>352.32501892812002</v>
      </c>
      <c r="E94" s="20">
        <f t="shared" si="15"/>
        <v>0</v>
      </c>
      <c r="F94" s="20">
        <f t="shared" si="16"/>
        <v>0</v>
      </c>
      <c r="G94" s="277">
        <f t="shared" si="17"/>
        <v>0</v>
      </c>
      <c r="H94" s="3">
        <f t="shared" si="11"/>
        <v>0</v>
      </c>
      <c r="I94" s="277">
        <f t="shared" si="18"/>
        <v>0</v>
      </c>
      <c r="J94" s="359" t="s">
        <v>171</v>
      </c>
      <c r="K94" s="359" t="s">
        <v>173</v>
      </c>
      <c r="L94" s="359"/>
      <c r="M94" s="338" t="s">
        <v>141</v>
      </c>
      <c r="N94" s="89">
        <v>40998</v>
      </c>
      <c r="O94" s="359" t="s">
        <v>176</v>
      </c>
      <c r="P94" s="359" t="s">
        <v>46</v>
      </c>
      <c r="Q94" s="359"/>
      <c r="R94" s="359"/>
      <c r="S94" s="359" t="s">
        <v>168</v>
      </c>
      <c r="T94" s="359" t="s">
        <v>169</v>
      </c>
      <c r="U94" s="359">
        <v>400</v>
      </c>
      <c r="V94" s="359"/>
      <c r="W94" s="359"/>
      <c r="X94" s="359"/>
      <c r="Y94" s="359">
        <v>47</v>
      </c>
      <c r="Z94" s="359"/>
      <c r="AA94" s="210"/>
      <c r="AB94" s="248"/>
      <c r="AC94" s="359"/>
      <c r="AD94" s="359"/>
      <c r="AE94" s="359"/>
      <c r="AF94" s="359"/>
      <c r="AG94" s="153"/>
      <c r="AH94" s="346">
        <v>352.32501892812002</v>
      </c>
      <c r="AI94" s="24"/>
      <c r="AJ94" s="24"/>
      <c r="AK94" s="24"/>
      <c r="AL94" s="24"/>
      <c r="AM94" s="359"/>
      <c r="AN94" s="24">
        <f t="shared" si="19"/>
        <v>0</v>
      </c>
      <c r="AO94" s="54">
        <f t="shared" si="20"/>
        <v>0</v>
      </c>
      <c r="AP94" s="261" t="e">
        <f t="shared" si="21"/>
        <v>#VALUE!</v>
      </c>
      <c r="AQ94" s="338"/>
      <c r="AR94" s="45"/>
      <c r="AS94" s="359"/>
      <c r="AT94" s="359"/>
    </row>
    <row r="95" spans="1:46" ht="24">
      <c r="A95" s="359" t="s">
        <v>179</v>
      </c>
      <c r="B95" s="359" t="str">
        <f t="shared" si="12"/>
        <v>MgO</v>
      </c>
      <c r="C95" s="141">
        <f t="shared" si="13"/>
        <v>0</v>
      </c>
      <c r="D95" s="277">
        <f t="shared" si="14"/>
        <v>372.787401231231</v>
      </c>
      <c r="E95" s="20">
        <f t="shared" si="15"/>
        <v>0</v>
      </c>
      <c r="F95" s="20">
        <f t="shared" si="16"/>
        <v>0</v>
      </c>
      <c r="G95" s="277">
        <f t="shared" si="17"/>
        <v>0</v>
      </c>
      <c r="H95" s="3">
        <f t="shared" si="11"/>
        <v>0</v>
      </c>
      <c r="I95" s="277">
        <f t="shared" si="18"/>
        <v>0</v>
      </c>
      <c r="J95" s="359" t="s">
        <v>171</v>
      </c>
      <c r="K95" s="359" t="s">
        <v>173</v>
      </c>
      <c r="L95" s="359"/>
      <c r="M95" s="338" t="s">
        <v>141</v>
      </c>
      <c r="N95" s="89">
        <v>40998</v>
      </c>
      <c r="O95" s="359" t="s">
        <v>176</v>
      </c>
      <c r="P95" s="359" t="s">
        <v>46</v>
      </c>
      <c r="Q95" s="359"/>
      <c r="R95" s="359"/>
      <c r="S95" s="359" t="s">
        <v>168</v>
      </c>
      <c r="T95" s="359" t="s">
        <v>169</v>
      </c>
      <c r="U95" s="359">
        <v>400</v>
      </c>
      <c r="V95" s="359"/>
      <c r="W95" s="359"/>
      <c r="X95" s="359"/>
      <c r="Y95" s="359">
        <v>47</v>
      </c>
      <c r="Z95" s="359"/>
      <c r="AA95" s="210"/>
      <c r="AB95" s="248"/>
      <c r="AC95" s="359"/>
      <c r="AD95" s="359"/>
      <c r="AE95" s="359"/>
      <c r="AF95" s="359"/>
      <c r="AG95" s="153"/>
      <c r="AH95" s="346">
        <v>372.787401231231</v>
      </c>
      <c r="AI95" s="24"/>
      <c r="AJ95" s="24"/>
      <c r="AK95" s="24"/>
      <c r="AL95" s="24"/>
      <c r="AM95" s="359"/>
      <c r="AN95" s="24">
        <f t="shared" si="19"/>
        <v>0</v>
      </c>
      <c r="AO95" s="54">
        <f t="shared" si="20"/>
        <v>0</v>
      </c>
      <c r="AP95" s="261" t="e">
        <f t="shared" si="21"/>
        <v>#VALUE!</v>
      </c>
      <c r="AQ95" s="338"/>
      <c r="AR95" s="45"/>
      <c r="AS95" s="359"/>
      <c r="AT95" s="359"/>
    </row>
    <row r="96" spans="1:46" ht="24">
      <c r="A96" s="359" t="s">
        <v>180</v>
      </c>
      <c r="B96" s="359" t="str">
        <f t="shared" si="12"/>
        <v>MgO</v>
      </c>
      <c r="C96" s="141">
        <f t="shared" si="13"/>
        <v>0</v>
      </c>
      <c r="D96" s="277">
        <f t="shared" si="14"/>
        <v>330.002420051998</v>
      </c>
      <c r="E96" s="20">
        <f t="shared" si="15"/>
        <v>0</v>
      </c>
      <c r="F96" s="20">
        <f t="shared" si="16"/>
        <v>0</v>
      </c>
      <c r="G96" s="277">
        <f t="shared" si="17"/>
        <v>0</v>
      </c>
      <c r="H96" s="3">
        <f t="shared" ref="H96:H159" si="22">AL96</f>
        <v>0</v>
      </c>
      <c r="I96" s="277">
        <f t="shared" si="18"/>
        <v>0</v>
      </c>
      <c r="J96" s="359"/>
      <c r="K96" s="359" t="s">
        <v>143</v>
      </c>
      <c r="L96" s="359"/>
      <c r="M96" s="338" t="s">
        <v>135</v>
      </c>
      <c r="N96" s="89">
        <v>40998</v>
      </c>
      <c r="O96" s="359" t="s">
        <v>181</v>
      </c>
      <c r="P96" s="359" t="s">
        <v>46</v>
      </c>
      <c r="Q96" s="359"/>
      <c r="R96" s="359"/>
      <c r="S96" s="359" t="s">
        <v>168</v>
      </c>
      <c r="T96" s="359" t="s">
        <v>169</v>
      </c>
      <c r="U96" s="359">
        <v>400</v>
      </c>
      <c r="V96" s="359"/>
      <c r="W96" s="359"/>
      <c r="X96" s="359"/>
      <c r="Y96" s="359">
        <v>47</v>
      </c>
      <c r="Z96" s="359"/>
      <c r="AA96" s="210"/>
      <c r="AB96" s="248"/>
      <c r="AC96" s="359"/>
      <c r="AD96" s="359"/>
      <c r="AE96" s="359"/>
      <c r="AF96" s="359"/>
      <c r="AG96" s="153"/>
      <c r="AH96" s="346">
        <v>330.002420051998</v>
      </c>
      <c r="AI96" s="24"/>
      <c r="AJ96" s="24"/>
      <c r="AK96" s="24"/>
      <c r="AL96" s="24"/>
      <c r="AM96" s="359"/>
      <c r="AN96" s="24">
        <f t="shared" si="19"/>
        <v>0</v>
      </c>
      <c r="AO96" s="54">
        <f t="shared" si="20"/>
        <v>0</v>
      </c>
      <c r="AP96" s="261" t="e">
        <f t="shared" si="21"/>
        <v>#VALUE!</v>
      </c>
      <c r="AQ96" s="338"/>
      <c r="AR96" s="45"/>
      <c r="AS96" s="359"/>
      <c r="AT96" s="359"/>
    </row>
    <row r="97" spans="1:46" ht="24">
      <c r="A97" s="359" t="s">
        <v>182</v>
      </c>
      <c r="B97" s="359" t="str">
        <f t="shared" si="12"/>
        <v>MgO</v>
      </c>
      <c r="C97" s="141">
        <f t="shared" si="13"/>
        <v>0</v>
      </c>
      <c r="D97" s="277">
        <f t="shared" si="14"/>
        <v>326.28198690597799</v>
      </c>
      <c r="E97" s="20">
        <f t="shared" si="15"/>
        <v>0</v>
      </c>
      <c r="F97" s="20">
        <f t="shared" si="16"/>
        <v>0</v>
      </c>
      <c r="G97" s="277">
        <f t="shared" si="17"/>
        <v>0</v>
      </c>
      <c r="H97" s="3">
        <f t="shared" si="22"/>
        <v>0</v>
      </c>
      <c r="I97" s="277">
        <f t="shared" si="18"/>
        <v>0</v>
      </c>
      <c r="J97" s="359"/>
      <c r="K97" s="359" t="s">
        <v>143</v>
      </c>
      <c r="L97" s="359"/>
      <c r="M97" s="338" t="s">
        <v>135</v>
      </c>
      <c r="N97" s="89">
        <v>40998</v>
      </c>
      <c r="O97" s="359" t="s">
        <v>181</v>
      </c>
      <c r="P97" s="359" t="s">
        <v>46</v>
      </c>
      <c r="Q97" s="359"/>
      <c r="R97" s="359"/>
      <c r="S97" s="359" t="s">
        <v>168</v>
      </c>
      <c r="T97" s="359" t="s">
        <v>169</v>
      </c>
      <c r="U97" s="359">
        <v>400</v>
      </c>
      <c r="V97" s="359"/>
      <c r="W97" s="359"/>
      <c r="X97" s="359"/>
      <c r="Y97" s="359">
        <v>47</v>
      </c>
      <c r="Z97" s="359"/>
      <c r="AA97" s="210"/>
      <c r="AB97" s="248"/>
      <c r="AC97" s="359"/>
      <c r="AD97" s="359"/>
      <c r="AE97" s="359"/>
      <c r="AF97" s="359"/>
      <c r="AG97" s="153"/>
      <c r="AH97" s="346">
        <v>326.28198690597799</v>
      </c>
      <c r="AI97" s="24"/>
      <c r="AJ97" s="24"/>
      <c r="AK97" s="24"/>
      <c r="AL97" s="24"/>
      <c r="AM97" s="359"/>
      <c r="AN97" s="24">
        <f t="shared" si="19"/>
        <v>0</v>
      </c>
      <c r="AO97" s="54">
        <f t="shared" si="20"/>
        <v>0</v>
      </c>
      <c r="AP97" s="261" t="e">
        <f t="shared" si="21"/>
        <v>#VALUE!</v>
      </c>
      <c r="AQ97" s="338"/>
      <c r="AR97" s="45"/>
      <c r="AS97" s="359"/>
      <c r="AT97" s="359"/>
    </row>
    <row r="98" spans="1:46" ht="24">
      <c r="A98" s="359" t="s">
        <v>183</v>
      </c>
      <c r="B98" s="359" t="str">
        <f t="shared" si="12"/>
        <v>MgO</v>
      </c>
      <c r="C98" s="141">
        <f t="shared" si="13"/>
        <v>0</v>
      </c>
      <c r="D98" s="277">
        <f t="shared" si="14"/>
        <v>366.09062156839502</v>
      </c>
      <c r="E98" s="20">
        <f t="shared" si="15"/>
        <v>0</v>
      </c>
      <c r="F98" s="20">
        <f t="shared" si="16"/>
        <v>0</v>
      </c>
      <c r="G98" s="277">
        <f t="shared" si="17"/>
        <v>0</v>
      </c>
      <c r="H98" s="3">
        <f t="shared" si="22"/>
        <v>0</v>
      </c>
      <c r="I98" s="277">
        <f t="shared" si="18"/>
        <v>0</v>
      </c>
      <c r="J98" s="134" t="s">
        <v>140</v>
      </c>
      <c r="K98" s="359" t="s">
        <v>173</v>
      </c>
      <c r="L98" s="359"/>
      <c r="M98" s="338" t="s">
        <v>141</v>
      </c>
      <c r="N98" s="89">
        <v>40998</v>
      </c>
      <c r="O98" s="359" t="s">
        <v>181</v>
      </c>
      <c r="P98" s="359" t="s">
        <v>46</v>
      </c>
      <c r="Q98" s="359"/>
      <c r="R98" s="359"/>
      <c r="S98" s="359" t="s">
        <v>168</v>
      </c>
      <c r="T98" s="359" t="s">
        <v>169</v>
      </c>
      <c r="U98" s="359">
        <v>400</v>
      </c>
      <c r="V98" s="359"/>
      <c r="W98" s="359"/>
      <c r="X98" s="359"/>
      <c r="Y98" s="359">
        <v>47</v>
      </c>
      <c r="Z98" s="359"/>
      <c r="AA98" s="210"/>
      <c r="AB98" s="248"/>
      <c r="AC98" s="359"/>
      <c r="AD98" s="359"/>
      <c r="AE98" s="359"/>
      <c r="AF98" s="359"/>
      <c r="AG98" s="153"/>
      <c r="AH98" s="346">
        <v>366.09062156839502</v>
      </c>
      <c r="AI98" s="24"/>
      <c r="AJ98" s="24"/>
      <c r="AK98" s="24"/>
      <c r="AL98" s="24"/>
      <c r="AM98" s="359"/>
      <c r="AN98" s="24">
        <f t="shared" si="19"/>
        <v>0</v>
      </c>
      <c r="AO98" s="54">
        <f t="shared" si="20"/>
        <v>0</v>
      </c>
      <c r="AP98" s="261" t="e">
        <f t="shared" si="21"/>
        <v>#VALUE!</v>
      </c>
      <c r="AQ98" s="338"/>
      <c r="AR98" s="45"/>
      <c r="AS98" s="359"/>
      <c r="AT98" s="359"/>
    </row>
    <row r="99" spans="1:46" ht="24">
      <c r="A99" s="359" t="s">
        <v>184</v>
      </c>
      <c r="B99" s="359" t="str">
        <f t="shared" si="12"/>
        <v>MgO</v>
      </c>
      <c r="C99" s="141">
        <f t="shared" si="13"/>
        <v>0</v>
      </c>
      <c r="D99" s="277">
        <f t="shared" si="14"/>
        <v>366.21463600659501</v>
      </c>
      <c r="E99" s="20">
        <f t="shared" si="15"/>
        <v>0</v>
      </c>
      <c r="F99" s="20">
        <f t="shared" si="16"/>
        <v>0</v>
      </c>
      <c r="G99" s="277">
        <f t="shared" si="17"/>
        <v>0</v>
      </c>
      <c r="H99" s="3">
        <f t="shared" si="22"/>
        <v>0</v>
      </c>
      <c r="I99" s="277">
        <f t="shared" si="18"/>
        <v>0</v>
      </c>
      <c r="J99" s="134" t="s">
        <v>140</v>
      </c>
      <c r="K99" s="359" t="s">
        <v>173</v>
      </c>
      <c r="L99" s="359"/>
      <c r="M99" s="338" t="s">
        <v>141</v>
      </c>
      <c r="N99" s="89">
        <v>40998</v>
      </c>
      <c r="O99" s="359" t="s">
        <v>181</v>
      </c>
      <c r="P99" s="359" t="s">
        <v>46</v>
      </c>
      <c r="Q99" s="359"/>
      <c r="R99" s="359"/>
      <c r="S99" s="359" t="s">
        <v>168</v>
      </c>
      <c r="T99" s="359" t="s">
        <v>169</v>
      </c>
      <c r="U99" s="359">
        <v>400</v>
      </c>
      <c r="V99" s="359"/>
      <c r="W99" s="359"/>
      <c r="X99" s="359"/>
      <c r="Y99" s="359">
        <v>47</v>
      </c>
      <c r="Z99" s="359"/>
      <c r="AA99" s="210"/>
      <c r="AB99" s="248"/>
      <c r="AC99" s="359"/>
      <c r="AD99" s="359"/>
      <c r="AE99" s="359"/>
      <c r="AF99" s="359"/>
      <c r="AG99" s="153"/>
      <c r="AH99" s="346">
        <v>366.21463600659501</v>
      </c>
      <c r="AI99" s="24"/>
      <c r="AJ99" s="24"/>
      <c r="AK99" s="24"/>
      <c r="AL99" s="24"/>
      <c r="AM99" s="359"/>
      <c r="AN99" s="24">
        <f t="shared" si="19"/>
        <v>0</v>
      </c>
      <c r="AO99" s="54">
        <f t="shared" si="20"/>
        <v>0</v>
      </c>
      <c r="AP99" s="261" t="e">
        <f t="shared" si="21"/>
        <v>#VALUE!</v>
      </c>
      <c r="AQ99" s="338"/>
      <c r="AR99" s="45"/>
      <c r="AS99" s="359"/>
      <c r="AT99" s="359"/>
    </row>
    <row r="100" spans="1:46" ht="12">
      <c r="A100" s="359" t="s">
        <v>185</v>
      </c>
      <c r="B100" s="359" t="str">
        <f t="shared" si="12"/>
        <v>SiNx</v>
      </c>
      <c r="C100" s="141">
        <f t="shared" si="13"/>
        <v>0</v>
      </c>
      <c r="D100" s="277">
        <f t="shared" si="14"/>
        <v>646.239237463721</v>
      </c>
      <c r="E100" s="20">
        <f t="shared" si="15"/>
        <v>0</v>
      </c>
      <c r="F100" s="20">
        <f t="shared" si="16"/>
        <v>0</v>
      </c>
      <c r="G100" s="277">
        <f t="shared" si="17"/>
        <v>0</v>
      </c>
      <c r="H100" s="3">
        <f t="shared" si="22"/>
        <v>0</v>
      </c>
      <c r="I100" s="277">
        <f t="shared" si="18"/>
        <v>0</v>
      </c>
      <c r="J100" s="359" t="s">
        <v>133</v>
      </c>
      <c r="K100" s="359" t="s">
        <v>186</v>
      </c>
      <c r="L100" s="359"/>
      <c r="M100" s="338"/>
      <c r="N100" s="89">
        <v>40998</v>
      </c>
      <c r="O100" s="359">
        <v>63</v>
      </c>
      <c r="P100" s="359" t="s">
        <v>187</v>
      </c>
      <c r="Q100" s="359"/>
      <c r="R100" s="359"/>
      <c r="S100" s="359">
        <v>20</v>
      </c>
      <c r="T100" s="359">
        <v>65</v>
      </c>
      <c r="U100" s="359">
        <v>400</v>
      </c>
      <c r="V100" s="359"/>
      <c r="W100" s="359"/>
      <c r="X100" s="359"/>
      <c r="Y100" s="359">
        <v>47</v>
      </c>
      <c r="Z100" s="359"/>
      <c r="AA100" s="210"/>
      <c r="AB100" s="248"/>
      <c r="AC100" s="359"/>
      <c r="AD100" s="359"/>
      <c r="AE100" s="359"/>
      <c r="AF100" s="359"/>
      <c r="AG100" s="307"/>
      <c r="AH100" s="38">
        <v>646.239237463721</v>
      </c>
      <c r="AI100" s="8"/>
      <c r="AJ100" s="24"/>
      <c r="AK100" s="24"/>
      <c r="AL100" s="24"/>
      <c r="AM100" s="359"/>
      <c r="AN100" s="24">
        <f t="shared" si="19"/>
        <v>0</v>
      </c>
      <c r="AO100" s="54">
        <f t="shared" si="20"/>
        <v>0</v>
      </c>
      <c r="AP100" s="261">
        <f t="shared" si="21"/>
        <v>0</v>
      </c>
      <c r="AQ100" s="338"/>
      <c r="AR100" s="45"/>
      <c r="AS100" s="359"/>
      <c r="AT100" s="359"/>
    </row>
    <row r="101" spans="1:46" ht="12">
      <c r="A101" s="359" t="s">
        <v>188</v>
      </c>
      <c r="B101" s="359" t="str">
        <f t="shared" si="12"/>
        <v>SiNx</v>
      </c>
      <c r="C101" s="141">
        <f t="shared" si="13"/>
        <v>0</v>
      </c>
      <c r="D101" s="277">
        <f t="shared" si="14"/>
        <v>650.08368504794203</v>
      </c>
      <c r="E101" s="20">
        <f t="shared" si="15"/>
        <v>0</v>
      </c>
      <c r="F101" s="20">
        <f t="shared" si="16"/>
        <v>0</v>
      </c>
      <c r="G101" s="277">
        <f t="shared" si="17"/>
        <v>0</v>
      </c>
      <c r="H101" s="3">
        <f t="shared" si="22"/>
        <v>0</v>
      </c>
      <c r="I101" s="277">
        <f t="shared" si="18"/>
        <v>0</v>
      </c>
      <c r="J101" s="359" t="s">
        <v>133</v>
      </c>
      <c r="K101" s="359" t="s">
        <v>186</v>
      </c>
      <c r="L101" s="359"/>
      <c r="M101" s="338"/>
      <c r="N101" s="89">
        <v>40998</v>
      </c>
      <c r="O101" s="359">
        <v>63</v>
      </c>
      <c r="P101" s="359" t="s">
        <v>187</v>
      </c>
      <c r="Q101" s="359"/>
      <c r="R101" s="359"/>
      <c r="S101" s="359">
        <v>20</v>
      </c>
      <c r="T101" s="359">
        <v>65</v>
      </c>
      <c r="U101" s="359">
        <v>400</v>
      </c>
      <c r="V101" s="359"/>
      <c r="W101" s="359"/>
      <c r="X101" s="359"/>
      <c r="Y101" s="359">
        <v>47</v>
      </c>
      <c r="Z101" s="359"/>
      <c r="AA101" s="210"/>
      <c r="AB101" s="248"/>
      <c r="AC101" s="359"/>
      <c r="AD101" s="359"/>
      <c r="AE101" s="359"/>
      <c r="AF101" s="359"/>
      <c r="AG101" s="307"/>
      <c r="AH101" s="38">
        <v>650.08368504794203</v>
      </c>
      <c r="AI101" s="8"/>
      <c r="AJ101" s="24"/>
      <c r="AK101" s="24"/>
      <c r="AL101" s="24"/>
      <c r="AM101" s="359"/>
      <c r="AN101" s="24">
        <f t="shared" si="19"/>
        <v>0</v>
      </c>
      <c r="AO101" s="54">
        <f t="shared" si="20"/>
        <v>0</v>
      </c>
      <c r="AP101" s="261">
        <f t="shared" si="21"/>
        <v>0</v>
      </c>
      <c r="AQ101" s="338"/>
      <c r="AR101" s="45"/>
      <c r="AS101" s="359"/>
      <c r="AT101" s="359"/>
    </row>
    <row r="102" spans="1:46" ht="12">
      <c r="A102" s="359" t="s">
        <v>189</v>
      </c>
      <c r="B102" s="359" t="str">
        <f t="shared" si="12"/>
        <v>SiNx</v>
      </c>
      <c r="C102" s="141">
        <f t="shared" si="13"/>
        <v>0</v>
      </c>
      <c r="D102" s="277">
        <f t="shared" si="14"/>
        <v>660.74892673320005</v>
      </c>
      <c r="E102" s="20">
        <f t="shared" si="15"/>
        <v>0</v>
      </c>
      <c r="F102" s="20">
        <f t="shared" si="16"/>
        <v>0</v>
      </c>
      <c r="G102" s="277">
        <f t="shared" si="17"/>
        <v>0</v>
      </c>
      <c r="H102" s="3">
        <f t="shared" si="22"/>
        <v>0</v>
      </c>
      <c r="I102" s="277">
        <f t="shared" si="18"/>
        <v>0</v>
      </c>
      <c r="J102" s="359" t="s">
        <v>133</v>
      </c>
      <c r="K102" s="359" t="s">
        <v>186</v>
      </c>
      <c r="L102" s="359"/>
      <c r="M102" s="338"/>
      <c r="N102" s="89">
        <v>40998</v>
      </c>
      <c r="O102" s="359">
        <v>63</v>
      </c>
      <c r="P102" s="359" t="s">
        <v>187</v>
      </c>
      <c r="Q102" s="359"/>
      <c r="R102" s="359"/>
      <c r="S102" s="359">
        <v>20</v>
      </c>
      <c r="T102" s="359">
        <v>65</v>
      </c>
      <c r="U102" s="359">
        <v>400</v>
      </c>
      <c r="V102" s="359"/>
      <c r="W102" s="359"/>
      <c r="X102" s="359"/>
      <c r="Y102" s="359">
        <v>47</v>
      </c>
      <c r="Z102" s="359"/>
      <c r="AA102" s="210"/>
      <c r="AB102" s="248"/>
      <c r="AC102" s="359"/>
      <c r="AD102" s="359"/>
      <c r="AE102" s="359"/>
      <c r="AF102" s="359"/>
      <c r="AG102" s="307"/>
      <c r="AH102" s="38">
        <v>660.74892673320005</v>
      </c>
      <c r="AI102" s="8"/>
      <c r="AJ102" s="24"/>
      <c r="AK102" s="24"/>
      <c r="AL102" s="24"/>
      <c r="AM102" s="359"/>
      <c r="AN102" s="24">
        <f t="shared" si="19"/>
        <v>0</v>
      </c>
      <c r="AO102" s="54">
        <f t="shared" si="20"/>
        <v>0</v>
      </c>
      <c r="AP102" s="261">
        <f t="shared" si="21"/>
        <v>0</v>
      </c>
      <c r="AQ102" s="338"/>
      <c r="AR102" s="45"/>
      <c r="AS102" s="359"/>
      <c r="AT102" s="359"/>
    </row>
    <row r="103" spans="1:46" ht="12">
      <c r="A103" s="359" t="s">
        <v>190</v>
      </c>
      <c r="B103" s="359" t="str">
        <f t="shared" si="12"/>
        <v>SiNx</v>
      </c>
      <c r="C103" s="141">
        <f t="shared" si="13"/>
        <v>0</v>
      </c>
      <c r="D103" s="277">
        <f t="shared" si="14"/>
        <v>656.78046471077903</v>
      </c>
      <c r="E103" s="20">
        <f t="shared" si="15"/>
        <v>0</v>
      </c>
      <c r="F103" s="20">
        <f t="shared" si="16"/>
        <v>0</v>
      </c>
      <c r="G103" s="277">
        <f t="shared" si="17"/>
        <v>0</v>
      </c>
      <c r="H103" s="3">
        <f t="shared" si="22"/>
        <v>0</v>
      </c>
      <c r="I103" s="277">
        <f t="shared" si="18"/>
        <v>0</v>
      </c>
      <c r="J103" s="359" t="s">
        <v>133</v>
      </c>
      <c r="K103" s="359" t="s">
        <v>186</v>
      </c>
      <c r="L103" s="359"/>
      <c r="M103" s="338"/>
      <c r="N103" s="89">
        <v>40998</v>
      </c>
      <c r="O103" s="359">
        <v>63</v>
      </c>
      <c r="P103" s="359" t="s">
        <v>187</v>
      </c>
      <c r="Q103" s="359"/>
      <c r="R103" s="359"/>
      <c r="S103" s="359">
        <v>20</v>
      </c>
      <c r="T103" s="359">
        <v>65</v>
      </c>
      <c r="U103" s="359">
        <v>400</v>
      </c>
      <c r="V103" s="359"/>
      <c r="W103" s="359"/>
      <c r="X103" s="359"/>
      <c r="Y103" s="359">
        <v>47</v>
      </c>
      <c r="Z103" s="359"/>
      <c r="AA103" s="210"/>
      <c r="AB103" s="248"/>
      <c r="AC103" s="359"/>
      <c r="AD103" s="359"/>
      <c r="AE103" s="359"/>
      <c r="AF103" s="359"/>
      <c r="AG103" s="307"/>
      <c r="AH103" s="38">
        <v>656.78046471077903</v>
      </c>
      <c r="AI103" s="8"/>
      <c r="AJ103" s="24"/>
      <c r="AK103" s="24"/>
      <c r="AL103" s="24"/>
      <c r="AM103" s="359"/>
      <c r="AN103" s="24">
        <f t="shared" si="19"/>
        <v>0</v>
      </c>
      <c r="AO103" s="54">
        <f t="shared" si="20"/>
        <v>0</v>
      </c>
      <c r="AP103" s="261">
        <f t="shared" si="21"/>
        <v>0</v>
      </c>
      <c r="AQ103" s="338"/>
      <c r="AR103" s="45"/>
      <c r="AS103" s="359"/>
      <c r="AT103" s="359"/>
    </row>
    <row r="104" spans="1:46" ht="24">
      <c r="A104" s="359" t="s">
        <v>191</v>
      </c>
      <c r="B104" s="359" t="str">
        <f t="shared" si="12"/>
        <v>MgO</v>
      </c>
      <c r="C104" s="141">
        <f t="shared" si="13"/>
        <v>0</v>
      </c>
      <c r="D104" s="277">
        <f t="shared" si="14"/>
        <v>304.20741690625698</v>
      </c>
      <c r="E104" s="20">
        <f t="shared" si="15"/>
        <v>0</v>
      </c>
      <c r="F104" s="20">
        <f t="shared" si="16"/>
        <v>0</v>
      </c>
      <c r="G104" s="277">
        <f t="shared" si="17"/>
        <v>0</v>
      </c>
      <c r="H104" s="3">
        <f t="shared" si="22"/>
        <v>0</v>
      </c>
      <c r="I104" s="277">
        <f t="shared" si="18"/>
        <v>0</v>
      </c>
      <c r="J104" s="359"/>
      <c r="K104" s="359" t="s">
        <v>192</v>
      </c>
      <c r="L104" s="359"/>
      <c r="M104" s="338"/>
      <c r="N104" s="89">
        <v>41001</v>
      </c>
      <c r="O104" s="359" t="s">
        <v>193</v>
      </c>
      <c r="P104" s="359" t="s">
        <v>46</v>
      </c>
      <c r="Q104" s="359"/>
      <c r="R104" s="359"/>
      <c r="S104" s="359" t="s">
        <v>168</v>
      </c>
      <c r="T104" s="359" t="s">
        <v>194</v>
      </c>
      <c r="U104" s="359">
        <v>400</v>
      </c>
      <c r="V104" s="359"/>
      <c r="W104" s="359"/>
      <c r="X104" s="359"/>
      <c r="Y104" s="359">
        <v>47</v>
      </c>
      <c r="Z104" s="359"/>
      <c r="AA104" s="210"/>
      <c r="AB104" s="248"/>
      <c r="AC104" s="359"/>
      <c r="AD104" s="359"/>
      <c r="AE104" s="359"/>
      <c r="AF104" s="359"/>
      <c r="AG104" s="307"/>
      <c r="AH104" s="38">
        <v>304.20741690625698</v>
      </c>
      <c r="AI104" s="8"/>
      <c r="AJ104" s="24"/>
      <c r="AK104" s="24"/>
      <c r="AL104" s="24"/>
      <c r="AM104" s="359"/>
      <c r="AN104" s="24">
        <f t="shared" si="19"/>
        <v>0</v>
      </c>
      <c r="AO104" s="54">
        <f t="shared" si="20"/>
        <v>0</v>
      </c>
      <c r="AP104" s="261" t="e">
        <f t="shared" si="21"/>
        <v>#VALUE!</v>
      </c>
      <c r="AQ104" s="338"/>
      <c r="AR104" s="45"/>
      <c r="AS104" s="359"/>
      <c r="AT104" s="359"/>
    </row>
    <row r="105" spans="1:46" ht="24">
      <c r="A105" s="359" t="s">
        <v>195</v>
      </c>
      <c r="B105" s="359" t="str">
        <f t="shared" si="12"/>
        <v>MgO</v>
      </c>
      <c r="C105" s="141">
        <f t="shared" si="13"/>
        <v>0</v>
      </c>
      <c r="D105" s="277">
        <f t="shared" si="14"/>
        <v>264.435986575301</v>
      </c>
      <c r="E105" s="20">
        <f t="shared" si="15"/>
        <v>0</v>
      </c>
      <c r="F105" s="20">
        <f t="shared" si="16"/>
        <v>0</v>
      </c>
      <c r="G105" s="277">
        <f t="shared" si="17"/>
        <v>0</v>
      </c>
      <c r="H105" s="3">
        <f t="shared" si="22"/>
        <v>0</v>
      </c>
      <c r="I105" s="277">
        <f t="shared" si="18"/>
        <v>0</v>
      </c>
      <c r="J105" s="359"/>
      <c r="K105" s="359" t="s">
        <v>192</v>
      </c>
      <c r="L105" s="359"/>
      <c r="M105" s="338"/>
      <c r="N105" s="89">
        <v>41001</v>
      </c>
      <c r="O105" s="359" t="s">
        <v>193</v>
      </c>
      <c r="P105" s="359" t="s">
        <v>46</v>
      </c>
      <c r="Q105" s="359"/>
      <c r="R105" s="359"/>
      <c r="S105" s="359" t="s">
        <v>168</v>
      </c>
      <c r="T105" s="359" t="s">
        <v>194</v>
      </c>
      <c r="U105" s="359">
        <v>400</v>
      </c>
      <c r="V105" s="359"/>
      <c r="W105" s="359"/>
      <c r="X105" s="359"/>
      <c r="Y105" s="359">
        <v>47</v>
      </c>
      <c r="Z105" s="359"/>
      <c r="AA105" s="210"/>
      <c r="AB105" s="248"/>
      <c r="AC105" s="359"/>
      <c r="AD105" s="359"/>
      <c r="AE105" s="359"/>
      <c r="AF105" s="359"/>
      <c r="AG105" s="307"/>
      <c r="AH105" s="38">
        <v>264.435986575301</v>
      </c>
      <c r="AI105" s="8"/>
      <c r="AJ105" s="24"/>
      <c r="AK105" s="24"/>
      <c r="AL105" s="24"/>
      <c r="AM105" s="359"/>
      <c r="AN105" s="24">
        <f t="shared" si="19"/>
        <v>0</v>
      </c>
      <c r="AO105" s="54">
        <f t="shared" si="20"/>
        <v>0</v>
      </c>
      <c r="AP105" s="261" t="e">
        <f t="shared" si="21"/>
        <v>#VALUE!</v>
      </c>
      <c r="AQ105" s="338"/>
      <c r="AR105" s="45"/>
      <c r="AS105" s="359"/>
      <c r="AT105" s="359"/>
    </row>
    <row r="106" spans="1:46" ht="24">
      <c r="A106" s="359" t="s">
        <v>196</v>
      </c>
      <c r="B106" s="359" t="str">
        <f t="shared" si="12"/>
        <v>MgO</v>
      </c>
      <c r="C106" s="141">
        <f t="shared" si="13"/>
        <v>0</v>
      </c>
      <c r="D106" s="277">
        <f t="shared" si="14"/>
        <v>298.82519028834798</v>
      </c>
      <c r="E106" s="20">
        <f t="shared" si="15"/>
        <v>0</v>
      </c>
      <c r="F106" s="20">
        <f t="shared" si="16"/>
        <v>0</v>
      </c>
      <c r="G106" s="277">
        <f t="shared" si="17"/>
        <v>0</v>
      </c>
      <c r="H106" s="3">
        <f t="shared" si="22"/>
        <v>0</v>
      </c>
      <c r="I106" s="277">
        <f t="shared" si="18"/>
        <v>0</v>
      </c>
      <c r="J106" s="359"/>
      <c r="K106" s="359" t="s">
        <v>192</v>
      </c>
      <c r="L106" s="359"/>
      <c r="M106" s="338"/>
      <c r="N106" s="89">
        <v>41001</v>
      </c>
      <c r="O106" s="359" t="s">
        <v>193</v>
      </c>
      <c r="P106" s="359" t="s">
        <v>46</v>
      </c>
      <c r="Q106" s="359"/>
      <c r="R106" s="359"/>
      <c r="S106" s="359" t="s">
        <v>168</v>
      </c>
      <c r="T106" s="359" t="s">
        <v>194</v>
      </c>
      <c r="U106" s="359">
        <v>400</v>
      </c>
      <c r="V106" s="359"/>
      <c r="W106" s="359"/>
      <c r="X106" s="359"/>
      <c r="Y106" s="359">
        <v>47</v>
      </c>
      <c r="Z106" s="359"/>
      <c r="AA106" s="210"/>
      <c r="AB106" s="248"/>
      <c r="AC106" s="359"/>
      <c r="AD106" s="359"/>
      <c r="AE106" s="359"/>
      <c r="AF106" s="359"/>
      <c r="AG106" s="307"/>
      <c r="AH106" s="38">
        <v>298.82519028834798</v>
      </c>
      <c r="AI106" s="8"/>
      <c r="AJ106" s="24"/>
      <c r="AK106" s="24"/>
      <c r="AL106" s="24"/>
      <c r="AM106" s="359"/>
      <c r="AN106" s="24">
        <f t="shared" si="19"/>
        <v>0</v>
      </c>
      <c r="AO106" s="54">
        <f t="shared" si="20"/>
        <v>0</v>
      </c>
      <c r="AP106" s="261" t="e">
        <f t="shared" si="21"/>
        <v>#VALUE!</v>
      </c>
      <c r="AQ106" s="338"/>
      <c r="AR106" s="45"/>
      <c r="AS106" s="359"/>
      <c r="AT106" s="359"/>
    </row>
    <row r="107" spans="1:46" ht="24">
      <c r="A107" s="359" t="s">
        <v>197</v>
      </c>
      <c r="B107" s="359" t="str">
        <f t="shared" si="12"/>
        <v>MgO</v>
      </c>
      <c r="C107" s="141">
        <f t="shared" si="13"/>
        <v>0</v>
      </c>
      <c r="D107" s="277">
        <f t="shared" si="14"/>
        <v>304.49265011411899</v>
      </c>
      <c r="E107" s="20">
        <f t="shared" si="15"/>
        <v>0</v>
      </c>
      <c r="F107" s="20">
        <f t="shared" si="16"/>
        <v>0</v>
      </c>
      <c r="G107" s="277">
        <f t="shared" si="17"/>
        <v>0</v>
      </c>
      <c r="H107" s="3">
        <f t="shared" si="22"/>
        <v>0</v>
      </c>
      <c r="I107" s="277">
        <f t="shared" si="18"/>
        <v>0</v>
      </c>
      <c r="J107" s="359"/>
      <c r="K107" s="359" t="s">
        <v>192</v>
      </c>
      <c r="L107" s="359"/>
      <c r="M107" s="338"/>
      <c r="N107" s="89">
        <v>41001</v>
      </c>
      <c r="O107" s="359" t="s">
        <v>193</v>
      </c>
      <c r="P107" s="359" t="s">
        <v>46</v>
      </c>
      <c r="Q107" s="359"/>
      <c r="R107" s="359"/>
      <c r="S107" s="359" t="s">
        <v>168</v>
      </c>
      <c r="T107" s="359" t="s">
        <v>194</v>
      </c>
      <c r="U107" s="359">
        <v>400</v>
      </c>
      <c r="V107" s="359"/>
      <c r="W107" s="359"/>
      <c r="X107" s="359"/>
      <c r="Y107" s="359">
        <v>47</v>
      </c>
      <c r="Z107" s="359"/>
      <c r="AA107" s="210"/>
      <c r="AB107" s="248"/>
      <c r="AC107" s="359"/>
      <c r="AD107" s="359"/>
      <c r="AE107" s="359"/>
      <c r="AF107" s="359"/>
      <c r="AG107" s="307"/>
      <c r="AH107" s="38">
        <v>304.49265011411899</v>
      </c>
      <c r="AI107" s="8"/>
      <c r="AJ107" s="24"/>
      <c r="AK107" s="24"/>
      <c r="AL107" s="24"/>
      <c r="AM107" s="359"/>
      <c r="AN107" s="24">
        <f t="shared" si="19"/>
        <v>0</v>
      </c>
      <c r="AO107" s="54">
        <f t="shared" si="20"/>
        <v>0</v>
      </c>
      <c r="AP107" s="261" t="e">
        <f t="shared" si="21"/>
        <v>#VALUE!</v>
      </c>
      <c r="AQ107" s="338"/>
      <c r="AR107" s="45"/>
      <c r="AS107" s="359"/>
      <c r="AT107" s="359"/>
    </row>
    <row r="108" spans="1:46" ht="12">
      <c r="A108" s="359" t="s">
        <v>198</v>
      </c>
      <c r="B108" s="359" t="str">
        <f t="shared" si="12"/>
        <v>MgO</v>
      </c>
      <c r="C108" s="141">
        <f t="shared" si="13"/>
        <v>0</v>
      </c>
      <c r="D108" s="277">
        <f t="shared" si="14"/>
        <v>0</v>
      </c>
      <c r="E108" s="20">
        <f t="shared" si="15"/>
        <v>0</v>
      </c>
      <c r="F108" s="20">
        <f t="shared" si="16"/>
        <v>0</v>
      </c>
      <c r="G108" s="277">
        <f t="shared" si="17"/>
        <v>0</v>
      </c>
      <c r="H108" s="3">
        <f t="shared" si="22"/>
        <v>0</v>
      </c>
      <c r="I108" s="277">
        <f t="shared" si="18"/>
        <v>0</v>
      </c>
      <c r="J108" s="359"/>
      <c r="K108" s="359" t="s">
        <v>199</v>
      </c>
      <c r="L108" s="359"/>
      <c r="M108" s="338"/>
      <c r="N108" s="89">
        <v>41004</v>
      </c>
      <c r="O108" s="359">
        <v>66</v>
      </c>
      <c r="P108" s="359" t="s">
        <v>46</v>
      </c>
      <c r="Q108" s="359"/>
      <c r="R108" s="359"/>
      <c r="S108" s="359">
        <v>20</v>
      </c>
      <c r="T108" s="359">
        <v>30</v>
      </c>
      <c r="U108" s="359">
        <v>400</v>
      </c>
      <c r="V108" s="359"/>
      <c r="W108" s="359"/>
      <c r="X108" s="359"/>
      <c r="Y108" s="359">
        <v>47</v>
      </c>
      <c r="Z108" s="359"/>
      <c r="AA108" s="210"/>
      <c r="AB108" s="248"/>
      <c r="AC108" s="359"/>
      <c r="AD108" s="359"/>
      <c r="AE108" s="359"/>
      <c r="AF108" s="359"/>
      <c r="AG108" s="153"/>
      <c r="AH108" s="346"/>
      <c r="AI108" s="24"/>
      <c r="AJ108" s="24"/>
      <c r="AK108" s="24"/>
      <c r="AL108" s="24"/>
      <c r="AM108" s="359"/>
      <c r="AN108" s="24">
        <f t="shared" si="19"/>
        <v>0</v>
      </c>
      <c r="AO108" s="54">
        <f t="shared" si="20"/>
        <v>0</v>
      </c>
      <c r="AP108" s="261">
        <f t="shared" si="21"/>
        <v>0</v>
      </c>
      <c r="AQ108" s="338"/>
      <c r="AR108" s="45"/>
      <c r="AS108" s="359"/>
      <c r="AT108" s="359"/>
    </row>
    <row r="109" spans="1:46" ht="12">
      <c r="A109" s="359" t="s">
        <v>200</v>
      </c>
      <c r="B109" s="359" t="str">
        <f t="shared" si="12"/>
        <v>MgO</v>
      </c>
      <c r="C109" s="141">
        <f t="shared" si="13"/>
        <v>0</v>
      </c>
      <c r="D109" s="277">
        <f t="shared" si="14"/>
        <v>0</v>
      </c>
      <c r="E109" s="20">
        <f t="shared" si="15"/>
        <v>0</v>
      </c>
      <c r="F109" s="20">
        <f t="shared" si="16"/>
        <v>0</v>
      </c>
      <c r="G109" s="277">
        <f t="shared" si="17"/>
        <v>0</v>
      </c>
      <c r="H109" s="3">
        <f t="shared" si="22"/>
        <v>0</v>
      </c>
      <c r="I109" s="277">
        <f t="shared" si="18"/>
        <v>0</v>
      </c>
      <c r="J109" s="359"/>
      <c r="K109" s="359" t="s">
        <v>199</v>
      </c>
      <c r="L109" s="359"/>
      <c r="M109" s="338"/>
      <c r="N109" s="89">
        <v>41004</v>
      </c>
      <c r="O109" s="359">
        <v>66</v>
      </c>
      <c r="P109" s="359" t="s">
        <v>46</v>
      </c>
      <c r="Q109" s="359"/>
      <c r="R109" s="359"/>
      <c r="S109" s="359">
        <v>20</v>
      </c>
      <c r="T109" s="359">
        <v>30</v>
      </c>
      <c r="U109" s="359">
        <v>400</v>
      </c>
      <c r="V109" s="359"/>
      <c r="W109" s="359"/>
      <c r="X109" s="359"/>
      <c r="Y109" s="359">
        <v>47</v>
      </c>
      <c r="Z109" s="359"/>
      <c r="AA109" s="210"/>
      <c r="AB109" s="248"/>
      <c r="AC109" s="359"/>
      <c r="AD109" s="359"/>
      <c r="AE109" s="359"/>
      <c r="AF109" s="359"/>
      <c r="AG109" s="153"/>
      <c r="AH109" s="346"/>
      <c r="AI109" s="24"/>
      <c r="AJ109" s="24"/>
      <c r="AK109" s="24"/>
      <c r="AL109" s="24"/>
      <c r="AM109" s="359"/>
      <c r="AN109" s="24">
        <f t="shared" si="19"/>
        <v>0</v>
      </c>
      <c r="AO109" s="54">
        <f t="shared" si="20"/>
        <v>0</v>
      </c>
      <c r="AP109" s="261">
        <f t="shared" si="21"/>
        <v>0</v>
      </c>
      <c r="AQ109" s="338"/>
      <c r="AR109" s="45"/>
      <c r="AS109" s="359"/>
      <c r="AT109" s="359"/>
    </row>
    <row r="110" spans="1:46" ht="12">
      <c r="A110" s="359" t="s">
        <v>201</v>
      </c>
      <c r="B110" s="359" t="str">
        <f t="shared" si="12"/>
        <v>MgO</v>
      </c>
      <c r="C110" s="141">
        <f t="shared" si="13"/>
        <v>0</v>
      </c>
      <c r="D110" s="277">
        <f t="shared" si="14"/>
        <v>0</v>
      </c>
      <c r="E110" s="20">
        <f t="shared" si="15"/>
        <v>0</v>
      </c>
      <c r="F110" s="20">
        <f t="shared" si="16"/>
        <v>0</v>
      </c>
      <c r="G110" s="277">
        <f t="shared" si="17"/>
        <v>0</v>
      </c>
      <c r="H110" s="3">
        <f t="shared" si="22"/>
        <v>0</v>
      </c>
      <c r="I110" s="277">
        <f t="shared" si="18"/>
        <v>0</v>
      </c>
      <c r="J110" s="359"/>
      <c r="K110" s="359" t="s">
        <v>199</v>
      </c>
      <c r="L110" s="359"/>
      <c r="M110" s="338"/>
      <c r="N110" s="89">
        <v>41004</v>
      </c>
      <c r="O110" s="359">
        <v>66</v>
      </c>
      <c r="P110" s="359" t="s">
        <v>46</v>
      </c>
      <c r="Q110" s="359"/>
      <c r="R110" s="359"/>
      <c r="S110" s="359">
        <v>20</v>
      </c>
      <c r="T110" s="359">
        <v>30</v>
      </c>
      <c r="U110" s="359">
        <v>400</v>
      </c>
      <c r="V110" s="359"/>
      <c r="W110" s="359"/>
      <c r="X110" s="359"/>
      <c r="Y110" s="359">
        <v>47</v>
      </c>
      <c r="Z110" s="359"/>
      <c r="AA110" s="210"/>
      <c r="AB110" s="248"/>
      <c r="AC110" s="359"/>
      <c r="AD110" s="359"/>
      <c r="AE110" s="359"/>
      <c r="AF110" s="359"/>
      <c r="AG110" s="153"/>
      <c r="AH110" s="346"/>
      <c r="AI110" s="24"/>
      <c r="AJ110" s="24"/>
      <c r="AK110" s="24"/>
      <c r="AL110" s="24"/>
      <c r="AM110" s="359"/>
      <c r="AN110" s="24">
        <f t="shared" si="19"/>
        <v>0</v>
      </c>
      <c r="AO110" s="54">
        <f t="shared" si="20"/>
        <v>0</v>
      </c>
      <c r="AP110" s="261">
        <f t="shared" si="21"/>
        <v>0</v>
      </c>
      <c r="AQ110" s="338"/>
      <c r="AR110" s="45"/>
      <c r="AS110" s="359"/>
      <c r="AT110" s="359"/>
    </row>
    <row r="111" spans="1:46" ht="12">
      <c r="A111" s="359" t="s">
        <v>202</v>
      </c>
      <c r="B111" s="359" t="str">
        <f t="shared" si="12"/>
        <v>MgO</v>
      </c>
      <c r="C111" s="141">
        <f t="shared" si="13"/>
        <v>0</v>
      </c>
      <c r="D111" s="277">
        <f t="shared" si="14"/>
        <v>0</v>
      </c>
      <c r="E111" s="20">
        <f t="shared" si="15"/>
        <v>0</v>
      </c>
      <c r="F111" s="20">
        <f t="shared" si="16"/>
        <v>0</v>
      </c>
      <c r="G111" s="277">
        <f t="shared" si="17"/>
        <v>0</v>
      </c>
      <c r="H111" s="3">
        <f t="shared" si="22"/>
        <v>0</v>
      </c>
      <c r="I111" s="277">
        <f t="shared" si="18"/>
        <v>0</v>
      </c>
      <c r="J111" s="359"/>
      <c r="K111" s="359" t="s">
        <v>199</v>
      </c>
      <c r="L111" s="359"/>
      <c r="M111" s="338"/>
      <c r="N111" s="89">
        <v>41004</v>
      </c>
      <c r="O111" s="359">
        <v>66</v>
      </c>
      <c r="P111" s="359" t="s">
        <v>46</v>
      </c>
      <c r="Q111" s="359"/>
      <c r="R111" s="359"/>
      <c r="S111" s="359">
        <v>20</v>
      </c>
      <c r="T111" s="359">
        <v>30</v>
      </c>
      <c r="U111" s="359">
        <v>400</v>
      </c>
      <c r="V111" s="359"/>
      <c r="W111" s="359"/>
      <c r="X111" s="359"/>
      <c r="Y111" s="359">
        <v>47</v>
      </c>
      <c r="Z111" s="359"/>
      <c r="AA111" s="210"/>
      <c r="AB111" s="248"/>
      <c r="AC111" s="359"/>
      <c r="AD111" s="359"/>
      <c r="AE111" s="359"/>
      <c r="AF111" s="359"/>
      <c r="AG111" s="153"/>
      <c r="AH111" s="346"/>
      <c r="AI111" s="24"/>
      <c r="AJ111" s="24"/>
      <c r="AK111" s="24"/>
      <c r="AL111" s="24"/>
      <c r="AM111" s="359"/>
      <c r="AN111" s="24">
        <f t="shared" si="19"/>
        <v>0</v>
      </c>
      <c r="AO111" s="54">
        <f t="shared" si="20"/>
        <v>0</v>
      </c>
      <c r="AP111" s="261">
        <f t="shared" si="21"/>
        <v>0</v>
      </c>
      <c r="AQ111" s="338"/>
      <c r="AR111" s="45"/>
      <c r="AS111" s="359"/>
      <c r="AT111" s="359"/>
    </row>
    <row r="112" spans="1:46" ht="24">
      <c r="A112" s="359" t="s">
        <v>203</v>
      </c>
      <c r="B112" s="359" t="str">
        <f t="shared" si="12"/>
        <v>MgO</v>
      </c>
      <c r="C112" s="141">
        <f t="shared" si="13"/>
        <v>0</v>
      </c>
      <c r="D112" s="277">
        <f t="shared" si="14"/>
        <v>903.94124004472496</v>
      </c>
      <c r="E112" s="20">
        <f t="shared" si="15"/>
        <v>0</v>
      </c>
      <c r="F112" s="20">
        <f t="shared" si="16"/>
        <v>0</v>
      </c>
      <c r="G112" s="277">
        <f t="shared" si="17"/>
        <v>0</v>
      </c>
      <c r="H112" s="3">
        <f t="shared" si="22"/>
        <v>0</v>
      </c>
      <c r="I112" s="277">
        <f t="shared" si="18"/>
        <v>0</v>
      </c>
      <c r="J112" s="359" t="s">
        <v>204</v>
      </c>
      <c r="K112" s="359" t="s">
        <v>205</v>
      </c>
      <c r="L112" s="359"/>
      <c r="M112" s="338" t="s">
        <v>206</v>
      </c>
      <c r="N112" s="89">
        <v>41004</v>
      </c>
      <c r="O112" s="359">
        <v>67</v>
      </c>
      <c r="P112" s="359" t="s">
        <v>46</v>
      </c>
      <c r="Q112" s="359"/>
      <c r="R112" s="359"/>
      <c r="S112" s="359">
        <v>800</v>
      </c>
      <c r="T112" s="359">
        <v>40</v>
      </c>
      <c r="U112" s="359">
        <v>400</v>
      </c>
      <c r="V112" s="359"/>
      <c r="W112" s="359"/>
      <c r="X112" s="359"/>
      <c r="Y112" s="359">
        <v>47</v>
      </c>
      <c r="Z112" s="359"/>
      <c r="AA112" s="210"/>
      <c r="AB112" s="248"/>
      <c r="AC112" s="359"/>
      <c r="AD112" s="359"/>
      <c r="AE112" s="359"/>
      <c r="AF112" s="359"/>
      <c r="AG112" s="307"/>
      <c r="AH112" s="38">
        <v>903.94124004472496</v>
      </c>
      <c r="AI112" s="8"/>
      <c r="AJ112" s="24"/>
      <c r="AK112" s="24"/>
      <c r="AL112" s="24"/>
      <c r="AM112" s="359"/>
      <c r="AN112" s="24">
        <f t="shared" si="19"/>
        <v>0</v>
      </c>
      <c r="AO112" s="54">
        <f t="shared" si="20"/>
        <v>0</v>
      </c>
      <c r="AP112" s="261">
        <f t="shared" si="21"/>
        <v>0</v>
      </c>
      <c r="AQ112" s="338"/>
      <c r="AR112" s="45"/>
      <c r="AS112" s="359"/>
      <c r="AT112" s="359"/>
    </row>
    <row r="113" spans="1:46" ht="12">
      <c r="A113" s="359" t="s">
        <v>207</v>
      </c>
      <c r="B113" s="359" t="str">
        <f t="shared" si="12"/>
        <v>MgO</v>
      </c>
      <c r="C113" s="141">
        <f t="shared" si="13"/>
        <v>0</v>
      </c>
      <c r="D113" s="277">
        <f t="shared" si="14"/>
        <v>916.59071274119401</v>
      </c>
      <c r="E113" s="20">
        <f t="shared" si="15"/>
        <v>0</v>
      </c>
      <c r="F113" s="20">
        <f t="shared" si="16"/>
        <v>0</v>
      </c>
      <c r="G113" s="277">
        <f t="shared" si="17"/>
        <v>0</v>
      </c>
      <c r="H113" s="3">
        <f t="shared" si="22"/>
        <v>0</v>
      </c>
      <c r="I113" s="277">
        <f t="shared" si="18"/>
        <v>0</v>
      </c>
      <c r="J113" s="359" t="s">
        <v>208</v>
      </c>
      <c r="K113" s="359" t="s">
        <v>205</v>
      </c>
      <c r="L113" s="359"/>
      <c r="M113" s="338" t="s">
        <v>206</v>
      </c>
      <c r="N113" s="89">
        <v>41004</v>
      </c>
      <c r="O113" s="359">
        <v>67</v>
      </c>
      <c r="P113" s="359" t="s">
        <v>46</v>
      </c>
      <c r="Q113" s="359"/>
      <c r="R113" s="359"/>
      <c r="S113" s="359">
        <v>800</v>
      </c>
      <c r="T113" s="359">
        <v>40</v>
      </c>
      <c r="U113" s="359">
        <v>400</v>
      </c>
      <c r="V113" s="359"/>
      <c r="W113" s="359"/>
      <c r="X113" s="359"/>
      <c r="Y113" s="359">
        <v>47</v>
      </c>
      <c r="Z113" s="359"/>
      <c r="AA113" s="210"/>
      <c r="AB113" s="248"/>
      <c r="AC113" s="359"/>
      <c r="AD113" s="359"/>
      <c r="AE113" s="359"/>
      <c r="AF113" s="359"/>
      <c r="AG113" s="307"/>
      <c r="AH113" s="38">
        <v>916.59071274119401</v>
      </c>
      <c r="AI113" s="8"/>
      <c r="AJ113" s="24"/>
      <c r="AK113" s="24"/>
      <c r="AL113" s="24"/>
      <c r="AM113" s="359"/>
      <c r="AN113" s="24">
        <f t="shared" si="19"/>
        <v>0</v>
      </c>
      <c r="AO113" s="54">
        <f t="shared" si="20"/>
        <v>0</v>
      </c>
      <c r="AP113" s="261">
        <f t="shared" si="21"/>
        <v>0</v>
      </c>
      <c r="AQ113" s="338"/>
      <c r="AR113" s="45"/>
      <c r="AS113" s="359"/>
      <c r="AT113" s="359"/>
    </row>
    <row r="114" spans="1:46" ht="12">
      <c r="A114" s="359" t="s">
        <v>209</v>
      </c>
      <c r="B114" s="359" t="str">
        <f t="shared" si="12"/>
        <v>MgO</v>
      </c>
      <c r="C114" s="141">
        <f t="shared" si="13"/>
        <v>0</v>
      </c>
      <c r="D114" s="277">
        <f t="shared" si="14"/>
        <v>904.437297797528</v>
      </c>
      <c r="E114" s="20">
        <f t="shared" si="15"/>
        <v>0</v>
      </c>
      <c r="F114" s="20">
        <f t="shared" si="16"/>
        <v>0</v>
      </c>
      <c r="G114" s="277">
        <f t="shared" si="17"/>
        <v>0</v>
      </c>
      <c r="H114" s="3">
        <f t="shared" si="22"/>
        <v>0</v>
      </c>
      <c r="I114" s="277">
        <f t="shared" si="18"/>
        <v>0</v>
      </c>
      <c r="J114" s="359" t="s">
        <v>210</v>
      </c>
      <c r="K114" s="359" t="s">
        <v>205</v>
      </c>
      <c r="L114" s="359"/>
      <c r="M114" s="338" t="s">
        <v>206</v>
      </c>
      <c r="N114" s="89">
        <v>41004</v>
      </c>
      <c r="O114" s="359">
        <v>67</v>
      </c>
      <c r="P114" s="359" t="s">
        <v>46</v>
      </c>
      <c r="Q114" s="359"/>
      <c r="R114" s="359"/>
      <c r="S114" s="359">
        <v>800</v>
      </c>
      <c r="T114" s="359">
        <v>40</v>
      </c>
      <c r="U114" s="359">
        <v>400</v>
      </c>
      <c r="V114" s="359"/>
      <c r="W114" s="359"/>
      <c r="X114" s="359"/>
      <c r="Y114" s="359">
        <v>47</v>
      </c>
      <c r="Z114" s="359"/>
      <c r="AA114" s="210"/>
      <c r="AB114" s="248"/>
      <c r="AC114" s="359"/>
      <c r="AD114" s="359"/>
      <c r="AE114" s="359"/>
      <c r="AF114" s="359"/>
      <c r="AG114" s="307"/>
      <c r="AH114" s="38">
        <v>904.437297797528</v>
      </c>
      <c r="AI114" s="8"/>
      <c r="AJ114" s="24"/>
      <c r="AK114" s="24"/>
      <c r="AL114" s="24"/>
      <c r="AM114" s="359"/>
      <c r="AN114" s="24">
        <f t="shared" si="19"/>
        <v>0</v>
      </c>
      <c r="AO114" s="54">
        <f t="shared" si="20"/>
        <v>0</v>
      </c>
      <c r="AP114" s="261">
        <f t="shared" si="21"/>
        <v>0</v>
      </c>
      <c r="AQ114" s="338"/>
      <c r="AR114" s="45"/>
      <c r="AS114" s="359"/>
      <c r="AT114" s="359"/>
    </row>
    <row r="115" spans="1:46" ht="12">
      <c r="A115" s="359" t="s">
        <v>211</v>
      </c>
      <c r="B115" s="359" t="str">
        <f t="shared" si="12"/>
        <v>MgO</v>
      </c>
      <c r="C115" s="141">
        <f t="shared" si="13"/>
        <v>0</v>
      </c>
      <c r="D115" s="277">
        <f t="shared" si="14"/>
        <v>900.964893527909</v>
      </c>
      <c r="E115" s="20">
        <f t="shared" si="15"/>
        <v>0</v>
      </c>
      <c r="F115" s="20">
        <f t="shared" si="16"/>
        <v>0</v>
      </c>
      <c r="G115" s="277">
        <f t="shared" si="17"/>
        <v>0</v>
      </c>
      <c r="H115" s="3">
        <f t="shared" si="22"/>
        <v>0</v>
      </c>
      <c r="I115" s="277">
        <f t="shared" si="18"/>
        <v>0</v>
      </c>
      <c r="J115" s="359" t="s">
        <v>210</v>
      </c>
      <c r="K115" s="359" t="s">
        <v>205</v>
      </c>
      <c r="L115" s="359"/>
      <c r="M115" s="338" t="s">
        <v>206</v>
      </c>
      <c r="N115" s="89">
        <v>41004</v>
      </c>
      <c r="O115" s="359">
        <v>67</v>
      </c>
      <c r="P115" s="359" t="s">
        <v>46</v>
      </c>
      <c r="Q115" s="359"/>
      <c r="R115" s="359"/>
      <c r="S115" s="359">
        <v>800</v>
      </c>
      <c r="T115" s="359">
        <v>40</v>
      </c>
      <c r="U115" s="359">
        <v>400</v>
      </c>
      <c r="V115" s="359"/>
      <c r="W115" s="359"/>
      <c r="X115" s="359"/>
      <c r="Y115" s="359">
        <v>47</v>
      </c>
      <c r="Z115" s="359"/>
      <c r="AA115" s="210"/>
      <c r="AB115" s="248"/>
      <c r="AC115" s="359"/>
      <c r="AD115" s="359"/>
      <c r="AE115" s="359"/>
      <c r="AF115" s="359"/>
      <c r="AG115" s="307"/>
      <c r="AH115" s="38">
        <v>900.964893527909</v>
      </c>
      <c r="AI115" s="8"/>
      <c r="AJ115" s="24"/>
      <c r="AK115" s="24"/>
      <c r="AL115" s="24"/>
      <c r="AM115" s="359"/>
      <c r="AN115" s="24">
        <f t="shared" si="19"/>
        <v>0</v>
      </c>
      <c r="AO115" s="54">
        <f t="shared" si="20"/>
        <v>0</v>
      </c>
      <c r="AP115" s="261">
        <f t="shared" si="21"/>
        <v>0</v>
      </c>
      <c r="AQ115" s="338"/>
      <c r="AR115" s="45"/>
      <c r="AS115" s="359"/>
      <c r="AT115" s="359"/>
    </row>
    <row r="116" spans="1:46" ht="12">
      <c r="A116" s="359" t="s">
        <v>212</v>
      </c>
      <c r="B116" s="359" t="str">
        <f t="shared" si="12"/>
        <v>MgO</v>
      </c>
      <c r="C116" s="141">
        <f t="shared" si="13"/>
        <v>0</v>
      </c>
      <c r="D116" s="277">
        <f t="shared" si="14"/>
        <v>508.70722549917201</v>
      </c>
      <c r="E116" s="20">
        <f t="shared" si="15"/>
        <v>0</v>
      </c>
      <c r="F116" s="20">
        <f t="shared" si="16"/>
        <v>0</v>
      </c>
      <c r="G116" s="277">
        <f t="shared" si="17"/>
        <v>0</v>
      </c>
      <c r="H116" s="3">
        <f t="shared" si="22"/>
        <v>0</v>
      </c>
      <c r="I116" s="277">
        <f t="shared" si="18"/>
        <v>0</v>
      </c>
      <c r="J116" s="134" t="s">
        <v>140</v>
      </c>
      <c r="K116" s="359" t="s">
        <v>213</v>
      </c>
      <c r="L116" s="359"/>
      <c r="M116" s="338"/>
      <c r="N116" s="89">
        <v>41004</v>
      </c>
      <c r="O116" s="359">
        <v>68</v>
      </c>
      <c r="P116" s="359" t="s">
        <v>46</v>
      </c>
      <c r="Q116" s="359"/>
      <c r="R116" s="359"/>
      <c r="S116" s="359">
        <v>800</v>
      </c>
      <c r="T116" s="359">
        <v>47</v>
      </c>
      <c r="U116" s="359">
        <v>400</v>
      </c>
      <c r="V116" s="359"/>
      <c r="W116" s="359"/>
      <c r="X116" s="359"/>
      <c r="Y116" s="359">
        <v>47</v>
      </c>
      <c r="Z116" s="359"/>
      <c r="AA116" s="210"/>
      <c r="AB116" s="248"/>
      <c r="AC116" s="359"/>
      <c r="AD116" s="359"/>
      <c r="AE116" s="359"/>
      <c r="AF116" s="359"/>
      <c r="AG116" s="153"/>
      <c r="AH116" s="346">
        <v>508.70722549917201</v>
      </c>
      <c r="AI116" s="24"/>
      <c r="AJ116" s="24"/>
      <c r="AK116" s="24"/>
      <c r="AL116" s="24"/>
      <c r="AM116" s="359"/>
      <c r="AN116" s="24">
        <f t="shared" si="19"/>
        <v>0</v>
      </c>
      <c r="AO116" s="54">
        <f t="shared" si="20"/>
        <v>0</v>
      </c>
      <c r="AP116" s="261">
        <f t="shared" si="21"/>
        <v>0</v>
      </c>
      <c r="AQ116" s="338"/>
      <c r="AR116" s="45"/>
      <c r="AS116" s="359"/>
      <c r="AT116" s="359"/>
    </row>
    <row r="117" spans="1:46" ht="24">
      <c r="A117" s="359" t="s">
        <v>214</v>
      </c>
      <c r="B117" s="359" t="str">
        <f t="shared" si="12"/>
        <v>MgO</v>
      </c>
      <c r="C117" s="141">
        <f t="shared" si="13"/>
        <v>0</v>
      </c>
      <c r="D117" s="277">
        <f t="shared" si="14"/>
        <v>495.685709488101</v>
      </c>
      <c r="E117" s="20">
        <f t="shared" si="15"/>
        <v>0</v>
      </c>
      <c r="F117" s="20">
        <f t="shared" si="16"/>
        <v>0</v>
      </c>
      <c r="G117" s="277">
        <f t="shared" si="17"/>
        <v>0</v>
      </c>
      <c r="H117" s="3">
        <f t="shared" si="22"/>
        <v>0</v>
      </c>
      <c r="I117" s="277">
        <f t="shared" si="18"/>
        <v>0</v>
      </c>
      <c r="J117" s="134" t="s">
        <v>215</v>
      </c>
      <c r="K117" s="359" t="s">
        <v>213</v>
      </c>
      <c r="L117" s="359"/>
      <c r="M117" s="338" t="s">
        <v>135</v>
      </c>
      <c r="N117" s="89">
        <v>41004</v>
      </c>
      <c r="O117" s="359">
        <v>68</v>
      </c>
      <c r="P117" s="359" t="s">
        <v>46</v>
      </c>
      <c r="Q117" s="359"/>
      <c r="R117" s="359"/>
      <c r="S117" s="359">
        <v>800</v>
      </c>
      <c r="T117" s="359">
        <v>47</v>
      </c>
      <c r="U117" s="359">
        <v>400</v>
      </c>
      <c r="V117" s="359"/>
      <c r="W117" s="359"/>
      <c r="X117" s="359"/>
      <c r="Y117" s="359">
        <v>47</v>
      </c>
      <c r="Z117" s="359"/>
      <c r="AA117" s="210"/>
      <c r="AB117" s="248"/>
      <c r="AC117" s="359"/>
      <c r="AD117" s="359"/>
      <c r="AE117" s="359"/>
      <c r="AF117" s="359"/>
      <c r="AG117" s="153"/>
      <c r="AH117" s="346">
        <v>495.685709488101</v>
      </c>
      <c r="AI117" s="24"/>
      <c r="AJ117" s="24"/>
      <c r="AK117" s="24"/>
      <c r="AL117" s="24"/>
      <c r="AM117" s="359"/>
      <c r="AN117" s="24">
        <f t="shared" si="19"/>
        <v>0</v>
      </c>
      <c r="AO117" s="54">
        <f t="shared" si="20"/>
        <v>0</v>
      </c>
      <c r="AP117" s="261">
        <f t="shared" si="21"/>
        <v>0</v>
      </c>
      <c r="AQ117" s="338"/>
      <c r="AR117" s="45"/>
      <c r="AS117" s="359"/>
      <c r="AT117" s="359"/>
    </row>
    <row r="118" spans="1:46" ht="24">
      <c r="A118" s="359" t="s">
        <v>216</v>
      </c>
      <c r="B118" s="359" t="str">
        <f t="shared" si="12"/>
        <v>MgO</v>
      </c>
      <c r="C118" s="141">
        <f t="shared" si="13"/>
        <v>0</v>
      </c>
      <c r="D118" s="277">
        <f t="shared" si="14"/>
        <v>529.789679993287</v>
      </c>
      <c r="E118" s="20">
        <f t="shared" si="15"/>
        <v>0</v>
      </c>
      <c r="F118" s="20">
        <f t="shared" si="16"/>
        <v>0</v>
      </c>
      <c r="G118" s="277">
        <f t="shared" si="17"/>
        <v>0</v>
      </c>
      <c r="H118" s="3">
        <f t="shared" si="22"/>
        <v>0</v>
      </c>
      <c r="I118" s="277">
        <f t="shared" si="18"/>
        <v>0</v>
      </c>
      <c r="J118" s="134" t="s">
        <v>217</v>
      </c>
      <c r="K118" s="359" t="s">
        <v>213</v>
      </c>
      <c r="L118" s="359"/>
      <c r="M118" s="338"/>
      <c r="N118" s="89">
        <v>41004</v>
      </c>
      <c r="O118" s="359">
        <v>68</v>
      </c>
      <c r="P118" s="359" t="s">
        <v>46</v>
      </c>
      <c r="Q118" s="359"/>
      <c r="R118" s="359"/>
      <c r="S118" s="359">
        <v>800</v>
      </c>
      <c r="T118" s="359">
        <v>47</v>
      </c>
      <c r="U118" s="359">
        <v>400</v>
      </c>
      <c r="V118" s="359"/>
      <c r="W118" s="359"/>
      <c r="X118" s="359"/>
      <c r="Y118" s="359">
        <v>47</v>
      </c>
      <c r="Z118" s="359"/>
      <c r="AA118" s="210"/>
      <c r="AB118" s="248"/>
      <c r="AC118" s="359"/>
      <c r="AD118" s="359"/>
      <c r="AE118" s="359"/>
      <c r="AF118" s="359"/>
      <c r="AG118" s="153"/>
      <c r="AH118" s="346">
        <v>529.789679993287</v>
      </c>
      <c r="AI118" s="24"/>
      <c r="AJ118" s="24"/>
      <c r="AK118" s="24"/>
      <c r="AL118" s="24"/>
      <c r="AM118" s="359"/>
      <c r="AN118" s="24">
        <f t="shared" si="19"/>
        <v>0</v>
      </c>
      <c r="AO118" s="54">
        <f t="shared" si="20"/>
        <v>0</v>
      </c>
      <c r="AP118" s="261">
        <f t="shared" si="21"/>
        <v>0</v>
      </c>
      <c r="AQ118" s="338"/>
      <c r="AR118" s="45"/>
      <c r="AS118" s="359"/>
      <c r="AT118" s="359"/>
    </row>
    <row r="119" spans="1:46" ht="72">
      <c r="A119" s="359" t="s">
        <v>218</v>
      </c>
      <c r="B119" s="359" t="str">
        <f t="shared" si="12"/>
        <v>MgO</v>
      </c>
      <c r="C119" s="141" t="str">
        <f t="shared" si="13"/>
        <v>2.8218, 2.7289</v>
      </c>
      <c r="D119" s="277">
        <f t="shared" si="14"/>
        <v>495.56169504989998</v>
      </c>
      <c r="E119" s="20">
        <f t="shared" si="15"/>
        <v>10.119638139999999</v>
      </c>
      <c r="F119" s="20">
        <f t="shared" si="16"/>
        <v>2.0538029889999998</v>
      </c>
      <c r="G119" s="277" t="e">
        <f t="shared" si="17"/>
        <v>#VALUE!</v>
      </c>
      <c r="H119" s="3">
        <f t="shared" si="22"/>
        <v>0</v>
      </c>
      <c r="I119" s="277" t="e">
        <f t="shared" si="18"/>
        <v>#VALUE!</v>
      </c>
      <c r="J119" s="359" t="s">
        <v>171</v>
      </c>
      <c r="K119" s="359" t="s">
        <v>143</v>
      </c>
      <c r="L119" s="359"/>
      <c r="M119" s="338" t="s">
        <v>141</v>
      </c>
      <c r="N119" s="89">
        <v>41004</v>
      </c>
      <c r="O119" s="359">
        <v>68</v>
      </c>
      <c r="P119" s="359" t="s">
        <v>46</v>
      </c>
      <c r="Q119" s="359"/>
      <c r="R119" s="359"/>
      <c r="S119" s="359">
        <v>800</v>
      </c>
      <c r="T119" s="359">
        <v>47</v>
      </c>
      <c r="U119" s="359">
        <v>400</v>
      </c>
      <c r="V119" s="359"/>
      <c r="W119" s="359"/>
      <c r="X119" s="359"/>
      <c r="Y119" s="359">
        <v>47</v>
      </c>
      <c r="Z119" s="359"/>
      <c r="AA119" s="210"/>
      <c r="AB119" s="248">
        <v>0.1714</v>
      </c>
      <c r="AC119" s="359">
        <v>0.65739999999999998</v>
      </c>
      <c r="AD119" s="359">
        <v>0.17119999999999999</v>
      </c>
      <c r="AE119" s="359" t="s">
        <v>219</v>
      </c>
      <c r="AF119" s="359" t="s">
        <v>220</v>
      </c>
      <c r="AG119" s="153"/>
      <c r="AH119" s="346">
        <v>495.56169504989998</v>
      </c>
      <c r="AI119" s="24"/>
      <c r="AJ119" s="24">
        <v>10.119638139999999</v>
      </c>
      <c r="AK119" s="24">
        <v>2.0538029889999998</v>
      </c>
      <c r="AL119" s="24"/>
      <c r="AM119" s="359"/>
      <c r="AN119" s="24" t="e">
        <f t="shared" si="19"/>
        <v>#VALUE!</v>
      </c>
      <c r="AO119" s="54" t="e">
        <f t="shared" si="20"/>
        <v>#VALUE!</v>
      </c>
      <c r="AP119" s="261" t="e">
        <f t="shared" si="21"/>
        <v>#VALUE!</v>
      </c>
      <c r="AQ119" s="338"/>
      <c r="AR119" s="45"/>
      <c r="AS119" s="359"/>
      <c r="AT119" s="359"/>
    </row>
    <row r="120" spans="1:46" ht="12">
      <c r="A120" s="359" t="s">
        <v>221</v>
      </c>
      <c r="B120" s="359" t="str">
        <f t="shared" si="12"/>
        <v>SiNx</v>
      </c>
      <c r="C120" s="141">
        <f t="shared" si="13"/>
        <v>0</v>
      </c>
      <c r="D120" s="277">
        <f t="shared" si="14"/>
        <v>705.27011004724295</v>
      </c>
      <c r="E120" s="20">
        <f t="shared" si="15"/>
        <v>0</v>
      </c>
      <c r="F120" s="20">
        <f t="shared" si="16"/>
        <v>0</v>
      </c>
      <c r="G120" s="277">
        <f t="shared" si="17"/>
        <v>0</v>
      </c>
      <c r="H120" s="3">
        <f t="shared" si="22"/>
        <v>0</v>
      </c>
      <c r="I120" s="277">
        <f t="shared" si="18"/>
        <v>0</v>
      </c>
      <c r="J120" s="359" t="s">
        <v>133</v>
      </c>
      <c r="K120" s="359" t="s">
        <v>186</v>
      </c>
      <c r="L120" s="359"/>
      <c r="M120" s="338"/>
      <c r="N120" s="89">
        <v>41016</v>
      </c>
      <c r="O120" s="359">
        <v>69</v>
      </c>
      <c r="P120" s="359" t="s">
        <v>187</v>
      </c>
      <c r="Q120" s="359"/>
      <c r="R120" s="359"/>
      <c r="S120" s="359">
        <v>20</v>
      </c>
      <c r="T120" s="359">
        <v>65</v>
      </c>
      <c r="U120" s="359">
        <v>400</v>
      </c>
      <c r="V120" s="359"/>
      <c r="W120" s="359"/>
      <c r="X120" s="359"/>
      <c r="Y120" s="359">
        <v>47</v>
      </c>
      <c r="Z120" s="359"/>
      <c r="AA120" s="210"/>
      <c r="AB120" s="248"/>
      <c r="AC120" s="359"/>
      <c r="AD120" s="359"/>
      <c r="AE120" s="359"/>
      <c r="AF120" s="359"/>
      <c r="AG120" s="153"/>
      <c r="AH120" s="346">
        <v>705.27011004724295</v>
      </c>
      <c r="AI120" s="24"/>
      <c r="AJ120" s="24"/>
      <c r="AK120" s="24"/>
      <c r="AL120" s="24"/>
      <c r="AM120" s="359"/>
      <c r="AN120" s="24">
        <f t="shared" si="19"/>
        <v>0</v>
      </c>
      <c r="AO120" s="54">
        <f t="shared" si="20"/>
        <v>0</v>
      </c>
      <c r="AP120" s="261">
        <f t="shared" si="21"/>
        <v>0</v>
      </c>
      <c r="AQ120" s="338"/>
      <c r="AR120" s="45"/>
      <c r="AS120" s="359"/>
      <c r="AT120" s="359"/>
    </row>
    <row r="121" spans="1:46" ht="12">
      <c r="A121" s="359" t="s">
        <v>222</v>
      </c>
      <c r="B121" s="359" t="str">
        <f t="shared" si="12"/>
        <v>SiNx</v>
      </c>
      <c r="C121" s="141">
        <f t="shared" si="13"/>
        <v>0</v>
      </c>
      <c r="D121" s="277">
        <f t="shared" si="14"/>
        <v>713.45506296848703</v>
      </c>
      <c r="E121" s="20">
        <f t="shared" si="15"/>
        <v>0</v>
      </c>
      <c r="F121" s="20">
        <f t="shared" si="16"/>
        <v>0</v>
      </c>
      <c r="G121" s="277">
        <f t="shared" si="17"/>
        <v>0</v>
      </c>
      <c r="H121" s="3">
        <f t="shared" si="22"/>
        <v>0</v>
      </c>
      <c r="I121" s="277">
        <f t="shared" si="18"/>
        <v>0</v>
      </c>
      <c r="J121" s="359" t="s">
        <v>133</v>
      </c>
      <c r="K121" s="359" t="s">
        <v>186</v>
      </c>
      <c r="L121" s="359"/>
      <c r="M121" s="338"/>
      <c r="N121" s="89">
        <v>41016</v>
      </c>
      <c r="O121" s="359">
        <v>69</v>
      </c>
      <c r="P121" s="359" t="s">
        <v>187</v>
      </c>
      <c r="Q121" s="359"/>
      <c r="R121" s="359"/>
      <c r="S121" s="359">
        <v>20</v>
      </c>
      <c r="T121" s="359">
        <v>65</v>
      </c>
      <c r="U121" s="359">
        <v>400</v>
      </c>
      <c r="V121" s="359"/>
      <c r="W121" s="359"/>
      <c r="X121" s="359"/>
      <c r="Y121" s="359">
        <v>47</v>
      </c>
      <c r="Z121" s="359"/>
      <c r="AA121" s="210"/>
      <c r="AB121" s="248"/>
      <c r="AC121" s="359"/>
      <c r="AD121" s="359"/>
      <c r="AE121" s="359"/>
      <c r="AF121" s="359"/>
      <c r="AG121" s="153"/>
      <c r="AH121" s="346">
        <v>713.45506296848703</v>
      </c>
      <c r="AI121" s="24"/>
      <c r="AJ121" s="24"/>
      <c r="AK121" s="24"/>
      <c r="AL121" s="24"/>
      <c r="AM121" s="359"/>
      <c r="AN121" s="24">
        <f t="shared" si="19"/>
        <v>0</v>
      </c>
      <c r="AO121" s="54">
        <f t="shared" si="20"/>
        <v>0</v>
      </c>
      <c r="AP121" s="261">
        <f t="shared" si="21"/>
        <v>0</v>
      </c>
      <c r="AQ121" s="338"/>
      <c r="AR121" s="45"/>
      <c r="AS121" s="359"/>
      <c r="AT121" s="359"/>
    </row>
    <row r="122" spans="1:46" ht="12">
      <c r="A122" s="359" t="s">
        <v>223</v>
      </c>
      <c r="B122" s="359" t="str">
        <f t="shared" si="12"/>
        <v>SiNx</v>
      </c>
      <c r="C122" s="141">
        <f t="shared" si="13"/>
        <v>0</v>
      </c>
      <c r="D122" s="277">
        <f t="shared" si="14"/>
        <v>713.083019653885</v>
      </c>
      <c r="E122" s="20">
        <f t="shared" si="15"/>
        <v>0</v>
      </c>
      <c r="F122" s="20">
        <f t="shared" si="16"/>
        <v>0</v>
      </c>
      <c r="G122" s="277">
        <f t="shared" si="17"/>
        <v>0</v>
      </c>
      <c r="H122" s="3">
        <f t="shared" si="22"/>
        <v>0</v>
      </c>
      <c r="I122" s="277">
        <f t="shared" si="18"/>
        <v>0</v>
      </c>
      <c r="J122" s="359" t="s">
        <v>133</v>
      </c>
      <c r="K122" s="359" t="s">
        <v>186</v>
      </c>
      <c r="L122" s="359"/>
      <c r="M122" s="338"/>
      <c r="N122" s="89">
        <v>41016</v>
      </c>
      <c r="O122" s="359">
        <v>69</v>
      </c>
      <c r="P122" s="359" t="s">
        <v>187</v>
      </c>
      <c r="Q122" s="359"/>
      <c r="R122" s="359"/>
      <c r="S122" s="359">
        <v>20</v>
      </c>
      <c r="T122" s="359">
        <v>65</v>
      </c>
      <c r="U122" s="359">
        <v>400</v>
      </c>
      <c r="V122" s="359"/>
      <c r="W122" s="359"/>
      <c r="X122" s="359"/>
      <c r="Y122" s="359">
        <v>47</v>
      </c>
      <c r="Z122" s="359"/>
      <c r="AA122" s="210"/>
      <c r="AB122" s="248"/>
      <c r="AC122" s="359"/>
      <c r="AD122" s="359"/>
      <c r="AE122" s="359"/>
      <c r="AF122" s="359"/>
      <c r="AG122" s="153"/>
      <c r="AH122" s="346">
        <v>713.083019653885</v>
      </c>
      <c r="AI122" s="24"/>
      <c r="AJ122" s="24"/>
      <c r="AK122" s="24"/>
      <c r="AL122" s="24"/>
      <c r="AM122" s="359"/>
      <c r="AN122" s="24">
        <f t="shared" si="19"/>
        <v>0</v>
      </c>
      <c r="AO122" s="54">
        <f t="shared" si="20"/>
        <v>0</v>
      </c>
      <c r="AP122" s="261">
        <f t="shared" si="21"/>
        <v>0</v>
      </c>
      <c r="AQ122" s="338"/>
      <c r="AR122" s="45"/>
      <c r="AS122" s="359"/>
      <c r="AT122" s="359"/>
    </row>
    <row r="123" spans="1:46" ht="12">
      <c r="A123" s="359" t="s">
        <v>224</v>
      </c>
      <c r="B123" s="359" t="str">
        <f t="shared" si="12"/>
        <v>SiNx</v>
      </c>
      <c r="C123" s="141">
        <f t="shared" si="13"/>
        <v>0</v>
      </c>
      <c r="D123" s="277">
        <f t="shared" si="14"/>
        <v>704.27799454163699</v>
      </c>
      <c r="E123" s="20">
        <f t="shared" si="15"/>
        <v>0</v>
      </c>
      <c r="F123" s="20">
        <f t="shared" si="16"/>
        <v>0</v>
      </c>
      <c r="G123" s="277">
        <f t="shared" si="17"/>
        <v>0</v>
      </c>
      <c r="H123" s="3">
        <f t="shared" si="22"/>
        <v>0</v>
      </c>
      <c r="I123" s="277">
        <f t="shared" si="18"/>
        <v>0</v>
      </c>
      <c r="J123" s="359" t="s">
        <v>133</v>
      </c>
      <c r="K123" s="359" t="s">
        <v>186</v>
      </c>
      <c r="L123" s="359"/>
      <c r="M123" s="338"/>
      <c r="N123" s="89">
        <v>41016</v>
      </c>
      <c r="O123" s="359">
        <v>69</v>
      </c>
      <c r="P123" s="359" t="s">
        <v>187</v>
      </c>
      <c r="Q123" s="359"/>
      <c r="R123" s="359"/>
      <c r="S123" s="359">
        <v>20</v>
      </c>
      <c r="T123" s="359">
        <v>65</v>
      </c>
      <c r="U123" s="359">
        <v>400</v>
      </c>
      <c r="V123" s="359"/>
      <c r="W123" s="359"/>
      <c r="X123" s="359"/>
      <c r="Y123" s="359">
        <v>47</v>
      </c>
      <c r="Z123" s="359"/>
      <c r="AA123" s="210"/>
      <c r="AB123" s="248"/>
      <c r="AC123" s="359"/>
      <c r="AD123" s="359"/>
      <c r="AE123" s="359"/>
      <c r="AF123" s="359"/>
      <c r="AG123" s="153"/>
      <c r="AH123" s="346">
        <v>704.27799454163699</v>
      </c>
      <c r="AI123" s="24"/>
      <c r="AJ123" s="24"/>
      <c r="AK123" s="24"/>
      <c r="AL123" s="24"/>
      <c r="AM123" s="359"/>
      <c r="AN123" s="24">
        <f t="shared" si="19"/>
        <v>0</v>
      </c>
      <c r="AO123" s="54">
        <f t="shared" si="20"/>
        <v>0</v>
      </c>
      <c r="AP123" s="261">
        <f t="shared" si="21"/>
        <v>0</v>
      </c>
      <c r="AQ123" s="338"/>
      <c r="AR123" s="45"/>
      <c r="AS123" s="359"/>
      <c r="AT123" s="359"/>
    </row>
    <row r="124" spans="1:46" ht="12">
      <c r="A124" s="359" t="s">
        <v>225</v>
      </c>
      <c r="B124" s="359" t="str">
        <f t="shared" si="12"/>
        <v>MgO</v>
      </c>
      <c r="C124" s="141">
        <f t="shared" si="13"/>
        <v>6.2</v>
      </c>
      <c r="D124" s="277">
        <f t="shared" si="14"/>
        <v>337.19525746763702</v>
      </c>
      <c r="E124" s="20">
        <f t="shared" si="15"/>
        <v>8.3000000000000007</v>
      </c>
      <c r="F124" s="20">
        <f t="shared" si="16"/>
        <v>1.3838264600000001</v>
      </c>
      <c r="G124" s="277">
        <f t="shared" si="17"/>
        <v>209.06105962993496</v>
      </c>
      <c r="H124" s="3">
        <f t="shared" si="22"/>
        <v>0.54549393414211433</v>
      </c>
      <c r="I124" s="277">
        <f t="shared" si="18"/>
        <v>17352.067949284603</v>
      </c>
      <c r="J124" s="359" t="s">
        <v>226</v>
      </c>
      <c r="K124" s="359" t="s">
        <v>227</v>
      </c>
      <c r="L124" s="359"/>
      <c r="M124" s="338"/>
      <c r="N124" s="89">
        <v>41018</v>
      </c>
      <c r="O124" s="359">
        <v>71</v>
      </c>
      <c r="P124" s="359" t="s">
        <v>46</v>
      </c>
      <c r="Q124" s="359"/>
      <c r="R124" s="359"/>
      <c r="S124" s="359">
        <v>800</v>
      </c>
      <c r="T124" s="359">
        <v>95</v>
      </c>
      <c r="U124" s="359">
        <v>400</v>
      </c>
      <c r="V124" s="134"/>
      <c r="W124" s="134"/>
      <c r="X124" s="134"/>
      <c r="Y124" s="359">
        <v>47</v>
      </c>
      <c r="Z124" s="134"/>
      <c r="AA124" s="124"/>
      <c r="AB124" s="253">
        <v>0.22919999999999999</v>
      </c>
      <c r="AC124" s="134">
        <v>0.49370000000000003</v>
      </c>
      <c r="AD124" s="134">
        <v>0.27710000000000001</v>
      </c>
      <c r="AE124" s="359" t="s">
        <v>47</v>
      </c>
      <c r="AF124" s="359">
        <v>6.2</v>
      </c>
      <c r="AG124" s="153"/>
      <c r="AH124" s="346">
        <v>337.19525746763702</v>
      </c>
      <c r="AI124" s="24"/>
      <c r="AJ124" s="24">
        <v>8.3000000000000007</v>
      </c>
      <c r="AK124" s="24">
        <v>1.3838264600000001</v>
      </c>
      <c r="AL124" s="24">
        <f>125.9/230.8</f>
        <v>0.54549393414211433</v>
      </c>
      <c r="AM124" s="359" t="s">
        <v>156</v>
      </c>
      <c r="AN124" s="24">
        <f t="shared" si="19"/>
        <v>209.06105962993496</v>
      </c>
      <c r="AO124" s="54">
        <f t="shared" si="20"/>
        <v>17352.067949284603</v>
      </c>
      <c r="AP124" s="261">
        <f t="shared" si="21"/>
        <v>3.9157894736842107</v>
      </c>
      <c r="AQ124" s="338"/>
      <c r="AR124" s="45"/>
      <c r="AS124" s="359"/>
      <c r="AT124" s="359"/>
    </row>
    <row r="125" spans="1:46" ht="24">
      <c r="A125" s="359" t="s">
        <v>228</v>
      </c>
      <c r="B125" s="359" t="str">
        <f t="shared" si="12"/>
        <v>MgO</v>
      </c>
      <c r="C125" s="141">
        <f t="shared" si="13"/>
        <v>0</v>
      </c>
      <c r="D125" s="277">
        <f t="shared" si="14"/>
        <v>386.05694611870399</v>
      </c>
      <c r="E125" s="20">
        <f t="shared" si="15"/>
        <v>0</v>
      </c>
      <c r="F125" s="20">
        <f t="shared" si="16"/>
        <v>0</v>
      </c>
      <c r="G125" s="277">
        <f t="shared" si="17"/>
        <v>0</v>
      </c>
      <c r="H125" s="3">
        <f t="shared" si="22"/>
        <v>0</v>
      </c>
      <c r="I125" s="277">
        <f t="shared" si="18"/>
        <v>0</v>
      </c>
      <c r="J125" s="359" t="s">
        <v>229</v>
      </c>
      <c r="K125" s="359" t="s">
        <v>143</v>
      </c>
      <c r="L125" s="359"/>
      <c r="M125" s="338" t="s">
        <v>141</v>
      </c>
      <c r="N125" s="89">
        <v>41018</v>
      </c>
      <c r="O125" s="359">
        <v>71</v>
      </c>
      <c r="P125" s="359" t="s">
        <v>46</v>
      </c>
      <c r="Q125" s="359"/>
      <c r="R125" s="359"/>
      <c r="S125" s="359">
        <v>800</v>
      </c>
      <c r="T125" s="359">
        <v>95</v>
      </c>
      <c r="U125" s="359">
        <v>400</v>
      </c>
      <c r="V125" s="359"/>
      <c r="W125" s="359"/>
      <c r="X125" s="359"/>
      <c r="Y125" s="359">
        <v>47</v>
      </c>
      <c r="Z125" s="359"/>
      <c r="AA125" s="210"/>
      <c r="AB125" s="248"/>
      <c r="AC125" s="359"/>
      <c r="AD125" s="359"/>
      <c r="AE125" s="359"/>
      <c r="AF125" s="359"/>
      <c r="AG125" s="153"/>
      <c r="AH125" s="346">
        <v>386.05694611870399</v>
      </c>
      <c r="AI125" s="24"/>
      <c r="AJ125" s="24"/>
      <c r="AK125" s="24"/>
      <c r="AL125" s="24"/>
      <c r="AM125" s="359"/>
      <c r="AN125" s="24">
        <f t="shared" si="19"/>
        <v>0</v>
      </c>
      <c r="AO125" s="54">
        <f t="shared" si="20"/>
        <v>0</v>
      </c>
      <c r="AP125" s="261">
        <f t="shared" si="21"/>
        <v>0</v>
      </c>
      <c r="AQ125" s="338"/>
      <c r="AR125" s="45"/>
      <c r="AS125" s="359"/>
      <c r="AT125" s="359"/>
    </row>
    <row r="126" spans="1:46" ht="24">
      <c r="A126" s="359" t="s">
        <v>230</v>
      </c>
      <c r="B126" s="359" t="str">
        <f t="shared" si="12"/>
        <v>MgO</v>
      </c>
      <c r="C126" s="141">
        <f t="shared" si="13"/>
        <v>0</v>
      </c>
      <c r="D126" s="277">
        <f t="shared" si="14"/>
        <v>354.68129325393301</v>
      </c>
      <c r="E126" s="20">
        <f t="shared" si="15"/>
        <v>0</v>
      </c>
      <c r="F126" s="20">
        <f t="shared" si="16"/>
        <v>0</v>
      </c>
      <c r="G126" s="277">
        <f t="shared" si="17"/>
        <v>0</v>
      </c>
      <c r="H126" s="3">
        <f t="shared" si="22"/>
        <v>0</v>
      </c>
      <c r="I126" s="277">
        <f t="shared" si="18"/>
        <v>0</v>
      </c>
      <c r="J126" s="359" t="s">
        <v>229</v>
      </c>
      <c r="K126" s="359" t="s">
        <v>143</v>
      </c>
      <c r="L126" s="359"/>
      <c r="M126" s="338" t="s">
        <v>141</v>
      </c>
      <c r="N126" s="89">
        <v>41018</v>
      </c>
      <c r="O126" s="359">
        <v>71</v>
      </c>
      <c r="P126" s="359" t="s">
        <v>46</v>
      </c>
      <c r="Q126" s="359"/>
      <c r="R126" s="359"/>
      <c r="S126" s="359">
        <v>800</v>
      </c>
      <c r="T126" s="359">
        <v>95</v>
      </c>
      <c r="U126" s="359">
        <v>400</v>
      </c>
      <c r="V126" s="359"/>
      <c r="W126" s="359"/>
      <c r="X126" s="359"/>
      <c r="Y126" s="359">
        <v>47</v>
      </c>
      <c r="Z126" s="359"/>
      <c r="AA126" s="210"/>
      <c r="AB126" s="248"/>
      <c r="AC126" s="359"/>
      <c r="AD126" s="359"/>
      <c r="AE126" s="359"/>
      <c r="AF126" s="359"/>
      <c r="AG126" s="153"/>
      <c r="AH126" s="346">
        <v>354.68129325393301</v>
      </c>
      <c r="AI126" s="24"/>
      <c r="AJ126" s="24"/>
      <c r="AK126" s="24"/>
      <c r="AL126" s="24"/>
      <c r="AM126" s="359"/>
      <c r="AN126" s="24">
        <f t="shared" si="19"/>
        <v>0</v>
      </c>
      <c r="AO126" s="54">
        <f t="shared" si="20"/>
        <v>0</v>
      </c>
      <c r="AP126" s="261">
        <f t="shared" si="21"/>
        <v>0</v>
      </c>
      <c r="AQ126" s="338"/>
      <c r="AR126" s="45"/>
      <c r="AS126" s="359"/>
      <c r="AT126" s="359"/>
    </row>
    <row r="127" spans="1:46" ht="24">
      <c r="A127" s="359" t="s">
        <v>231</v>
      </c>
      <c r="B127" s="359" t="str">
        <f t="shared" si="12"/>
        <v>MgO</v>
      </c>
      <c r="C127" s="141">
        <f t="shared" si="13"/>
        <v>0</v>
      </c>
      <c r="D127" s="277">
        <f t="shared" si="14"/>
        <v>329.63037673739598</v>
      </c>
      <c r="E127" s="20">
        <f t="shared" si="15"/>
        <v>0</v>
      </c>
      <c r="F127" s="20">
        <f t="shared" si="16"/>
        <v>0</v>
      </c>
      <c r="G127" s="277">
        <f t="shared" si="17"/>
        <v>0</v>
      </c>
      <c r="H127" s="3">
        <f t="shared" si="22"/>
        <v>0</v>
      </c>
      <c r="I127" s="277">
        <f t="shared" si="18"/>
        <v>0</v>
      </c>
      <c r="J127" s="359" t="s">
        <v>229</v>
      </c>
      <c r="K127" s="359" t="s">
        <v>143</v>
      </c>
      <c r="L127" s="359"/>
      <c r="M127" s="338" t="s">
        <v>141</v>
      </c>
      <c r="N127" s="89">
        <v>41018</v>
      </c>
      <c r="O127" s="359">
        <v>71</v>
      </c>
      <c r="P127" s="359" t="s">
        <v>46</v>
      </c>
      <c r="Q127" s="359"/>
      <c r="R127" s="359"/>
      <c r="S127" s="359">
        <v>800</v>
      </c>
      <c r="T127" s="359">
        <v>95</v>
      </c>
      <c r="U127" s="359">
        <v>400</v>
      </c>
      <c r="V127" s="359"/>
      <c r="W127" s="359"/>
      <c r="X127" s="359"/>
      <c r="Y127" s="359">
        <v>47</v>
      </c>
      <c r="Z127" s="359"/>
      <c r="AA127" s="210"/>
      <c r="AB127" s="248"/>
      <c r="AC127" s="359"/>
      <c r="AD127" s="359"/>
      <c r="AE127" s="359"/>
      <c r="AF127" s="359"/>
      <c r="AG127" s="153"/>
      <c r="AH127" s="346">
        <v>329.63037673739598</v>
      </c>
      <c r="AI127" s="24"/>
      <c r="AJ127" s="24"/>
      <c r="AK127" s="24"/>
      <c r="AL127" s="24"/>
      <c r="AM127" s="359"/>
      <c r="AN127" s="24">
        <f t="shared" si="19"/>
        <v>0</v>
      </c>
      <c r="AO127" s="54">
        <f t="shared" si="20"/>
        <v>0</v>
      </c>
      <c r="AP127" s="261">
        <f t="shared" si="21"/>
        <v>0</v>
      </c>
      <c r="AQ127" s="338"/>
      <c r="AR127" s="45"/>
      <c r="AS127" s="359"/>
      <c r="AT127" s="359"/>
    </row>
    <row r="128" spans="1:46" ht="12">
      <c r="A128" s="359" t="s">
        <v>232</v>
      </c>
      <c r="B128" s="359" t="str">
        <f t="shared" si="12"/>
        <v>MgO</v>
      </c>
      <c r="C128" s="141">
        <f t="shared" si="13"/>
        <v>10.3</v>
      </c>
      <c r="D128" s="277">
        <f t="shared" si="14"/>
        <v>111.56969523338699</v>
      </c>
      <c r="E128" s="20">
        <f t="shared" si="15"/>
        <v>0</v>
      </c>
      <c r="F128" s="20">
        <f t="shared" si="16"/>
        <v>0</v>
      </c>
      <c r="G128" s="277">
        <f t="shared" si="17"/>
        <v>114.91678609038861</v>
      </c>
      <c r="H128" s="3">
        <f t="shared" si="22"/>
        <v>0</v>
      </c>
      <c r="I128" s="277">
        <f t="shared" si="18"/>
        <v>0</v>
      </c>
      <c r="J128" s="359" t="s">
        <v>133</v>
      </c>
      <c r="K128" s="359" t="s">
        <v>186</v>
      </c>
      <c r="L128" s="359"/>
      <c r="M128" s="338"/>
      <c r="N128" s="89">
        <v>41018</v>
      </c>
      <c r="O128" s="359">
        <v>72</v>
      </c>
      <c r="P128" s="359" t="s">
        <v>46</v>
      </c>
      <c r="Q128" s="359"/>
      <c r="R128" s="359"/>
      <c r="S128" s="359">
        <v>800</v>
      </c>
      <c r="T128" s="359">
        <v>150</v>
      </c>
      <c r="U128" s="359">
        <v>400</v>
      </c>
      <c r="V128" s="359"/>
      <c r="W128" s="359"/>
      <c r="X128" s="359"/>
      <c r="Y128" s="359">
        <v>47</v>
      </c>
      <c r="Z128" s="359"/>
      <c r="AA128" s="210"/>
      <c r="AB128" s="248">
        <v>0.30409999999999998</v>
      </c>
      <c r="AC128" s="359">
        <v>0.36009999999999998</v>
      </c>
      <c r="AD128" s="359">
        <v>0.3357</v>
      </c>
      <c r="AE128" s="359" t="s">
        <v>47</v>
      </c>
      <c r="AF128" s="359">
        <v>10.3</v>
      </c>
      <c r="AG128" s="307"/>
      <c r="AH128" s="38">
        <v>111.56969523338699</v>
      </c>
      <c r="AI128" s="8"/>
      <c r="AJ128" s="24"/>
      <c r="AK128" s="24"/>
      <c r="AL128" s="24"/>
      <c r="AM128" s="359"/>
      <c r="AN128" s="24">
        <f t="shared" si="19"/>
        <v>114.91678609038861</v>
      </c>
      <c r="AO128" s="54">
        <f t="shared" si="20"/>
        <v>0</v>
      </c>
      <c r="AP128" s="261">
        <f t="shared" si="21"/>
        <v>4.12</v>
      </c>
      <c r="AQ128" s="338"/>
      <c r="AR128" s="45"/>
      <c r="AS128" s="359"/>
      <c r="AT128" s="359"/>
    </row>
    <row r="129" spans="1:46" ht="12">
      <c r="A129" s="359" t="s">
        <v>233</v>
      </c>
      <c r="B129" s="359" t="str">
        <f t="shared" si="12"/>
        <v>MgO</v>
      </c>
      <c r="C129" s="141">
        <f t="shared" si="13"/>
        <v>0</v>
      </c>
      <c r="D129" s="277">
        <f t="shared" si="14"/>
        <v>110.023420139534</v>
      </c>
      <c r="E129" s="20">
        <f t="shared" si="15"/>
        <v>0</v>
      </c>
      <c r="F129" s="20">
        <f t="shared" si="16"/>
        <v>0</v>
      </c>
      <c r="G129" s="277">
        <f t="shared" si="17"/>
        <v>0</v>
      </c>
      <c r="H129" s="3">
        <f t="shared" si="22"/>
        <v>0</v>
      </c>
      <c r="I129" s="277">
        <f t="shared" si="18"/>
        <v>0</v>
      </c>
      <c r="J129" s="359" t="s">
        <v>133</v>
      </c>
      <c r="K129" s="359" t="s">
        <v>186</v>
      </c>
      <c r="L129" s="359"/>
      <c r="M129" s="338"/>
      <c r="N129" s="89">
        <v>41018</v>
      </c>
      <c r="O129" s="359">
        <v>72</v>
      </c>
      <c r="P129" s="359" t="s">
        <v>46</v>
      </c>
      <c r="Q129" s="359"/>
      <c r="R129" s="359"/>
      <c r="S129" s="359">
        <v>800</v>
      </c>
      <c r="T129" s="359">
        <v>150</v>
      </c>
      <c r="U129" s="359">
        <v>400</v>
      </c>
      <c r="V129" s="359"/>
      <c r="W129" s="359"/>
      <c r="X129" s="359"/>
      <c r="Y129" s="359">
        <v>47</v>
      </c>
      <c r="Z129" s="359"/>
      <c r="AA129" s="210"/>
      <c r="AB129" s="248"/>
      <c r="AC129" s="359"/>
      <c r="AD129" s="359"/>
      <c r="AE129" s="359"/>
      <c r="AF129" s="359"/>
      <c r="AG129" s="307"/>
      <c r="AH129" s="38">
        <v>110.023420139534</v>
      </c>
      <c r="AI129" s="8"/>
      <c r="AJ129" s="24"/>
      <c r="AK129" s="24"/>
      <c r="AL129" s="24"/>
      <c r="AM129" s="359"/>
      <c r="AN129" s="24">
        <f t="shared" si="19"/>
        <v>0</v>
      </c>
      <c r="AO129" s="54">
        <f t="shared" si="20"/>
        <v>0</v>
      </c>
      <c r="AP129" s="261">
        <f t="shared" si="21"/>
        <v>0</v>
      </c>
      <c r="AQ129" s="338"/>
      <c r="AR129" s="45"/>
      <c r="AS129" s="359"/>
      <c r="AT129" s="359"/>
    </row>
    <row r="130" spans="1:46" ht="12">
      <c r="A130" s="359" t="s">
        <v>234</v>
      </c>
      <c r="B130" s="359" t="str">
        <f t="shared" si="12"/>
        <v>MgO</v>
      </c>
      <c r="C130" s="141">
        <f t="shared" si="13"/>
        <v>0</v>
      </c>
      <c r="D130" s="277">
        <f t="shared" si="14"/>
        <v>110.974974043443</v>
      </c>
      <c r="E130" s="20">
        <f t="shared" si="15"/>
        <v>0</v>
      </c>
      <c r="F130" s="20">
        <f t="shared" si="16"/>
        <v>0</v>
      </c>
      <c r="G130" s="277">
        <f t="shared" si="17"/>
        <v>0</v>
      </c>
      <c r="H130" s="3">
        <f t="shared" si="22"/>
        <v>0</v>
      </c>
      <c r="I130" s="277">
        <f t="shared" si="18"/>
        <v>0</v>
      </c>
      <c r="J130" s="359" t="s">
        <v>133</v>
      </c>
      <c r="K130" s="359" t="s">
        <v>186</v>
      </c>
      <c r="L130" s="359"/>
      <c r="M130" s="338"/>
      <c r="N130" s="89">
        <v>41018</v>
      </c>
      <c r="O130" s="359">
        <v>72</v>
      </c>
      <c r="P130" s="359" t="s">
        <v>46</v>
      </c>
      <c r="Q130" s="359"/>
      <c r="R130" s="359"/>
      <c r="S130" s="359">
        <v>800</v>
      </c>
      <c r="T130" s="359">
        <v>150</v>
      </c>
      <c r="U130" s="359">
        <v>400</v>
      </c>
      <c r="V130" s="359"/>
      <c r="W130" s="359"/>
      <c r="X130" s="359"/>
      <c r="Y130" s="359">
        <v>47</v>
      </c>
      <c r="Z130" s="359"/>
      <c r="AA130" s="210"/>
      <c r="AB130" s="248"/>
      <c r="AC130" s="359"/>
      <c r="AD130" s="359"/>
      <c r="AE130" s="359"/>
      <c r="AF130" s="359"/>
      <c r="AG130" s="307"/>
      <c r="AH130" s="38">
        <v>110.974974043443</v>
      </c>
      <c r="AI130" s="8"/>
      <c r="AJ130" s="24"/>
      <c r="AK130" s="24"/>
      <c r="AL130" s="24"/>
      <c r="AM130" s="359"/>
      <c r="AN130" s="24">
        <f t="shared" si="19"/>
        <v>0</v>
      </c>
      <c r="AO130" s="54">
        <f t="shared" si="20"/>
        <v>0</v>
      </c>
      <c r="AP130" s="261">
        <f t="shared" si="21"/>
        <v>0</v>
      </c>
      <c r="AQ130" s="338"/>
      <c r="AR130" s="45"/>
      <c r="AS130" s="359"/>
      <c r="AT130" s="359"/>
    </row>
    <row r="131" spans="1:46" ht="12">
      <c r="A131" s="359" t="s">
        <v>235</v>
      </c>
      <c r="B131" s="359" t="str">
        <f t="shared" ref="B131:B194" si="23">P131</f>
        <v>MgO</v>
      </c>
      <c r="C131" s="141">
        <f t="shared" ref="C131:C194" si="24">AF131</f>
        <v>0</v>
      </c>
      <c r="D131" s="277">
        <f t="shared" ref="D131:D194" si="25">AH131</f>
        <v>113.472803041205</v>
      </c>
      <c r="E131" s="20">
        <f t="shared" ref="E131:E194" si="26">AJ131</f>
        <v>0</v>
      </c>
      <c r="F131" s="20">
        <f t="shared" ref="F131:F194" si="27">AK131</f>
        <v>0</v>
      </c>
      <c r="G131" s="277">
        <f t="shared" ref="G131:G194" si="28">AN131</f>
        <v>0</v>
      </c>
      <c r="H131" s="3">
        <f t="shared" si="22"/>
        <v>0</v>
      </c>
      <c r="I131" s="277">
        <f t="shared" ref="I131:I194" si="29">AO131</f>
        <v>0</v>
      </c>
      <c r="J131" s="359" t="s">
        <v>133</v>
      </c>
      <c r="K131" s="359" t="s">
        <v>186</v>
      </c>
      <c r="L131" s="359"/>
      <c r="M131" s="338"/>
      <c r="N131" s="89">
        <v>41018</v>
      </c>
      <c r="O131" s="359">
        <v>72</v>
      </c>
      <c r="P131" s="359" t="s">
        <v>46</v>
      </c>
      <c r="Q131" s="359"/>
      <c r="R131" s="359"/>
      <c r="S131" s="359">
        <v>800</v>
      </c>
      <c r="T131" s="359">
        <v>150</v>
      </c>
      <c r="U131" s="359">
        <v>400</v>
      </c>
      <c r="V131" s="359"/>
      <c r="W131" s="359"/>
      <c r="X131" s="359"/>
      <c r="Y131" s="359">
        <v>47</v>
      </c>
      <c r="Z131" s="359"/>
      <c r="AA131" s="210"/>
      <c r="AB131" s="248"/>
      <c r="AC131" s="359"/>
      <c r="AD131" s="359"/>
      <c r="AE131" s="359"/>
      <c r="AF131" s="359"/>
      <c r="AG131" s="307"/>
      <c r="AH131" s="38">
        <v>113.472803041205</v>
      </c>
      <c r="AI131" s="8"/>
      <c r="AJ131" s="24"/>
      <c r="AK131" s="24"/>
      <c r="AL131" s="24"/>
      <c r="AM131" s="359"/>
      <c r="AN131" s="24">
        <f t="shared" ref="AN131:AN194" si="30">((AH131*AF131)/10)</f>
        <v>0</v>
      </c>
      <c r="AO131" s="54">
        <f t="shared" ref="AO131:AO194" si="31">(AF131*AH131)*AJ131</f>
        <v>0</v>
      </c>
      <c r="AP131" s="261">
        <f t="shared" ref="AP131:AP194" si="32">(AF131/T131)*60</f>
        <v>0</v>
      </c>
      <c r="AQ131" s="338"/>
      <c r="AR131" s="45"/>
      <c r="AS131" s="359"/>
      <c r="AT131" s="359"/>
    </row>
    <row r="132" spans="1:46" ht="12">
      <c r="A132" s="359" t="s">
        <v>236</v>
      </c>
      <c r="B132" s="359" t="str">
        <f t="shared" si="23"/>
        <v>MgO</v>
      </c>
      <c r="C132" s="141">
        <f t="shared" si="24"/>
        <v>36.700000000000003</v>
      </c>
      <c r="D132" s="277">
        <f t="shared" si="25"/>
        <v>66.014052083720202</v>
      </c>
      <c r="E132" s="20">
        <f t="shared" si="26"/>
        <v>0</v>
      </c>
      <c r="F132" s="20">
        <f t="shared" si="27"/>
        <v>0</v>
      </c>
      <c r="G132" s="277">
        <f t="shared" si="28"/>
        <v>242.27157114725316</v>
      </c>
      <c r="H132" s="3">
        <f t="shared" si="22"/>
        <v>0</v>
      </c>
      <c r="I132" s="277">
        <f t="shared" si="29"/>
        <v>0</v>
      </c>
      <c r="J132" s="359"/>
      <c r="K132" s="359" t="s">
        <v>199</v>
      </c>
      <c r="L132" s="359"/>
      <c r="M132" s="338"/>
      <c r="N132" s="89">
        <v>41019</v>
      </c>
      <c r="O132" s="359">
        <v>73</v>
      </c>
      <c r="P132" s="359" t="s">
        <v>46</v>
      </c>
      <c r="Q132" s="359"/>
      <c r="R132" s="359"/>
      <c r="S132" s="359">
        <v>800</v>
      </c>
      <c r="T132" s="359">
        <v>300</v>
      </c>
      <c r="U132" s="359">
        <v>400</v>
      </c>
      <c r="V132" s="359"/>
      <c r="W132" s="359"/>
      <c r="X132" s="359"/>
      <c r="Y132" s="359">
        <v>47</v>
      </c>
      <c r="Z132" s="359"/>
      <c r="AA132" s="210"/>
      <c r="AB132" s="248">
        <v>0.57909999999999995</v>
      </c>
      <c r="AC132" s="359">
        <v>0.65590000000000004</v>
      </c>
      <c r="AD132" s="359">
        <v>0.35510000000000003</v>
      </c>
      <c r="AE132" s="359" t="s">
        <v>47</v>
      </c>
      <c r="AF132" s="359">
        <v>36.700000000000003</v>
      </c>
      <c r="AG132" s="153"/>
      <c r="AH132" s="346">
        <v>66.014052083720202</v>
      </c>
      <c r="AI132" s="24"/>
      <c r="AJ132" s="24"/>
      <c r="AK132" s="24"/>
      <c r="AL132" s="24"/>
      <c r="AM132" s="359"/>
      <c r="AN132" s="24">
        <f t="shared" si="30"/>
        <v>242.27157114725316</v>
      </c>
      <c r="AO132" s="54">
        <f t="shared" si="31"/>
        <v>0</v>
      </c>
      <c r="AP132" s="261">
        <f t="shared" si="32"/>
        <v>7.3400000000000007</v>
      </c>
      <c r="AQ132" s="338"/>
      <c r="AR132" s="45"/>
      <c r="AS132" s="359"/>
      <c r="AT132" s="359"/>
    </row>
    <row r="133" spans="1:46" ht="12">
      <c r="A133" s="359" t="s">
        <v>237</v>
      </c>
      <c r="B133" s="359" t="str">
        <f t="shared" si="23"/>
        <v>MgO</v>
      </c>
      <c r="C133" s="141">
        <f t="shared" si="24"/>
        <v>0</v>
      </c>
      <c r="D133" s="277">
        <f t="shared" si="25"/>
        <v>66.132996321708902</v>
      </c>
      <c r="E133" s="20">
        <f t="shared" si="26"/>
        <v>0</v>
      </c>
      <c r="F133" s="20">
        <f t="shared" si="27"/>
        <v>0</v>
      </c>
      <c r="G133" s="277">
        <f t="shared" si="28"/>
        <v>0</v>
      </c>
      <c r="H133" s="3">
        <f t="shared" si="22"/>
        <v>0</v>
      </c>
      <c r="I133" s="277">
        <f t="shared" si="29"/>
        <v>0</v>
      </c>
      <c r="J133" s="359"/>
      <c r="K133" s="359" t="s">
        <v>199</v>
      </c>
      <c r="L133" s="359"/>
      <c r="M133" s="338"/>
      <c r="N133" s="89">
        <v>41019</v>
      </c>
      <c r="O133" s="359">
        <v>73</v>
      </c>
      <c r="P133" s="359" t="s">
        <v>46</v>
      </c>
      <c r="Q133" s="359"/>
      <c r="R133" s="359"/>
      <c r="S133" s="359">
        <v>800</v>
      </c>
      <c r="T133" s="359">
        <v>300</v>
      </c>
      <c r="U133" s="359">
        <v>400</v>
      </c>
      <c r="V133" s="359"/>
      <c r="W133" s="359"/>
      <c r="X133" s="359"/>
      <c r="Y133" s="359">
        <v>47</v>
      </c>
      <c r="Z133" s="359"/>
      <c r="AA133" s="210"/>
      <c r="AB133" s="248"/>
      <c r="AC133" s="359"/>
      <c r="AD133" s="359"/>
      <c r="AE133" s="359"/>
      <c r="AF133" s="359"/>
      <c r="AG133" s="153"/>
      <c r="AH133" s="346">
        <v>66.132996321708902</v>
      </c>
      <c r="AI133" s="24"/>
      <c r="AJ133" s="24"/>
      <c r="AK133" s="24"/>
      <c r="AL133" s="24"/>
      <c r="AM133" s="359"/>
      <c r="AN133" s="24">
        <f t="shared" si="30"/>
        <v>0</v>
      </c>
      <c r="AO133" s="54">
        <f t="shared" si="31"/>
        <v>0</v>
      </c>
      <c r="AP133" s="261">
        <f t="shared" si="32"/>
        <v>0</v>
      </c>
      <c r="AQ133" s="338"/>
      <c r="AR133" s="45"/>
      <c r="AS133" s="359"/>
      <c r="AT133" s="359"/>
    </row>
    <row r="134" spans="1:46" ht="12">
      <c r="A134" s="359" t="s">
        <v>238</v>
      </c>
      <c r="B134" s="359" t="str">
        <f t="shared" si="23"/>
        <v>MgO</v>
      </c>
      <c r="C134" s="141">
        <f t="shared" si="24"/>
        <v>36.5</v>
      </c>
      <c r="D134" s="277">
        <f t="shared" si="25"/>
        <v>66.132996321708802</v>
      </c>
      <c r="E134" s="20">
        <f t="shared" si="26"/>
        <v>0</v>
      </c>
      <c r="F134" s="20">
        <f t="shared" si="27"/>
        <v>0</v>
      </c>
      <c r="G134" s="277">
        <f t="shared" si="28"/>
        <v>241.3854365742371</v>
      </c>
      <c r="H134" s="3">
        <f t="shared" si="22"/>
        <v>0</v>
      </c>
      <c r="I134" s="277">
        <f t="shared" si="29"/>
        <v>0</v>
      </c>
      <c r="J134" s="359"/>
      <c r="K134" s="359" t="s">
        <v>199</v>
      </c>
      <c r="L134" s="359"/>
      <c r="M134" s="338"/>
      <c r="N134" s="89">
        <v>41019</v>
      </c>
      <c r="O134" s="359">
        <v>73</v>
      </c>
      <c r="P134" s="359" t="s">
        <v>46</v>
      </c>
      <c r="Q134" s="359"/>
      <c r="R134" s="359"/>
      <c r="S134" s="359">
        <v>800</v>
      </c>
      <c r="T134" s="359">
        <v>300</v>
      </c>
      <c r="U134" s="359">
        <v>400</v>
      </c>
      <c r="V134" s="359"/>
      <c r="W134" s="359"/>
      <c r="X134" s="359"/>
      <c r="Y134" s="359">
        <v>47</v>
      </c>
      <c r="Z134" s="359"/>
      <c r="AA134" s="210"/>
      <c r="AB134" s="248">
        <v>0.58230000000000004</v>
      </c>
      <c r="AC134" s="359">
        <v>6.7000000000000004E-2</v>
      </c>
      <c r="AD134" s="359">
        <v>0.35070000000000001</v>
      </c>
      <c r="AE134" s="359" t="s">
        <v>47</v>
      </c>
      <c r="AF134" s="359">
        <v>36.5</v>
      </c>
      <c r="AG134" s="153"/>
      <c r="AH134" s="346">
        <v>66.132996321708802</v>
      </c>
      <c r="AI134" s="24"/>
      <c r="AJ134" s="24"/>
      <c r="AK134" s="24"/>
      <c r="AL134" s="24"/>
      <c r="AM134" s="359"/>
      <c r="AN134" s="24">
        <f t="shared" si="30"/>
        <v>241.3854365742371</v>
      </c>
      <c r="AO134" s="54">
        <f t="shared" si="31"/>
        <v>0</v>
      </c>
      <c r="AP134" s="261">
        <f t="shared" si="32"/>
        <v>7.3000000000000007</v>
      </c>
      <c r="AQ134" s="338"/>
      <c r="AR134" s="45"/>
      <c r="AS134" s="359"/>
      <c r="AT134" s="359"/>
    </row>
    <row r="135" spans="1:46" ht="12">
      <c r="A135" s="359" t="s">
        <v>239</v>
      </c>
      <c r="B135" s="359" t="str">
        <f t="shared" si="23"/>
        <v>MgO</v>
      </c>
      <c r="C135" s="141">
        <f t="shared" si="24"/>
        <v>0</v>
      </c>
      <c r="D135" s="277">
        <f t="shared" si="25"/>
        <v>66.251940559697601</v>
      </c>
      <c r="E135" s="20">
        <f t="shared" si="26"/>
        <v>0</v>
      </c>
      <c r="F135" s="20">
        <f t="shared" si="27"/>
        <v>0</v>
      </c>
      <c r="G135" s="277">
        <f t="shared" si="28"/>
        <v>0</v>
      </c>
      <c r="H135" s="3">
        <f t="shared" si="22"/>
        <v>0</v>
      </c>
      <c r="I135" s="277">
        <f t="shared" si="29"/>
        <v>0</v>
      </c>
      <c r="J135" s="359"/>
      <c r="K135" s="359" t="s">
        <v>199</v>
      </c>
      <c r="L135" s="359"/>
      <c r="M135" s="338"/>
      <c r="N135" s="89">
        <v>41019</v>
      </c>
      <c r="O135" s="359">
        <v>73</v>
      </c>
      <c r="P135" s="359" t="s">
        <v>46</v>
      </c>
      <c r="Q135" s="359"/>
      <c r="R135" s="359"/>
      <c r="S135" s="359">
        <v>800</v>
      </c>
      <c r="T135" s="359">
        <v>300</v>
      </c>
      <c r="U135" s="359">
        <v>400</v>
      </c>
      <c r="V135" s="359"/>
      <c r="W135" s="359"/>
      <c r="X135" s="359"/>
      <c r="Y135" s="359">
        <v>47</v>
      </c>
      <c r="Z135" s="359"/>
      <c r="AA135" s="210"/>
      <c r="AB135" s="248"/>
      <c r="AC135" s="359"/>
      <c r="AD135" s="359"/>
      <c r="AE135" s="359"/>
      <c r="AF135" s="359"/>
      <c r="AG135" s="153"/>
      <c r="AH135" s="346">
        <v>66.251940559697601</v>
      </c>
      <c r="AI135" s="24"/>
      <c r="AJ135" s="24"/>
      <c r="AK135" s="24"/>
      <c r="AL135" s="24"/>
      <c r="AM135" s="359"/>
      <c r="AN135" s="24">
        <f t="shared" si="30"/>
        <v>0</v>
      </c>
      <c r="AO135" s="54">
        <f t="shared" si="31"/>
        <v>0</v>
      </c>
      <c r="AP135" s="261">
        <f t="shared" si="32"/>
        <v>0</v>
      </c>
      <c r="AQ135" s="338"/>
      <c r="AR135" s="45"/>
      <c r="AS135" s="359"/>
      <c r="AT135" s="359"/>
    </row>
    <row r="136" spans="1:46" ht="12">
      <c r="A136" s="359" t="s">
        <v>240</v>
      </c>
      <c r="B136" s="359" t="str">
        <f t="shared" si="23"/>
        <v>MgO</v>
      </c>
      <c r="C136" s="141">
        <f t="shared" si="24"/>
        <v>16.399999999999999</v>
      </c>
      <c r="D136" s="277">
        <f t="shared" si="25"/>
        <v>72.080208221143096</v>
      </c>
      <c r="E136" s="20">
        <f t="shared" si="26"/>
        <v>0</v>
      </c>
      <c r="F136" s="20">
        <f t="shared" si="27"/>
        <v>0</v>
      </c>
      <c r="G136" s="277">
        <f t="shared" si="28"/>
        <v>118.21154148267468</v>
      </c>
      <c r="H136" s="3">
        <f t="shared" si="22"/>
        <v>0</v>
      </c>
      <c r="I136" s="277">
        <f t="shared" si="29"/>
        <v>0</v>
      </c>
      <c r="J136" s="359"/>
      <c r="K136" s="359" t="s">
        <v>199</v>
      </c>
      <c r="L136" s="359"/>
      <c r="M136" s="338"/>
      <c r="N136" s="89">
        <v>41019</v>
      </c>
      <c r="O136" s="359">
        <v>74</v>
      </c>
      <c r="P136" s="359" t="s">
        <v>46</v>
      </c>
      <c r="Q136" s="359"/>
      <c r="R136" s="359"/>
      <c r="S136" s="359">
        <v>800</v>
      </c>
      <c r="T136" s="359">
        <v>300</v>
      </c>
      <c r="U136" s="359">
        <v>400</v>
      </c>
      <c r="V136" s="359"/>
      <c r="W136" s="359"/>
      <c r="X136" s="359"/>
      <c r="Y136" s="359">
        <v>47</v>
      </c>
      <c r="Z136" s="359"/>
      <c r="AA136" s="210"/>
      <c r="AB136" s="248">
        <v>0.41599999999999998</v>
      </c>
      <c r="AC136" s="359">
        <v>0.23619999999999999</v>
      </c>
      <c r="AD136" s="359">
        <v>0.3478</v>
      </c>
      <c r="AE136" s="359" t="s">
        <v>47</v>
      </c>
      <c r="AF136" s="359">
        <v>16.399999999999999</v>
      </c>
      <c r="AG136" s="307"/>
      <c r="AH136" s="38">
        <v>72.080208221143096</v>
      </c>
      <c r="AI136" s="8"/>
      <c r="AJ136" s="24"/>
      <c r="AK136" s="24"/>
      <c r="AL136" s="24"/>
      <c r="AM136" s="359"/>
      <c r="AN136" s="24">
        <f t="shared" si="30"/>
        <v>118.21154148267468</v>
      </c>
      <c r="AO136" s="54">
        <f t="shared" si="31"/>
        <v>0</v>
      </c>
      <c r="AP136" s="261">
        <f t="shared" si="32"/>
        <v>3.28</v>
      </c>
      <c r="AQ136" s="338"/>
      <c r="AR136" s="45"/>
      <c r="AS136" s="359"/>
      <c r="AT136" s="359"/>
    </row>
    <row r="137" spans="1:46" ht="12">
      <c r="A137" s="359" t="s">
        <v>241</v>
      </c>
      <c r="B137" s="359" t="str">
        <f t="shared" si="23"/>
        <v>MgO</v>
      </c>
      <c r="C137" s="141">
        <f t="shared" si="24"/>
        <v>0</v>
      </c>
      <c r="D137" s="277">
        <f t="shared" si="25"/>
        <v>69.939211937346798</v>
      </c>
      <c r="E137" s="20">
        <f t="shared" si="26"/>
        <v>0</v>
      </c>
      <c r="F137" s="20">
        <f t="shared" si="27"/>
        <v>0</v>
      </c>
      <c r="G137" s="277">
        <f t="shared" si="28"/>
        <v>0</v>
      </c>
      <c r="H137" s="3">
        <f t="shared" si="22"/>
        <v>0</v>
      </c>
      <c r="I137" s="277">
        <f t="shared" si="29"/>
        <v>0</v>
      </c>
      <c r="J137" s="359"/>
      <c r="K137" s="359" t="s">
        <v>199</v>
      </c>
      <c r="L137" s="359"/>
      <c r="M137" s="338"/>
      <c r="N137" s="89">
        <v>41019</v>
      </c>
      <c r="O137" s="359">
        <v>74</v>
      </c>
      <c r="P137" s="359" t="s">
        <v>46</v>
      </c>
      <c r="Q137" s="359"/>
      <c r="R137" s="359"/>
      <c r="S137" s="359">
        <v>800</v>
      </c>
      <c r="T137" s="359">
        <v>300</v>
      </c>
      <c r="U137" s="359">
        <v>400</v>
      </c>
      <c r="V137" s="359"/>
      <c r="W137" s="359"/>
      <c r="X137" s="359"/>
      <c r="Y137" s="359">
        <v>47</v>
      </c>
      <c r="Z137" s="359"/>
      <c r="AA137" s="210"/>
      <c r="AB137" s="248"/>
      <c r="AC137" s="359"/>
      <c r="AD137" s="359"/>
      <c r="AE137" s="359"/>
      <c r="AF137" s="359"/>
      <c r="AG137" s="307"/>
      <c r="AH137" s="38">
        <v>69.939211937346798</v>
      </c>
      <c r="AI137" s="8"/>
      <c r="AJ137" s="24"/>
      <c r="AK137" s="24"/>
      <c r="AL137" s="24"/>
      <c r="AM137" s="359"/>
      <c r="AN137" s="24">
        <f t="shared" si="30"/>
        <v>0</v>
      </c>
      <c r="AO137" s="54">
        <f t="shared" si="31"/>
        <v>0</v>
      </c>
      <c r="AP137" s="261">
        <f t="shared" si="32"/>
        <v>0</v>
      </c>
      <c r="AQ137" s="338"/>
      <c r="AR137" s="45"/>
      <c r="AS137" s="359"/>
      <c r="AT137" s="359"/>
    </row>
    <row r="138" spans="1:46" ht="12">
      <c r="A138" s="359" t="s">
        <v>242</v>
      </c>
      <c r="B138" s="359" t="str">
        <f t="shared" si="23"/>
        <v>MgO</v>
      </c>
      <c r="C138" s="141">
        <f t="shared" si="24"/>
        <v>16</v>
      </c>
      <c r="D138" s="277">
        <f t="shared" si="25"/>
        <v>68.511881081482599</v>
      </c>
      <c r="E138" s="20">
        <f t="shared" si="26"/>
        <v>0</v>
      </c>
      <c r="F138" s="20">
        <f t="shared" si="27"/>
        <v>0</v>
      </c>
      <c r="G138" s="277">
        <f t="shared" si="28"/>
        <v>109.61900973037216</v>
      </c>
      <c r="H138" s="3">
        <f t="shared" si="22"/>
        <v>0</v>
      </c>
      <c r="I138" s="277">
        <f t="shared" si="29"/>
        <v>0</v>
      </c>
      <c r="J138" s="359"/>
      <c r="K138" s="359" t="s">
        <v>199</v>
      </c>
      <c r="L138" s="359"/>
      <c r="M138" s="338"/>
      <c r="N138" s="89">
        <v>41019</v>
      </c>
      <c r="O138" s="359">
        <v>74</v>
      </c>
      <c r="P138" s="359" t="s">
        <v>46</v>
      </c>
      <c r="Q138" s="359"/>
      <c r="R138" s="359"/>
      <c r="S138" s="359">
        <v>800</v>
      </c>
      <c r="T138" s="359">
        <v>300</v>
      </c>
      <c r="U138" s="359">
        <v>400</v>
      </c>
      <c r="V138" s="359"/>
      <c r="W138" s="359"/>
      <c r="X138" s="359"/>
      <c r="Y138" s="359">
        <v>47</v>
      </c>
      <c r="Z138" s="359"/>
      <c r="AA138" s="210"/>
      <c r="AB138" s="248">
        <v>0.39910000000000001</v>
      </c>
      <c r="AC138" s="359">
        <v>0.2427</v>
      </c>
      <c r="AD138" s="359">
        <v>0.35820000000000002</v>
      </c>
      <c r="AE138" s="359" t="s">
        <v>47</v>
      </c>
      <c r="AF138" s="10">
        <v>16</v>
      </c>
      <c r="AG138" s="307"/>
      <c r="AH138" s="38">
        <v>68.511881081482599</v>
      </c>
      <c r="AI138" s="8"/>
      <c r="AJ138" s="24"/>
      <c r="AK138" s="24"/>
      <c r="AL138" s="24"/>
      <c r="AM138" s="359"/>
      <c r="AN138" s="24">
        <f t="shared" si="30"/>
        <v>109.61900973037216</v>
      </c>
      <c r="AO138" s="54">
        <f t="shared" si="31"/>
        <v>0</v>
      </c>
      <c r="AP138" s="261">
        <f t="shared" si="32"/>
        <v>3.2</v>
      </c>
      <c r="AQ138" s="338"/>
      <c r="AR138" s="45"/>
      <c r="AS138" s="359"/>
      <c r="AT138" s="359"/>
    </row>
    <row r="139" spans="1:46" ht="12">
      <c r="A139" s="359" t="s">
        <v>243</v>
      </c>
      <c r="B139" s="359" t="str">
        <f t="shared" si="23"/>
        <v>MgO</v>
      </c>
      <c r="C139" s="141">
        <f t="shared" si="24"/>
        <v>0</v>
      </c>
      <c r="D139" s="277">
        <f t="shared" si="25"/>
        <v>72.555985173097795</v>
      </c>
      <c r="E139" s="20">
        <f t="shared" si="26"/>
        <v>0</v>
      </c>
      <c r="F139" s="20">
        <f t="shared" si="27"/>
        <v>0</v>
      </c>
      <c r="G139" s="277">
        <f t="shared" si="28"/>
        <v>0</v>
      </c>
      <c r="H139" s="3">
        <f t="shared" si="22"/>
        <v>0</v>
      </c>
      <c r="I139" s="277">
        <f t="shared" si="29"/>
        <v>0</v>
      </c>
      <c r="J139" s="359"/>
      <c r="K139" s="359" t="s">
        <v>199</v>
      </c>
      <c r="L139" s="359"/>
      <c r="M139" s="338"/>
      <c r="N139" s="89">
        <v>41019</v>
      </c>
      <c r="O139" s="359">
        <v>74</v>
      </c>
      <c r="P139" s="359" t="s">
        <v>46</v>
      </c>
      <c r="Q139" s="359"/>
      <c r="R139" s="359"/>
      <c r="S139" s="359">
        <v>800</v>
      </c>
      <c r="T139" s="359">
        <v>300</v>
      </c>
      <c r="U139" s="359">
        <v>400</v>
      </c>
      <c r="V139" s="359"/>
      <c r="W139" s="359"/>
      <c r="X139" s="359"/>
      <c r="Y139" s="359">
        <v>47</v>
      </c>
      <c r="Z139" s="359"/>
      <c r="AA139" s="210"/>
      <c r="AB139" s="248"/>
      <c r="AC139" s="359"/>
      <c r="AD139" s="359"/>
      <c r="AE139" s="359"/>
      <c r="AF139" s="359"/>
      <c r="AG139" s="307"/>
      <c r="AH139" s="38">
        <v>72.555985173097795</v>
      </c>
      <c r="AI139" s="8"/>
      <c r="AJ139" s="24"/>
      <c r="AK139" s="24"/>
      <c r="AL139" s="24"/>
      <c r="AM139" s="359"/>
      <c r="AN139" s="24">
        <f t="shared" si="30"/>
        <v>0</v>
      </c>
      <c r="AO139" s="54">
        <f t="shared" si="31"/>
        <v>0</v>
      </c>
      <c r="AP139" s="261">
        <f t="shared" si="32"/>
        <v>0</v>
      </c>
      <c r="AQ139" s="338"/>
      <c r="AR139" s="45"/>
      <c r="AS139" s="359"/>
      <c r="AT139" s="359"/>
    </row>
    <row r="140" spans="1:46" ht="12">
      <c r="A140" s="359" t="s">
        <v>244</v>
      </c>
      <c r="B140" s="359">
        <f t="shared" si="23"/>
        <v>0</v>
      </c>
      <c r="C140" s="141">
        <f t="shared" si="24"/>
        <v>0</v>
      </c>
      <c r="D140" s="277">
        <f t="shared" si="25"/>
        <v>480</v>
      </c>
      <c r="E140" s="20">
        <f t="shared" si="26"/>
        <v>0</v>
      </c>
      <c r="F140" s="20">
        <f t="shared" si="27"/>
        <v>0</v>
      </c>
      <c r="G140" s="277">
        <f t="shared" si="28"/>
        <v>0</v>
      </c>
      <c r="H140" s="3">
        <f t="shared" si="22"/>
        <v>0</v>
      </c>
      <c r="I140" s="277">
        <f t="shared" si="29"/>
        <v>0</v>
      </c>
      <c r="J140" s="359"/>
      <c r="K140" s="359"/>
      <c r="L140" s="359"/>
      <c r="M140" s="338"/>
      <c r="N140" s="45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>
        <v>47</v>
      </c>
      <c r="Z140" s="359"/>
      <c r="AA140" s="210"/>
      <c r="AB140" s="248"/>
      <c r="AC140" s="359"/>
      <c r="AD140" s="359"/>
      <c r="AE140" s="359"/>
      <c r="AF140" s="359"/>
      <c r="AG140" s="153"/>
      <c r="AH140" s="346">
        <v>480</v>
      </c>
      <c r="AI140" s="24"/>
      <c r="AJ140" s="24"/>
      <c r="AK140" s="24"/>
      <c r="AL140" s="24"/>
      <c r="AM140" s="359"/>
      <c r="AN140" s="24">
        <f t="shared" si="30"/>
        <v>0</v>
      </c>
      <c r="AO140" s="54">
        <f t="shared" si="31"/>
        <v>0</v>
      </c>
      <c r="AP140" s="261" t="e">
        <f t="shared" si="32"/>
        <v>#DIV/0!</v>
      </c>
      <c r="AQ140" s="338"/>
      <c r="AR140" s="45"/>
      <c r="AS140" s="359"/>
      <c r="AT140" s="359"/>
    </row>
    <row r="141" spans="1:46" ht="12">
      <c r="A141" s="359" t="s">
        <v>245</v>
      </c>
      <c r="B141" s="359" t="str">
        <f t="shared" si="23"/>
        <v>MgO</v>
      </c>
      <c r="C141" s="141">
        <f t="shared" si="24"/>
        <v>16.3</v>
      </c>
      <c r="D141" s="277">
        <f t="shared" si="25"/>
        <v>62.802557658025698</v>
      </c>
      <c r="E141" s="20">
        <f t="shared" si="26"/>
        <v>0</v>
      </c>
      <c r="F141" s="20">
        <f t="shared" si="27"/>
        <v>0</v>
      </c>
      <c r="G141" s="277">
        <f t="shared" si="28"/>
        <v>102.36816898258189</v>
      </c>
      <c r="H141" s="3">
        <f t="shared" si="22"/>
        <v>0</v>
      </c>
      <c r="I141" s="277">
        <f t="shared" si="29"/>
        <v>0</v>
      </c>
      <c r="J141" s="359"/>
      <c r="K141" s="359" t="s">
        <v>199</v>
      </c>
      <c r="L141" s="359"/>
      <c r="M141" s="338"/>
      <c r="N141" s="89">
        <v>41022</v>
      </c>
      <c r="O141" s="359">
        <v>75</v>
      </c>
      <c r="P141" s="359" t="s">
        <v>46</v>
      </c>
      <c r="Q141" s="359"/>
      <c r="R141" s="359"/>
      <c r="S141" s="359">
        <v>800</v>
      </c>
      <c r="T141" s="359">
        <v>300</v>
      </c>
      <c r="U141" s="359">
        <v>400</v>
      </c>
      <c r="V141" s="359"/>
      <c r="W141" s="359"/>
      <c r="X141" s="359"/>
      <c r="Y141" s="359">
        <v>47</v>
      </c>
      <c r="Z141" s="359"/>
      <c r="AA141" s="210"/>
      <c r="AB141" s="248">
        <v>0.42580000000000001</v>
      </c>
      <c r="AC141" s="359">
        <v>0.23810000000000001</v>
      </c>
      <c r="AD141" s="359">
        <v>0.33610000000000001</v>
      </c>
      <c r="AE141" s="359" t="s">
        <v>47</v>
      </c>
      <c r="AF141" s="359">
        <v>16.3</v>
      </c>
      <c r="AG141" s="153"/>
      <c r="AH141" s="346">
        <v>62.802557658025698</v>
      </c>
      <c r="AI141" s="24"/>
      <c r="AJ141" s="24"/>
      <c r="AK141" s="24"/>
      <c r="AL141" s="24"/>
      <c r="AM141" s="359"/>
      <c r="AN141" s="24">
        <f t="shared" si="30"/>
        <v>102.36816898258189</v>
      </c>
      <c r="AO141" s="54">
        <f t="shared" si="31"/>
        <v>0</v>
      </c>
      <c r="AP141" s="261">
        <f t="shared" si="32"/>
        <v>3.2600000000000002</v>
      </c>
      <c r="AQ141" s="338"/>
      <c r="AR141" s="45"/>
      <c r="AS141" s="359"/>
      <c r="AT141" s="359"/>
    </row>
    <row r="142" spans="1:46" ht="12">
      <c r="A142" s="359" t="s">
        <v>246</v>
      </c>
      <c r="B142" s="359" t="str">
        <f t="shared" si="23"/>
        <v>MgO</v>
      </c>
      <c r="C142" s="141">
        <f t="shared" si="24"/>
        <v>0</v>
      </c>
      <c r="D142" s="277">
        <f t="shared" si="25"/>
        <v>63.873055799923797</v>
      </c>
      <c r="E142" s="20">
        <f t="shared" si="26"/>
        <v>0</v>
      </c>
      <c r="F142" s="20">
        <f t="shared" si="27"/>
        <v>0</v>
      </c>
      <c r="G142" s="277">
        <f t="shared" si="28"/>
        <v>0</v>
      </c>
      <c r="H142" s="3">
        <f t="shared" si="22"/>
        <v>0</v>
      </c>
      <c r="I142" s="277">
        <f t="shared" si="29"/>
        <v>0</v>
      </c>
      <c r="J142" s="359"/>
      <c r="K142" s="359" t="s">
        <v>199</v>
      </c>
      <c r="L142" s="359"/>
      <c r="M142" s="338"/>
      <c r="N142" s="89">
        <v>41022</v>
      </c>
      <c r="O142" s="359">
        <v>75</v>
      </c>
      <c r="P142" s="359" t="s">
        <v>46</v>
      </c>
      <c r="Q142" s="359"/>
      <c r="R142" s="359"/>
      <c r="S142" s="359">
        <v>800</v>
      </c>
      <c r="T142" s="359">
        <v>300</v>
      </c>
      <c r="U142" s="359">
        <v>400</v>
      </c>
      <c r="V142" s="359"/>
      <c r="W142" s="359"/>
      <c r="X142" s="359"/>
      <c r="Y142" s="359">
        <v>47</v>
      </c>
      <c r="Z142" s="359"/>
      <c r="AA142" s="210"/>
      <c r="AB142" s="248"/>
      <c r="AC142" s="359"/>
      <c r="AD142" s="359"/>
      <c r="AE142" s="359"/>
      <c r="AF142" s="359"/>
      <c r="AG142" s="153"/>
      <c r="AH142" s="346">
        <v>63.873055799923797</v>
      </c>
      <c r="AI142" s="24"/>
      <c r="AJ142" s="24"/>
      <c r="AK142" s="24"/>
      <c r="AL142" s="24"/>
      <c r="AM142" s="359"/>
      <c r="AN142" s="24">
        <f t="shared" si="30"/>
        <v>0</v>
      </c>
      <c r="AO142" s="54">
        <f t="shared" si="31"/>
        <v>0</v>
      </c>
      <c r="AP142" s="261">
        <f t="shared" si="32"/>
        <v>0</v>
      </c>
      <c r="AQ142" s="338"/>
      <c r="AR142" s="45"/>
      <c r="AS142" s="359"/>
      <c r="AT142" s="359"/>
    </row>
    <row r="143" spans="1:46" ht="48">
      <c r="A143" s="359" t="s">
        <v>247</v>
      </c>
      <c r="B143" s="359" t="str">
        <f t="shared" si="23"/>
        <v>MgO</v>
      </c>
      <c r="C143" s="141" t="str">
        <f t="shared" si="24"/>
        <v>16,6</v>
      </c>
      <c r="D143" s="277">
        <f t="shared" si="25"/>
        <v>65.419330893776802</v>
      </c>
      <c r="E143" s="20">
        <f t="shared" si="26"/>
        <v>0</v>
      </c>
      <c r="F143" s="20">
        <f t="shared" si="27"/>
        <v>0</v>
      </c>
      <c r="G143" s="277" t="e">
        <f t="shared" si="28"/>
        <v>#VALUE!</v>
      </c>
      <c r="H143" s="3">
        <f t="shared" si="22"/>
        <v>0</v>
      </c>
      <c r="I143" s="277" t="e">
        <f t="shared" si="29"/>
        <v>#VALUE!</v>
      </c>
      <c r="J143" s="359"/>
      <c r="K143" s="359" t="s">
        <v>199</v>
      </c>
      <c r="L143" s="359"/>
      <c r="M143" s="338"/>
      <c r="N143" s="89">
        <v>41022</v>
      </c>
      <c r="O143" s="359">
        <v>75</v>
      </c>
      <c r="P143" s="359" t="s">
        <v>46</v>
      </c>
      <c r="Q143" s="359"/>
      <c r="R143" s="359"/>
      <c r="S143" s="359">
        <v>800</v>
      </c>
      <c r="T143" s="359">
        <v>300</v>
      </c>
      <c r="U143" s="359">
        <v>400</v>
      </c>
      <c r="V143" s="359"/>
      <c r="W143" s="359"/>
      <c r="X143" s="359"/>
      <c r="Y143" s="359">
        <v>47</v>
      </c>
      <c r="Z143" s="359"/>
      <c r="AA143" s="210"/>
      <c r="AB143" s="248">
        <v>0.43609999999999999</v>
      </c>
      <c r="AC143" s="359">
        <v>0.2331</v>
      </c>
      <c r="AD143" s="359">
        <v>0.33090000000000003</v>
      </c>
      <c r="AE143" s="359" t="s">
        <v>47</v>
      </c>
      <c r="AF143" s="359" t="s">
        <v>248</v>
      </c>
      <c r="AG143" s="153"/>
      <c r="AH143" s="346">
        <v>65.419330893776802</v>
      </c>
      <c r="AI143" s="24"/>
      <c r="AJ143" s="24"/>
      <c r="AK143" s="24"/>
      <c r="AL143" s="24"/>
      <c r="AM143" s="359"/>
      <c r="AN143" s="24" t="e">
        <f t="shared" si="30"/>
        <v>#VALUE!</v>
      </c>
      <c r="AO143" s="54" t="e">
        <f t="shared" si="31"/>
        <v>#VALUE!</v>
      </c>
      <c r="AP143" s="261" t="e">
        <f t="shared" si="32"/>
        <v>#VALUE!</v>
      </c>
      <c r="AQ143" s="338"/>
      <c r="AR143" s="45"/>
      <c r="AS143" s="359"/>
      <c r="AT143" s="359"/>
    </row>
    <row r="144" spans="1:46" ht="12">
      <c r="A144" s="359" t="s">
        <v>249</v>
      </c>
      <c r="B144" s="359" t="str">
        <f t="shared" si="23"/>
        <v>MgO</v>
      </c>
      <c r="C144" s="141">
        <f t="shared" si="24"/>
        <v>0</v>
      </c>
      <c r="D144" s="277">
        <f t="shared" si="25"/>
        <v>66.608773273663601</v>
      </c>
      <c r="E144" s="20">
        <f t="shared" si="26"/>
        <v>0</v>
      </c>
      <c r="F144" s="20">
        <f t="shared" si="27"/>
        <v>0</v>
      </c>
      <c r="G144" s="277">
        <f t="shared" si="28"/>
        <v>0</v>
      </c>
      <c r="H144" s="3">
        <f t="shared" si="22"/>
        <v>0</v>
      </c>
      <c r="I144" s="277">
        <f t="shared" si="29"/>
        <v>0</v>
      </c>
      <c r="J144" s="359"/>
      <c r="K144" s="359" t="s">
        <v>199</v>
      </c>
      <c r="L144" s="359"/>
      <c r="M144" s="338"/>
      <c r="N144" s="89">
        <v>41022</v>
      </c>
      <c r="O144" s="359">
        <v>75</v>
      </c>
      <c r="P144" s="359" t="s">
        <v>46</v>
      </c>
      <c r="Q144" s="359"/>
      <c r="R144" s="359"/>
      <c r="S144" s="359">
        <v>800</v>
      </c>
      <c r="T144" s="359">
        <v>300</v>
      </c>
      <c r="U144" s="359">
        <v>400</v>
      </c>
      <c r="V144" s="359"/>
      <c r="W144" s="359"/>
      <c r="X144" s="359"/>
      <c r="Y144" s="359">
        <v>47</v>
      </c>
      <c r="Z144" s="359"/>
      <c r="AA144" s="210"/>
      <c r="AB144" s="248"/>
      <c r="AC144" s="359"/>
      <c r="AD144" s="359"/>
      <c r="AE144" s="359"/>
      <c r="AF144" s="359"/>
      <c r="AG144" s="153"/>
      <c r="AH144" s="346">
        <v>66.608773273663601</v>
      </c>
      <c r="AI144" s="24"/>
      <c r="AJ144" s="24"/>
      <c r="AK144" s="24"/>
      <c r="AL144" s="24"/>
      <c r="AM144" s="359"/>
      <c r="AN144" s="24">
        <f t="shared" si="30"/>
        <v>0</v>
      </c>
      <c r="AO144" s="54">
        <f t="shared" si="31"/>
        <v>0</v>
      </c>
      <c r="AP144" s="261">
        <f t="shared" si="32"/>
        <v>0</v>
      </c>
      <c r="AQ144" s="338"/>
      <c r="AR144" s="45"/>
      <c r="AS144" s="359"/>
      <c r="AT144" s="359"/>
    </row>
    <row r="145" spans="1:46" ht="12">
      <c r="A145" s="359" t="s">
        <v>250</v>
      </c>
      <c r="B145" s="359" t="str">
        <f t="shared" si="23"/>
        <v>MgO</v>
      </c>
      <c r="C145" s="141">
        <f t="shared" si="24"/>
        <v>0</v>
      </c>
      <c r="D145" s="277">
        <f t="shared" si="25"/>
        <v>48.410304861394799</v>
      </c>
      <c r="E145" s="20">
        <f t="shared" si="26"/>
        <v>0</v>
      </c>
      <c r="F145" s="20">
        <f t="shared" si="27"/>
        <v>0</v>
      </c>
      <c r="G145" s="277">
        <f t="shared" si="28"/>
        <v>0</v>
      </c>
      <c r="H145" s="3">
        <f t="shared" si="22"/>
        <v>0</v>
      </c>
      <c r="I145" s="277">
        <f t="shared" si="29"/>
        <v>0</v>
      </c>
      <c r="J145" s="359"/>
      <c r="K145" s="359" t="s">
        <v>199</v>
      </c>
      <c r="L145" s="359"/>
      <c r="M145" s="338"/>
      <c r="N145" s="89">
        <v>41023</v>
      </c>
      <c r="O145" s="359">
        <v>76</v>
      </c>
      <c r="P145" s="359" t="s">
        <v>46</v>
      </c>
      <c r="Q145" s="359"/>
      <c r="R145" s="359"/>
      <c r="S145" s="359">
        <v>800</v>
      </c>
      <c r="T145" s="359">
        <v>300</v>
      </c>
      <c r="U145" s="359">
        <v>400</v>
      </c>
      <c r="V145" s="359"/>
      <c r="W145" s="359"/>
      <c r="X145" s="359"/>
      <c r="Y145" s="359">
        <v>47</v>
      </c>
      <c r="Z145" s="359"/>
      <c r="AA145" s="210"/>
      <c r="AB145" s="248"/>
      <c r="AC145" s="359"/>
      <c r="AD145" s="359"/>
      <c r="AE145" s="359"/>
      <c r="AF145" s="359"/>
      <c r="AG145" s="153"/>
      <c r="AH145" s="346">
        <v>48.410304861394799</v>
      </c>
      <c r="AI145" s="24"/>
      <c r="AJ145" s="24"/>
      <c r="AK145" s="24"/>
      <c r="AL145" s="24"/>
      <c r="AM145" s="359"/>
      <c r="AN145" s="24">
        <f t="shared" si="30"/>
        <v>0</v>
      </c>
      <c r="AO145" s="54">
        <f t="shared" si="31"/>
        <v>0</v>
      </c>
      <c r="AP145" s="261">
        <f t="shared" si="32"/>
        <v>0</v>
      </c>
      <c r="AQ145" s="338"/>
      <c r="AR145" s="45"/>
      <c r="AS145" s="359"/>
      <c r="AT145" s="359"/>
    </row>
    <row r="146" spans="1:46" ht="12">
      <c r="A146" s="359" t="s">
        <v>251</v>
      </c>
      <c r="B146" s="359" t="str">
        <f t="shared" si="23"/>
        <v>MgO</v>
      </c>
      <c r="C146" s="141">
        <f t="shared" si="24"/>
        <v>0</v>
      </c>
      <c r="D146" s="277">
        <f t="shared" si="25"/>
        <v>47.6966394334627</v>
      </c>
      <c r="E146" s="20">
        <f t="shared" si="26"/>
        <v>0</v>
      </c>
      <c r="F146" s="20">
        <f t="shared" si="27"/>
        <v>0</v>
      </c>
      <c r="G146" s="277">
        <f t="shared" si="28"/>
        <v>0</v>
      </c>
      <c r="H146" s="3">
        <f t="shared" si="22"/>
        <v>0</v>
      </c>
      <c r="I146" s="277">
        <f t="shared" si="29"/>
        <v>0</v>
      </c>
      <c r="J146" s="359"/>
      <c r="K146" s="359" t="s">
        <v>199</v>
      </c>
      <c r="L146" s="359"/>
      <c r="M146" s="338"/>
      <c r="N146" s="89">
        <v>41023</v>
      </c>
      <c r="O146" s="359">
        <v>76</v>
      </c>
      <c r="P146" s="359" t="s">
        <v>46</v>
      </c>
      <c r="Q146" s="359"/>
      <c r="R146" s="359"/>
      <c r="S146" s="359">
        <v>800</v>
      </c>
      <c r="T146" s="359">
        <v>300</v>
      </c>
      <c r="U146" s="359">
        <v>400</v>
      </c>
      <c r="V146" s="359"/>
      <c r="W146" s="359"/>
      <c r="X146" s="359"/>
      <c r="Y146" s="359">
        <v>47</v>
      </c>
      <c r="Z146" s="359"/>
      <c r="AA146" s="210"/>
      <c r="AB146" s="248"/>
      <c r="AC146" s="359"/>
      <c r="AD146" s="359"/>
      <c r="AE146" s="359"/>
      <c r="AF146" s="359"/>
      <c r="AG146" s="153"/>
      <c r="AH146" s="346">
        <v>47.6966394334627</v>
      </c>
      <c r="AI146" s="24"/>
      <c r="AJ146" s="24"/>
      <c r="AK146" s="24"/>
      <c r="AL146" s="24"/>
      <c r="AM146" s="359"/>
      <c r="AN146" s="24">
        <f t="shared" si="30"/>
        <v>0</v>
      </c>
      <c r="AO146" s="54">
        <f t="shared" si="31"/>
        <v>0</v>
      </c>
      <c r="AP146" s="261">
        <f t="shared" si="32"/>
        <v>0</v>
      </c>
      <c r="AQ146" s="338"/>
      <c r="AR146" s="45"/>
      <c r="AS146" s="359"/>
      <c r="AT146" s="359"/>
    </row>
    <row r="147" spans="1:46" ht="12">
      <c r="A147" s="359" t="s">
        <v>252</v>
      </c>
      <c r="B147" s="359" t="str">
        <f t="shared" si="23"/>
        <v>MgO</v>
      </c>
      <c r="C147" s="141">
        <f t="shared" si="24"/>
        <v>0</v>
      </c>
      <c r="D147" s="277">
        <f t="shared" si="25"/>
        <v>47.8155836714514</v>
      </c>
      <c r="E147" s="20">
        <f t="shared" si="26"/>
        <v>0</v>
      </c>
      <c r="F147" s="20">
        <f t="shared" si="27"/>
        <v>0</v>
      </c>
      <c r="G147" s="277">
        <f t="shared" si="28"/>
        <v>0</v>
      </c>
      <c r="H147" s="3">
        <f t="shared" si="22"/>
        <v>0</v>
      </c>
      <c r="I147" s="277">
        <f t="shared" si="29"/>
        <v>0</v>
      </c>
      <c r="J147" s="359"/>
      <c r="K147" s="359" t="s">
        <v>199</v>
      </c>
      <c r="L147" s="359"/>
      <c r="M147" s="338"/>
      <c r="N147" s="89">
        <v>41023</v>
      </c>
      <c r="O147" s="359">
        <v>76</v>
      </c>
      <c r="P147" s="359" t="s">
        <v>46</v>
      </c>
      <c r="Q147" s="359"/>
      <c r="R147" s="359"/>
      <c r="S147" s="359">
        <v>800</v>
      </c>
      <c r="T147" s="359">
        <v>300</v>
      </c>
      <c r="U147" s="359">
        <v>400</v>
      </c>
      <c r="V147" s="359"/>
      <c r="W147" s="359"/>
      <c r="X147" s="359"/>
      <c r="Y147" s="359">
        <v>47</v>
      </c>
      <c r="Z147" s="359"/>
      <c r="AA147" s="210"/>
      <c r="AB147" s="248"/>
      <c r="AC147" s="359"/>
      <c r="AD147" s="359"/>
      <c r="AE147" s="359"/>
      <c r="AF147" s="359"/>
      <c r="AG147" s="153"/>
      <c r="AH147" s="346">
        <v>47.8155836714514</v>
      </c>
      <c r="AI147" s="24"/>
      <c r="AJ147" s="24"/>
      <c r="AK147" s="24"/>
      <c r="AL147" s="24"/>
      <c r="AM147" s="359"/>
      <c r="AN147" s="24">
        <f t="shared" si="30"/>
        <v>0</v>
      </c>
      <c r="AO147" s="54">
        <f t="shared" si="31"/>
        <v>0</v>
      </c>
      <c r="AP147" s="261">
        <f t="shared" si="32"/>
        <v>0</v>
      </c>
      <c r="AQ147" s="338"/>
      <c r="AR147" s="45"/>
      <c r="AS147" s="359"/>
      <c r="AT147" s="359"/>
    </row>
    <row r="148" spans="1:46" ht="12">
      <c r="A148" s="359" t="s">
        <v>253</v>
      </c>
      <c r="B148" s="359" t="str">
        <f t="shared" si="23"/>
        <v>MgO</v>
      </c>
      <c r="C148" s="141">
        <f t="shared" si="24"/>
        <v>0</v>
      </c>
      <c r="D148" s="277">
        <f t="shared" si="25"/>
        <v>47.6966394334627</v>
      </c>
      <c r="E148" s="20">
        <f t="shared" si="26"/>
        <v>0</v>
      </c>
      <c r="F148" s="20">
        <f t="shared" si="27"/>
        <v>0</v>
      </c>
      <c r="G148" s="277">
        <f t="shared" si="28"/>
        <v>0</v>
      </c>
      <c r="H148" s="3">
        <f t="shared" si="22"/>
        <v>0</v>
      </c>
      <c r="I148" s="277">
        <f t="shared" si="29"/>
        <v>0</v>
      </c>
      <c r="J148" s="359"/>
      <c r="K148" s="359" t="s">
        <v>199</v>
      </c>
      <c r="L148" s="359"/>
      <c r="M148" s="338"/>
      <c r="N148" s="89">
        <v>41023</v>
      </c>
      <c r="O148" s="359">
        <v>76</v>
      </c>
      <c r="P148" s="359" t="s">
        <v>46</v>
      </c>
      <c r="Q148" s="359"/>
      <c r="R148" s="359"/>
      <c r="S148" s="359">
        <v>800</v>
      </c>
      <c r="T148" s="359">
        <v>300</v>
      </c>
      <c r="U148" s="359">
        <v>400</v>
      </c>
      <c r="V148" s="359"/>
      <c r="W148" s="359"/>
      <c r="X148" s="359"/>
      <c r="Y148" s="359">
        <v>47</v>
      </c>
      <c r="Z148" s="359"/>
      <c r="AA148" s="210"/>
      <c r="AB148" s="248"/>
      <c r="AC148" s="359"/>
      <c r="AD148" s="359"/>
      <c r="AE148" s="359"/>
      <c r="AF148" s="359"/>
      <c r="AG148" s="153"/>
      <c r="AH148" s="346">
        <v>47.6966394334627</v>
      </c>
      <c r="AI148" s="24"/>
      <c r="AJ148" s="24"/>
      <c r="AK148" s="24"/>
      <c r="AL148" s="24"/>
      <c r="AM148" s="359"/>
      <c r="AN148" s="24">
        <f t="shared" si="30"/>
        <v>0</v>
      </c>
      <c r="AO148" s="54">
        <f t="shared" si="31"/>
        <v>0</v>
      </c>
      <c r="AP148" s="261">
        <f t="shared" si="32"/>
        <v>0</v>
      </c>
      <c r="AQ148" s="338"/>
      <c r="AR148" s="45"/>
      <c r="AS148" s="359"/>
      <c r="AT148" s="359"/>
    </row>
    <row r="149" spans="1:46" ht="12">
      <c r="A149" s="359" t="s">
        <v>254</v>
      </c>
      <c r="B149" s="359" t="str">
        <f t="shared" si="23"/>
        <v>MgO</v>
      </c>
      <c r="C149" s="141">
        <f t="shared" si="24"/>
        <v>9.74</v>
      </c>
      <c r="D149" s="277">
        <f t="shared" si="25"/>
        <v>160.336832808747</v>
      </c>
      <c r="E149" s="20">
        <f t="shared" si="26"/>
        <v>0</v>
      </c>
      <c r="F149" s="20">
        <f t="shared" si="27"/>
        <v>0</v>
      </c>
      <c r="G149" s="277">
        <f t="shared" si="28"/>
        <v>156.16807515571958</v>
      </c>
      <c r="H149" s="3">
        <f t="shared" si="22"/>
        <v>0</v>
      </c>
      <c r="I149" s="277">
        <f t="shared" si="29"/>
        <v>0</v>
      </c>
      <c r="J149" s="359"/>
      <c r="K149" s="359" t="s">
        <v>186</v>
      </c>
      <c r="L149" s="359"/>
      <c r="M149" s="338" t="s">
        <v>206</v>
      </c>
      <c r="N149" s="89">
        <v>41024</v>
      </c>
      <c r="O149" s="359">
        <v>77</v>
      </c>
      <c r="P149" s="359" t="s">
        <v>46</v>
      </c>
      <c r="Q149" s="359"/>
      <c r="R149" s="359"/>
      <c r="S149" s="359">
        <v>800</v>
      </c>
      <c r="T149" s="359">
        <v>150</v>
      </c>
      <c r="U149" s="359">
        <v>400</v>
      </c>
      <c r="V149" s="359"/>
      <c r="W149" s="359"/>
      <c r="X149" s="359"/>
      <c r="Y149" s="359">
        <v>47</v>
      </c>
      <c r="Z149" s="359"/>
      <c r="AA149" s="210"/>
      <c r="AB149" s="248">
        <v>0.28899999999999998</v>
      </c>
      <c r="AC149" s="359">
        <v>0.37469999999999998</v>
      </c>
      <c r="AD149" s="359">
        <v>0.33629999999999999</v>
      </c>
      <c r="AE149" s="359" t="s">
        <v>47</v>
      </c>
      <c r="AF149" s="359">
        <v>9.74</v>
      </c>
      <c r="AG149" s="153"/>
      <c r="AH149" s="346">
        <v>160.336832808747</v>
      </c>
      <c r="AI149" s="24"/>
      <c r="AJ149" s="24"/>
      <c r="AK149" s="24"/>
      <c r="AL149" s="24"/>
      <c r="AM149" s="359"/>
      <c r="AN149" s="24">
        <f t="shared" si="30"/>
        <v>156.16807515571958</v>
      </c>
      <c r="AO149" s="54">
        <f t="shared" si="31"/>
        <v>0</v>
      </c>
      <c r="AP149" s="261">
        <f t="shared" si="32"/>
        <v>3.8959999999999999</v>
      </c>
      <c r="AQ149" s="338"/>
      <c r="AR149" s="45"/>
      <c r="AS149" s="359"/>
      <c r="AT149" s="359"/>
    </row>
    <row r="150" spans="1:46" ht="12">
      <c r="A150" s="359" t="s">
        <v>255</v>
      </c>
      <c r="B150" s="359" t="str">
        <f t="shared" si="23"/>
        <v>MgO</v>
      </c>
      <c r="C150" s="141">
        <f t="shared" si="24"/>
        <v>0</v>
      </c>
      <c r="D150" s="277">
        <f t="shared" si="25"/>
        <v>162.12099637857801</v>
      </c>
      <c r="E150" s="20">
        <f t="shared" si="26"/>
        <v>0</v>
      </c>
      <c r="F150" s="20">
        <f t="shared" si="27"/>
        <v>0</v>
      </c>
      <c r="G150" s="277">
        <f t="shared" si="28"/>
        <v>0</v>
      </c>
      <c r="H150" s="3">
        <f t="shared" si="22"/>
        <v>0</v>
      </c>
      <c r="I150" s="277">
        <f t="shared" si="29"/>
        <v>0</v>
      </c>
      <c r="J150" s="359"/>
      <c r="K150" s="359" t="s">
        <v>186</v>
      </c>
      <c r="L150" s="359"/>
      <c r="M150" s="338" t="s">
        <v>206</v>
      </c>
      <c r="N150" s="89">
        <v>41024</v>
      </c>
      <c r="O150" s="359">
        <v>77</v>
      </c>
      <c r="P150" s="359" t="s">
        <v>46</v>
      </c>
      <c r="Q150" s="359"/>
      <c r="R150" s="359"/>
      <c r="S150" s="359">
        <v>800</v>
      </c>
      <c r="T150" s="359">
        <v>150</v>
      </c>
      <c r="U150" s="359">
        <v>400</v>
      </c>
      <c r="V150" s="359"/>
      <c r="W150" s="359"/>
      <c r="X150" s="359"/>
      <c r="Y150" s="359">
        <v>47</v>
      </c>
      <c r="Z150" s="359"/>
      <c r="AA150" s="210"/>
      <c r="AB150" s="248"/>
      <c r="AC150" s="359"/>
      <c r="AD150" s="359"/>
      <c r="AE150" s="359"/>
      <c r="AF150" s="359"/>
      <c r="AG150" s="153"/>
      <c r="AH150" s="346">
        <v>162.12099637857801</v>
      </c>
      <c r="AI150" s="24"/>
      <c r="AJ150" s="24"/>
      <c r="AK150" s="24"/>
      <c r="AL150" s="24"/>
      <c r="AM150" s="359"/>
      <c r="AN150" s="24">
        <f t="shared" si="30"/>
        <v>0</v>
      </c>
      <c r="AO150" s="54">
        <f t="shared" si="31"/>
        <v>0</v>
      </c>
      <c r="AP150" s="261">
        <f t="shared" si="32"/>
        <v>0</v>
      </c>
      <c r="AQ150" s="338"/>
      <c r="AR150" s="45"/>
      <c r="AS150" s="359"/>
      <c r="AT150" s="359"/>
    </row>
    <row r="151" spans="1:46" ht="12">
      <c r="A151" s="359" t="s">
        <v>256</v>
      </c>
      <c r="B151" s="359" t="str">
        <f t="shared" si="23"/>
        <v>MgO</v>
      </c>
      <c r="C151" s="141">
        <f t="shared" si="24"/>
        <v>0</v>
      </c>
      <c r="D151" s="277">
        <f t="shared" si="25"/>
        <v>171.63653541767201</v>
      </c>
      <c r="E151" s="20">
        <f t="shared" si="26"/>
        <v>0</v>
      </c>
      <c r="F151" s="20">
        <f t="shared" si="27"/>
        <v>0</v>
      </c>
      <c r="G151" s="277">
        <f t="shared" si="28"/>
        <v>0</v>
      </c>
      <c r="H151" s="3">
        <f t="shared" si="22"/>
        <v>0</v>
      </c>
      <c r="I151" s="277">
        <f t="shared" si="29"/>
        <v>0</v>
      </c>
      <c r="J151" s="359"/>
      <c r="K151" s="359" t="s">
        <v>186</v>
      </c>
      <c r="L151" s="359"/>
      <c r="M151" s="338" t="s">
        <v>206</v>
      </c>
      <c r="N151" s="89">
        <v>41024</v>
      </c>
      <c r="O151" s="359">
        <v>77</v>
      </c>
      <c r="P151" s="359" t="s">
        <v>46</v>
      </c>
      <c r="Q151" s="359"/>
      <c r="R151" s="359"/>
      <c r="S151" s="359">
        <v>800</v>
      </c>
      <c r="T151" s="359">
        <v>150</v>
      </c>
      <c r="U151" s="359">
        <v>400</v>
      </c>
      <c r="V151" s="359"/>
      <c r="W151" s="359"/>
      <c r="X151" s="359"/>
      <c r="Y151" s="359">
        <v>47</v>
      </c>
      <c r="Z151" s="359"/>
      <c r="AA151" s="210"/>
      <c r="AB151" s="248"/>
      <c r="AC151" s="359"/>
      <c r="AD151" s="359"/>
      <c r="AE151" s="359"/>
      <c r="AF151" s="359"/>
      <c r="AG151" s="153"/>
      <c r="AH151" s="346">
        <v>171.63653541767201</v>
      </c>
      <c r="AI151" s="24"/>
      <c r="AJ151" s="24"/>
      <c r="AK151" s="24"/>
      <c r="AL151" s="24"/>
      <c r="AM151" s="359"/>
      <c r="AN151" s="24">
        <f t="shared" si="30"/>
        <v>0</v>
      </c>
      <c r="AO151" s="54">
        <f t="shared" si="31"/>
        <v>0</v>
      </c>
      <c r="AP151" s="261">
        <f t="shared" si="32"/>
        <v>0</v>
      </c>
      <c r="AQ151" s="338"/>
      <c r="AR151" s="45"/>
      <c r="AS151" s="359"/>
      <c r="AT151" s="359"/>
    </row>
    <row r="152" spans="1:46" ht="12">
      <c r="A152" s="359" t="s">
        <v>257</v>
      </c>
      <c r="B152" s="359" t="str">
        <f t="shared" si="23"/>
        <v>MgO</v>
      </c>
      <c r="C152" s="141">
        <f t="shared" si="24"/>
        <v>0</v>
      </c>
      <c r="D152" s="277">
        <f t="shared" si="25"/>
        <v>162.668139873326</v>
      </c>
      <c r="E152" s="20">
        <f t="shared" si="26"/>
        <v>0</v>
      </c>
      <c r="F152" s="20">
        <f t="shared" si="27"/>
        <v>0</v>
      </c>
      <c r="G152" s="277">
        <f t="shared" si="28"/>
        <v>0</v>
      </c>
      <c r="H152" s="3">
        <f t="shared" si="22"/>
        <v>0</v>
      </c>
      <c r="I152" s="277">
        <f t="shared" si="29"/>
        <v>0</v>
      </c>
      <c r="J152" s="359" t="s">
        <v>258</v>
      </c>
      <c r="K152" s="359" t="s">
        <v>186</v>
      </c>
      <c r="L152" s="359"/>
      <c r="M152" s="338" t="s">
        <v>206</v>
      </c>
      <c r="N152" s="89">
        <v>41024</v>
      </c>
      <c r="O152" s="359">
        <v>77</v>
      </c>
      <c r="P152" s="359" t="s">
        <v>46</v>
      </c>
      <c r="Q152" s="359"/>
      <c r="R152" s="359"/>
      <c r="S152" s="359">
        <v>800</v>
      </c>
      <c r="T152" s="359">
        <v>150</v>
      </c>
      <c r="U152" s="359">
        <v>400</v>
      </c>
      <c r="V152" s="359"/>
      <c r="W152" s="359"/>
      <c r="X152" s="359"/>
      <c r="Y152" s="359">
        <v>47</v>
      </c>
      <c r="Z152" s="359"/>
      <c r="AA152" s="210"/>
      <c r="AB152" s="248"/>
      <c r="AC152" s="359"/>
      <c r="AD152" s="359"/>
      <c r="AE152" s="359"/>
      <c r="AF152" s="359"/>
      <c r="AG152" s="153"/>
      <c r="AH152" s="346">
        <v>162.668139873326</v>
      </c>
      <c r="AI152" s="24"/>
      <c r="AJ152" s="24"/>
      <c r="AK152" s="24"/>
      <c r="AL152" s="24"/>
      <c r="AM152" s="359"/>
      <c r="AN152" s="24">
        <f t="shared" si="30"/>
        <v>0</v>
      </c>
      <c r="AO152" s="54">
        <f t="shared" si="31"/>
        <v>0</v>
      </c>
      <c r="AP152" s="261">
        <f t="shared" si="32"/>
        <v>0</v>
      </c>
      <c r="AQ152" s="338"/>
      <c r="AR152" s="45"/>
      <c r="AS152" s="359"/>
      <c r="AT152" s="359"/>
    </row>
    <row r="153" spans="1:46" ht="12">
      <c r="A153" s="359" t="s">
        <v>259</v>
      </c>
      <c r="B153" s="359" t="str">
        <f t="shared" si="23"/>
        <v>MgO</v>
      </c>
      <c r="C153" s="141">
        <f t="shared" si="24"/>
        <v>0</v>
      </c>
      <c r="D153" s="277">
        <f t="shared" si="25"/>
        <v>1749.43185233758</v>
      </c>
      <c r="E153" s="20">
        <f t="shared" si="26"/>
        <v>0</v>
      </c>
      <c r="F153" s="20">
        <f t="shared" si="27"/>
        <v>0</v>
      </c>
      <c r="G153" s="277">
        <f t="shared" si="28"/>
        <v>0</v>
      </c>
      <c r="H153" s="3">
        <f t="shared" si="22"/>
        <v>0</v>
      </c>
      <c r="I153" s="277">
        <f t="shared" si="29"/>
        <v>0</v>
      </c>
      <c r="J153" s="359"/>
      <c r="K153" s="359" t="s">
        <v>186</v>
      </c>
      <c r="L153" s="359"/>
      <c r="M153" s="338"/>
      <c r="N153" s="89">
        <v>41025</v>
      </c>
      <c r="O153" s="359">
        <v>78</v>
      </c>
      <c r="P153" s="359" t="s">
        <v>46</v>
      </c>
      <c r="Q153" s="359"/>
      <c r="R153" s="359"/>
      <c r="S153" s="359">
        <v>800</v>
      </c>
      <c r="T153" s="359">
        <v>45</v>
      </c>
      <c r="U153" s="359">
        <v>400</v>
      </c>
      <c r="V153" s="359"/>
      <c r="W153" s="359"/>
      <c r="X153" s="359"/>
      <c r="Y153" s="359">
        <v>47</v>
      </c>
      <c r="Z153" s="359"/>
      <c r="AA153" s="210"/>
      <c r="AB153" s="248"/>
      <c r="AC153" s="359"/>
      <c r="AD153" s="359"/>
      <c r="AE153" s="359"/>
      <c r="AF153" s="359"/>
      <c r="AG153" s="307"/>
      <c r="AH153" s="38">
        <v>1749.43185233758</v>
      </c>
      <c r="AI153" s="8"/>
      <c r="AJ153" s="24"/>
      <c r="AK153" s="24"/>
      <c r="AL153" s="24"/>
      <c r="AM153" s="359"/>
      <c r="AN153" s="24">
        <f t="shared" si="30"/>
        <v>0</v>
      </c>
      <c r="AO153" s="54">
        <f t="shared" si="31"/>
        <v>0</v>
      </c>
      <c r="AP153" s="261">
        <f t="shared" si="32"/>
        <v>0</v>
      </c>
      <c r="AQ153" s="338"/>
      <c r="AR153" s="45"/>
      <c r="AS153" s="359"/>
      <c r="AT153" s="359"/>
    </row>
    <row r="154" spans="1:46" ht="12">
      <c r="A154" s="359" t="s">
        <v>260</v>
      </c>
      <c r="B154" s="359" t="str">
        <f t="shared" si="23"/>
        <v>MgO</v>
      </c>
      <c r="C154" s="141">
        <f t="shared" si="24"/>
        <v>0</v>
      </c>
      <c r="D154" s="277">
        <f t="shared" si="25"/>
        <v>1456.82902688541</v>
      </c>
      <c r="E154" s="20">
        <f t="shared" si="26"/>
        <v>0</v>
      </c>
      <c r="F154" s="20">
        <f t="shared" si="27"/>
        <v>0</v>
      </c>
      <c r="G154" s="277">
        <f t="shared" si="28"/>
        <v>0</v>
      </c>
      <c r="H154" s="3">
        <f t="shared" si="22"/>
        <v>0</v>
      </c>
      <c r="I154" s="277">
        <f t="shared" si="29"/>
        <v>0</v>
      </c>
      <c r="J154" s="359"/>
      <c r="K154" s="359" t="s">
        <v>186</v>
      </c>
      <c r="L154" s="359"/>
      <c r="M154" s="338"/>
      <c r="N154" s="89">
        <v>41025</v>
      </c>
      <c r="O154" s="359">
        <v>78</v>
      </c>
      <c r="P154" s="359" t="s">
        <v>46</v>
      </c>
      <c r="Q154" s="359"/>
      <c r="R154" s="359"/>
      <c r="S154" s="359">
        <v>800</v>
      </c>
      <c r="T154" s="359">
        <v>45</v>
      </c>
      <c r="U154" s="359">
        <v>400</v>
      </c>
      <c r="V154" s="359"/>
      <c r="W154" s="359"/>
      <c r="X154" s="359"/>
      <c r="Y154" s="359">
        <v>47</v>
      </c>
      <c r="Z154" s="359"/>
      <c r="AA154" s="210"/>
      <c r="AB154" s="248"/>
      <c r="AC154" s="359"/>
      <c r="AD154" s="359"/>
      <c r="AE154" s="359"/>
      <c r="AF154" s="359"/>
      <c r="AG154" s="307"/>
      <c r="AH154" s="38">
        <v>1456.82902688541</v>
      </c>
      <c r="AI154" s="8"/>
      <c r="AJ154" s="24"/>
      <c r="AK154" s="24"/>
      <c r="AL154" s="24"/>
      <c r="AM154" s="359"/>
      <c r="AN154" s="24">
        <f t="shared" si="30"/>
        <v>0</v>
      </c>
      <c r="AO154" s="54">
        <f t="shared" si="31"/>
        <v>0</v>
      </c>
      <c r="AP154" s="261">
        <f t="shared" si="32"/>
        <v>0</v>
      </c>
      <c r="AQ154" s="338"/>
      <c r="AR154" s="45"/>
      <c r="AS154" s="359"/>
      <c r="AT154" s="359"/>
    </row>
    <row r="155" spans="1:46" ht="12">
      <c r="A155" s="359" t="s">
        <v>261</v>
      </c>
      <c r="B155" s="359" t="str">
        <f t="shared" si="23"/>
        <v>MgO</v>
      </c>
      <c r="C155" s="141">
        <f t="shared" si="24"/>
        <v>0</v>
      </c>
      <c r="D155" s="277">
        <f t="shared" si="25"/>
        <v>1486.80297485856</v>
      </c>
      <c r="E155" s="20">
        <f t="shared" si="26"/>
        <v>0</v>
      </c>
      <c r="F155" s="20">
        <f t="shared" si="27"/>
        <v>0</v>
      </c>
      <c r="G155" s="277">
        <f t="shared" si="28"/>
        <v>0</v>
      </c>
      <c r="H155" s="3">
        <f t="shared" si="22"/>
        <v>0</v>
      </c>
      <c r="I155" s="277">
        <f t="shared" si="29"/>
        <v>0</v>
      </c>
      <c r="J155" s="359"/>
      <c r="K155" s="359" t="s">
        <v>186</v>
      </c>
      <c r="L155" s="359"/>
      <c r="M155" s="338"/>
      <c r="N155" s="89">
        <v>41025</v>
      </c>
      <c r="O155" s="359">
        <v>78</v>
      </c>
      <c r="P155" s="359" t="s">
        <v>46</v>
      </c>
      <c r="Q155" s="359"/>
      <c r="R155" s="359"/>
      <c r="S155" s="359">
        <v>800</v>
      </c>
      <c r="T155" s="359">
        <v>45</v>
      </c>
      <c r="U155" s="359">
        <v>400</v>
      </c>
      <c r="V155" s="359"/>
      <c r="W155" s="359"/>
      <c r="X155" s="359"/>
      <c r="Y155" s="359">
        <v>47</v>
      </c>
      <c r="Z155" s="359"/>
      <c r="AA155" s="210"/>
      <c r="AB155" s="248"/>
      <c r="AC155" s="359"/>
      <c r="AD155" s="359"/>
      <c r="AE155" s="359"/>
      <c r="AF155" s="359"/>
      <c r="AG155" s="307"/>
      <c r="AH155" s="38">
        <v>1486.80297485856</v>
      </c>
      <c r="AI155" s="8"/>
      <c r="AJ155" s="24"/>
      <c r="AK155" s="24"/>
      <c r="AL155" s="24"/>
      <c r="AM155" s="359"/>
      <c r="AN155" s="24">
        <f t="shared" si="30"/>
        <v>0</v>
      </c>
      <c r="AO155" s="54">
        <f t="shared" si="31"/>
        <v>0</v>
      </c>
      <c r="AP155" s="261">
        <f t="shared" si="32"/>
        <v>0</v>
      </c>
      <c r="AQ155" s="338"/>
      <c r="AR155" s="45"/>
      <c r="AS155" s="359"/>
      <c r="AT155" s="359"/>
    </row>
    <row r="156" spans="1:46" ht="12">
      <c r="A156" s="359" t="s">
        <v>262</v>
      </c>
      <c r="B156" s="359" t="str">
        <f t="shared" si="23"/>
        <v>MgO</v>
      </c>
      <c r="C156" s="141">
        <f t="shared" si="24"/>
        <v>0</v>
      </c>
      <c r="D156" s="277">
        <f t="shared" si="25"/>
        <v>1467.7718967803701</v>
      </c>
      <c r="E156" s="20">
        <f t="shared" si="26"/>
        <v>0</v>
      </c>
      <c r="F156" s="20">
        <f t="shared" si="27"/>
        <v>0</v>
      </c>
      <c r="G156" s="277">
        <f t="shared" si="28"/>
        <v>0</v>
      </c>
      <c r="H156" s="3">
        <f t="shared" si="22"/>
        <v>0</v>
      </c>
      <c r="I156" s="277">
        <f t="shared" si="29"/>
        <v>0</v>
      </c>
      <c r="J156" s="359"/>
      <c r="K156" s="359" t="s">
        <v>186</v>
      </c>
      <c r="L156" s="359"/>
      <c r="M156" s="338"/>
      <c r="N156" s="89">
        <v>41025</v>
      </c>
      <c r="O156" s="359">
        <v>78</v>
      </c>
      <c r="P156" s="359" t="s">
        <v>46</v>
      </c>
      <c r="Q156" s="359"/>
      <c r="R156" s="359"/>
      <c r="S156" s="359">
        <v>800</v>
      </c>
      <c r="T156" s="359">
        <v>45</v>
      </c>
      <c r="U156" s="359">
        <v>400</v>
      </c>
      <c r="V156" s="359"/>
      <c r="W156" s="359"/>
      <c r="X156" s="359"/>
      <c r="Y156" s="359">
        <v>47</v>
      </c>
      <c r="Z156" s="359"/>
      <c r="AA156" s="210"/>
      <c r="AB156" s="248"/>
      <c r="AC156" s="359"/>
      <c r="AD156" s="359"/>
      <c r="AE156" s="359"/>
      <c r="AF156" s="359"/>
      <c r="AG156" s="307"/>
      <c r="AH156" s="38">
        <v>1467.7718967803701</v>
      </c>
      <c r="AI156" s="8"/>
      <c r="AJ156" s="24"/>
      <c r="AK156" s="24"/>
      <c r="AL156" s="24"/>
      <c r="AM156" s="359"/>
      <c r="AN156" s="24">
        <f t="shared" si="30"/>
        <v>0</v>
      </c>
      <c r="AO156" s="54">
        <f t="shared" si="31"/>
        <v>0</v>
      </c>
      <c r="AP156" s="261">
        <f t="shared" si="32"/>
        <v>0</v>
      </c>
      <c r="AQ156" s="338"/>
      <c r="AR156" s="45"/>
      <c r="AS156" s="359"/>
      <c r="AT156" s="359"/>
    </row>
    <row r="157" spans="1:46" ht="12">
      <c r="A157" s="359" t="s">
        <v>263</v>
      </c>
      <c r="B157" s="359" t="str">
        <f t="shared" si="23"/>
        <v>MgO</v>
      </c>
      <c r="C157" s="141">
        <f t="shared" si="24"/>
        <v>0</v>
      </c>
      <c r="D157" s="277">
        <f t="shared" si="25"/>
        <v>738.40582943375603</v>
      </c>
      <c r="E157" s="20">
        <f t="shared" si="26"/>
        <v>0</v>
      </c>
      <c r="F157" s="20">
        <f t="shared" si="27"/>
        <v>0</v>
      </c>
      <c r="G157" s="277">
        <f t="shared" si="28"/>
        <v>0</v>
      </c>
      <c r="H157" s="3">
        <f t="shared" si="22"/>
        <v>0</v>
      </c>
      <c r="I157" s="277">
        <f t="shared" si="29"/>
        <v>0</v>
      </c>
      <c r="J157" s="359"/>
      <c r="K157" s="359" t="s">
        <v>186</v>
      </c>
      <c r="L157" s="359"/>
      <c r="M157" s="338"/>
      <c r="N157" s="89">
        <v>41025</v>
      </c>
      <c r="O157" s="359">
        <v>79</v>
      </c>
      <c r="P157" s="359" t="s">
        <v>46</v>
      </c>
      <c r="Q157" s="359"/>
      <c r="R157" s="359"/>
      <c r="S157" s="359">
        <v>800</v>
      </c>
      <c r="T157" s="359">
        <v>45</v>
      </c>
      <c r="U157" s="359">
        <v>400</v>
      </c>
      <c r="V157" s="359"/>
      <c r="W157" s="359"/>
      <c r="X157" s="359"/>
      <c r="Y157" s="359">
        <v>47</v>
      </c>
      <c r="Z157" s="359"/>
      <c r="AA157" s="210"/>
      <c r="AB157" s="248"/>
      <c r="AC157" s="359"/>
      <c r="AD157" s="359"/>
      <c r="AE157" s="359"/>
      <c r="AF157" s="359"/>
      <c r="AG157" s="153"/>
      <c r="AH157" s="346">
        <v>738.40582943375603</v>
      </c>
      <c r="AI157" s="24"/>
      <c r="AJ157" s="24"/>
      <c r="AK157" s="24"/>
      <c r="AL157" s="24"/>
      <c r="AM157" s="359"/>
      <c r="AN157" s="24">
        <f t="shared" si="30"/>
        <v>0</v>
      </c>
      <c r="AO157" s="54">
        <f t="shared" si="31"/>
        <v>0</v>
      </c>
      <c r="AP157" s="261">
        <f t="shared" si="32"/>
        <v>0</v>
      </c>
      <c r="AQ157" s="338"/>
      <c r="AR157" s="45"/>
      <c r="AS157" s="359"/>
      <c r="AT157" s="359"/>
    </row>
    <row r="158" spans="1:46" ht="12">
      <c r="A158" s="359" t="s">
        <v>264</v>
      </c>
      <c r="B158" s="359" t="str">
        <f t="shared" si="23"/>
        <v>MgO</v>
      </c>
      <c r="C158" s="141">
        <f t="shared" si="24"/>
        <v>0</v>
      </c>
      <c r="D158" s="277">
        <f t="shared" si="25"/>
        <v>564.86618620826505</v>
      </c>
      <c r="E158" s="20">
        <f t="shared" si="26"/>
        <v>0</v>
      </c>
      <c r="F158" s="20">
        <f t="shared" si="27"/>
        <v>0</v>
      </c>
      <c r="G158" s="277">
        <f t="shared" si="28"/>
        <v>0</v>
      </c>
      <c r="H158" s="3">
        <f t="shared" si="22"/>
        <v>0</v>
      </c>
      <c r="I158" s="277">
        <f t="shared" si="29"/>
        <v>0</v>
      </c>
      <c r="J158" s="359"/>
      <c r="K158" s="359" t="s">
        <v>186</v>
      </c>
      <c r="L158" s="359"/>
      <c r="M158" s="338"/>
      <c r="N158" s="89">
        <v>41025</v>
      </c>
      <c r="O158" s="359">
        <v>79</v>
      </c>
      <c r="P158" s="359" t="s">
        <v>46</v>
      </c>
      <c r="Q158" s="359"/>
      <c r="R158" s="359"/>
      <c r="S158" s="359">
        <v>800</v>
      </c>
      <c r="T158" s="359">
        <v>45</v>
      </c>
      <c r="U158" s="359">
        <v>400</v>
      </c>
      <c r="V158" s="359"/>
      <c r="W158" s="359"/>
      <c r="X158" s="359"/>
      <c r="Y158" s="359">
        <v>47</v>
      </c>
      <c r="Z158" s="359"/>
      <c r="AA158" s="210"/>
      <c r="AB158" s="248"/>
      <c r="AC158" s="359"/>
      <c r="AD158" s="359"/>
      <c r="AE158" s="359"/>
      <c r="AF158" s="359"/>
      <c r="AG158" s="153"/>
      <c r="AH158" s="346">
        <v>564.86618620826505</v>
      </c>
      <c r="AI158" s="24"/>
      <c r="AJ158" s="24"/>
      <c r="AK158" s="24"/>
      <c r="AL158" s="24"/>
      <c r="AM158" s="359"/>
      <c r="AN158" s="24">
        <f t="shared" si="30"/>
        <v>0</v>
      </c>
      <c r="AO158" s="54">
        <f t="shared" si="31"/>
        <v>0</v>
      </c>
      <c r="AP158" s="261">
        <f t="shared" si="32"/>
        <v>0</v>
      </c>
      <c r="AQ158" s="338"/>
      <c r="AR158" s="45"/>
      <c r="AS158" s="359"/>
      <c r="AT158" s="359"/>
    </row>
    <row r="159" spans="1:46" ht="12">
      <c r="A159" s="359" t="s">
        <v>265</v>
      </c>
      <c r="B159" s="359" t="str">
        <f t="shared" si="23"/>
        <v>MgO</v>
      </c>
      <c r="C159" s="141">
        <f t="shared" si="24"/>
        <v>2.88</v>
      </c>
      <c r="D159" s="277">
        <f t="shared" si="25"/>
        <v>600.78734608084801</v>
      </c>
      <c r="E159" s="20">
        <f t="shared" si="26"/>
        <v>9.9</v>
      </c>
      <c r="F159" s="20">
        <f t="shared" si="27"/>
        <v>2.0803079609999999</v>
      </c>
      <c r="G159" s="277">
        <f t="shared" si="28"/>
        <v>173.02675567128421</v>
      </c>
      <c r="H159" s="3">
        <f t="shared" si="22"/>
        <v>0.77149999999999996</v>
      </c>
      <c r="I159" s="277">
        <f t="shared" si="29"/>
        <v>17129.648811457137</v>
      </c>
      <c r="J159" s="359" t="s">
        <v>226</v>
      </c>
      <c r="K159" s="359" t="s">
        <v>186</v>
      </c>
      <c r="L159" s="359"/>
      <c r="M159" s="338"/>
      <c r="N159" s="89">
        <v>41025</v>
      </c>
      <c r="O159" s="359">
        <v>79</v>
      </c>
      <c r="P159" s="359" t="s">
        <v>46</v>
      </c>
      <c r="Q159" s="359"/>
      <c r="R159" s="359"/>
      <c r="S159" s="359">
        <v>800</v>
      </c>
      <c r="T159" s="359">
        <v>45</v>
      </c>
      <c r="U159" s="359">
        <v>400</v>
      </c>
      <c r="V159" s="359"/>
      <c r="W159" s="359"/>
      <c r="X159" s="359"/>
      <c r="Y159" s="359">
        <v>47</v>
      </c>
      <c r="Z159" s="359"/>
      <c r="AA159" s="210"/>
      <c r="AB159" s="248">
        <v>0.1671</v>
      </c>
      <c r="AC159" s="359">
        <v>0.65349999999999997</v>
      </c>
      <c r="AD159" s="359">
        <v>0.1794</v>
      </c>
      <c r="AE159" s="359" t="s">
        <v>47</v>
      </c>
      <c r="AF159" s="359">
        <v>2.88</v>
      </c>
      <c r="AG159" s="153"/>
      <c r="AH159" s="346">
        <v>600.78734608084801</v>
      </c>
      <c r="AI159" s="24"/>
      <c r="AJ159" s="24">
        <v>9.9</v>
      </c>
      <c r="AK159" s="24">
        <v>2.0803079609999999</v>
      </c>
      <c r="AL159" s="24">
        <v>0.77149999999999996</v>
      </c>
      <c r="AM159" s="359" t="s">
        <v>156</v>
      </c>
      <c r="AN159" s="24">
        <f t="shared" si="30"/>
        <v>173.02675567128421</v>
      </c>
      <c r="AO159" s="54">
        <f t="shared" si="31"/>
        <v>17129.648811457137</v>
      </c>
      <c r="AP159" s="261">
        <f t="shared" si="32"/>
        <v>3.84</v>
      </c>
      <c r="AQ159" s="338"/>
      <c r="AR159" s="45"/>
      <c r="AS159" s="359"/>
      <c r="AT159" s="359"/>
    </row>
    <row r="160" spans="1:46" ht="12">
      <c r="A160" s="359" t="s">
        <v>266</v>
      </c>
      <c r="B160" s="359" t="str">
        <f t="shared" si="23"/>
        <v>MgO</v>
      </c>
      <c r="C160" s="141">
        <f t="shared" si="24"/>
        <v>0</v>
      </c>
      <c r="D160" s="277">
        <f t="shared" si="25"/>
        <v>647.41348737241196</v>
      </c>
      <c r="E160" s="20">
        <f t="shared" si="26"/>
        <v>0</v>
      </c>
      <c r="F160" s="20">
        <f t="shared" si="27"/>
        <v>0</v>
      </c>
      <c r="G160" s="277">
        <f t="shared" si="28"/>
        <v>0</v>
      </c>
      <c r="H160" s="3">
        <f t="shared" ref="H160:H223" si="33">AL160</f>
        <v>0</v>
      </c>
      <c r="I160" s="277">
        <f t="shared" si="29"/>
        <v>0</v>
      </c>
      <c r="J160" s="359"/>
      <c r="K160" s="359" t="s">
        <v>186</v>
      </c>
      <c r="L160" s="359"/>
      <c r="M160" s="338"/>
      <c r="N160" s="89">
        <v>41025</v>
      </c>
      <c r="O160" s="359">
        <v>79</v>
      </c>
      <c r="P160" s="359" t="s">
        <v>46</v>
      </c>
      <c r="Q160" s="359"/>
      <c r="R160" s="359"/>
      <c r="S160" s="359">
        <v>800</v>
      </c>
      <c r="T160" s="359">
        <v>45</v>
      </c>
      <c r="U160" s="359">
        <v>400</v>
      </c>
      <c r="V160" s="359"/>
      <c r="W160" s="359"/>
      <c r="X160" s="359"/>
      <c r="Y160" s="359">
        <v>47</v>
      </c>
      <c r="Z160" s="359"/>
      <c r="AA160" s="210"/>
      <c r="AB160" s="248"/>
      <c r="AC160" s="359"/>
      <c r="AD160" s="359"/>
      <c r="AE160" s="359"/>
      <c r="AF160" s="359"/>
      <c r="AG160" s="153"/>
      <c r="AH160" s="346">
        <v>647.41348737241196</v>
      </c>
      <c r="AI160" s="24"/>
      <c r="AJ160" s="24"/>
      <c r="AK160" s="24"/>
      <c r="AL160" s="24"/>
      <c r="AM160" s="359"/>
      <c r="AN160" s="24">
        <f t="shared" si="30"/>
        <v>0</v>
      </c>
      <c r="AO160" s="54">
        <f t="shared" si="31"/>
        <v>0</v>
      </c>
      <c r="AP160" s="261">
        <f t="shared" si="32"/>
        <v>0</v>
      </c>
      <c r="AQ160" s="338"/>
      <c r="AR160" s="45"/>
      <c r="AS160" s="359"/>
      <c r="AT160" s="359"/>
    </row>
    <row r="161" spans="1:46" ht="12">
      <c r="A161" s="359" t="s">
        <v>267</v>
      </c>
      <c r="B161" s="359" t="str">
        <f t="shared" si="23"/>
        <v>MgO</v>
      </c>
      <c r="C161" s="141">
        <f t="shared" si="24"/>
        <v>0</v>
      </c>
      <c r="D161" s="277">
        <f t="shared" si="25"/>
        <v>67.6792714155618</v>
      </c>
      <c r="E161" s="20">
        <f t="shared" si="26"/>
        <v>0</v>
      </c>
      <c r="F161" s="20">
        <f t="shared" si="27"/>
        <v>0</v>
      </c>
      <c r="G161" s="277">
        <f t="shared" si="28"/>
        <v>0</v>
      </c>
      <c r="H161" s="3">
        <f t="shared" si="33"/>
        <v>0</v>
      </c>
      <c r="I161" s="277">
        <f t="shared" si="29"/>
        <v>0</v>
      </c>
      <c r="J161" s="359"/>
      <c r="K161" s="359" t="s">
        <v>199</v>
      </c>
      <c r="L161" s="359"/>
      <c r="M161" s="338"/>
      <c r="N161" s="89">
        <v>41026</v>
      </c>
      <c r="O161" s="359">
        <v>80</v>
      </c>
      <c r="P161" s="359" t="s">
        <v>46</v>
      </c>
      <c r="Q161" s="359"/>
      <c r="R161" s="359"/>
      <c r="S161" s="359">
        <v>800</v>
      </c>
      <c r="T161" s="359">
        <v>300</v>
      </c>
      <c r="U161" s="359">
        <v>400</v>
      </c>
      <c r="V161" s="359"/>
      <c r="W161" s="359"/>
      <c r="X161" s="359"/>
      <c r="Y161" s="359">
        <v>47</v>
      </c>
      <c r="Z161" s="359"/>
      <c r="AA161" s="210"/>
      <c r="AB161" s="248"/>
      <c r="AC161" s="359"/>
      <c r="AD161" s="359"/>
      <c r="AE161" s="359"/>
      <c r="AF161" s="359"/>
      <c r="AG161" s="153"/>
      <c r="AH161" s="346">
        <v>67.6792714155618</v>
      </c>
      <c r="AI161" s="24"/>
      <c r="AJ161" s="24"/>
      <c r="AK161" s="24"/>
      <c r="AL161" s="24"/>
      <c r="AM161" s="359"/>
      <c r="AN161" s="24">
        <f t="shared" si="30"/>
        <v>0</v>
      </c>
      <c r="AO161" s="54">
        <f t="shared" si="31"/>
        <v>0</v>
      </c>
      <c r="AP161" s="261">
        <f t="shared" si="32"/>
        <v>0</v>
      </c>
      <c r="AQ161" s="338"/>
      <c r="AR161" s="45"/>
      <c r="AS161" s="359"/>
      <c r="AT161" s="359"/>
    </row>
    <row r="162" spans="1:46" ht="12">
      <c r="A162" s="359" t="s">
        <v>268</v>
      </c>
      <c r="B162" s="359" t="str">
        <f t="shared" si="23"/>
        <v>MgO</v>
      </c>
      <c r="C162" s="141">
        <f t="shared" si="24"/>
        <v>0</v>
      </c>
      <c r="D162" s="277">
        <f t="shared" si="25"/>
        <v>67.6792714155618</v>
      </c>
      <c r="E162" s="20">
        <f t="shared" si="26"/>
        <v>0</v>
      </c>
      <c r="F162" s="20">
        <f t="shared" si="27"/>
        <v>0</v>
      </c>
      <c r="G162" s="277">
        <f t="shared" si="28"/>
        <v>0</v>
      </c>
      <c r="H162" s="3">
        <f t="shared" si="33"/>
        <v>0</v>
      </c>
      <c r="I162" s="277">
        <f t="shared" si="29"/>
        <v>0</v>
      </c>
      <c r="J162" s="359"/>
      <c r="K162" s="359" t="s">
        <v>199</v>
      </c>
      <c r="L162" s="359"/>
      <c r="M162" s="338"/>
      <c r="N162" s="89">
        <v>41026</v>
      </c>
      <c r="O162" s="359">
        <v>80</v>
      </c>
      <c r="P162" s="359" t="s">
        <v>46</v>
      </c>
      <c r="Q162" s="359"/>
      <c r="R162" s="359"/>
      <c r="S162" s="359">
        <v>800</v>
      </c>
      <c r="T162" s="359">
        <v>300</v>
      </c>
      <c r="U162" s="359">
        <v>400</v>
      </c>
      <c r="V162" s="359"/>
      <c r="W162" s="359"/>
      <c r="X162" s="359"/>
      <c r="Y162" s="359">
        <v>47</v>
      </c>
      <c r="Z162" s="359"/>
      <c r="AA162" s="210"/>
      <c r="AB162" s="248"/>
      <c r="AC162" s="359"/>
      <c r="AD162" s="359"/>
      <c r="AE162" s="359"/>
      <c r="AF162" s="359"/>
      <c r="AG162" s="153"/>
      <c r="AH162" s="346">
        <v>67.6792714155618</v>
      </c>
      <c r="AI162" s="24"/>
      <c r="AJ162" s="24"/>
      <c r="AK162" s="24"/>
      <c r="AL162" s="24"/>
      <c r="AM162" s="359"/>
      <c r="AN162" s="24">
        <f t="shared" si="30"/>
        <v>0</v>
      </c>
      <c r="AO162" s="54">
        <f t="shared" si="31"/>
        <v>0</v>
      </c>
      <c r="AP162" s="261">
        <f t="shared" si="32"/>
        <v>0</v>
      </c>
      <c r="AQ162" s="338"/>
      <c r="AR162" s="45"/>
      <c r="AS162" s="359"/>
      <c r="AT162" s="359"/>
    </row>
    <row r="163" spans="1:46" ht="12">
      <c r="A163" s="359" t="s">
        <v>269</v>
      </c>
      <c r="B163" s="359" t="str">
        <f t="shared" si="23"/>
        <v>MgO</v>
      </c>
      <c r="C163" s="141">
        <f t="shared" si="24"/>
        <v>0</v>
      </c>
      <c r="D163" s="277">
        <f t="shared" si="25"/>
        <v>68.749769557459899</v>
      </c>
      <c r="E163" s="20">
        <f t="shared" si="26"/>
        <v>0</v>
      </c>
      <c r="F163" s="20">
        <f t="shared" si="27"/>
        <v>0</v>
      </c>
      <c r="G163" s="277">
        <f t="shared" si="28"/>
        <v>0</v>
      </c>
      <c r="H163" s="3">
        <f t="shared" si="33"/>
        <v>0</v>
      </c>
      <c r="I163" s="277">
        <f t="shared" si="29"/>
        <v>0</v>
      </c>
      <c r="J163" s="359"/>
      <c r="K163" s="359" t="s">
        <v>199</v>
      </c>
      <c r="L163" s="359"/>
      <c r="M163" s="338"/>
      <c r="N163" s="89">
        <v>41026</v>
      </c>
      <c r="O163" s="359">
        <v>80</v>
      </c>
      <c r="P163" s="359" t="s">
        <v>46</v>
      </c>
      <c r="Q163" s="359"/>
      <c r="R163" s="359"/>
      <c r="S163" s="359">
        <v>800</v>
      </c>
      <c r="T163" s="359">
        <v>300</v>
      </c>
      <c r="U163" s="359">
        <v>400</v>
      </c>
      <c r="V163" s="359"/>
      <c r="W163" s="359"/>
      <c r="X163" s="359"/>
      <c r="Y163" s="359">
        <v>47</v>
      </c>
      <c r="Z163" s="359"/>
      <c r="AA163" s="210"/>
      <c r="AB163" s="248"/>
      <c r="AC163" s="359"/>
      <c r="AD163" s="359"/>
      <c r="AE163" s="359"/>
      <c r="AF163" s="359"/>
      <c r="AG163" s="153"/>
      <c r="AH163" s="346">
        <v>68.749769557459899</v>
      </c>
      <c r="AI163" s="24"/>
      <c r="AJ163" s="24"/>
      <c r="AK163" s="24"/>
      <c r="AL163" s="24"/>
      <c r="AM163" s="359"/>
      <c r="AN163" s="24">
        <f t="shared" si="30"/>
        <v>0</v>
      </c>
      <c r="AO163" s="54">
        <f t="shared" si="31"/>
        <v>0</v>
      </c>
      <c r="AP163" s="261">
        <f t="shared" si="32"/>
        <v>0</v>
      </c>
      <c r="AQ163" s="338"/>
      <c r="AR163" s="45"/>
      <c r="AS163" s="359"/>
      <c r="AT163" s="359"/>
    </row>
    <row r="164" spans="1:46" ht="12">
      <c r="A164" s="359" t="s">
        <v>270</v>
      </c>
      <c r="B164" s="359" t="str">
        <f t="shared" si="23"/>
        <v>MgO</v>
      </c>
      <c r="C164" s="141">
        <f t="shared" si="24"/>
        <v>0</v>
      </c>
      <c r="D164" s="277">
        <f t="shared" si="25"/>
        <v>68.511881081482599</v>
      </c>
      <c r="E164" s="20">
        <f t="shared" si="26"/>
        <v>0</v>
      </c>
      <c r="F164" s="20">
        <f t="shared" si="27"/>
        <v>0</v>
      </c>
      <c r="G164" s="277">
        <f t="shared" si="28"/>
        <v>0</v>
      </c>
      <c r="H164" s="3">
        <f t="shared" si="33"/>
        <v>0</v>
      </c>
      <c r="I164" s="277">
        <f t="shared" si="29"/>
        <v>0</v>
      </c>
      <c r="J164" s="359"/>
      <c r="K164" s="359" t="s">
        <v>199</v>
      </c>
      <c r="L164" s="359"/>
      <c r="M164" s="338"/>
      <c r="N164" s="89">
        <v>41026</v>
      </c>
      <c r="O164" s="359">
        <v>80</v>
      </c>
      <c r="P164" s="359" t="s">
        <v>46</v>
      </c>
      <c r="Q164" s="359"/>
      <c r="R164" s="359"/>
      <c r="S164" s="359">
        <v>800</v>
      </c>
      <c r="T164" s="359">
        <v>300</v>
      </c>
      <c r="U164" s="359">
        <v>400</v>
      </c>
      <c r="V164" s="359"/>
      <c r="W164" s="359"/>
      <c r="X164" s="359"/>
      <c r="Y164" s="359">
        <v>47</v>
      </c>
      <c r="Z164" s="359"/>
      <c r="AA164" s="210"/>
      <c r="AB164" s="248"/>
      <c r="AC164" s="359"/>
      <c r="AD164" s="359"/>
      <c r="AE164" s="359"/>
      <c r="AF164" s="359"/>
      <c r="AG164" s="153"/>
      <c r="AH164" s="346">
        <v>68.511881081482599</v>
      </c>
      <c r="AI164" s="24"/>
      <c r="AJ164" s="24"/>
      <c r="AK164" s="24"/>
      <c r="AL164" s="24"/>
      <c r="AM164" s="359"/>
      <c r="AN164" s="24">
        <f t="shared" si="30"/>
        <v>0</v>
      </c>
      <c r="AO164" s="54">
        <f t="shared" si="31"/>
        <v>0</v>
      </c>
      <c r="AP164" s="261">
        <f t="shared" si="32"/>
        <v>0</v>
      </c>
      <c r="AQ164" s="338"/>
      <c r="AR164" s="45"/>
      <c r="AS164" s="359"/>
      <c r="AT164" s="359"/>
    </row>
    <row r="165" spans="1:46" ht="12">
      <c r="A165" s="359" t="s">
        <v>271</v>
      </c>
      <c r="B165" s="359" t="str">
        <f t="shared" si="23"/>
        <v>MgO</v>
      </c>
      <c r="C165" s="141">
        <f t="shared" si="24"/>
        <v>0</v>
      </c>
      <c r="D165" s="277">
        <f t="shared" si="25"/>
        <v>50.551301145191097</v>
      </c>
      <c r="E165" s="20">
        <f t="shared" si="26"/>
        <v>0</v>
      </c>
      <c r="F165" s="20">
        <f t="shared" si="27"/>
        <v>0</v>
      </c>
      <c r="G165" s="277">
        <f t="shared" si="28"/>
        <v>0</v>
      </c>
      <c r="H165" s="3">
        <f t="shared" si="33"/>
        <v>0</v>
      </c>
      <c r="I165" s="277">
        <f t="shared" si="29"/>
        <v>0</v>
      </c>
      <c r="J165" s="359"/>
      <c r="K165" s="359" t="s">
        <v>199</v>
      </c>
      <c r="L165" s="359"/>
      <c r="M165" s="338"/>
      <c r="N165" s="89">
        <v>41027</v>
      </c>
      <c r="O165" s="359">
        <v>81</v>
      </c>
      <c r="P165" s="359" t="s">
        <v>46</v>
      </c>
      <c r="Q165" s="359"/>
      <c r="R165" s="359"/>
      <c r="S165" s="359">
        <v>800</v>
      </c>
      <c r="T165" s="359">
        <v>300</v>
      </c>
      <c r="U165" s="359">
        <v>400</v>
      </c>
      <c r="V165" s="359"/>
      <c r="W165" s="359"/>
      <c r="X165" s="359"/>
      <c r="Y165" s="359">
        <v>47</v>
      </c>
      <c r="Z165" s="359"/>
      <c r="AA165" s="210"/>
      <c r="AB165" s="248"/>
      <c r="AC165" s="359"/>
      <c r="AD165" s="359"/>
      <c r="AE165" s="359"/>
      <c r="AF165" s="359"/>
      <c r="AG165" s="153"/>
      <c r="AH165" s="346">
        <v>50.551301145191097</v>
      </c>
      <c r="AI165" s="24"/>
      <c r="AJ165" s="24"/>
      <c r="AK165" s="24"/>
      <c r="AL165" s="24"/>
      <c r="AM165" s="359"/>
      <c r="AN165" s="24">
        <f t="shared" si="30"/>
        <v>0</v>
      </c>
      <c r="AO165" s="54">
        <f t="shared" si="31"/>
        <v>0</v>
      </c>
      <c r="AP165" s="261">
        <f t="shared" si="32"/>
        <v>0</v>
      </c>
      <c r="AQ165" s="338"/>
      <c r="AR165" s="45"/>
      <c r="AS165" s="359"/>
      <c r="AT165" s="359"/>
    </row>
    <row r="166" spans="1:46" ht="12">
      <c r="A166" s="359" t="s">
        <v>272</v>
      </c>
      <c r="B166" s="359" t="str">
        <f t="shared" si="23"/>
        <v>MgO</v>
      </c>
      <c r="C166" s="141">
        <f t="shared" si="24"/>
        <v>0</v>
      </c>
      <c r="D166" s="277">
        <f t="shared" si="25"/>
        <v>50.789189621168497</v>
      </c>
      <c r="E166" s="20">
        <f t="shared" si="26"/>
        <v>0</v>
      </c>
      <c r="F166" s="20">
        <f t="shared" si="27"/>
        <v>0</v>
      </c>
      <c r="G166" s="277">
        <f t="shared" si="28"/>
        <v>0</v>
      </c>
      <c r="H166" s="3">
        <f t="shared" si="33"/>
        <v>0</v>
      </c>
      <c r="I166" s="277">
        <f t="shared" si="29"/>
        <v>0</v>
      </c>
      <c r="J166" s="359"/>
      <c r="K166" s="359" t="s">
        <v>199</v>
      </c>
      <c r="L166" s="359"/>
      <c r="M166" s="338"/>
      <c r="N166" s="89">
        <v>41027</v>
      </c>
      <c r="O166" s="359">
        <v>81</v>
      </c>
      <c r="P166" s="359" t="s">
        <v>46</v>
      </c>
      <c r="Q166" s="359"/>
      <c r="R166" s="359"/>
      <c r="S166" s="359">
        <v>800</v>
      </c>
      <c r="T166" s="359">
        <v>300</v>
      </c>
      <c r="U166" s="359">
        <v>400</v>
      </c>
      <c r="V166" s="359"/>
      <c r="W166" s="359"/>
      <c r="X166" s="359"/>
      <c r="Y166" s="359">
        <v>47</v>
      </c>
      <c r="Z166" s="359"/>
      <c r="AA166" s="210"/>
      <c r="AB166" s="248"/>
      <c r="AC166" s="359"/>
      <c r="AD166" s="359"/>
      <c r="AE166" s="359"/>
      <c r="AF166" s="359"/>
      <c r="AG166" s="153"/>
      <c r="AH166" s="346">
        <v>50.789189621168497</v>
      </c>
      <c r="AI166" s="24"/>
      <c r="AJ166" s="24"/>
      <c r="AK166" s="24"/>
      <c r="AL166" s="24"/>
      <c r="AM166" s="359"/>
      <c r="AN166" s="24">
        <f t="shared" si="30"/>
        <v>0</v>
      </c>
      <c r="AO166" s="54">
        <f t="shared" si="31"/>
        <v>0</v>
      </c>
      <c r="AP166" s="261">
        <f t="shared" si="32"/>
        <v>0</v>
      </c>
      <c r="AQ166" s="338"/>
      <c r="AR166" s="45"/>
      <c r="AS166" s="359"/>
      <c r="AT166" s="359"/>
    </row>
    <row r="167" spans="1:46" ht="12">
      <c r="A167" s="359" t="s">
        <v>273</v>
      </c>
      <c r="B167" s="359" t="str">
        <f t="shared" si="23"/>
        <v>MgO</v>
      </c>
      <c r="C167" s="141">
        <f t="shared" si="24"/>
        <v>0</v>
      </c>
      <c r="D167" s="277">
        <f t="shared" si="25"/>
        <v>51.146022335134496</v>
      </c>
      <c r="E167" s="20">
        <f t="shared" si="26"/>
        <v>0</v>
      </c>
      <c r="F167" s="20">
        <f t="shared" si="27"/>
        <v>0</v>
      </c>
      <c r="G167" s="277">
        <f t="shared" si="28"/>
        <v>0</v>
      </c>
      <c r="H167" s="3">
        <f t="shared" si="33"/>
        <v>0</v>
      </c>
      <c r="I167" s="277">
        <f t="shared" si="29"/>
        <v>0</v>
      </c>
      <c r="J167" s="359"/>
      <c r="K167" s="359" t="s">
        <v>199</v>
      </c>
      <c r="L167" s="359"/>
      <c r="M167" s="338"/>
      <c r="N167" s="89">
        <v>41027</v>
      </c>
      <c r="O167" s="359">
        <v>81</v>
      </c>
      <c r="P167" s="359" t="s">
        <v>46</v>
      </c>
      <c r="Q167" s="359"/>
      <c r="R167" s="359"/>
      <c r="S167" s="359">
        <v>800</v>
      </c>
      <c r="T167" s="359">
        <v>300</v>
      </c>
      <c r="U167" s="359">
        <v>400</v>
      </c>
      <c r="V167" s="359"/>
      <c r="W167" s="359"/>
      <c r="X167" s="359"/>
      <c r="Y167" s="359">
        <v>47</v>
      </c>
      <c r="Z167" s="359"/>
      <c r="AA167" s="210"/>
      <c r="AB167" s="248"/>
      <c r="AC167" s="359"/>
      <c r="AD167" s="359"/>
      <c r="AE167" s="359"/>
      <c r="AF167" s="359"/>
      <c r="AG167" s="153"/>
      <c r="AH167" s="346">
        <v>51.146022335134496</v>
      </c>
      <c r="AI167" s="24"/>
      <c r="AJ167" s="24"/>
      <c r="AK167" s="24"/>
      <c r="AL167" s="24"/>
      <c r="AM167" s="359"/>
      <c r="AN167" s="24">
        <f t="shared" si="30"/>
        <v>0</v>
      </c>
      <c r="AO167" s="54">
        <f t="shared" si="31"/>
        <v>0</v>
      </c>
      <c r="AP167" s="261">
        <f t="shared" si="32"/>
        <v>0</v>
      </c>
      <c r="AQ167" s="338"/>
      <c r="AR167" s="45"/>
      <c r="AS167" s="359"/>
      <c r="AT167" s="359"/>
    </row>
    <row r="168" spans="1:46" ht="12">
      <c r="A168" s="359" t="s">
        <v>274</v>
      </c>
      <c r="B168" s="359" t="str">
        <f t="shared" si="23"/>
        <v>MgO</v>
      </c>
      <c r="C168" s="141">
        <f t="shared" si="24"/>
        <v>0</v>
      </c>
      <c r="D168" s="277">
        <f t="shared" si="25"/>
        <v>52.811241666976102</v>
      </c>
      <c r="E168" s="20">
        <f t="shared" si="26"/>
        <v>0</v>
      </c>
      <c r="F168" s="20">
        <f t="shared" si="27"/>
        <v>0</v>
      </c>
      <c r="G168" s="277">
        <f t="shared" si="28"/>
        <v>0</v>
      </c>
      <c r="H168" s="3">
        <f t="shared" si="33"/>
        <v>0</v>
      </c>
      <c r="I168" s="277">
        <f t="shared" si="29"/>
        <v>0</v>
      </c>
      <c r="J168" s="359"/>
      <c r="K168" s="359" t="s">
        <v>199</v>
      </c>
      <c r="L168" s="359"/>
      <c r="M168" s="338"/>
      <c r="N168" s="89">
        <v>41027</v>
      </c>
      <c r="O168" s="359">
        <v>81</v>
      </c>
      <c r="P168" s="359" t="s">
        <v>46</v>
      </c>
      <c r="Q168" s="359"/>
      <c r="R168" s="359"/>
      <c r="S168" s="359">
        <v>800</v>
      </c>
      <c r="T168" s="359">
        <v>300</v>
      </c>
      <c r="U168" s="359">
        <v>400</v>
      </c>
      <c r="V168" s="359"/>
      <c r="W168" s="359"/>
      <c r="X168" s="359"/>
      <c r="Y168" s="359">
        <v>47</v>
      </c>
      <c r="Z168" s="359"/>
      <c r="AA168" s="210"/>
      <c r="AB168" s="248"/>
      <c r="AC168" s="359"/>
      <c r="AD168" s="359"/>
      <c r="AE168" s="359"/>
      <c r="AF168" s="359"/>
      <c r="AG168" s="153"/>
      <c r="AH168" s="346">
        <v>52.811241666976102</v>
      </c>
      <c r="AI168" s="24"/>
      <c r="AJ168" s="24"/>
      <c r="AK168" s="24"/>
      <c r="AL168" s="24"/>
      <c r="AM168" s="359"/>
      <c r="AN168" s="24">
        <f t="shared" si="30"/>
        <v>0</v>
      </c>
      <c r="AO168" s="54">
        <f t="shared" si="31"/>
        <v>0</v>
      </c>
      <c r="AP168" s="261">
        <f t="shared" si="32"/>
        <v>0</v>
      </c>
      <c r="AQ168" s="338"/>
      <c r="AR168" s="45"/>
      <c r="AS168" s="359"/>
      <c r="AT168" s="359"/>
    </row>
    <row r="169" spans="1:46" ht="12">
      <c r="A169" s="359" t="s">
        <v>275</v>
      </c>
      <c r="B169" s="359" t="str">
        <f t="shared" si="23"/>
        <v>MgO</v>
      </c>
      <c r="C169" s="141">
        <f t="shared" si="24"/>
        <v>3.18</v>
      </c>
      <c r="D169" s="277">
        <f t="shared" si="25"/>
        <v>396.08431250232098</v>
      </c>
      <c r="E169" s="20">
        <f t="shared" si="26"/>
        <v>11</v>
      </c>
      <c r="F169" s="20">
        <f t="shared" si="27"/>
        <v>1.581076833</v>
      </c>
      <c r="G169" s="277">
        <f t="shared" si="28"/>
        <v>125.95481137573809</v>
      </c>
      <c r="H169" s="3">
        <f t="shared" si="33"/>
        <v>0.93100000000000005</v>
      </c>
      <c r="I169" s="277">
        <f t="shared" si="29"/>
        <v>13855.029251331189</v>
      </c>
      <c r="J169" s="359" t="s">
        <v>226</v>
      </c>
      <c r="K169" s="359" t="s">
        <v>186</v>
      </c>
      <c r="L169" s="359"/>
      <c r="M169" s="338"/>
      <c r="N169" s="89">
        <v>41027</v>
      </c>
      <c r="O169" s="359">
        <v>82</v>
      </c>
      <c r="P169" s="359" t="s">
        <v>46</v>
      </c>
      <c r="Q169" s="359"/>
      <c r="R169" s="359"/>
      <c r="S169" s="359">
        <v>800</v>
      </c>
      <c r="T169" s="359">
        <v>45</v>
      </c>
      <c r="U169" s="359">
        <v>400</v>
      </c>
      <c r="V169" s="359"/>
      <c r="W169" s="359"/>
      <c r="X169" s="359"/>
      <c r="Y169" s="359">
        <v>47</v>
      </c>
      <c r="Z169" s="359"/>
      <c r="AA169" s="210"/>
      <c r="AB169" s="248">
        <v>0.1736</v>
      </c>
      <c r="AC169" s="359">
        <v>0.63619999999999999</v>
      </c>
      <c r="AD169" s="359">
        <v>0.19009999999999999</v>
      </c>
      <c r="AE169" s="359" t="s">
        <v>47</v>
      </c>
      <c r="AF169" s="359">
        <v>3.18</v>
      </c>
      <c r="AG169" s="153"/>
      <c r="AH169" s="346">
        <v>396.08431250232098</v>
      </c>
      <c r="AI169" s="24"/>
      <c r="AJ169" s="24">
        <v>11</v>
      </c>
      <c r="AK169" s="24">
        <v>1.581076833</v>
      </c>
      <c r="AL169" s="24">
        <v>0.93100000000000005</v>
      </c>
      <c r="AM169" s="359" t="s">
        <v>156</v>
      </c>
      <c r="AN169" s="24">
        <f t="shared" si="30"/>
        <v>125.95481137573809</v>
      </c>
      <c r="AO169" s="54">
        <f t="shared" si="31"/>
        <v>13855.029251331189</v>
      </c>
      <c r="AP169" s="261">
        <f t="shared" si="32"/>
        <v>4.24</v>
      </c>
      <c r="AQ169" s="338"/>
      <c r="AR169" s="45"/>
      <c r="AS169" s="359"/>
      <c r="AT169" s="359"/>
    </row>
    <row r="170" spans="1:46" ht="12">
      <c r="A170" s="359" t="s">
        <v>276</v>
      </c>
      <c r="B170" s="359" t="str">
        <f t="shared" si="23"/>
        <v>MgO</v>
      </c>
      <c r="C170" s="141">
        <f t="shared" si="24"/>
        <v>0</v>
      </c>
      <c r="D170" s="277">
        <f t="shared" si="25"/>
        <v>394.18120469450201</v>
      </c>
      <c r="E170" s="20">
        <f t="shared" si="26"/>
        <v>0</v>
      </c>
      <c r="F170" s="20">
        <f t="shared" si="27"/>
        <v>0</v>
      </c>
      <c r="G170" s="277">
        <f t="shared" si="28"/>
        <v>0</v>
      </c>
      <c r="H170" s="3">
        <f t="shared" si="33"/>
        <v>0</v>
      </c>
      <c r="I170" s="277">
        <f t="shared" si="29"/>
        <v>0</v>
      </c>
      <c r="J170" s="359" t="s">
        <v>133</v>
      </c>
      <c r="K170" s="359" t="s">
        <v>186</v>
      </c>
      <c r="L170" s="359"/>
      <c r="M170" s="338" t="s">
        <v>141</v>
      </c>
      <c r="N170" s="89">
        <v>41027</v>
      </c>
      <c r="O170" s="359">
        <v>82</v>
      </c>
      <c r="P170" s="359" t="s">
        <v>46</v>
      </c>
      <c r="Q170" s="359"/>
      <c r="R170" s="359"/>
      <c r="S170" s="359">
        <v>800</v>
      </c>
      <c r="T170" s="359">
        <v>45</v>
      </c>
      <c r="U170" s="359">
        <v>400</v>
      </c>
      <c r="V170" s="359"/>
      <c r="W170" s="359"/>
      <c r="X170" s="359"/>
      <c r="Y170" s="359">
        <v>47</v>
      </c>
      <c r="Z170" s="359"/>
      <c r="AA170" s="210"/>
      <c r="AB170" s="248"/>
      <c r="AC170" s="359"/>
      <c r="AD170" s="359"/>
      <c r="AE170" s="359"/>
      <c r="AF170" s="359"/>
      <c r="AG170" s="153"/>
      <c r="AH170" s="346">
        <v>394.18120469450201</v>
      </c>
      <c r="AI170" s="24"/>
      <c r="AJ170" s="24"/>
      <c r="AK170" s="24"/>
      <c r="AL170" s="24"/>
      <c r="AM170" s="359"/>
      <c r="AN170" s="24">
        <f t="shared" si="30"/>
        <v>0</v>
      </c>
      <c r="AO170" s="54">
        <f t="shared" si="31"/>
        <v>0</v>
      </c>
      <c r="AP170" s="261">
        <f t="shared" si="32"/>
        <v>0</v>
      </c>
      <c r="AQ170" s="338"/>
      <c r="AR170" s="45"/>
      <c r="AS170" s="359"/>
      <c r="AT170" s="359"/>
    </row>
    <row r="171" spans="1:46" ht="12">
      <c r="A171" s="359" t="s">
        <v>277</v>
      </c>
      <c r="B171" s="359" t="str">
        <f t="shared" si="23"/>
        <v>MgO</v>
      </c>
      <c r="C171" s="141">
        <f t="shared" si="24"/>
        <v>0</v>
      </c>
      <c r="D171" s="277">
        <f t="shared" si="25"/>
        <v>462.21730882403</v>
      </c>
      <c r="E171" s="20">
        <f t="shared" si="26"/>
        <v>0</v>
      </c>
      <c r="F171" s="20">
        <f t="shared" si="27"/>
        <v>0</v>
      </c>
      <c r="G171" s="277">
        <f t="shared" si="28"/>
        <v>0</v>
      </c>
      <c r="H171" s="3">
        <f t="shared" si="33"/>
        <v>0</v>
      </c>
      <c r="I171" s="277">
        <f t="shared" si="29"/>
        <v>0</v>
      </c>
      <c r="J171" s="359" t="s">
        <v>133</v>
      </c>
      <c r="K171" s="359" t="s">
        <v>186</v>
      </c>
      <c r="L171" s="359"/>
      <c r="M171" s="338" t="s">
        <v>141</v>
      </c>
      <c r="N171" s="89">
        <v>41027</v>
      </c>
      <c r="O171" s="359">
        <v>82</v>
      </c>
      <c r="P171" s="359" t="s">
        <v>46</v>
      </c>
      <c r="Q171" s="359"/>
      <c r="R171" s="359"/>
      <c r="S171" s="359">
        <v>800</v>
      </c>
      <c r="T171" s="359">
        <v>45</v>
      </c>
      <c r="U171" s="359">
        <v>400</v>
      </c>
      <c r="V171" s="359"/>
      <c r="W171" s="359"/>
      <c r="X171" s="359"/>
      <c r="Y171" s="359">
        <v>47</v>
      </c>
      <c r="Z171" s="359"/>
      <c r="AA171" s="210"/>
      <c r="AB171" s="248"/>
      <c r="AC171" s="359"/>
      <c r="AD171" s="359"/>
      <c r="AE171" s="359"/>
      <c r="AF171" s="359"/>
      <c r="AG171" s="153"/>
      <c r="AH171" s="346">
        <v>462.21730882403</v>
      </c>
      <c r="AI171" s="24"/>
      <c r="AJ171" s="24"/>
      <c r="AK171" s="24"/>
      <c r="AL171" s="24"/>
      <c r="AM171" s="359"/>
      <c r="AN171" s="24">
        <f t="shared" si="30"/>
        <v>0</v>
      </c>
      <c r="AO171" s="54">
        <f t="shared" si="31"/>
        <v>0</v>
      </c>
      <c r="AP171" s="261">
        <f t="shared" si="32"/>
        <v>0</v>
      </c>
      <c r="AQ171" s="338"/>
      <c r="AR171" s="45"/>
      <c r="AS171" s="359"/>
      <c r="AT171" s="359"/>
    </row>
    <row r="172" spans="1:46" ht="12">
      <c r="A172" s="359" t="s">
        <v>278</v>
      </c>
      <c r="B172" s="359" t="str">
        <f t="shared" si="23"/>
        <v>MgO</v>
      </c>
      <c r="C172" s="141">
        <f t="shared" si="24"/>
        <v>0</v>
      </c>
      <c r="D172" s="277">
        <f t="shared" si="25"/>
        <v>417.25638686430699</v>
      </c>
      <c r="E172" s="20">
        <f t="shared" si="26"/>
        <v>0</v>
      </c>
      <c r="F172" s="20">
        <f t="shared" si="27"/>
        <v>0</v>
      </c>
      <c r="G172" s="277">
        <f t="shared" si="28"/>
        <v>0</v>
      </c>
      <c r="H172" s="3">
        <f t="shared" si="33"/>
        <v>0</v>
      </c>
      <c r="I172" s="277">
        <f t="shared" si="29"/>
        <v>0</v>
      </c>
      <c r="J172" s="359" t="s">
        <v>133</v>
      </c>
      <c r="K172" s="359" t="s">
        <v>186</v>
      </c>
      <c r="L172" s="359"/>
      <c r="M172" s="338" t="s">
        <v>141</v>
      </c>
      <c r="N172" s="89">
        <v>41027</v>
      </c>
      <c r="O172" s="359">
        <v>82</v>
      </c>
      <c r="P172" s="359" t="s">
        <v>46</v>
      </c>
      <c r="Q172" s="359"/>
      <c r="R172" s="359"/>
      <c r="S172" s="359">
        <v>800</v>
      </c>
      <c r="T172" s="359">
        <v>45</v>
      </c>
      <c r="U172" s="359">
        <v>400</v>
      </c>
      <c r="V172" s="359"/>
      <c r="W172" s="359"/>
      <c r="X172" s="359"/>
      <c r="Y172" s="359">
        <v>47</v>
      </c>
      <c r="Z172" s="359"/>
      <c r="AA172" s="210"/>
      <c r="AB172" s="248"/>
      <c r="AC172" s="359"/>
      <c r="AD172" s="359"/>
      <c r="AE172" s="359"/>
      <c r="AF172" s="359"/>
      <c r="AG172" s="153"/>
      <c r="AH172" s="346">
        <v>417.25638686430699</v>
      </c>
      <c r="AI172" s="24"/>
      <c r="AJ172" s="24"/>
      <c r="AK172" s="24"/>
      <c r="AL172" s="24"/>
      <c r="AM172" s="359"/>
      <c r="AN172" s="24">
        <f t="shared" si="30"/>
        <v>0</v>
      </c>
      <c r="AO172" s="54">
        <f t="shared" si="31"/>
        <v>0</v>
      </c>
      <c r="AP172" s="261">
        <f t="shared" si="32"/>
        <v>0</v>
      </c>
      <c r="AQ172" s="338"/>
      <c r="AR172" s="45"/>
      <c r="AS172" s="359"/>
      <c r="AT172" s="359"/>
    </row>
    <row r="173" spans="1:46" ht="12">
      <c r="A173" s="359" t="s">
        <v>279</v>
      </c>
      <c r="B173" s="359" t="str">
        <f t="shared" si="23"/>
        <v>MgO</v>
      </c>
      <c r="C173" s="141">
        <f t="shared" si="24"/>
        <v>0</v>
      </c>
      <c r="D173" s="277">
        <f t="shared" si="25"/>
        <v>0</v>
      </c>
      <c r="E173" s="20">
        <f t="shared" si="26"/>
        <v>0</v>
      </c>
      <c r="F173" s="20">
        <f t="shared" si="27"/>
        <v>0</v>
      </c>
      <c r="G173" s="277">
        <f t="shared" si="28"/>
        <v>0</v>
      </c>
      <c r="H173" s="3">
        <f t="shared" si="33"/>
        <v>0</v>
      </c>
      <c r="I173" s="277">
        <f t="shared" si="29"/>
        <v>0</v>
      </c>
      <c r="J173" s="359"/>
      <c r="K173" s="359" t="s">
        <v>192</v>
      </c>
      <c r="L173" s="359"/>
      <c r="M173" s="338"/>
      <c r="N173" s="89">
        <v>41031</v>
      </c>
      <c r="O173" s="359">
        <v>83</v>
      </c>
      <c r="P173" s="359" t="s">
        <v>46</v>
      </c>
      <c r="Q173" s="359"/>
      <c r="R173" s="359"/>
      <c r="S173" s="359">
        <v>800</v>
      </c>
      <c r="T173" s="359">
        <v>45</v>
      </c>
      <c r="U173" s="359">
        <v>400</v>
      </c>
      <c r="V173" s="359"/>
      <c r="W173" s="359"/>
      <c r="X173" s="359"/>
      <c r="Y173" s="359">
        <v>47</v>
      </c>
      <c r="Z173" s="359"/>
      <c r="AA173" s="210"/>
      <c r="AB173" s="248"/>
      <c r="AC173" s="359"/>
      <c r="AD173" s="359"/>
      <c r="AE173" s="359"/>
      <c r="AF173" s="359"/>
      <c r="AG173" s="153"/>
      <c r="AH173" s="346"/>
      <c r="AI173" s="24"/>
      <c r="AJ173" s="24"/>
      <c r="AK173" s="24"/>
      <c r="AL173" s="24"/>
      <c r="AM173" s="359"/>
      <c r="AN173" s="24">
        <f t="shared" si="30"/>
        <v>0</v>
      </c>
      <c r="AO173" s="54">
        <f t="shared" si="31"/>
        <v>0</v>
      </c>
      <c r="AP173" s="261">
        <f t="shared" si="32"/>
        <v>0</v>
      </c>
      <c r="AQ173" s="338"/>
      <c r="AR173" s="45"/>
      <c r="AS173" s="359"/>
      <c r="AT173" s="359"/>
    </row>
    <row r="174" spans="1:46" ht="12">
      <c r="A174" s="359" t="s">
        <v>280</v>
      </c>
      <c r="B174" s="359" t="str">
        <f t="shared" si="23"/>
        <v>MgO</v>
      </c>
      <c r="C174" s="141">
        <f t="shared" si="24"/>
        <v>0</v>
      </c>
      <c r="D174" s="277">
        <f t="shared" si="25"/>
        <v>0</v>
      </c>
      <c r="E174" s="20">
        <f t="shared" si="26"/>
        <v>0</v>
      </c>
      <c r="F174" s="20">
        <f t="shared" si="27"/>
        <v>0</v>
      </c>
      <c r="G174" s="277">
        <f t="shared" si="28"/>
        <v>0</v>
      </c>
      <c r="H174" s="3">
        <f t="shared" si="33"/>
        <v>0</v>
      </c>
      <c r="I174" s="277">
        <f t="shared" si="29"/>
        <v>0</v>
      </c>
      <c r="J174" s="359"/>
      <c r="K174" s="359" t="s">
        <v>192</v>
      </c>
      <c r="L174" s="359"/>
      <c r="M174" s="338"/>
      <c r="N174" s="89">
        <v>41031</v>
      </c>
      <c r="O174" s="359">
        <v>83</v>
      </c>
      <c r="P174" s="359" t="s">
        <v>46</v>
      </c>
      <c r="Q174" s="359"/>
      <c r="R174" s="359"/>
      <c r="S174" s="359">
        <v>800</v>
      </c>
      <c r="T174" s="359">
        <v>45</v>
      </c>
      <c r="U174" s="359">
        <v>400</v>
      </c>
      <c r="V174" s="359"/>
      <c r="W174" s="359"/>
      <c r="X174" s="359"/>
      <c r="Y174" s="359">
        <v>47</v>
      </c>
      <c r="Z174" s="359"/>
      <c r="AA174" s="210"/>
      <c r="AB174" s="248"/>
      <c r="AC174" s="359"/>
      <c r="AD174" s="359"/>
      <c r="AE174" s="359"/>
      <c r="AF174" s="359"/>
      <c r="AG174" s="153"/>
      <c r="AH174" s="346"/>
      <c r="AI174" s="24"/>
      <c r="AJ174" s="24"/>
      <c r="AK174" s="24"/>
      <c r="AL174" s="24"/>
      <c r="AM174" s="359"/>
      <c r="AN174" s="24">
        <f t="shared" si="30"/>
        <v>0</v>
      </c>
      <c r="AO174" s="54">
        <f t="shared" si="31"/>
        <v>0</v>
      </c>
      <c r="AP174" s="261">
        <f t="shared" si="32"/>
        <v>0</v>
      </c>
      <c r="AQ174" s="338"/>
      <c r="AR174" s="45"/>
      <c r="AS174" s="359"/>
      <c r="AT174" s="359"/>
    </row>
    <row r="175" spans="1:46" ht="12">
      <c r="A175" s="359" t="s">
        <v>281</v>
      </c>
      <c r="B175" s="359" t="str">
        <f t="shared" si="23"/>
        <v>MgO</v>
      </c>
      <c r="C175" s="141">
        <f t="shared" si="24"/>
        <v>0</v>
      </c>
      <c r="D175" s="277">
        <f t="shared" si="25"/>
        <v>0</v>
      </c>
      <c r="E175" s="20">
        <f t="shared" si="26"/>
        <v>0</v>
      </c>
      <c r="F175" s="20">
        <f t="shared" si="27"/>
        <v>0</v>
      </c>
      <c r="G175" s="277">
        <f t="shared" si="28"/>
        <v>0</v>
      </c>
      <c r="H175" s="3">
        <f t="shared" si="33"/>
        <v>0</v>
      </c>
      <c r="I175" s="277">
        <f t="shared" si="29"/>
        <v>0</v>
      </c>
      <c r="J175" s="359"/>
      <c r="K175" s="359" t="s">
        <v>192</v>
      </c>
      <c r="L175" s="359"/>
      <c r="M175" s="338"/>
      <c r="N175" s="89">
        <v>41031</v>
      </c>
      <c r="O175" s="359">
        <v>83</v>
      </c>
      <c r="P175" s="359" t="s">
        <v>46</v>
      </c>
      <c r="Q175" s="359"/>
      <c r="R175" s="359"/>
      <c r="S175" s="359">
        <v>800</v>
      </c>
      <c r="T175" s="359">
        <v>45</v>
      </c>
      <c r="U175" s="359">
        <v>400</v>
      </c>
      <c r="V175" s="359"/>
      <c r="W175" s="359"/>
      <c r="X175" s="359"/>
      <c r="Y175" s="359">
        <v>47</v>
      </c>
      <c r="Z175" s="359"/>
      <c r="AA175" s="210"/>
      <c r="AB175" s="248"/>
      <c r="AC175" s="359"/>
      <c r="AD175" s="359"/>
      <c r="AE175" s="359"/>
      <c r="AF175" s="359"/>
      <c r="AG175" s="153"/>
      <c r="AH175" s="346"/>
      <c r="AI175" s="24"/>
      <c r="AJ175" s="24"/>
      <c r="AK175" s="24"/>
      <c r="AL175" s="24"/>
      <c r="AM175" s="359"/>
      <c r="AN175" s="24">
        <f t="shared" si="30"/>
        <v>0</v>
      </c>
      <c r="AO175" s="54">
        <f t="shared" si="31"/>
        <v>0</v>
      </c>
      <c r="AP175" s="261">
        <f t="shared" si="32"/>
        <v>0</v>
      </c>
      <c r="AQ175" s="338"/>
      <c r="AR175" s="45"/>
      <c r="AS175" s="359"/>
      <c r="AT175" s="359"/>
    </row>
    <row r="176" spans="1:46" ht="12">
      <c r="A176" s="359" t="s">
        <v>282</v>
      </c>
      <c r="B176" s="359" t="str">
        <f t="shared" si="23"/>
        <v>MgO</v>
      </c>
      <c r="C176" s="141">
        <f t="shared" si="24"/>
        <v>0</v>
      </c>
      <c r="D176" s="277">
        <f t="shared" si="25"/>
        <v>0</v>
      </c>
      <c r="E176" s="20">
        <f t="shared" si="26"/>
        <v>0</v>
      </c>
      <c r="F176" s="20">
        <f t="shared" si="27"/>
        <v>0</v>
      </c>
      <c r="G176" s="277">
        <f t="shared" si="28"/>
        <v>0</v>
      </c>
      <c r="H176" s="3">
        <f t="shared" si="33"/>
        <v>0</v>
      </c>
      <c r="I176" s="277">
        <f t="shared" si="29"/>
        <v>0</v>
      </c>
      <c r="J176" s="359"/>
      <c r="K176" s="359" t="s">
        <v>192</v>
      </c>
      <c r="L176" s="359"/>
      <c r="M176" s="338"/>
      <c r="N176" s="89">
        <v>41031</v>
      </c>
      <c r="O176" s="359">
        <v>83</v>
      </c>
      <c r="P176" s="359" t="s">
        <v>46</v>
      </c>
      <c r="Q176" s="359"/>
      <c r="R176" s="359"/>
      <c r="S176" s="359">
        <v>800</v>
      </c>
      <c r="T176" s="359">
        <v>45</v>
      </c>
      <c r="U176" s="359">
        <v>400</v>
      </c>
      <c r="V176" s="359"/>
      <c r="W176" s="359"/>
      <c r="X176" s="359"/>
      <c r="Y176" s="359">
        <v>47</v>
      </c>
      <c r="Z176" s="359"/>
      <c r="AA176" s="210"/>
      <c r="AB176" s="248"/>
      <c r="AC176" s="359"/>
      <c r="AD176" s="359"/>
      <c r="AE176" s="359"/>
      <c r="AF176" s="359"/>
      <c r="AG176" s="153"/>
      <c r="AH176" s="346"/>
      <c r="AI176" s="24"/>
      <c r="AJ176" s="24"/>
      <c r="AK176" s="24"/>
      <c r="AL176" s="24"/>
      <c r="AM176" s="359"/>
      <c r="AN176" s="24">
        <f t="shared" si="30"/>
        <v>0</v>
      </c>
      <c r="AO176" s="54">
        <f t="shared" si="31"/>
        <v>0</v>
      </c>
      <c r="AP176" s="261">
        <f t="shared" si="32"/>
        <v>0</v>
      </c>
      <c r="AQ176" s="338"/>
      <c r="AR176" s="45"/>
      <c r="AS176" s="359"/>
      <c r="AT176" s="359"/>
    </row>
    <row r="177" spans="1:46" ht="12">
      <c r="A177" s="359" t="s">
        <v>283</v>
      </c>
      <c r="B177" s="359" t="str">
        <f t="shared" si="23"/>
        <v>MgO</v>
      </c>
      <c r="C177" s="141">
        <f t="shared" si="24"/>
        <v>0</v>
      </c>
      <c r="D177" s="277">
        <f t="shared" si="25"/>
        <v>0</v>
      </c>
      <c r="E177" s="20">
        <f t="shared" si="26"/>
        <v>0</v>
      </c>
      <c r="F177" s="20">
        <f t="shared" si="27"/>
        <v>0</v>
      </c>
      <c r="G177" s="277">
        <f t="shared" si="28"/>
        <v>0</v>
      </c>
      <c r="H177" s="3">
        <f t="shared" si="33"/>
        <v>0</v>
      </c>
      <c r="I177" s="277">
        <f t="shared" si="29"/>
        <v>0</v>
      </c>
      <c r="J177" s="359"/>
      <c r="K177" s="359" t="s">
        <v>284</v>
      </c>
      <c r="L177" s="359"/>
      <c r="M177" s="338"/>
      <c r="N177" s="89">
        <v>41032</v>
      </c>
      <c r="O177" s="359">
        <v>84</v>
      </c>
      <c r="P177" s="359" t="s">
        <v>46</v>
      </c>
      <c r="Q177" s="359"/>
      <c r="R177" s="359"/>
      <c r="S177" s="359">
        <v>800</v>
      </c>
      <c r="T177" s="359">
        <v>45</v>
      </c>
      <c r="U177" s="359">
        <v>400</v>
      </c>
      <c r="V177" s="359"/>
      <c r="W177" s="359"/>
      <c r="X177" s="359"/>
      <c r="Y177" s="359">
        <v>47</v>
      </c>
      <c r="Z177" s="359"/>
      <c r="AA177" s="210"/>
      <c r="AB177" s="248"/>
      <c r="AC177" s="359"/>
      <c r="AD177" s="359"/>
      <c r="AE177" s="359"/>
      <c r="AF177" s="359"/>
      <c r="AG177" s="153"/>
      <c r="AH177" s="346"/>
      <c r="AI177" s="24"/>
      <c r="AJ177" s="24"/>
      <c r="AK177" s="24"/>
      <c r="AL177" s="24"/>
      <c r="AM177" s="359"/>
      <c r="AN177" s="24">
        <f t="shared" si="30"/>
        <v>0</v>
      </c>
      <c r="AO177" s="54">
        <f t="shared" si="31"/>
        <v>0</v>
      </c>
      <c r="AP177" s="261">
        <f t="shared" si="32"/>
        <v>0</v>
      </c>
      <c r="AQ177" s="338"/>
      <c r="AR177" s="45"/>
      <c r="AS177" s="359"/>
      <c r="AT177" s="359"/>
    </row>
    <row r="178" spans="1:46" ht="12">
      <c r="A178" s="359" t="s">
        <v>285</v>
      </c>
      <c r="B178" s="359" t="str">
        <f t="shared" si="23"/>
        <v>MgO</v>
      </c>
      <c r="C178" s="141">
        <f t="shared" si="24"/>
        <v>0</v>
      </c>
      <c r="D178" s="277">
        <f t="shared" si="25"/>
        <v>0</v>
      </c>
      <c r="E178" s="20">
        <f t="shared" si="26"/>
        <v>0</v>
      </c>
      <c r="F178" s="20">
        <f t="shared" si="27"/>
        <v>0</v>
      </c>
      <c r="G178" s="277">
        <f t="shared" si="28"/>
        <v>0</v>
      </c>
      <c r="H178" s="3">
        <f t="shared" si="33"/>
        <v>0</v>
      </c>
      <c r="I178" s="277">
        <f t="shared" si="29"/>
        <v>0</v>
      </c>
      <c r="J178" s="359"/>
      <c r="K178" s="359" t="s">
        <v>284</v>
      </c>
      <c r="L178" s="359"/>
      <c r="M178" s="338"/>
      <c r="N178" s="89">
        <v>41032</v>
      </c>
      <c r="O178" s="359">
        <v>84</v>
      </c>
      <c r="P178" s="359" t="s">
        <v>46</v>
      </c>
      <c r="Q178" s="359"/>
      <c r="R178" s="359"/>
      <c r="S178" s="359">
        <v>800</v>
      </c>
      <c r="T178" s="359">
        <v>45</v>
      </c>
      <c r="U178" s="359">
        <v>400</v>
      </c>
      <c r="V178" s="359"/>
      <c r="W178" s="359"/>
      <c r="X178" s="359"/>
      <c r="Y178" s="359">
        <v>47</v>
      </c>
      <c r="Z178" s="359"/>
      <c r="AA178" s="210"/>
      <c r="AB178" s="248"/>
      <c r="AC178" s="359"/>
      <c r="AD178" s="359"/>
      <c r="AE178" s="359"/>
      <c r="AF178" s="359"/>
      <c r="AG178" s="153"/>
      <c r="AH178" s="346"/>
      <c r="AI178" s="24"/>
      <c r="AJ178" s="24"/>
      <c r="AK178" s="24"/>
      <c r="AL178" s="24"/>
      <c r="AM178" s="359"/>
      <c r="AN178" s="24">
        <f t="shared" si="30"/>
        <v>0</v>
      </c>
      <c r="AO178" s="54">
        <f t="shared" si="31"/>
        <v>0</v>
      </c>
      <c r="AP178" s="261">
        <f t="shared" si="32"/>
        <v>0</v>
      </c>
      <c r="AQ178" s="338"/>
      <c r="AR178" s="45"/>
      <c r="AS178" s="359"/>
      <c r="AT178" s="359"/>
    </row>
    <row r="179" spans="1:46" ht="12">
      <c r="A179" s="359" t="s">
        <v>286</v>
      </c>
      <c r="B179" s="359" t="str">
        <f t="shared" si="23"/>
        <v>MgO</v>
      </c>
      <c r="C179" s="141">
        <f t="shared" si="24"/>
        <v>0</v>
      </c>
      <c r="D179" s="277">
        <f t="shared" si="25"/>
        <v>0</v>
      </c>
      <c r="E179" s="20">
        <f t="shared" si="26"/>
        <v>0</v>
      </c>
      <c r="F179" s="20">
        <f t="shared" si="27"/>
        <v>0</v>
      </c>
      <c r="G179" s="277">
        <f t="shared" si="28"/>
        <v>0</v>
      </c>
      <c r="H179" s="3">
        <f t="shared" si="33"/>
        <v>0</v>
      </c>
      <c r="I179" s="277">
        <f t="shared" si="29"/>
        <v>0</v>
      </c>
      <c r="J179" s="359"/>
      <c r="K179" s="359" t="s">
        <v>284</v>
      </c>
      <c r="L179" s="359"/>
      <c r="M179" s="338"/>
      <c r="N179" s="89">
        <v>41032</v>
      </c>
      <c r="O179" s="359">
        <v>84</v>
      </c>
      <c r="P179" s="359" t="s">
        <v>46</v>
      </c>
      <c r="Q179" s="359"/>
      <c r="R179" s="359"/>
      <c r="S179" s="359">
        <v>800</v>
      </c>
      <c r="T179" s="359">
        <v>45</v>
      </c>
      <c r="U179" s="359">
        <v>400</v>
      </c>
      <c r="V179" s="359"/>
      <c r="W179" s="359"/>
      <c r="X179" s="359"/>
      <c r="Y179" s="359">
        <v>47</v>
      </c>
      <c r="Z179" s="359"/>
      <c r="AA179" s="210"/>
      <c r="AB179" s="248"/>
      <c r="AC179" s="359"/>
      <c r="AD179" s="359"/>
      <c r="AE179" s="359"/>
      <c r="AF179" s="359"/>
      <c r="AG179" s="153"/>
      <c r="AH179" s="346"/>
      <c r="AI179" s="24"/>
      <c r="AJ179" s="24"/>
      <c r="AK179" s="24"/>
      <c r="AL179" s="24"/>
      <c r="AM179" s="359"/>
      <c r="AN179" s="24">
        <f t="shared" si="30"/>
        <v>0</v>
      </c>
      <c r="AO179" s="54">
        <f t="shared" si="31"/>
        <v>0</v>
      </c>
      <c r="AP179" s="261">
        <f t="shared" si="32"/>
        <v>0</v>
      </c>
      <c r="AQ179" s="338"/>
      <c r="AR179" s="45"/>
      <c r="AS179" s="359"/>
      <c r="AT179" s="359"/>
    </row>
    <row r="180" spans="1:46" ht="12">
      <c r="A180" s="359" t="s">
        <v>287</v>
      </c>
      <c r="B180" s="359" t="str">
        <f t="shared" si="23"/>
        <v>MgO</v>
      </c>
      <c r="C180" s="141">
        <f t="shared" si="24"/>
        <v>0</v>
      </c>
      <c r="D180" s="277">
        <f t="shared" si="25"/>
        <v>0</v>
      </c>
      <c r="E180" s="20">
        <f t="shared" si="26"/>
        <v>0</v>
      </c>
      <c r="F180" s="20">
        <f t="shared" si="27"/>
        <v>0</v>
      </c>
      <c r="G180" s="277">
        <f t="shared" si="28"/>
        <v>0</v>
      </c>
      <c r="H180" s="3">
        <f t="shared" si="33"/>
        <v>0</v>
      </c>
      <c r="I180" s="277">
        <f t="shared" si="29"/>
        <v>0</v>
      </c>
      <c r="J180" s="359"/>
      <c r="K180" s="359" t="s">
        <v>284</v>
      </c>
      <c r="L180" s="359"/>
      <c r="M180" s="338"/>
      <c r="N180" s="89">
        <v>41032</v>
      </c>
      <c r="O180" s="359">
        <v>84</v>
      </c>
      <c r="P180" s="359" t="s">
        <v>46</v>
      </c>
      <c r="Q180" s="359"/>
      <c r="R180" s="359"/>
      <c r="S180" s="359">
        <v>800</v>
      </c>
      <c r="T180" s="359">
        <v>45</v>
      </c>
      <c r="U180" s="359">
        <v>400</v>
      </c>
      <c r="V180" s="359"/>
      <c r="W180" s="359"/>
      <c r="X180" s="359"/>
      <c r="Y180" s="359">
        <v>47</v>
      </c>
      <c r="Z180" s="359"/>
      <c r="AA180" s="210"/>
      <c r="AB180" s="248"/>
      <c r="AC180" s="359"/>
      <c r="AD180" s="359"/>
      <c r="AE180" s="359"/>
      <c r="AF180" s="359"/>
      <c r="AG180" s="153"/>
      <c r="AH180" s="346"/>
      <c r="AI180" s="24"/>
      <c r="AJ180" s="24"/>
      <c r="AK180" s="24"/>
      <c r="AL180" s="24"/>
      <c r="AM180" s="359"/>
      <c r="AN180" s="24">
        <f t="shared" si="30"/>
        <v>0</v>
      </c>
      <c r="AO180" s="54">
        <f t="shared" si="31"/>
        <v>0</v>
      </c>
      <c r="AP180" s="261">
        <f t="shared" si="32"/>
        <v>0</v>
      </c>
      <c r="AQ180" s="338"/>
      <c r="AR180" s="45"/>
      <c r="AS180" s="359"/>
      <c r="AT180" s="359"/>
    </row>
    <row r="181" spans="1:46" ht="12">
      <c r="A181" s="359" t="s">
        <v>288</v>
      </c>
      <c r="B181" s="359" t="str">
        <f t="shared" si="23"/>
        <v>Glass</v>
      </c>
      <c r="C181" s="141">
        <f t="shared" si="24"/>
        <v>0</v>
      </c>
      <c r="D181" s="277">
        <f t="shared" si="25"/>
        <v>3537.04480506953</v>
      </c>
      <c r="E181" s="20">
        <f t="shared" si="26"/>
        <v>0</v>
      </c>
      <c r="F181" s="20">
        <f t="shared" si="27"/>
        <v>0</v>
      </c>
      <c r="G181" s="277">
        <f t="shared" si="28"/>
        <v>0</v>
      </c>
      <c r="H181" s="3">
        <f t="shared" si="33"/>
        <v>0</v>
      </c>
      <c r="I181" s="277">
        <f t="shared" si="29"/>
        <v>0</v>
      </c>
      <c r="J181" s="359"/>
      <c r="K181" s="359" t="s">
        <v>289</v>
      </c>
      <c r="L181" s="359"/>
      <c r="M181" s="338"/>
      <c r="N181" s="89">
        <v>41033</v>
      </c>
      <c r="O181" s="359">
        <v>85</v>
      </c>
      <c r="P181" s="359" t="s">
        <v>290</v>
      </c>
      <c r="Q181" s="359"/>
      <c r="R181" s="359"/>
      <c r="S181" s="359">
        <v>20</v>
      </c>
      <c r="T181" s="359">
        <v>50</v>
      </c>
      <c r="U181" s="359">
        <v>300</v>
      </c>
      <c r="V181" s="359"/>
      <c r="W181" s="359"/>
      <c r="X181" s="359"/>
      <c r="Y181" s="359">
        <v>47</v>
      </c>
      <c r="Z181" s="359"/>
      <c r="AA181" s="210"/>
      <c r="AB181" s="248"/>
      <c r="AC181" s="359"/>
      <c r="AD181" s="359"/>
      <c r="AE181" s="359"/>
      <c r="AF181" s="359"/>
      <c r="AG181" s="153"/>
      <c r="AH181" s="346">
        <v>3537.04480506953</v>
      </c>
      <c r="AI181" s="24"/>
      <c r="AJ181" s="24"/>
      <c r="AK181" s="24"/>
      <c r="AL181" s="24"/>
      <c r="AM181" s="359"/>
      <c r="AN181" s="24">
        <f t="shared" si="30"/>
        <v>0</v>
      </c>
      <c r="AO181" s="54">
        <f t="shared" si="31"/>
        <v>0</v>
      </c>
      <c r="AP181" s="261">
        <f t="shared" si="32"/>
        <v>0</v>
      </c>
      <c r="AQ181" s="338"/>
      <c r="AR181" s="45"/>
      <c r="AS181" s="359"/>
      <c r="AT181" s="359"/>
    </row>
    <row r="182" spans="1:46" ht="12">
      <c r="A182" s="359" t="s">
        <v>291</v>
      </c>
      <c r="B182" s="359" t="str">
        <f t="shared" si="23"/>
        <v>Glass</v>
      </c>
      <c r="C182" s="141">
        <f t="shared" si="24"/>
        <v>0</v>
      </c>
      <c r="D182" s="277">
        <f t="shared" si="25"/>
        <v>4125.1051176855799</v>
      </c>
      <c r="E182" s="20">
        <f t="shared" si="26"/>
        <v>0</v>
      </c>
      <c r="F182" s="20">
        <f t="shared" si="27"/>
        <v>0</v>
      </c>
      <c r="G182" s="277">
        <f t="shared" si="28"/>
        <v>0</v>
      </c>
      <c r="H182" s="3">
        <f t="shared" si="33"/>
        <v>0</v>
      </c>
      <c r="I182" s="277">
        <f t="shared" si="29"/>
        <v>0</v>
      </c>
      <c r="J182" s="359"/>
      <c r="K182" s="359" t="s">
        <v>289</v>
      </c>
      <c r="L182" s="359"/>
      <c r="M182" s="338"/>
      <c r="N182" s="89">
        <v>41033</v>
      </c>
      <c r="O182" s="359">
        <v>85</v>
      </c>
      <c r="P182" s="359" t="s">
        <v>290</v>
      </c>
      <c r="Q182" s="359"/>
      <c r="R182" s="359"/>
      <c r="S182" s="359">
        <v>20</v>
      </c>
      <c r="T182" s="359">
        <v>50</v>
      </c>
      <c r="U182" s="359">
        <v>300</v>
      </c>
      <c r="V182" s="359"/>
      <c r="W182" s="359"/>
      <c r="X182" s="359"/>
      <c r="Y182" s="359">
        <v>47</v>
      </c>
      <c r="Z182" s="359"/>
      <c r="AA182" s="210"/>
      <c r="AB182" s="248"/>
      <c r="AC182" s="359"/>
      <c r="AD182" s="359"/>
      <c r="AE182" s="359"/>
      <c r="AF182" s="359"/>
      <c r="AG182" s="153"/>
      <c r="AH182" s="346">
        <v>4125.1051176855799</v>
      </c>
      <c r="AI182" s="24"/>
      <c r="AJ182" s="24"/>
      <c r="AK182" s="24"/>
      <c r="AL182" s="24"/>
      <c r="AM182" s="359"/>
      <c r="AN182" s="24">
        <f t="shared" si="30"/>
        <v>0</v>
      </c>
      <c r="AO182" s="54">
        <f t="shared" si="31"/>
        <v>0</v>
      </c>
      <c r="AP182" s="261">
        <f t="shared" si="32"/>
        <v>0</v>
      </c>
      <c r="AQ182" s="338"/>
      <c r="AR182" s="45"/>
      <c r="AS182" s="359"/>
      <c r="AT182" s="359"/>
    </row>
    <row r="183" spans="1:46" ht="12">
      <c r="A183" s="359" t="s">
        <v>292</v>
      </c>
      <c r="B183" s="359" t="str">
        <f t="shared" si="23"/>
        <v>Glass</v>
      </c>
      <c r="C183" s="141">
        <f t="shared" si="24"/>
        <v>0</v>
      </c>
      <c r="D183" s="277">
        <f t="shared" si="25"/>
        <v>4095.7258909023799</v>
      </c>
      <c r="E183" s="20">
        <f t="shared" si="26"/>
        <v>0</v>
      </c>
      <c r="F183" s="20">
        <f t="shared" si="27"/>
        <v>0</v>
      </c>
      <c r="G183" s="277">
        <f t="shared" si="28"/>
        <v>0</v>
      </c>
      <c r="H183" s="3">
        <f t="shared" si="33"/>
        <v>0</v>
      </c>
      <c r="I183" s="277">
        <f t="shared" si="29"/>
        <v>0</v>
      </c>
      <c r="J183" s="359"/>
      <c r="K183" s="359" t="s">
        <v>289</v>
      </c>
      <c r="L183" s="359"/>
      <c r="M183" s="338"/>
      <c r="N183" s="89">
        <v>41033</v>
      </c>
      <c r="O183" s="359">
        <v>85</v>
      </c>
      <c r="P183" s="359" t="s">
        <v>290</v>
      </c>
      <c r="Q183" s="359"/>
      <c r="R183" s="359"/>
      <c r="S183" s="359">
        <v>20</v>
      </c>
      <c r="T183" s="359">
        <v>50</v>
      </c>
      <c r="U183" s="359">
        <v>300</v>
      </c>
      <c r="V183" s="359"/>
      <c r="W183" s="359"/>
      <c r="X183" s="359"/>
      <c r="Y183" s="359">
        <v>47</v>
      </c>
      <c r="Z183" s="359"/>
      <c r="AA183" s="210"/>
      <c r="AB183" s="248"/>
      <c r="AC183" s="359"/>
      <c r="AD183" s="359"/>
      <c r="AE183" s="359"/>
      <c r="AF183" s="359"/>
      <c r="AG183" s="153"/>
      <c r="AH183" s="346">
        <v>4095.7258909023799</v>
      </c>
      <c r="AI183" s="24"/>
      <c r="AJ183" s="24"/>
      <c r="AK183" s="24"/>
      <c r="AL183" s="24"/>
      <c r="AM183" s="359"/>
      <c r="AN183" s="24">
        <f t="shared" si="30"/>
        <v>0</v>
      </c>
      <c r="AO183" s="54">
        <f t="shared" si="31"/>
        <v>0</v>
      </c>
      <c r="AP183" s="261">
        <f t="shared" si="32"/>
        <v>0</v>
      </c>
      <c r="AQ183" s="338"/>
      <c r="AR183" s="45"/>
      <c r="AS183" s="359"/>
      <c r="AT183" s="359"/>
    </row>
    <row r="184" spans="1:46" ht="12">
      <c r="A184" s="359" t="s">
        <v>293</v>
      </c>
      <c r="B184" s="359" t="str">
        <f t="shared" si="23"/>
        <v>Glass</v>
      </c>
      <c r="C184" s="141">
        <f t="shared" si="24"/>
        <v>0</v>
      </c>
      <c r="D184" s="277">
        <f t="shared" si="25"/>
        <v>4214.4322404150898</v>
      </c>
      <c r="E184" s="20">
        <f t="shared" si="26"/>
        <v>0</v>
      </c>
      <c r="F184" s="20">
        <f t="shared" si="27"/>
        <v>0</v>
      </c>
      <c r="G184" s="277">
        <f t="shared" si="28"/>
        <v>0</v>
      </c>
      <c r="H184" s="3">
        <f t="shared" si="33"/>
        <v>0</v>
      </c>
      <c r="I184" s="277">
        <f t="shared" si="29"/>
        <v>0</v>
      </c>
      <c r="J184" s="359"/>
      <c r="K184" s="359" t="s">
        <v>289</v>
      </c>
      <c r="L184" s="359"/>
      <c r="M184" s="338"/>
      <c r="N184" s="89">
        <v>41033</v>
      </c>
      <c r="O184" s="359">
        <v>85</v>
      </c>
      <c r="P184" s="359" t="s">
        <v>290</v>
      </c>
      <c r="Q184" s="359"/>
      <c r="R184" s="359"/>
      <c r="S184" s="359">
        <v>20</v>
      </c>
      <c r="T184" s="359">
        <v>50</v>
      </c>
      <c r="U184" s="359">
        <v>300</v>
      </c>
      <c r="V184" s="359"/>
      <c r="W184" s="359"/>
      <c r="X184" s="359"/>
      <c r="Y184" s="359">
        <v>47</v>
      </c>
      <c r="Z184" s="359"/>
      <c r="AA184" s="210"/>
      <c r="AB184" s="248"/>
      <c r="AC184" s="359"/>
      <c r="AD184" s="359"/>
      <c r="AE184" s="359"/>
      <c r="AF184" s="359"/>
      <c r="AG184" s="153"/>
      <c r="AH184" s="346">
        <v>4214.4322404150898</v>
      </c>
      <c r="AI184" s="24"/>
      <c r="AJ184" s="24"/>
      <c r="AK184" s="24"/>
      <c r="AL184" s="24"/>
      <c r="AM184" s="359"/>
      <c r="AN184" s="24">
        <f t="shared" si="30"/>
        <v>0</v>
      </c>
      <c r="AO184" s="54">
        <f t="shared" si="31"/>
        <v>0</v>
      </c>
      <c r="AP184" s="261">
        <f t="shared" si="32"/>
        <v>0</v>
      </c>
      <c r="AQ184" s="338"/>
      <c r="AR184" s="45"/>
      <c r="AS184" s="359"/>
      <c r="AT184" s="359"/>
    </row>
    <row r="185" spans="1:46" ht="12">
      <c r="A185" s="359" t="s">
        <v>294</v>
      </c>
      <c r="B185" s="359" t="str">
        <f t="shared" si="23"/>
        <v>Glass</v>
      </c>
      <c r="C185" s="141">
        <f t="shared" si="24"/>
        <v>0</v>
      </c>
      <c r="D185" s="277">
        <f t="shared" si="25"/>
        <v>833.68016406269305</v>
      </c>
      <c r="E185" s="20">
        <f t="shared" si="26"/>
        <v>0</v>
      </c>
      <c r="F185" s="20">
        <f t="shared" si="27"/>
        <v>0</v>
      </c>
      <c r="G185" s="277">
        <f t="shared" si="28"/>
        <v>0</v>
      </c>
      <c r="H185" s="3">
        <f t="shared" si="33"/>
        <v>0</v>
      </c>
      <c r="I185" s="277">
        <f t="shared" si="29"/>
        <v>0</v>
      </c>
      <c r="J185" s="359"/>
      <c r="K185" s="359" t="s">
        <v>289</v>
      </c>
      <c r="L185" s="359"/>
      <c r="M185" s="338"/>
      <c r="N185" s="89">
        <v>41033</v>
      </c>
      <c r="O185" s="359">
        <v>86</v>
      </c>
      <c r="P185" s="359" t="s">
        <v>290</v>
      </c>
      <c r="Q185" s="359"/>
      <c r="R185" s="359"/>
      <c r="S185" s="359">
        <v>20</v>
      </c>
      <c r="T185" s="359">
        <v>100</v>
      </c>
      <c r="U185" s="359">
        <v>300</v>
      </c>
      <c r="V185" s="359"/>
      <c r="W185" s="359"/>
      <c r="X185" s="359"/>
      <c r="Y185" s="359">
        <v>47</v>
      </c>
      <c r="Z185" s="359"/>
      <c r="AA185" s="210"/>
      <c r="AB185" s="248"/>
      <c r="AC185" s="359"/>
      <c r="AD185" s="359"/>
      <c r="AE185" s="359"/>
      <c r="AF185" s="359"/>
      <c r="AG185" s="153"/>
      <c r="AH185" s="346">
        <v>833.68016406269305</v>
      </c>
      <c r="AI185" s="24"/>
      <c r="AJ185" s="24"/>
      <c r="AK185" s="24"/>
      <c r="AL185" s="24"/>
      <c r="AM185" s="359"/>
      <c r="AN185" s="24">
        <f t="shared" si="30"/>
        <v>0</v>
      </c>
      <c r="AO185" s="54">
        <f t="shared" si="31"/>
        <v>0</v>
      </c>
      <c r="AP185" s="261">
        <f t="shared" si="32"/>
        <v>0</v>
      </c>
      <c r="AQ185" s="338"/>
      <c r="AR185" s="45"/>
      <c r="AS185" s="359"/>
      <c r="AT185" s="359"/>
    </row>
    <row r="186" spans="1:46" ht="12">
      <c r="A186" s="359" t="s">
        <v>295</v>
      </c>
      <c r="B186" s="359" t="str">
        <f t="shared" si="23"/>
        <v>Glass</v>
      </c>
      <c r="C186" s="141">
        <f t="shared" si="24"/>
        <v>0</v>
      </c>
      <c r="D186" s="277">
        <f t="shared" si="25"/>
        <v>803.34938337557799</v>
      </c>
      <c r="E186" s="20">
        <f t="shared" si="26"/>
        <v>0</v>
      </c>
      <c r="F186" s="20">
        <f t="shared" si="27"/>
        <v>0</v>
      </c>
      <c r="G186" s="277">
        <f t="shared" si="28"/>
        <v>0</v>
      </c>
      <c r="H186" s="3">
        <f t="shared" si="33"/>
        <v>0</v>
      </c>
      <c r="I186" s="277">
        <f t="shared" si="29"/>
        <v>0</v>
      </c>
      <c r="J186" s="359"/>
      <c r="K186" s="359" t="s">
        <v>289</v>
      </c>
      <c r="L186" s="359"/>
      <c r="M186" s="338"/>
      <c r="N186" s="89">
        <v>41033</v>
      </c>
      <c r="O186" s="359">
        <v>86</v>
      </c>
      <c r="P186" s="359" t="s">
        <v>290</v>
      </c>
      <c r="Q186" s="359"/>
      <c r="R186" s="359"/>
      <c r="S186" s="359">
        <v>20</v>
      </c>
      <c r="T186" s="359">
        <v>100</v>
      </c>
      <c r="U186" s="359">
        <v>300</v>
      </c>
      <c r="V186" s="359"/>
      <c r="W186" s="359"/>
      <c r="X186" s="359"/>
      <c r="Y186" s="359">
        <v>47</v>
      </c>
      <c r="Z186" s="359"/>
      <c r="AA186" s="210"/>
      <c r="AB186" s="248"/>
      <c r="AC186" s="359"/>
      <c r="AD186" s="359"/>
      <c r="AE186" s="359"/>
      <c r="AF186" s="359"/>
      <c r="AG186" s="153"/>
      <c r="AH186" s="346">
        <v>803.34938337557799</v>
      </c>
      <c r="AI186" s="24"/>
      <c r="AJ186" s="24"/>
      <c r="AK186" s="24"/>
      <c r="AL186" s="24"/>
      <c r="AM186" s="359"/>
      <c r="AN186" s="24">
        <f t="shared" si="30"/>
        <v>0</v>
      </c>
      <c r="AO186" s="54">
        <f t="shared" si="31"/>
        <v>0</v>
      </c>
      <c r="AP186" s="261">
        <f t="shared" si="32"/>
        <v>0</v>
      </c>
      <c r="AQ186" s="338"/>
      <c r="AR186" s="45"/>
      <c r="AS186" s="359"/>
      <c r="AT186" s="359"/>
    </row>
    <row r="187" spans="1:46" ht="12">
      <c r="A187" s="359" t="s">
        <v>296</v>
      </c>
      <c r="B187" s="359" t="str">
        <f t="shared" si="23"/>
        <v>Glass</v>
      </c>
      <c r="C187" s="141">
        <f t="shared" si="24"/>
        <v>0</v>
      </c>
      <c r="D187" s="277">
        <f t="shared" si="25"/>
        <v>806.56087780127302</v>
      </c>
      <c r="E187" s="20">
        <f t="shared" si="26"/>
        <v>0</v>
      </c>
      <c r="F187" s="20">
        <f t="shared" si="27"/>
        <v>0</v>
      </c>
      <c r="G187" s="277">
        <f t="shared" si="28"/>
        <v>0</v>
      </c>
      <c r="H187" s="3">
        <f t="shared" si="33"/>
        <v>0</v>
      </c>
      <c r="I187" s="277">
        <f t="shared" si="29"/>
        <v>0</v>
      </c>
      <c r="J187" s="359"/>
      <c r="K187" s="359" t="s">
        <v>289</v>
      </c>
      <c r="L187" s="359"/>
      <c r="M187" s="338"/>
      <c r="N187" s="89">
        <v>41033</v>
      </c>
      <c r="O187" s="359">
        <v>86</v>
      </c>
      <c r="P187" s="359" t="s">
        <v>290</v>
      </c>
      <c r="Q187" s="359"/>
      <c r="R187" s="359"/>
      <c r="S187" s="359">
        <v>20</v>
      </c>
      <c r="T187" s="359">
        <v>100</v>
      </c>
      <c r="U187" s="359">
        <v>300</v>
      </c>
      <c r="V187" s="359"/>
      <c r="W187" s="359"/>
      <c r="X187" s="359"/>
      <c r="Y187" s="359">
        <v>47</v>
      </c>
      <c r="Z187" s="359"/>
      <c r="AA187" s="210"/>
      <c r="AB187" s="248"/>
      <c r="AC187" s="359"/>
      <c r="AD187" s="359"/>
      <c r="AE187" s="359"/>
      <c r="AF187" s="359"/>
      <c r="AG187" s="153"/>
      <c r="AH187" s="346">
        <v>806.56087780127302</v>
      </c>
      <c r="AI187" s="24"/>
      <c r="AJ187" s="24"/>
      <c r="AK187" s="24"/>
      <c r="AL187" s="24"/>
      <c r="AM187" s="359"/>
      <c r="AN187" s="24">
        <f t="shared" si="30"/>
        <v>0</v>
      </c>
      <c r="AO187" s="54">
        <f t="shared" si="31"/>
        <v>0</v>
      </c>
      <c r="AP187" s="261">
        <f t="shared" si="32"/>
        <v>0</v>
      </c>
      <c r="AQ187" s="338"/>
      <c r="AR187" s="45"/>
      <c r="AS187" s="359"/>
      <c r="AT187" s="359"/>
    </row>
    <row r="188" spans="1:46" ht="12">
      <c r="A188" s="359" t="s">
        <v>297</v>
      </c>
      <c r="B188" s="359" t="str">
        <f t="shared" si="23"/>
        <v>Glass</v>
      </c>
      <c r="C188" s="141">
        <f t="shared" si="24"/>
        <v>0</v>
      </c>
      <c r="D188" s="277">
        <f t="shared" si="25"/>
        <v>836.41588153643295</v>
      </c>
      <c r="E188" s="20">
        <f t="shared" si="26"/>
        <v>0</v>
      </c>
      <c r="F188" s="20">
        <f t="shared" si="27"/>
        <v>0</v>
      </c>
      <c r="G188" s="277">
        <f t="shared" si="28"/>
        <v>0</v>
      </c>
      <c r="H188" s="3">
        <f t="shared" si="33"/>
        <v>0</v>
      </c>
      <c r="I188" s="277">
        <f t="shared" si="29"/>
        <v>0</v>
      </c>
      <c r="J188" s="359"/>
      <c r="K188" s="359" t="s">
        <v>289</v>
      </c>
      <c r="L188" s="359"/>
      <c r="M188" s="338"/>
      <c r="N188" s="89">
        <v>41033</v>
      </c>
      <c r="O188" s="359">
        <v>86</v>
      </c>
      <c r="P188" s="359" t="s">
        <v>290</v>
      </c>
      <c r="Q188" s="359"/>
      <c r="R188" s="359"/>
      <c r="S188" s="359">
        <v>20</v>
      </c>
      <c r="T188" s="359">
        <v>100</v>
      </c>
      <c r="U188" s="359">
        <v>300</v>
      </c>
      <c r="V188" s="359"/>
      <c r="W188" s="359"/>
      <c r="X188" s="359"/>
      <c r="Y188" s="359">
        <v>47</v>
      </c>
      <c r="Z188" s="359"/>
      <c r="AA188" s="210"/>
      <c r="AB188" s="248"/>
      <c r="AC188" s="359"/>
      <c r="AD188" s="359"/>
      <c r="AE188" s="359"/>
      <c r="AF188" s="359"/>
      <c r="AG188" s="153"/>
      <c r="AH188" s="346">
        <v>836.41588153643295</v>
      </c>
      <c r="AI188" s="24"/>
      <c r="AJ188" s="24"/>
      <c r="AK188" s="24"/>
      <c r="AL188" s="24"/>
      <c r="AM188" s="359"/>
      <c r="AN188" s="24">
        <f t="shared" si="30"/>
        <v>0</v>
      </c>
      <c r="AO188" s="54">
        <f t="shared" si="31"/>
        <v>0</v>
      </c>
      <c r="AP188" s="261">
        <f t="shared" si="32"/>
        <v>0</v>
      </c>
      <c r="AQ188" s="338"/>
      <c r="AR188" s="45"/>
      <c r="AS188" s="359"/>
      <c r="AT188" s="359"/>
    </row>
    <row r="189" spans="1:46" ht="12">
      <c r="A189" s="359" t="s">
        <v>298</v>
      </c>
      <c r="B189" s="359" t="str">
        <f t="shared" si="23"/>
        <v>Glass</v>
      </c>
      <c r="C189" s="141">
        <f t="shared" si="24"/>
        <v>0</v>
      </c>
      <c r="D189" s="277">
        <f t="shared" si="25"/>
        <v>453.53437945085602</v>
      </c>
      <c r="E189" s="20">
        <f t="shared" si="26"/>
        <v>0</v>
      </c>
      <c r="F189" s="20">
        <f t="shared" si="27"/>
        <v>0</v>
      </c>
      <c r="G189" s="277">
        <f t="shared" si="28"/>
        <v>0</v>
      </c>
      <c r="H189" s="3">
        <f t="shared" si="33"/>
        <v>0</v>
      </c>
      <c r="I189" s="277">
        <f t="shared" si="29"/>
        <v>0</v>
      </c>
      <c r="J189" s="359"/>
      <c r="K189" s="359" t="s">
        <v>289</v>
      </c>
      <c r="L189" s="359"/>
      <c r="M189" s="338"/>
      <c r="N189" s="89">
        <v>41033</v>
      </c>
      <c r="O189" s="359">
        <v>87</v>
      </c>
      <c r="P189" s="359" t="s">
        <v>290</v>
      </c>
      <c r="Q189" s="359"/>
      <c r="R189" s="359"/>
      <c r="S189" s="359">
        <v>20</v>
      </c>
      <c r="T189" s="359">
        <v>150</v>
      </c>
      <c r="U189" s="359">
        <v>300</v>
      </c>
      <c r="V189" s="359"/>
      <c r="W189" s="359"/>
      <c r="X189" s="359"/>
      <c r="Y189" s="359">
        <v>47</v>
      </c>
      <c r="Z189" s="359"/>
      <c r="AA189" s="210"/>
      <c r="AB189" s="248"/>
      <c r="AC189" s="359"/>
      <c r="AD189" s="359"/>
      <c r="AE189" s="359"/>
      <c r="AF189" s="359"/>
      <c r="AG189" s="153"/>
      <c r="AH189" s="346">
        <v>453.53437945085602</v>
      </c>
      <c r="AI189" s="24"/>
      <c r="AJ189" s="24"/>
      <c r="AK189" s="24"/>
      <c r="AL189" s="24"/>
      <c r="AM189" s="359"/>
      <c r="AN189" s="24">
        <f t="shared" si="30"/>
        <v>0</v>
      </c>
      <c r="AO189" s="54">
        <f t="shared" si="31"/>
        <v>0</v>
      </c>
      <c r="AP189" s="261">
        <f t="shared" si="32"/>
        <v>0</v>
      </c>
      <c r="AQ189" s="338"/>
      <c r="AR189" s="45"/>
      <c r="AS189" s="359"/>
      <c r="AT189" s="359"/>
    </row>
    <row r="190" spans="1:46" ht="12">
      <c r="A190" s="359" t="s">
        <v>299</v>
      </c>
      <c r="B190" s="359" t="str">
        <f t="shared" si="23"/>
        <v>Glass</v>
      </c>
      <c r="C190" s="141">
        <f t="shared" si="24"/>
        <v>0</v>
      </c>
      <c r="D190" s="277">
        <f t="shared" si="25"/>
        <v>459.71947982626801</v>
      </c>
      <c r="E190" s="20">
        <f t="shared" si="26"/>
        <v>0</v>
      </c>
      <c r="F190" s="20">
        <f t="shared" si="27"/>
        <v>0</v>
      </c>
      <c r="G190" s="277">
        <f t="shared" si="28"/>
        <v>0</v>
      </c>
      <c r="H190" s="3">
        <f t="shared" si="33"/>
        <v>0</v>
      </c>
      <c r="I190" s="277">
        <f t="shared" si="29"/>
        <v>0</v>
      </c>
      <c r="J190" s="359"/>
      <c r="K190" s="359" t="s">
        <v>289</v>
      </c>
      <c r="L190" s="359"/>
      <c r="M190" s="338"/>
      <c r="N190" s="89">
        <v>41033</v>
      </c>
      <c r="O190" s="359">
        <v>87</v>
      </c>
      <c r="P190" s="359" t="s">
        <v>290</v>
      </c>
      <c r="Q190" s="359"/>
      <c r="R190" s="359"/>
      <c r="S190" s="359">
        <v>20</v>
      </c>
      <c r="T190" s="359">
        <v>150</v>
      </c>
      <c r="U190" s="359">
        <v>300</v>
      </c>
      <c r="V190" s="359"/>
      <c r="W190" s="359"/>
      <c r="X190" s="359"/>
      <c r="Y190" s="359">
        <v>47</v>
      </c>
      <c r="Z190" s="359"/>
      <c r="AA190" s="210"/>
      <c r="AB190" s="248"/>
      <c r="AC190" s="359"/>
      <c r="AD190" s="359"/>
      <c r="AE190" s="359"/>
      <c r="AF190" s="359"/>
      <c r="AG190" s="153"/>
      <c r="AH190" s="346">
        <v>459.71947982626801</v>
      </c>
      <c r="AI190" s="24"/>
      <c r="AJ190" s="24"/>
      <c r="AK190" s="24"/>
      <c r="AL190" s="24"/>
      <c r="AM190" s="359"/>
      <c r="AN190" s="24">
        <f t="shared" si="30"/>
        <v>0</v>
      </c>
      <c r="AO190" s="54">
        <f t="shared" si="31"/>
        <v>0</v>
      </c>
      <c r="AP190" s="261">
        <f t="shared" si="32"/>
        <v>0</v>
      </c>
      <c r="AQ190" s="338"/>
      <c r="AR190" s="45"/>
      <c r="AS190" s="359"/>
      <c r="AT190" s="359"/>
    </row>
    <row r="191" spans="1:46" ht="12">
      <c r="A191" s="359" t="s">
        <v>300</v>
      </c>
      <c r="B191" s="359" t="str">
        <f t="shared" si="23"/>
        <v>Glass</v>
      </c>
      <c r="C191" s="141">
        <f t="shared" si="24"/>
        <v>0</v>
      </c>
      <c r="D191" s="277">
        <f t="shared" si="25"/>
        <v>454.01015640281099</v>
      </c>
      <c r="E191" s="20">
        <f t="shared" si="26"/>
        <v>0</v>
      </c>
      <c r="F191" s="20">
        <f t="shared" si="27"/>
        <v>0</v>
      </c>
      <c r="G191" s="277">
        <f t="shared" si="28"/>
        <v>0</v>
      </c>
      <c r="H191" s="3">
        <f t="shared" si="33"/>
        <v>0</v>
      </c>
      <c r="I191" s="277">
        <f t="shared" si="29"/>
        <v>0</v>
      </c>
      <c r="J191" s="359"/>
      <c r="K191" s="359" t="s">
        <v>289</v>
      </c>
      <c r="L191" s="359"/>
      <c r="M191" s="338"/>
      <c r="N191" s="89">
        <v>41033</v>
      </c>
      <c r="O191" s="359">
        <v>87</v>
      </c>
      <c r="P191" s="359" t="s">
        <v>290</v>
      </c>
      <c r="Q191" s="359"/>
      <c r="R191" s="359"/>
      <c r="S191" s="359">
        <v>20</v>
      </c>
      <c r="T191" s="359">
        <v>150</v>
      </c>
      <c r="U191" s="359">
        <v>300</v>
      </c>
      <c r="V191" s="359"/>
      <c r="W191" s="359"/>
      <c r="X191" s="359"/>
      <c r="Y191" s="359">
        <v>47</v>
      </c>
      <c r="Z191" s="359"/>
      <c r="AA191" s="210"/>
      <c r="AB191" s="248"/>
      <c r="AC191" s="359"/>
      <c r="AD191" s="359"/>
      <c r="AE191" s="359"/>
      <c r="AF191" s="359"/>
      <c r="AG191" s="153"/>
      <c r="AH191" s="346">
        <v>454.01015640281099</v>
      </c>
      <c r="AI191" s="24"/>
      <c r="AJ191" s="24"/>
      <c r="AK191" s="24"/>
      <c r="AL191" s="24"/>
      <c r="AM191" s="359"/>
      <c r="AN191" s="24">
        <f t="shared" si="30"/>
        <v>0</v>
      </c>
      <c r="AO191" s="54">
        <f t="shared" si="31"/>
        <v>0</v>
      </c>
      <c r="AP191" s="261">
        <f t="shared" si="32"/>
        <v>0</v>
      </c>
      <c r="AQ191" s="338"/>
      <c r="AR191" s="45"/>
      <c r="AS191" s="359"/>
      <c r="AT191" s="359"/>
    </row>
    <row r="192" spans="1:46" ht="12">
      <c r="A192" s="359" t="s">
        <v>301</v>
      </c>
      <c r="B192" s="359" t="str">
        <f t="shared" si="23"/>
        <v>Glass</v>
      </c>
      <c r="C192" s="141">
        <f t="shared" si="24"/>
        <v>0</v>
      </c>
      <c r="D192" s="277">
        <f t="shared" si="25"/>
        <v>458.173204732415</v>
      </c>
      <c r="E192" s="20">
        <f t="shared" si="26"/>
        <v>0</v>
      </c>
      <c r="F192" s="20">
        <f t="shared" si="27"/>
        <v>0</v>
      </c>
      <c r="G192" s="277">
        <f t="shared" si="28"/>
        <v>0</v>
      </c>
      <c r="H192" s="3">
        <f t="shared" si="33"/>
        <v>0</v>
      </c>
      <c r="I192" s="277">
        <f t="shared" si="29"/>
        <v>0</v>
      </c>
      <c r="J192" s="359"/>
      <c r="K192" s="359" t="s">
        <v>289</v>
      </c>
      <c r="L192" s="359"/>
      <c r="M192" s="338"/>
      <c r="N192" s="89">
        <v>41033</v>
      </c>
      <c r="O192" s="359">
        <v>87</v>
      </c>
      <c r="P192" s="359" t="s">
        <v>290</v>
      </c>
      <c r="Q192" s="359"/>
      <c r="R192" s="359"/>
      <c r="S192" s="359">
        <v>20</v>
      </c>
      <c r="T192" s="359">
        <v>150</v>
      </c>
      <c r="U192" s="359">
        <v>300</v>
      </c>
      <c r="V192" s="359"/>
      <c r="W192" s="359"/>
      <c r="X192" s="359"/>
      <c r="Y192" s="359">
        <v>47</v>
      </c>
      <c r="Z192" s="359"/>
      <c r="AA192" s="210"/>
      <c r="AB192" s="248"/>
      <c r="AC192" s="359"/>
      <c r="AD192" s="359"/>
      <c r="AE192" s="359"/>
      <c r="AF192" s="359"/>
      <c r="AG192" s="153"/>
      <c r="AH192" s="346">
        <v>458.173204732415</v>
      </c>
      <c r="AI192" s="24"/>
      <c r="AJ192" s="24"/>
      <c r="AK192" s="24"/>
      <c r="AL192" s="24"/>
      <c r="AM192" s="359"/>
      <c r="AN192" s="24">
        <f t="shared" si="30"/>
        <v>0</v>
      </c>
      <c r="AO192" s="54">
        <f t="shared" si="31"/>
        <v>0</v>
      </c>
      <c r="AP192" s="261">
        <f t="shared" si="32"/>
        <v>0</v>
      </c>
      <c r="AQ192" s="338"/>
      <c r="AR192" s="45"/>
      <c r="AS192" s="359"/>
      <c r="AT192" s="359"/>
    </row>
    <row r="193" spans="1:46" ht="12">
      <c r="A193" s="359" t="s">
        <v>302</v>
      </c>
      <c r="B193" s="359" t="str">
        <f t="shared" si="23"/>
        <v>Glass</v>
      </c>
      <c r="C193" s="141">
        <f t="shared" si="24"/>
        <v>0</v>
      </c>
      <c r="D193" s="277">
        <f t="shared" si="25"/>
        <v>1487.8734730004601</v>
      </c>
      <c r="E193" s="20">
        <f t="shared" si="26"/>
        <v>0</v>
      </c>
      <c r="F193" s="20">
        <f t="shared" si="27"/>
        <v>0</v>
      </c>
      <c r="G193" s="277">
        <f t="shared" si="28"/>
        <v>0</v>
      </c>
      <c r="H193" s="3">
        <f t="shared" si="33"/>
        <v>0</v>
      </c>
      <c r="I193" s="277">
        <f t="shared" si="29"/>
        <v>0</v>
      </c>
      <c r="J193" s="359"/>
      <c r="K193" s="359" t="s">
        <v>289</v>
      </c>
      <c r="L193" s="359"/>
      <c r="M193" s="338"/>
      <c r="N193" s="89">
        <v>41033</v>
      </c>
      <c r="O193" s="359">
        <v>88</v>
      </c>
      <c r="P193" s="359" t="s">
        <v>290</v>
      </c>
      <c r="Q193" s="359"/>
      <c r="R193" s="359"/>
      <c r="S193" s="359">
        <v>20</v>
      </c>
      <c r="T193" s="359">
        <v>75</v>
      </c>
      <c r="U193" s="359">
        <v>300</v>
      </c>
      <c r="V193" s="359"/>
      <c r="W193" s="359"/>
      <c r="X193" s="359"/>
      <c r="Y193" s="359">
        <v>47</v>
      </c>
      <c r="Z193" s="359"/>
      <c r="AA193" s="210"/>
      <c r="AB193" s="248"/>
      <c r="AC193" s="359"/>
      <c r="AD193" s="359"/>
      <c r="AE193" s="359"/>
      <c r="AF193" s="359"/>
      <c r="AG193" s="153"/>
      <c r="AH193" s="346">
        <v>1487.8734730004601</v>
      </c>
      <c r="AI193" s="24"/>
      <c r="AJ193" s="24"/>
      <c r="AK193" s="24"/>
      <c r="AL193" s="24"/>
      <c r="AM193" s="359"/>
      <c r="AN193" s="24">
        <f t="shared" si="30"/>
        <v>0</v>
      </c>
      <c r="AO193" s="54">
        <f t="shared" si="31"/>
        <v>0</v>
      </c>
      <c r="AP193" s="261">
        <f t="shared" si="32"/>
        <v>0</v>
      </c>
      <c r="AQ193" s="338"/>
      <c r="AR193" s="45"/>
      <c r="AS193" s="359"/>
      <c r="AT193" s="359"/>
    </row>
    <row r="194" spans="1:46" ht="12">
      <c r="A194" s="359" t="s">
        <v>303</v>
      </c>
      <c r="B194" s="359" t="str">
        <f t="shared" si="23"/>
        <v>Glass</v>
      </c>
      <c r="C194" s="141">
        <f t="shared" si="24"/>
        <v>0</v>
      </c>
      <c r="D194" s="277">
        <f t="shared" si="25"/>
        <v>1341.3341717983999</v>
      </c>
      <c r="E194" s="20">
        <f t="shared" si="26"/>
        <v>0</v>
      </c>
      <c r="F194" s="20">
        <f t="shared" si="27"/>
        <v>0</v>
      </c>
      <c r="G194" s="277">
        <f t="shared" si="28"/>
        <v>0</v>
      </c>
      <c r="H194" s="3">
        <f t="shared" si="33"/>
        <v>0</v>
      </c>
      <c r="I194" s="277">
        <f t="shared" si="29"/>
        <v>0</v>
      </c>
      <c r="J194" s="359"/>
      <c r="K194" s="359" t="s">
        <v>289</v>
      </c>
      <c r="L194" s="359"/>
      <c r="M194" s="338"/>
      <c r="N194" s="89">
        <v>41033</v>
      </c>
      <c r="O194" s="359">
        <v>88</v>
      </c>
      <c r="P194" s="359" t="s">
        <v>290</v>
      </c>
      <c r="Q194" s="359"/>
      <c r="R194" s="359"/>
      <c r="S194" s="359">
        <v>20</v>
      </c>
      <c r="T194" s="359">
        <v>75</v>
      </c>
      <c r="U194" s="359">
        <v>300</v>
      </c>
      <c r="V194" s="359"/>
      <c r="W194" s="359"/>
      <c r="X194" s="359"/>
      <c r="Y194" s="359">
        <v>47</v>
      </c>
      <c r="Z194" s="359"/>
      <c r="AA194" s="210"/>
      <c r="AB194" s="248"/>
      <c r="AC194" s="359"/>
      <c r="AD194" s="359"/>
      <c r="AE194" s="359"/>
      <c r="AF194" s="359"/>
      <c r="AG194" s="153"/>
      <c r="AH194" s="346">
        <v>1341.3341717983999</v>
      </c>
      <c r="AI194" s="24"/>
      <c r="AJ194" s="24"/>
      <c r="AK194" s="24"/>
      <c r="AL194" s="24"/>
      <c r="AM194" s="359"/>
      <c r="AN194" s="24">
        <f t="shared" si="30"/>
        <v>0</v>
      </c>
      <c r="AO194" s="54">
        <f t="shared" si="31"/>
        <v>0</v>
      </c>
      <c r="AP194" s="261">
        <f t="shared" si="32"/>
        <v>0</v>
      </c>
      <c r="AQ194" s="338"/>
      <c r="AR194" s="45"/>
      <c r="AS194" s="359"/>
      <c r="AT194" s="359"/>
    </row>
    <row r="195" spans="1:46" ht="12">
      <c r="A195" s="359" t="s">
        <v>304</v>
      </c>
      <c r="B195" s="359" t="str">
        <f t="shared" ref="B195:B258" si="34">P195</f>
        <v>Glass</v>
      </c>
      <c r="C195" s="141">
        <f t="shared" ref="C195:C258" si="35">AF195</f>
        <v>0</v>
      </c>
      <c r="D195" s="277">
        <f t="shared" ref="D195:D258" si="36">AH195</f>
        <v>1424.7140826284699</v>
      </c>
      <c r="E195" s="20">
        <f t="shared" ref="E195:E258" si="37">AJ195</f>
        <v>0</v>
      </c>
      <c r="F195" s="20">
        <f t="shared" ref="F195:F258" si="38">AK195</f>
        <v>0</v>
      </c>
      <c r="G195" s="277">
        <f t="shared" ref="G195:G258" si="39">AN195</f>
        <v>0</v>
      </c>
      <c r="H195" s="3">
        <f t="shared" si="33"/>
        <v>0</v>
      </c>
      <c r="I195" s="277">
        <f t="shared" ref="I195:I258" si="40">AO195</f>
        <v>0</v>
      </c>
      <c r="J195" s="359"/>
      <c r="K195" s="359" t="s">
        <v>289</v>
      </c>
      <c r="L195" s="359"/>
      <c r="M195" s="338"/>
      <c r="N195" s="89">
        <v>41033</v>
      </c>
      <c r="O195" s="359">
        <v>88</v>
      </c>
      <c r="P195" s="359" t="s">
        <v>290</v>
      </c>
      <c r="Q195" s="359"/>
      <c r="R195" s="359"/>
      <c r="S195" s="359">
        <v>20</v>
      </c>
      <c r="T195" s="359">
        <v>75</v>
      </c>
      <c r="U195" s="359">
        <v>300</v>
      </c>
      <c r="V195" s="359"/>
      <c r="W195" s="359"/>
      <c r="X195" s="359"/>
      <c r="Y195" s="359">
        <v>47</v>
      </c>
      <c r="Z195" s="359"/>
      <c r="AA195" s="210"/>
      <c r="AB195" s="248"/>
      <c r="AC195" s="359"/>
      <c r="AD195" s="359"/>
      <c r="AE195" s="359"/>
      <c r="AF195" s="359"/>
      <c r="AG195" s="153"/>
      <c r="AH195" s="346">
        <v>1424.7140826284699</v>
      </c>
      <c r="AI195" s="24"/>
      <c r="AJ195" s="24"/>
      <c r="AK195" s="24"/>
      <c r="AL195" s="24"/>
      <c r="AM195" s="359"/>
      <c r="AN195" s="24">
        <f t="shared" ref="AN195:AN258" si="41">((AH195*AF195)/10)</f>
        <v>0</v>
      </c>
      <c r="AO195" s="54">
        <f t="shared" ref="AO195:AO258" si="42">(AF195*AH195)*AJ195</f>
        <v>0</v>
      </c>
      <c r="AP195" s="261">
        <f t="shared" ref="AP195:AP258" si="43">(AF195/T195)*60</f>
        <v>0</v>
      </c>
      <c r="AQ195" s="338"/>
      <c r="AR195" s="45"/>
      <c r="AS195" s="359"/>
      <c r="AT195" s="359"/>
    </row>
    <row r="196" spans="1:46" ht="12">
      <c r="A196" s="359" t="s">
        <v>305</v>
      </c>
      <c r="B196" s="359" t="str">
        <f t="shared" si="34"/>
        <v>Glass</v>
      </c>
      <c r="C196" s="141">
        <f t="shared" si="35"/>
        <v>0</v>
      </c>
      <c r="D196" s="277">
        <f t="shared" si="36"/>
        <v>1334.67329447103</v>
      </c>
      <c r="E196" s="20">
        <f t="shared" si="37"/>
        <v>0</v>
      </c>
      <c r="F196" s="20">
        <f t="shared" si="38"/>
        <v>0</v>
      </c>
      <c r="G196" s="277">
        <f t="shared" si="39"/>
        <v>0</v>
      </c>
      <c r="H196" s="3">
        <f t="shared" si="33"/>
        <v>0</v>
      </c>
      <c r="I196" s="277">
        <f t="shared" si="40"/>
        <v>0</v>
      </c>
      <c r="J196" s="359"/>
      <c r="K196" s="359" t="s">
        <v>289</v>
      </c>
      <c r="L196" s="359"/>
      <c r="M196" s="338"/>
      <c r="N196" s="89">
        <v>41033</v>
      </c>
      <c r="O196" s="359">
        <v>88</v>
      </c>
      <c r="P196" s="359" t="s">
        <v>290</v>
      </c>
      <c r="Q196" s="359"/>
      <c r="R196" s="359"/>
      <c r="S196" s="359">
        <v>20</v>
      </c>
      <c r="T196" s="359">
        <v>75</v>
      </c>
      <c r="U196" s="359">
        <v>300</v>
      </c>
      <c r="V196" s="359"/>
      <c r="W196" s="359"/>
      <c r="X196" s="359"/>
      <c r="Y196" s="359">
        <v>47</v>
      </c>
      <c r="Z196" s="359"/>
      <c r="AA196" s="210"/>
      <c r="AB196" s="248"/>
      <c r="AC196" s="359"/>
      <c r="AD196" s="359"/>
      <c r="AE196" s="359"/>
      <c r="AF196" s="359"/>
      <c r="AG196" s="153"/>
      <c r="AH196" s="346">
        <v>1334.67329447103</v>
      </c>
      <c r="AI196" s="24"/>
      <c r="AJ196" s="24"/>
      <c r="AK196" s="24"/>
      <c r="AL196" s="24"/>
      <c r="AM196" s="359"/>
      <c r="AN196" s="24">
        <f t="shared" si="41"/>
        <v>0</v>
      </c>
      <c r="AO196" s="54">
        <f t="shared" si="42"/>
        <v>0</v>
      </c>
      <c r="AP196" s="261">
        <f t="shared" si="43"/>
        <v>0</v>
      </c>
      <c r="AQ196" s="338"/>
      <c r="AR196" s="45"/>
      <c r="AS196" s="359"/>
      <c r="AT196" s="359"/>
    </row>
    <row r="197" spans="1:46" ht="12">
      <c r="A197" s="359" t="s">
        <v>306</v>
      </c>
      <c r="B197" s="359" t="str">
        <f t="shared" si="34"/>
        <v>Glass</v>
      </c>
      <c r="C197" s="141">
        <f t="shared" si="35"/>
        <v>0</v>
      </c>
      <c r="D197" s="277">
        <f t="shared" si="36"/>
        <v>184.95829007240499</v>
      </c>
      <c r="E197" s="20">
        <f t="shared" si="37"/>
        <v>0</v>
      </c>
      <c r="F197" s="20">
        <f t="shared" si="38"/>
        <v>0</v>
      </c>
      <c r="G197" s="277">
        <f t="shared" si="39"/>
        <v>0</v>
      </c>
      <c r="H197" s="3">
        <f t="shared" si="33"/>
        <v>0</v>
      </c>
      <c r="I197" s="277">
        <f t="shared" si="40"/>
        <v>0</v>
      </c>
      <c r="J197" s="359"/>
      <c r="K197" s="359" t="s">
        <v>289</v>
      </c>
      <c r="L197" s="359"/>
      <c r="M197" s="338"/>
      <c r="N197" s="89">
        <v>41033</v>
      </c>
      <c r="O197" s="359">
        <v>89</v>
      </c>
      <c r="P197" s="359" t="s">
        <v>290</v>
      </c>
      <c r="Q197" s="359"/>
      <c r="R197" s="359"/>
      <c r="S197" s="359">
        <v>20</v>
      </c>
      <c r="T197" s="359">
        <v>300</v>
      </c>
      <c r="U197" s="359">
        <v>300</v>
      </c>
      <c r="V197" s="359"/>
      <c r="W197" s="359"/>
      <c r="X197" s="359"/>
      <c r="Y197" s="359">
        <v>47</v>
      </c>
      <c r="Z197" s="359"/>
      <c r="AA197" s="210"/>
      <c r="AB197" s="248"/>
      <c r="AC197" s="359"/>
      <c r="AD197" s="359"/>
      <c r="AE197" s="359"/>
      <c r="AF197" s="359"/>
      <c r="AG197" s="153"/>
      <c r="AH197" s="346">
        <v>184.95829007240499</v>
      </c>
      <c r="AI197" s="24"/>
      <c r="AJ197" s="24"/>
      <c r="AK197" s="24"/>
      <c r="AL197" s="24"/>
      <c r="AM197" s="359"/>
      <c r="AN197" s="24">
        <f t="shared" si="41"/>
        <v>0</v>
      </c>
      <c r="AO197" s="54">
        <f t="shared" si="42"/>
        <v>0</v>
      </c>
      <c r="AP197" s="261">
        <f t="shared" si="43"/>
        <v>0</v>
      </c>
      <c r="AQ197" s="338"/>
      <c r="AR197" s="45"/>
      <c r="AS197" s="359"/>
      <c r="AT197" s="359"/>
    </row>
    <row r="198" spans="1:46" ht="12">
      <c r="A198" s="359" t="s">
        <v>307</v>
      </c>
      <c r="B198" s="359" t="str">
        <f t="shared" si="34"/>
        <v>Glass</v>
      </c>
      <c r="C198" s="141">
        <f t="shared" si="35"/>
        <v>0</v>
      </c>
      <c r="D198" s="277">
        <f t="shared" si="36"/>
        <v>185.790899738326</v>
      </c>
      <c r="E198" s="20">
        <f t="shared" si="37"/>
        <v>0</v>
      </c>
      <c r="F198" s="20">
        <f t="shared" si="38"/>
        <v>0</v>
      </c>
      <c r="G198" s="277">
        <f t="shared" si="39"/>
        <v>0</v>
      </c>
      <c r="H198" s="3">
        <f t="shared" si="33"/>
        <v>0</v>
      </c>
      <c r="I198" s="277">
        <f t="shared" si="40"/>
        <v>0</v>
      </c>
      <c r="J198" s="359"/>
      <c r="K198" s="359" t="s">
        <v>289</v>
      </c>
      <c r="L198" s="359"/>
      <c r="M198" s="338"/>
      <c r="N198" s="89">
        <v>41033</v>
      </c>
      <c r="O198" s="359">
        <v>89</v>
      </c>
      <c r="P198" s="359" t="s">
        <v>290</v>
      </c>
      <c r="Q198" s="359"/>
      <c r="R198" s="359"/>
      <c r="S198" s="359">
        <v>20</v>
      </c>
      <c r="T198" s="359">
        <v>300</v>
      </c>
      <c r="U198" s="359">
        <v>300</v>
      </c>
      <c r="V198" s="359"/>
      <c r="W198" s="359"/>
      <c r="X198" s="359"/>
      <c r="Y198" s="359">
        <v>47</v>
      </c>
      <c r="Z198" s="359"/>
      <c r="AA198" s="210"/>
      <c r="AB198" s="248"/>
      <c r="AC198" s="359"/>
      <c r="AD198" s="359"/>
      <c r="AE198" s="359"/>
      <c r="AF198" s="359"/>
      <c r="AG198" s="153"/>
      <c r="AH198" s="346">
        <v>185.790899738326</v>
      </c>
      <c r="AI198" s="24"/>
      <c r="AJ198" s="24"/>
      <c r="AK198" s="24"/>
      <c r="AL198" s="24"/>
      <c r="AM198" s="359"/>
      <c r="AN198" s="24">
        <f t="shared" si="41"/>
        <v>0</v>
      </c>
      <c r="AO198" s="54">
        <f t="shared" si="42"/>
        <v>0</v>
      </c>
      <c r="AP198" s="261">
        <f t="shared" si="43"/>
        <v>0</v>
      </c>
      <c r="AQ198" s="338"/>
      <c r="AR198" s="45"/>
      <c r="AS198" s="359"/>
      <c r="AT198" s="359"/>
    </row>
    <row r="199" spans="1:46" ht="12">
      <c r="A199" s="359" t="s">
        <v>308</v>
      </c>
      <c r="B199" s="359" t="str">
        <f t="shared" si="34"/>
        <v>Glass</v>
      </c>
      <c r="C199" s="141">
        <f t="shared" si="35"/>
        <v>0</v>
      </c>
      <c r="D199" s="277">
        <f t="shared" si="36"/>
        <v>185.077234310394</v>
      </c>
      <c r="E199" s="20">
        <f t="shared" si="37"/>
        <v>0</v>
      </c>
      <c r="F199" s="20">
        <f t="shared" si="38"/>
        <v>0</v>
      </c>
      <c r="G199" s="277">
        <f t="shared" si="39"/>
        <v>0</v>
      </c>
      <c r="H199" s="3">
        <f t="shared" si="33"/>
        <v>0</v>
      </c>
      <c r="I199" s="277">
        <f t="shared" si="40"/>
        <v>0</v>
      </c>
      <c r="J199" s="359"/>
      <c r="K199" s="359" t="s">
        <v>289</v>
      </c>
      <c r="L199" s="359"/>
      <c r="M199" s="338"/>
      <c r="N199" s="89">
        <v>41033</v>
      </c>
      <c r="O199" s="359">
        <v>89</v>
      </c>
      <c r="P199" s="359" t="s">
        <v>290</v>
      </c>
      <c r="Q199" s="359"/>
      <c r="R199" s="359"/>
      <c r="S199" s="359">
        <v>20</v>
      </c>
      <c r="T199" s="359">
        <v>300</v>
      </c>
      <c r="U199" s="359">
        <v>300</v>
      </c>
      <c r="V199" s="359"/>
      <c r="W199" s="359"/>
      <c r="X199" s="359"/>
      <c r="Y199" s="359">
        <v>47</v>
      </c>
      <c r="Z199" s="359"/>
      <c r="AA199" s="210"/>
      <c r="AB199" s="248"/>
      <c r="AC199" s="359"/>
      <c r="AD199" s="359"/>
      <c r="AE199" s="359"/>
      <c r="AF199" s="359"/>
      <c r="AG199" s="153"/>
      <c r="AH199" s="346">
        <v>185.077234310394</v>
      </c>
      <c r="AI199" s="24"/>
      <c r="AJ199" s="24"/>
      <c r="AK199" s="24"/>
      <c r="AL199" s="24"/>
      <c r="AM199" s="359"/>
      <c r="AN199" s="24">
        <f t="shared" si="41"/>
        <v>0</v>
      </c>
      <c r="AO199" s="54">
        <f t="shared" si="42"/>
        <v>0</v>
      </c>
      <c r="AP199" s="261">
        <f t="shared" si="43"/>
        <v>0</v>
      </c>
      <c r="AQ199" s="338"/>
      <c r="AR199" s="45"/>
      <c r="AS199" s="359"/>
      <c r="AT199" s="359"/>
    </row>
    <row r="200" spans="1:46" ht="12">
      <c r="A200" s="359" t="s">
        <v>309</v>
      </c>
      <c r="B200" s="359" t="str">
        <f t="shared" si="34"/>
        <v>Glass</v>
      </c>
      <c r="C200" s="141">
        <f t="shared" si="35"/>
        <v>0</v>
      </c>
      <c r="D200" s="277">
        <f t="shared" si="36"/>
        <v>191.024446209828</v>
      </c>
      <c r="E200" s="20">
        <f t="shared" si="37"/>
        <v>10.3</v>
      </c>
      <c r="F200" s="20">
        <f t="shared" si="38"/>
        <v>0</v>
      </c>
      <c r="G200" s="277">
        <f t="shared" si="39"/>
        <v>0</v>
      </c>
      <c r="H200" s="3">
        <f t="shared" si="33"/>
        <v>0.79800000000000004</v>
      </c>
      <c r="I200" s="277">
        <f t="shared" si="40"/>
        <v>0</v>
      </c>
      <c r="J200" s="359" t="s">
        <v>310</v>
      </c>
      <c r="K200" s="359" t="s">
        <v>289</v>
      </c>
      <c r="L200" s="359"/>
      <c r="M200" s="338"/>
      <c r="N200" s="89">
        <v>41033</v>
      </c>
      <c r="O200" s="359">
        <v>89</v>
      </c>
      <c r="P200" s="359" t="s">
        <v>290</v>
      </c>
      <c r="Q200" s="359"/>
      <c r="R200" s="359"/>
      <c r="S200" s="359">
        <v>20</v>
      </c>
      <c r="T200" s="359">
        <v>300</v>
      </c>
      <c r="U200" s="359">
        <v>300</v>
      </c>
      <c r="V200" s="359"/>
      <c r="W200" s="359"/>
      <c r="X200" s="359"/>
      <c r="Y200" s="359">
        <v>47</v>
      </c>
      <c r="Z200" s="359"/>
      <c r="AA200" s="210"/>
      <c r="AB200" s="248"/>
      <c r="AC200" s="359"/>
      <c r="AD200" s="359"/>
      <c r="AE200" s="359"/>
      <c r="AF200" s="359"/>
      <c r="AG200" s="153"/>
      <c r="AH200" s="346">
        <v>191.024446209828</v>
      </c>
      <c r="AI200" s="24"/>
      <c r="AJ200" s="24">
        <v>10.3</v>
      </c>
      <c r="AK200" s="24"/>
      <c r="AL200" s="24">
        <v>0.79800000000000004</v>
      </c>
      <c r="AM200" s="359" t="s">
        <v>156</v>
      </c>
      <c r="AN200" s="24">
        <f t="shared" si="41"/>
        <v>0</v>
      </c>
      <c r="AO200" s="54">
        <f t="shared" si="42"/>
        <v>0</v>
      </c>
      <c r="AP200" s="261">
        <f t="shared" si="43"/>
        <v>0</v>
      </c>
      <c r="AQ200" s="338"/>
      <c r="AR200" s="45"/>
      <c r="AS200" s="359"/>
      <c r="AT200" s="359"/>
    </row>
    <row r="201" spans="1:46" ht="12">
      <c r="A201" s="359" t="s">
        <v>311</v>
      </c>
      <c r="B201" s="359" t="str">
        <f t="shared" si="34"/>
        <v>Glass</v>
      </c>
      <c r="C201" s="141">
        <f t="shared" si="35"/>
        <v>0</v>
      </c>
      <c r="D201" s="277">
        <f t="shared" si="36"/>
        <v>12565.982966552599</v>
      </c>
      <c r="E201" s="20">
        <f t="shared" si="37"/>
        <v>0</v>
      </c>
      <c r="F201" s="20">
        <f t="shared" si="38"/>
        <v>0</v>
      </c>
      <c r="G201" s="277">
        <f t="shared" si="39"/>
        <v>0</v>
      </c>
      <c r="H201" s="3">
        <f t="shared" si="33"/>
        <v>0</v>
      </c>
      <c r="I201" s="277">
        <f t="shared" si="40"/>
        <v>0</v>
      </c>
      <c r="J201" s="359"/>
      <c r="K201" s="359" t="s">
        <v>289</v>
      </c>
      <c r="L201" s="359"/>
      <c r="M201" s="338"/>
      <c r="N201" s="89">
        <v>41035</v>
      </c>
      <c r="O201" s="359">
        <v>91</v>
      </c>
      <c r="P201" s="359" t="s">
        <v>290</v>
      </c>
      <c r="Q201" s="359"/>
      <c r="R201" s="359"/>
      <c r="S201" s="359">
        <v>20</v>
      </c>
      <c r="T201" s="359">
        <v>50</v>
      </c>
      <c r="U201" s="359">
        <v>300</v>
      </c>
      <c r="V201" s="359"/>
      <c r="W201" s="359"/>
      <c r="X201" s="359"/>
      <c r="Y201" s="359">
        <v>47</v>
      </c>
      <c r="Z201" s="359"/>
      <c r="AA201" s="210"/>
      <c r="AB201" s="248"/>
      <c r="AC201" s="359"/>
      <c r="AD201" s="359"/>
      <c r="AE201" s="359"/>
      <c r="AF201" s="359"/>
      <c r="AG201" s="153"/>
      <c r="AH201" s="346">
        <v>12565.982966552599</v>
      </c>
      <c r="AI201" s="24"/>
      <c r="AJ201" s="24"/>
      <c r="AK201" s="24"/>
      <c r="AL201" s="24"/>
      <c r="AM201" s="359"/>
      <c r="AN201" s="24">
        <f t="shared" si="41"/>
        <v>0</v>
      </c>
      <c r="AO201" s="54">
        <f t="shared" si="42"/>
        <v>0</v>
      </c>
      <c r="AP201" s="261">
        <f t="shared" si="43"/>
        <v>0</v>
      </c>
      <c r="AQ201" s="338"/>
      <c r="AR201" s="45"/>
      <c r="AS201" s="359"/>
      <c r="AT201" s="359"/>
    </row>
    <row r="202" spans="1:46" ht="12">
      <c r="A202" s="359" t="s">
        <v>312</v>
      </c>
      <c r="B202" s="359" t="str">
        <f t="shared" si="34"/>
        <v>Glass</v>
      </c>
      <c r="C202" s="141">
        <f t="shared" si="35"/>
        <v>0</v>
      </c>
      <c r="D202" s="277">
        <f t="shared" si="36"/>
        <v>10977.720556689699</v>
      </c>
      <c r="E202" s="20">
        <f t="shared" si="37"/>
        <v>0</v>
      </c>
      <c r="F202" s="20">
        <f t="shared" si="38"/>
        <v>0</v>
      </c>
      <c r="G202" s="277">
        <f t="shared" si="39"/>
        <v>0</v>
      </c>
      <c r="H202" s="3">
        <f t="shared" si="33"/>
        <v>0</v>
      </c>
      <c r="I202" s="277">
        <f t="shared" si="40"/>
        <v>0</v>
      </c>
      <c r="J202" s="359"/>
      <c r="K202" s="359" t="s">
        <v>289</v>
      </c>
      <c r="L202" s="359"/>
      <c r="M202" s="338"/>
      <c r="N202" s="89">
        <v>41035</v>
      </c>
      <c r="O202" s="359">
        <v>91</v>
      </c>
      <c r="P202" s="359" t="s">
        <v>290</v>
      </c>
      <c r="Q202" s="359"/>
      <c r="R202" s="359"/>
      <c r="S202" s="359">
        <v>20</v>
      </c>
      <c r="T202" s="359">
        <v>50</v>
      </c>
      <c r="U202" s="359">
        <v>300</v>
      </c>
      <c r="V202" s="359"/>
      <c r="W202" s="359"/>
      <c r="X202" s="359"/>
      <c r="Y202" s="359">
        <v>47</v>
      </c>
      <c r="Z202" s="359"/>
      <c r="AA202" s="210"/>
      <c r="AB202" s="248"/>
      <c r="AC202" s="359"/>
      <c r="AD202" s="359"/>
      <c r="AE202" s="359"/>
      <c r="AF202" s="359"/>
      <c r="AG202" s="153"/>
      <c r="AH202" s="346">
        <v>10977.720556689699</v>
      </c>
      <c r="AI202" s="24"/>
      <c r="AJ202" s="24"/>
      <c r="AK202" s="24"/>
      <c r="AL202" s="24"/>
      <c r="AM202" s="359"/>
      <c r="AN202" s="24">
        <f t="shared" si="41"/>
        <v>0</v>
      </c>
      <c r="AO202" s="54">
        <f t="shared" si="42"/>
        <v>0</v>
      </c>
      <c r="AP202" s="261">
        <f t="shared" si="43"/>
        <v>0</v>
      </c>
      <c r="AQ202" s="338"/>
      <c r="AR202" s="45"/>
      <c r="AS202" s="359"/>
      <c r="AT202" s="359"/>
    </row>
    <row r="203" spans="1:46" ht="12">
      <c r="A203" s="359" t="s">
        <v>313</v>
      </c>
      <c r="B203" s="359" t="str">
        <f t="shared" si="34"/>
        <v>Glass</v>
      </c>
      <c r="C203" s="141">
        <f t="shared" si="35"/>
        <v>0</v>
      </c>
      <c r="D203" s="277">
        <f t="shared" si="36"/>
        <v>14943.083562756499</v>
      </c>
      <c r="E203" s="20">
        <f t="shared" si="37"/>
        <v>0</v>
      </c>
      <c r="F203" s="20">
        <f t="shared" si="38"/>
        <v>0</v>
      </c>
      <c r="G203" s="277">
        <f t="shared" si="39"/>
        <v>0</v>
      </c>
      <c r="H203" s="3">
        <f t="shared" si="33"/>
        <v>0</v>
      </c>
      <c r="I203" s="277">
        <f t="shared" si="40"/>
        <v>0</v>
      </c>
      <c r="J203" s="359"/>
      <c r="K203" s="359" t="s">
        <v>289</v>
      </c>
      <c r="L203" s="359"/>
      <c r="M203" s="338"/>
      <c r="N203" s="89">
        <v>41035</v>
      </c>
      <c r="O203" s="359">
        <v>91</v>
      </c>
      <c r="P203" s="359" t="s">
        <v>290</v>
      </c>
      <c r="Q203" s="359"/>
      <c r="R203" s="359"/>
      <c r="S203" s="359">
        <v>20</v>
      </c>
      <c r="T203" s="359">
        <v>50</v>
      </c>
      <c r="U203" s="359">
        <v>300</v>
      </c>
      <c r="V203" s="359"/>
      <c r="W203" s="359"/>
      <c r="X203" s="359"/>
      <c r="Y203" s="359">
        <v>47</v>
      </c>
      <c r="Z203" s="359"/>
      <c r="AA203" s="210"/>
      <c r="AB203" s="248"/>
      <c r="AC203" s="359"/>
      <c r="AD203" s="359"/>
      <c r="AE203" s="359"/>
      <c r="AF203" s="359"/>
      <c r="AG203" s="153"/>
      <c r="AH203" s="346">
        <v>14943.083562756499</v>
      </c>
      <c r="AI203" s="24"/>
      <c r="AJ203" s="24"/>
      <c r="AK203" s="24"/>
      <c r="AL203" s="24"/>
      <c r="AM203" s="359"/>
      <c r="AN203" s="24">
        <f t="shared" si="41"/>
        <v>0</v>
      </c>
      <c r="AO203" s="54">
        <f t="shared" si="42"/>
        <v>0</v>
      </c>
      <c r="AP203" s="261">
        <f t="shared" si="43"/>
        <v>0</v>
      </c>
      <c r="AQ203" s="338"/>
      <c r="AR203" s="45"/>
      <c r="AS203" s="359"/>
      <c r="AT203" s="359"/>
    </row>
    <row r="204" spans="1:46" ht="12">
      <c r="A204" s="359" t="s">
        <v>314</v>
      </c>
      <c r="B204" s="359" t="str">
        <f t="shared" si="34"/>
        <v>Glass</v>
      </c>
      <c r="C204" s="141">
        <f t="shared" si="35"/>
        <v>0</v>
      </c>
      <c r="D204" s="277">
        <f t="shared" si="36"/>
        <v>14734.0985366104</v>
      </c>
      <c r="E204" s="20">
        <f t="shared" si="37"/>
        <v>0</v>
      </c>
      <c r="F204" s="20">
        <f t="shared" si="38"/>
        <v>0</v>
      </c>
      <c r="G204" s="277">
        <f t="shared" si="39"/>
        <v>0</v>
      </c>
      <c r="H204" s="3">
        <f t="shared" si="33"/>
        <v>0</v>
      </c>
      <c r="I204" s="277">
        <f t="shared" si="40"/>
        <v>0</v>
      </c>
      <c r="J204" s="359"/>
      <c r="K204" s="359" t="s">
        <v>289</v>
      </c>
      <c r="L204" s="359"/>
      <c r="M204" s="338"/>
      <c r="N204" s="89">
        <v>41035</v>
      </c>
      <c r="O204" s="359">
        <v>91</v>
      </c>
      <c r="P204" s="359" t="s">
        <v>290</v>
      </c>
      <c r="Q204" s="359"/>
      <c r="R204" s="359"/>
      <c r="S204" s="359">
        <v>20</v>
      </c>
      <c r="T204" s="359">
        <v>50</v>
      </c>
      <c r="U204" s="359">
        <v>300</v>
      </c>
      <c r="V204" s="359"/>
      <c r="W204" s="359"/>
      <c r="X204" s="359"/>
      <c r="Y204" s="359">
        <v>47</v>
      </c>
      <c r="Z204" s="359"/>
      <c r="AA204" s="210"/>
      <c r="AB204" s="248"/>
      <c r="AC204" s="359"/>
      <c r="AD204" s="359"/>
      <c r="AE204" s="359"/>
      <c r="AF204" s="359"/>
      <c r="AG204" s="153"/>
      <c r="AH204" s="346">
        <v>14734.0985366104</v>
      </c>
      <c r="AI204" s="24"/>
      <c r="AJ204" s="24"/>
      <c r="AK204" s="24"/>
      <c r="AL204" s="24"/>
      <c r="AM204" s="359"/>
      <c r="AN204" s="24">
        <f t="shared" si="41"/>
        <v>0</v>
      </c>
      <c r="AO204" s="54">
        <f t="shared" si="42"/>
        <v>0</v>
      </c>
      <c r="AP204" s="261">
        <f t="shared" si="43"/>
        <v>0</v>
      </c>
      <c r="AQ204" s="338"/>
      <c r="AR204" s="45"/>
      <c r="AS204" s="359"/>
      <c r="AT204" s="359"/>
    </row>
    <row r="205" spans="1:46" ht="12">
      <c r="A205" s="359" t="s">
        <v>315</v>
      </c>
      <c r="B205" s="359" t="str">
        <f t="shared" si="34"/>
        <v>Glass</v>
      </c>
      <c r="C205" s="141">
        <f t="shared" si="35"/>
        <v>0</v>
      </c>
      <c r="D205" s="277">
        <f t="shared" si="36"/>
        <v>1620.0205214058899</v>
      </c>
      <c r="E205" s="20">
        <f t="shared" si="37"/>
        <v>0</v>
      </c>
      <c r="F205" s="20">
        <f t="shared" si="38"/>
        <v>0</v>
      </c>
      <c r="G205" s="277">
        <f t="shared" si="39"/>
        <v>0</v>
      </c>
      <c r="H205" s="3">
        <f t="shared" si="33"/>
        <v>0</v>
      </c>
      <c r="I205" s="277">
        <f t="shared" si="40"/>
        <v>0</v>
      </c>
      <c r="J205" s="359"/>
      <c r="K205" s="359" t="s">
        <v>289</v>
      </c>
      <c r="L205" s="359"/>
      <c r="M205" s="338"/>
      <c r="N205" s="89">
        <v>41035</v>
      </c>
      <c r="O205" s="359">
        <v>92</v>
      </c>
      <c r="P205" s="359" t="s">
        <v>290</v>
      </c>
      <c r="Q205" s="359"/>
      <c r="R205" s="359"/>
      <c r="S205" s="359">
        <v>20</v>
      </c>
      <c r="T205" s="359">
        <v>100</v>
      </c>
      <c r="U205" s="359">
        <v>300</v>
      </c>
      <c r="V205" s="359"/>
      <c r="W205" s="359"/>
      <c r="X205" s="359"/>
      <c r="Y205" s="359">
        <v>47</v>
      </c>
      <c r="Z205" s="359"/>
      <c r="AA205" s="210"/>
      <c r="AB205" s="248"/>
      <c r="AC205" s="359"/>
      <c r="AD205" s="359"/>
      <c r="AE205" s="359"/>
      <c r="AF205" s="359"/>
      <c r="AG205" s="153"/>
      <c r="AH205" s="346">
        <v>1620.0205214058899</v>
      </c>
      <c r="AI205" s="24"/>
      <c r="AJ205" s="24"/>
      <c r="AK205" s="24"/>
      <c r="AL205" s="24"/>
      <c r="AM205" s="359"/>
      <c r="AN205" s="24">
        <f t="shared" si="41"/>
        <v>0</v>
      </c>
      <c r="AO205" s="54">
        <f t="shared" si="42"/>
        <v>0</v>
      </c>
      <c r="AP205" s="261">
        <f t="shared" si="43"/>
        <v>0</v>
      </c>
      <c r="AQ205" s="338"/>
      <c r="AR205" s="45"/>
      <c r="AS205" s="359"/>
      <c r="AT205" s="359"/>
    </row>
    <row r="206" spans="1:46" ht="12">
      <c r="A206" s="359" t="s">
        <v>316</v>
      </c>
      <c r="B206" s="359" t="str">
        <f t="shared" si="34"/>
        <v>Glass</v>
      </c>
      <c r="C206" s="141">
        <f t="shared" si="35"/>
        <v>0</v>
      </c>
      <c r="D206" s="277">
        <f t="shared" si="36"/>
        <v>1644.99881138351</v>
      </c>
      <c r="E206" s="20">
        <f t="shared" si="37"/>
        <v>0</v>
      </c>
      <c r="F206" s="20">
        <f t="shared" si="38"/>
        <v>0</v>
      </c>
      <c r="G206" s="277">
        <f t="shared" si="39"/>
        <v>0</v>
      </c>
      <c r="H206" s="3">
        <f t="shared" si="33"/>
        <v>0</v>
      </c>
      <c r="I206" s="277">
        <f t="shared" si="40"/>
        <v>0</v>
      </c>
      <c r="J206" s="359"/>
      <c r="K206" s="359" t="s">
        <v>289</v>
      </c>
      <c r="L206" s="359"/>
      <c r="M206" s="338"/>
      <c r="N206" s="89">
        <v>41035</v>
      </c>
      <c r="O206" s="359">
        <v>92</v>
      </c>
      <c r="P206" s="359" t="s">
        <v>290</v>
      </c>
      <c r="Q206" s="359"/>
      <c r="R206" s="359"/>
      <c r="S206" s="359">
        <v>20</v>
      </c>
      <c r="T206" s="359">
        <v>100</v>
      </c>
      <c r="U206" s="359">
        <v>300</v>
      </c>
      <c r="V206" s="359"/>
      <c r="W206" s="359"/>
      <c r="X206" s="359"/>
      <c r="Y206" s="359">
        <v>47</v>
      </c>
      <c r="Z206" s="359"/>
      <c r="AA206" s="210"/>
      <c r="AB206" s="248"/>
      <c r="AC206" s="359"/>
      <c r="AD206" s="359"/>
      <c r="AE206" s="359"/>
      <c r="AF206" s="359"/>
      <c r="AG206" s="153"/>
      <c r="AH206" s="346">
        <v>1644.99881138351</v>
      </c>
      <c r="AI206" s="24"/>
      <c r="AJ206" s="24"/>
      <c r="AK206" s="24"/>
      <c r="AL206" s="24"/>
      <c r="AM206" s="359"/>
      <c r="AN206" s="24">
        <f t="shared" si="41"/>
        <v>0</v>
      </c>
      <c r="AO206" s="54">
        <f t="shared" si="42"/>
        <v>0</v>
      </c>
      <c r="AP206" s="261">
        <f t="shared" si="43"/>
        <v>0</v>
      </c>
      <c r="AQ206" s="338"/>
      <c r="AR206" s="45"/>
      <c r="AS206" s="359"/>
      <c r="AT206" s="359"/>
    </row>
    <row r="207" spans="1:46" ht="12">
      <c r="A207" s="359" t="s">
        <v>317</v>
      </c>
      <c r="B207" s="359" t="str">
        <f t="shared" si="34"/>
        <v>Glass</v>
      </c>
      <c r="C207" s="141">
        <f t="shared" si="35"/>
        <v>0</v>
      </c>
      <c r="D207" s="277">
        <f t="shared" si="36"/>
        <v>1570.6586626405899</v>
      </c>
      <c r="E207" s="20">
        <f t="shared" si="37"/>
        <v>0</v>
      </c>
      <c r="F207" s="20">
        <f t="shared" si="38"/>
        <v>0</v>
      </c>
      <c r="G207" s="277">
        <f t="shared" si="39"/>
        <v>0</v>
      </c>
      <c r="H207" s="3">
        <f t="shared" si="33"/>
        <v>0</v>
      </c>
      <c r="I207" s="277">
        <f t="shared" si="40"/>
        <v>0</v>
      </c>
      <c r="J207" s="359"/>
      <c r="K207" s="359" t="s">
        <v>289</v>
      </c>
      <c r="L207" s="359"/>
      <c r="M207" s="338"/>
      <c r="N207" s="89">
        <v>41035</v>
      </c>
      <c r="O207" s="359">
        <v>92</v>
      </c>
      <c r="P207" s="359" t="s">
        <v>290</v>
      </c>
      <c r="Q207" s="359"/>
      <c r="R207" s="359"/>
      <c r="S207" s="359">
        <v>20</v>
      </c>
      <c r="T207" s="359">
        <v>100</v>
      </c>
      <c r="U207" s="359">
        <v>300</v>
      </c>
      <c r="V207" s="359"/>
      <c r="W207" s="359"/>
      <c r="X207" s="359"/>
      <c r="Y207" s="359">
        <v>47</v>
      </c>
      <c r="Z207" s="359"/>
      <c r="AA207" s="210"/>
      <c r="AB207" s="248"/>
      <c r="AC207" s="359"/>
      <c r="AD207" s="359"/>
      <c r="AE207" s="359"/>
      <c r="AF207" s="359"/>
      <c r="AG207" s="153"/>
      <c r="AH207" s="346">
        <v>1570.6586626405899</v>
      </c>
      <c r="AI207" s="24"/>
      <c r="AJ207" s="24"/>
      <c r="AK207" s="24"/>
      <c r="AL207" s="24"/>
      <c r="AM207" s="359"/>
      <c r="AN207" s="24">
        <f t="shared" si="41"/>
        <v>0</v>
      </c>
      <c r="AO207" s="54">
        <f t="shared" si="42"/>
        <v>0</v>
      </c>
      <c r="AP207" s="261">
        <f t="shared" si="43"/>
        <v>0</v>
      </c>
      <c r="AQ207" s="338"/>
      <c r="AR207" s="45"/>
      <c r="AS207" s="359"/>
      <c r="AT207" s="359"/>
    </row>
    <row r="208" spans="1:46" ht="12">
      <c r="A208" s="359" t="s">
        <v>318</v>
      </c>
      <c r="B208" s="359" t="str">
        <f t="shared" si="34"/>
        <v>Glass</v>
      </c>
      <c r="C208" s="141">
        <f t="shared" si="35"/>
        <v>0</v>
      </c>
      <c r="D208" s="277">
        <f t="shared" si="36"/>
        <v>1582.43414220147</v>
      </c>
      <c r="E208" s="20">
        <f t="shared" si="37"/>
        <v>0</v>
      </c>
      <c r="F208" s="20">
        <f t="shared" si="38"/>
        <v>0</v>
      </c>
      <c r="G208" s="277">
        <f t="shared" si="39"/>
        <v>0</v>
      </c>
      <c r="H208" s="3">
        <f t="shared" si="33"/>
        <v>0</v>
      </c>
      <c r="I208" s="277">
        <f t="shared" si="40"/>
        <v>0</v>
      </c>
      <c r="J208" s="359"/>
      <c r="K208" s="359" t="s">
        <v>289</v>
      </c>
      <c r="L208" s="359"/>
      <c r="M208" s="338"/>
      <c r="N208" s="89">
        <v>41035</v>
      </c>
      <c r="O208" s="359">
        <v>92</v>
      </c>
      <c r="P208" s="359" t="s">
        <v>290</v>
      </c>
      <c r="Q208" s="359"/>
      <c r="R208" s="359"/>
      <c r="S208" s="359">
        <v>20</v>
      </c>
      <c r="T208" s="359">
        <v>100</v>
      </c>
      <c r="U208" s="359">
        <v>300</v>
      </c>
      <c r="V208" s="359"/>
      <c r="W208" s="359"/>
      <c r="X208" s="359"/>
      <c r="Y208" s="359">
        <v>47</v>
      </c>
      <c r="Z208" s="359"/>
      <c r="AA208" s="210"/>
      <c r="AB208" s="248"/>
      <c r="AC208" s="359"/>
      <c r="AD208" s="359"/>
      <c r="AE208" s="359"/>
      <c r="AF208" s="359"/>
      <c r="AG208" s="153"/>
      <c r="AH208" s="346">
        <v>1582.43414220147</v>
      </c>
      <c r="AI208" s="24"/>
      <c r="AJ208" s="24"/>
      <c r="AK208" s="24"/>
      <c r="AL208" s="24"/>
      <c r="AM208" s="359"/>
      <c r="AN208" s="24">
        <f t="shared" si="41"/>
        <v>0</v>
      </c>
      <c r="AO208" s="54">
        <f t="shared" si="42"/>
        <v>0</v>
      </c>
      <c r="AP208" s="261">
        <f t="shared" si="43"/>
        <v>0</v>
      </c>
      <c r="AQ208" s="338"/>
      <c r="AR208" s="45"/>
      <c r="AS208" s="359"/>
      <c r="AT208" s="359"/>
    </row>
    <row r="209" spans="1:46" ht="12">
      <c r="A209" s="359" t="s">
        <v>319</v>
      </c>
      <c r="B209" s="359" t="str">
        <f t="shared" si="34"/>
        <v>Glass</v>
      </c>
      <c r="C209" s="141">
        <f t="shared" si="35"/>
        <v>0</v>
      </c>
      <c r="D209" s="277">
        <f t="shared" si="36"/>
        <v>780.03631272979601</v>
      </c>
      <c r="E209" s="20">
        <f t="shared" si="37"/>
        <v>0</v>
      </c>
      <c r="F209" s="20">
        <f t="shared" si="38"/>
        <v>0</v>
      </c>
      <c r="G209" s="277">
        <f t="shared" si="39"/>
        <v>0</v>
      </c>
      <c r="H209" s="3">
        <f t="shared" si="33"/>
        <v>0</v>
      </c>
      <c r="I209" s="277">
        <f t="shared" si="40"/>
        <v>0</v>
      </c>
      <c r="J209" s="359"/>
      <c r="K209" s="359" t="s">
        <v>289</v>
      </c>
      <c r="L209" s="359"/>
      <c r="M209" s="338"/>
      <c r="N209" s="89">
        <v>41035</v>
      </c>
      <c r="O209" s="359">
        <v>93</v>
      </c>
      <c r="P209" s="359" t="s">
        <v>290</v>
      </c>
      <c r="Q209" s="359"/>
      <c r="R209" s="359"/>
      <c r="S209" s="359">
        <v>20</v>
      </c>
      <c r="T209" s="359">
        <v>150</v>
      </c>
      <c r="U209" s="359">
        <v>300</v>
      </c>
      <c r="V209" s="359"/>
      <c r="W209" s="359"/>
      <c r="X209" s="359"/>
      <c r="Y209" s="359">
        <v>47</v>
      </c>
      <c r="Z209" s="359"/>
      <c r="AA209" s="210"/>
      <c r="AB209" s="248"/>
      <c r="AC209" s="359"/>
      <c r="AD209" s="359"/>
      <c r="AE209" s="359"/>
      <c r="AF209" s="359"/>
      <c r="AG209" s="153"/>
      <c r="AH209" s="346">
        <v>780.03631272979601</v>
      </c>
      <c r="AI209" s="24"/>
      <c r="AJ209" s="24"/>
      <c r="AK209" s="24"/>
      <c r="AL209" s="24"/>
      <c r="AM209" s="359"/>
      <c r="AN209" s="24">
        <f t="shared" si="41"/>
        <v>0</v>
      </c>
      <c r="AO209" s="54">
        <f t="shared" si="42"/>
        <v>0</v>
      </c>
      <c r="AP209" s="261">
        <f t="shared" si="43"/>
        <v>0</v>
      </c>
      <c r="AQ209" s="338"/>
      <c r="AR209" s="45"/>
      <c r="AS209" s="359"/>
      <c r="AT209" s="359"/>
    </row>
    <row r="210" spans="1:46" ht="12">
      <c r="A210" s="359" t="s">
        <v>320</v>
      </c>
      <c r="B210" s="359" t="str">
        <f t="shared" si="34"/>
        <v>Glass</v>
      </c>
      <c r="C210" s="141">
        <f t="shared" si="35"/>
        <v>0</v>
      </c>
      <c r="D210" s="277">
        <f t="shared" si="36"/>
        <v>784.43724953537696</v>
      </c>
      <c r="E210" s="20">
        <f t="shared" si="37"/>
        <v>0</v>
      </c>
      <c r="F210" s="20">
        <f t="shared" si="38"/>
        <v>0</v>
      </c>
      <c r="G210" s="277">
        <f t="shared" si="39"/>
        <v>0</v>
      </c>
      <c r="H210" s="3">
        <f t="shared" si="33"/>
        <v>0</v>
      </c>
      <c r="I210" s="277">
        <f t="shared" si="40"/>
        <v>0</v>
      </c>
      <c r="J210" s="359"/>
      <c r="K210" s="359" t="s">
        <v>289</v>
      </c>
      <c r="L210" s="359"/>
      <c r="M210" s="338"/>
      <c r="N210" s="89">
        <v>41035</v>
      </c>
      <c r="O210" s="359">
        <v>93</v>
      </c>
      <c r="P210" s="359" t="s">
        <v>290</v>
      </c>
      <c r="Q210" s="359"/>
      <c r="R210" s="359"/>
      <c r="S210" s="359">
        <v>20</v>
      </c>
      <c r="T210" s="359">
        <v>150</v>
      </c>
      <c r="U210" s="359">
        <v>300</v>
      </c>
      <c r="V210" s="359"/>
      <c r="W210" s="359"/>
      <c r="X210" s="359"/>
      <c r="Y210" s="359">
        <v>47</v>
      </c>
      <c r="Z210" s="359"/>
      <c r="AA210" s="210"/>
      <c r="AB210" s="248"/>
      <c r="AC210" s="359"/>
      <c r="AD210" s="359"/>
      <c r="AE210" s="359"/>
      <c r="AF210" s="359"/>
      <c r="AG210" s="153"/>
      <c r="AH210" s="346">
        <v>784.43724953537696</v>
      </c>
      <c r="AI210" s="24"/>
      <c r="AJ210" s="24"/>
      <c r="AK210" s="24"/>
      <c r="AL210" s="24"/>
      <c r="AM210" s="359"/>
      <c r="AN210" s="24">
        <f t="shared" si="41"/>
        <v>0</v>
      </c>
      <c r="AO210" s="54">
        <f t="shared" si="42"/>
        <v>0</v>
      </c>
      <c r="AP210" s="261">
        <f t="shared" si="43"/>
        <v>0</v>
      </c>
      <c r="AQ210" s="338"/>
      <c r="AR210" s="45"/>
      <c r="AS210" s="359"/>
      <c r="AT210" s="359"/>
    </row>
    <row r="211" spans="1:46" ht="12">
      <c r="A211" s="359" t="s">
        <v>321</v>
      </c>
      <c r="B211" s="359" t="str">
        <f t="shared" si="34"/>
        <v>Glass</v>
      </c>
      <c r="C211" s="141">
        <f t="shared" si="35"/>
        <v>0</v>
      </c>
      <c r="D211" s="277">
        <f t="shared" si="36"/>
        <v>764.09778483931302</v>
      </c>
      <c r="E211" s="20">
        <f t="shared" si="37"/>
        <v>0</v>
      </c>
      <c r="F211" s="20">
        <f t="shared" si="38"/>
        <v>0</v>
      </c>
      <c r="G211" s="277">
        <f t="shared" si="39"/>
        <v>0</v>
      </c>
      <c r="H211" s="3">
        <f t="shared" si="33"/>
        <v>0</v>
      </c>
      <c r="I211" s="277">
        <f t="shared" si="40"/>
        <v>0</v>
      </c>
      <c r="J211" s="359"/>
      <c r="K211" s="359" t="s">
        <v>289</v>
      </c>
      <c r="L211" s="359"/>
      <c r="M211" s="338"/>
      <c r="N211" s="89">
        <v>41035</v>
      </c>
      <c r="O211" s="359">
        <v>93</v>
      </c>
      <c r="P211" s="359" t="s">
        <v>290</v>
      </c>
      <c r="Q211" s="359"/>
      <c r="R211" s="359"/>
      <c r="S211" s="359">
        <v>20</v>
      </c>
      <c r="T211" s="359">
        <v>150</v>
      </c>
      <c r="U211" s="359">
        <v>300</v>
      </c>
      <c r="V211" s="359"/>
      <c r="W211" s="359"/>
      <c r="X211" s="359"/>
      <c r="Y211" s="359">
        <v>47</v>
      </c>
      <c r="Z211" s="359"/>
      <c r="AA211" s="210"/>
      <c r="AB211" s="248"/>
      <c r="AC211" s="359"/>
      <c r="AD211" s="359"/>
      <c r="AE211" s="359"/>
      <c r="AF211" s="359"/>
      <c r="AG211" s="153"/>
      <c r="AH211" s="346">
        <v>764.09778483931302</v>
      </c>
      <c r="AI211" s="24"/>
      <c r="AJ211" s="24"/>
      <c r="AK211" s="24"/>
      <c r="AL211" s="24"/>
      <c r="AM211" s="359"/>
      <c r="AN211" s="24">
        <f t="shared" si="41"/>
        <v>0</v>
      </c>
      <c r="AO211" s="54">
        <f t="shared" si="42"/>
        <v>0</v>
      </c>
      <c r="AP211" s="261">
        <f t="shared" si="43"/>
        <v>0</v>
      </c>
      <c r="AQ211" s="338"/>
      <c r="AR211" s="45"/>
      <c r="AS211" s="359"/>
      <c r="AT211" s="359"/>
    </row>
    <row r="212" spans="1:46" ht="12">
      <c r="A212" s="359" t="s">
        <v>322</v>
      </c>
      <c r="B212" s="359" t="str">
        <f t="shared" si="34"/>
        <v>Glass</v>
      </c>
      <c r="C212" s="141">
        <f t="shared" si="35"/>
        <v>0</v>
      </c>
      <c r="D212" s="277">
        <f t="shared" si="36"/>
        <v>792.16862500464197</v>
      </c>
      <c r="E212" s="20">
        <f t="shared" si="37"/>
        <v>0</v>
      </c>
      <c r="F212" s="20">
        <f t="shared" si="38"/>
        <v>0</v>
      </c>
      <c r="G212" s="277">
        <f t="shared" si="39"/>
        <v>0</v>
      </c>
      <c r="H212" s="3">
        <f t="shared" si="33"/>
        <v>0</v>
      </c>
      <c r="I212" s="277">
        <f t="shared" si="40"/>
        <v>0</v>
      </c>
      <c r="J212" s="359"/>
      <c r="K212" s="359" t="s">
        <v>289</v>
      </c>
      <c r="L212" s="359"/>
      <c r="M212" s="338"/>
      <c r="N212" s="89">
        <v>41035</v>
      </c>
      <c r="O212" s="359">
        <v>93</v>
      </c>
      <c r="P212" s="359" t="s">
        <v>290</v>
      </c>
      <c r="Q212" s="359"/>
      <c r="R212" s="359"/>
      <c r="S212" s="359">
        <v>20</v>
      </c>
      <c r="T212" s="359">
        <v>150</v>
      </c>
      <c r="U212" s="359">
        <v>300</v>
      </c>
      <c r="V212" s="359"/>
      <c r="W212" s="359"/>
      <c r="X212" s="359"/>
      <c r="Y212" s="359">
        <v>47</v>
      </c>
      <c r="Z212" s="359"/>
      <c r="AA212" s="210"/>
      <c r="AB212" s="248"/>
      <c r="AC212" s="359"/>
      <c r="AD212" s="359"/>
      <c r="AE212" s="359"/>
      <c r="AF212" s="359"/>
      <c r="AG212" s="153"/>
      <c r="AH212" s="346">
        <v>792.16862500464197</v>
      </c>
      <c r="AI212" s="24"/>
      <c r="AJ212" s="24"/>
      <c r="AK212" s="24"/>
      <c r="AL212" s="24"/>
      <c r="AM212" s="359"/>
      <c r="AN212" s="24">
        <f t="shared" si="41"/>
        <v>0</v>
      </c>
      <c r="AO212" s="54">
        <f t="shared" si="42"/>
        <v>0</v>
      </c>
      <c r="AP212" s="261">
        <f t="shared" si="43"/>
        <v>0</v>
      </c>
      <c r="AQ212" s="338"/>
      <c r="AR212" s="45"/>
      <c r="AS212" s="359"/>
      <c r="AT212" s="359"/>
    </row>
    <row r="213" spans="1:46" ht="12">
      <c r="A213" s="359" t="s">
        <v>323</v>
      </c>
      <c r="B213" s="359" t="str">
        <f t="shared" si="34"/>
        <v>Glass</v>
      </c>
      <c r="C213" s="141">
        <f t="shared" si="35"/>
        <v>0</v>
      </c>
      <c r="D213" s="277">
        <f t="shared" si="36"/>
        <v>517.64532372675706</v>
      </c>
      <c r="E213" s="20">
        <f t="shared" si="37"/>
        <v>0</v>
      </c>
      <c r="F213" s="20">
        <f t="shared" si="38"/>
        <v>0</v>
      </c>
      <c r="G213" s="277">
        <f t="shared" si="39"/>
        <v>0</v>
      </c>
      <c r="H213" s="3">
        <f t="shared" si="33"/>
        <v>0</v>
      </c>
      <c r="I213" s="277">
        <f t="shared" si="40"/>
        <v>0</v>
      </c>
      <c r="J213" s="359"/>
      <c r="K213" s="359" t="s">
        <v>289</v>
      </c>
      <c r="L213" s="359"/>
      <c r="M213" s="338"/>
      <c r="N213" s="89">
        <v>41035</v>
      </c>
      <c r="O213" s="359">
        <v>94</v>
      </c>
      <c r="P213" s="359" t="s">
        <v>290</v>
      </c>
      <c r="Q213" s="359"/>
      <c r="R213" s="359"/>
      <c r="S213" s="359">
        <v>20</v>
      </c>
      <c r="T213" s="359">
        <v>200</v>
      </c>
      <c r="U213" s="359">
        <v>300</v>
      </c>
      <c r="V213" s="359"/>
      <c r="W213" s="359"/>
      <c r="X213" s="359"/>
      <c r="Y213" s="359">
        <v>47</v>
      </c>
      <c r="Z213" s="359"/>
      <c r="AA213" s="210"/>
      <c r="AB213" s="248"/>
      <c r="AC213" s="359"/>
      <c r="AD213" s="359"/>
      <c r="AE213" s="359"/>
      <c r="AF213" s="359"/>
      <c r="AG213" s="153"/>
      <c r="AH213" s="346">
        <v>517.64532372675706</v>
      </c>
      <c r="AI213" s="24"/>
      <c r="AJ213" s="24"/>
      <c r="AK213" s="24"/>
      <c r="AL213" s="24"/>
      <c r="AM213" s="359"/>
      <c r="AN213" s="24">
        <f t="shared" si="41"/>
        <v>0</v>
      </c>
      <c r="AO213" s="54">
        <f t="shared" si="42"/>
        <v>0</v>
      </c>
      <c r="AP213" s="261">
        <f t="shared" si="43"/>
        <v>0</v>
      </c>
      <c r="AQ213" s="338"/>
      <c r="AR213" s="45"/>
      <c r="AS213" s="359"/>
      <c r="AT213" s="359"/>
    </row>
    <row r="214" spans="1:46" ht="12">
      <c r="A214" s="359" t="s">
        <v>324</v>
      </c>
      <c r="B214" s="359" t="str">
        <f t="shared" si="34"/>
        <v>Glass</v>
      </c>
      <c r="C214" s="141">
        <f t="shared" si="35"/>
        <v>0</v>
      </c>
      <c r="D214" s="277">
        <f t="shared" si="36"/>
        <v>520.49998543848596</v>
      </c>
      <c r="E214" s="20">
        <f t="shared" si="37"/>
        <v>8.1999999999999993</v>
      </c>
      <c r="F214" s="20">
        <f t="shared" si="38"/>
        <v>0</v>
      </c>
      <c r="G214" s="277">
        <f t="shared" si="39"/>
        <v>0</v>
      </c>
      <c r="H214" s="3">
        <f t="shared" si="33"/>
        <v>0.68400000000000005</v>
      </c>
      <c r="I214" s="277">
        <f t="shared" si="40"/>
        <v>0</v>
      </c>
      <c r="J214" s="359" t="s">
        <v>226</v>
      </c>
      <c r="K214" s="359" t="s">
        <v>289</v>
      </c>
      <c r="L214" s="359"/>
      <c r="M214" s="338"/>
      <c r="N214" s="89">
        <v>41035</v>
      </c>
      <c r="O214" s="359">
        <v>94</v>
      </c>
      <c r="P214" s="359" t="s">
        <v>290</v>
      </c>
      <c r="Q214" s="359"/>
      <c r="R214" s="359"/>
      <c r="S214" s="359">
        <v>20</v>
      </c>
      <c r="T214" s="359">
        <v>200</v>
      </c>
      <c r="U214" s="359">
        <v>300</v>
      </c>
      <c r="V214" s="359"/>
      <c r="W214" s="359"/>
      <c r="X214" s="359"/>
      <c r="Y214" s="359">
        <v>47</v>
      </c>
      <c r="Z214" s="359"/>
      <c r="AA214" s="210"/>
      <c r="AB214" s="248"/>
      <c r="AC214" s="359"/>
      <c r="AD214" s="359"/>
      <c r="AE214" s="359"/>
      <c r="AF214" s="359"/>
      <c r="AG214" s="153"/>
      <c r="AH214" s="346">
        <v>520.49998543848596</v>
      </c>
      <c r="AI214" s="24"/>
      <c r="AJ214" s="24">
        <v>8.1999999999999993</v>
      </c>
      <c r="AK214" s="24"/>
      <c r="AL214" s="24">
        <v>0.68400000000000005</v>
      </c>
      <c r="AM214" s="359" t="s">
        <v>156</v>
      </c>
      <c r="AN214" s="24">
        <f t="shared" si="41"/>
        <v>0</v>
      </c>
      <c r="AO214" s="54">
        <f t="shared" si="42"/>
        <v>0</v>
      </c>
      <c r="AP214" s="261">
        <f t="shared" si="43"/>
        <v>0</v>
      </c>
      <c r="AQ214" s="338"/>
      <c r="AR214" s="45"/>
      <c r="AS214" s="359"/>
      <c r="AT214" s="359"/>
    </row>
    <row r="215" spans="1:46" ht="12">
      <c r="A215" s="359" t="s">
        <v>325</v>
      </c>
      <c r="B215" s="359" t="str">
        <f t="shared" si="34"/>
        <v>Glass</v>
      </c>
      <c r="C215" s="141">
        <f t="shared" si="35"/>
        <v>0</v>
      </c>
      <c r="D215" s="277">
        <f t="shared" si="36"/>
        <v>508.36767316364001</v>
      </c>
      <c r="E215" s="20">
        <f t="shared" si="37"/>
        <v>0</v>
      </c>
      <c r="F215" s="20">
        <f t="shared" si="38"/>
        <v>0</v>
      </c>
      <c r="G215" s="277">
        <f t="shared" si="39"/>
        <v>0</v>
      </c>
      <c r="H215" s="3">
        <f t="shared" si="33"/>
        <v>0</v>
      </c>
      <c r="I215" s="277">
        <f t="shared" si="40"/>
        <v>0</v>
      </c>
      <c r="J215" s="359"/>
      <c r="K215" s="359" t="s">
        <v>289</v>
      </c>
      <c r="L215" s="359"/>
      <c r="M215" s="338"/>
      <c r="N215" s="89">
        <v>41035</v>
      </c>
      <c r="O215" s="359">
        <v>94</v>
      </c>
      <c r="P215" s="359" t="s">
        <v>290</v>
      </c>
      <c r="Q215" s="359"/>
      <c r="R215" s="359"/>
      <c r="S215" s="359">
        <v>20</v>
      </c>
      <c r="T215" s="359">
        <v>200</v>
      </c>
      <c r="U215" s="359">
        <v>300</v>
      </c>
      <c r="V215" s="359"/>
      <c r="W215" s="359"/>
      <c r="X215" s="359"/>
      <c r="Y215" s="359">
        <v>47</v>
      </c>
      <c r="Z215" s="359"/>
      <c r="AA215" s="210"/>
      <c r="AB215" s="248"/>
      <c r="AC215" s="359"/>
      <c r="AD215" s="359"/>
      <c r="AE215" s="359"/>
      <c r="AF215" s="359"/>
      <c r="AG215" s="153"/>
      <c r="AH215" s="346">
        <v>508.36767316364001</v>
      </c>
      <c r="AI215" s="24"/>
      <c r="AJ215" s="24"/>
      <c r="AK215" s="24"/>
      <c r="AL215" s="24"/>
      <c r="AM215" s="359"/>
      <c r="AN215" s="24">
        <f t="shared" si="41"/>
        <v>0</v>
      </c>
      <c r="AO215" s="54">
        <f t="shared" si="42"/>
        <v>0</v>
      </c>
      <c r="AP215" s="261">
        <f t="shared" si="43"/>
        <v>0</v>
      </c>
      <c r="AQ215" s="338"/>
      <c r="AR215" s="45"/>
      <c r="AS215" s="359"/>
      <c r="AT215" s="359"/>
    </row>
    <row r="216" spans="1:46" ht="12">
      <c r="A216" s="359" t="s">
        <v>326</v>
      </c>
      <c r="B216" s="359" t="str">
        <f t="shared" si="34"/>
        <v>Glass</v>
      </c>
      <c r="C216" s="141">
        <f t="shared" si="35"/>
        <v>0</v>
      </c>
      <c r="D216" s="277">
        <f t="shared" si="36"/>
        <v>513.601219635142</v>
      </c>
      <c r="E216" s="20">
        <f t="shared" si="37"/>
        <v>0</v>
      </c>
      <c r="F216" s="20">
        <f t="shared" si="38"/>
        <v>0</v>
      </c>
      <c r="G216" s="277">
        <f t="shared" si="39"/>
        <v>0</v>
      </c>
      <c r="H216" s="3">
        <f t="shared" si="33"/>
        <v>0</v>
      </c>
      <c r="I216" s="277">
        <f t="shared" si="40"/>
        <v>0</v>
      </c>
      <c r="J216" s="359"/>
      <c r="K216" s="359" t="s">
        <v>289</v>
      </c>
      <c r="L216" s="359"/>
      <c r="M216" s="338"/>
      <c r="N216" s="89">
        <v>41035</v>
      </c>
      <c r="O216" s="359">
        <v>94</v>
      </c>
      <c r="P216" s="359" t="s">
        <v>290</v>
      </c>
      <c r="Q216" s="359"/>
      <c r="R216" s="359"/>
      <c r="S216" s="359">
        <v>20</v>
      </c>
      <c r="T216" s="359">
        <v>200</v>
      </c>
      <c r="U216" s="359">
        <v>300</v>
      </c>
      <c r="V216" s="359"/>
      <c r="W216" s="359"/>
      <c r="X216" s="359"/>
      <c r="Y216" s="359">
        <v>47</v>
      </c>
      <c r="Z216" s="359"/>
      <c r="AA216" s="210"/>
      <c r="AB216" s="248"/>
      <c r="AC216" s="359"/>
      <c r="AD216" s="359"/>
      <c r="AE216" s="359"/>
      <c r="AF216" s="359"/>
      <c r="AG216" s="153"/>
      <c r="AH216" s="346">
        <v>513.601219635142</v>
      </c>
      <c r="AI216" s="24"/>
      <c r="AJ216" s="24"/>
      <c r="AK216" s="24"/>
      <c r="AL216" s="24"/>
      <c r="AM216" s="359"/>
      <c r="AN216" s="24">
        <f t="shared" si="41"/>
        <v>0</v>
      </c>
      <c r="AO216" s="54">
        <f t="shared" si="42"/>
        <v>0</v>
      </c>
      <c r="AP216" s="261">
        <f t="shared" si="43"/>
        <v>0</v>
      </c>
      <c r="AQ216" s="338"/>
      <c r="AR216" s="45"/>
      <c r="AS216" s="359"/>
      <c r="AT216" s="359"/>
    </row>
    <row r="217" spans="1:46" ht="12">
      <c r="A217" s="359" t="s">
        <v>327</v>
      </c>
      <c r="B217" s="359" t="str">
        <f t="shared" si="34"/>
        <v>MgO</v>
      </c>
      <c r="C217" s="141">
        <f t="shared" si="35"/>
        <v>0</v>
      </c>
      <c r="D217" s="277">
        <f t="shared" si="36"/>
        <v>182.69834955062001</v>
      </c>
      <c r="E217" s="20">
        <f t="shared" si="37"/>
        <v>0</v>
      </c>
      <c r="F217" s="20">
        <f t="shared" si="38"/>
        <v>0</v>
      </c>
      <c r="G217" s="277">
        <f t="shared" si="39"/>
        <v>0</v>
      </c>
      <c r="H217" s="3">
        <f t="shared" si="33"/>
        <v>0</v>
      </c>
      <c r="I217" s="277">
        <f t="shared" si="40"/>
        <v>0</v>
      </c>
      <c r="J217" s="359"/>
      <c r="K217" s="359" t="s">
        <v>328</v>
      </c>
      <c r="L217" s="359"/>
      <c r="M217" s="338"/>
      <c r="N217" s="89">
        <v>41033</v>
      </c>
      <c r="O217" s="359">
        <v>90</v>
      </c>
      <c r="P217" s="359" t="s">
        <v>46</v>
      </c>
      <c r="Q217" s="359"/>
      <c r="R217" s="359"/>
      <c r="S217" s="359">
        <v>800</v>
      </c>
      <c r="T217" s="359">
        <v>150</v>
      </c>
      <c r="U217" s="359">
        <v>300</v>
      </c>
      <c r="V217" s="359"/>
      <c r="W217" s="359"/>
      <c r="X217" s="359"/>
      <c r="Y217" s="359">
        <v>47</v>
      </c>
      <c r="Z217" s="359"/>
      <c r="AA217" s="210"/>
      <c r="AB217" s="248"/>
      <c r="AC217" s="359"/>
      <c r="AD217" s="359"/>
      <c r="AE217" s="359"/>
      <c r="AF217" s="359"/>
      <c r="AG217" s="153"/>
      <c r="AH217" s="346">
        <v>182.69834955062001</v>
      </c>
      <c r="AI217" s="24"/>
      <c r="AJ217" s="24"/>
      <c r="AK217" s="24"/>
      <c r="AL217" s="24"/>
      <c r="AM217" s="359"/>
      <c r="AN217" s="24">
        <f t="shared" si="41"/>
        <v>0</v>
      </c>
      <c r="AO217" s="54">
        <f t="shared" si="42"/>
        <v>0</v>
      </c>
      <c r="AP217" s="261">
        <f t="shared" si="43"/>
        <v>0</v>
      </c>
      <c r="AQ217" s="338"/>
      <c r="AR217" s="45"/>
      <c r="AS217" s="359"/>
      <c r="AT217" s="359"/>
    </row>
    <row r="218" spans="1:46" ht="12">
      <c r="A218" s="359" t="s">
        <v>329</v>
      </c>
      <c r="B218" s="359" t="str">
        <f t="shared" si="34"/>
        <v>MgO</v>
      </c>
      <c r="C218" s="141">
        <f t="shared" si="35"/>
        <v>0</v>
      </c>
      <c r="D218" s="277">
        <f t="shared" si="36"/>
        <v>166.521933184159</v>
      </c>
      <c r="E218" s="20">
        <f t="shared" si="37"/>
        <v>0</v>
      </c>
      <c r="F218" s="20">
        <f t="shared" si="38"/>
        <v>0</v>
      </c>
      <c r="G218" s="277">
        <f t="shared" si="39"/>
        <v>0</v>
      </c>
      <c r="H218" s="3">
        <f t="shared" si="33"/>
        <v>0</v>
      </c>
      <c r="I218" s="277">
        <f t="shared" si="40"/>
        <v>0</v>
      </c>
      <c r="J218" s="359"/>
      <c r="K218" s="359" t="s">
        <v>328</v>
      </c>
      <c r="L218" s="359"/>
      <c r="M218" s="338"/>
      <c r="N218" s="89">
        <v>41033</v>
      </c>
      <c r="O218" s="359">
        <v>90</v>
      </c>
      <c r="P218" s="359" t="s">
        <v>46</v>
      </c>
      <c r="Q218" s="359"/>
      <c r="R218" s="359"/>
      <c r="S218" s="359">
        <v>800</v>
      </c>
      <c r="T218" s="359">
        <v>150</v>
      </c>
      <c r="U218" s="359">
        <v>300</v>
      </c>
      <c r="V218" s="359"/>
      <c r="W218" s="359"/>
      <c r="X218" s="359"/>
      <c r="Y218" s="359">
        <v>47</v>
      </c>
      <c r="Z218" s="359"/>
      <c r="AA218" s="210"/>
      <c r="AB218" s="248"/>
      <c r="AC218" s="359"/>
      <c r="AD218" s="359"/>
      <c r="AE218" s="359"/>
      <c r="AF218" s="359"/>
      <c r="AG218" s="153"/>
      <c r="AH218" s="346">
        <v>166.521933184159</v>
      </c>
      <c r="AI218" s="24"/>
      <c r="AJ218" s="24"/>
      <c r="AK218" s="24"/>
      <c r="AL218" s="24"/>
      <c r="AM218" s="359"/>
      <c r="AN218" s="24">
        <f t="shared" si="41"/>
        <v>0</v>
      </c>
      <c r="AO218" s="54">
        <f t="shared" si="42"/>
        <v>0</v>
      </c>
      <c r="AP218" s="261">
        <f t="shared" si="43"/>
        <v>0</v>
      </c>
      <c r="AQ218" s="338"/>
      <c r="AR218" s="45"/>
      <c r="AS218" s="359"/>
      <c r="AT218" s="359"/>
    </row>
    <row r="219" spans="1:46" ht="12">
      <c r="A219" s="359" t="s">
        <v>330</v>
      </c>
      <c r="B219" s="359" t="str">
        <f t="shared" si="34"/>
        <v>MgO</v>
      </c>
      <c r="C219" s="141">
        <f t="shared" si="35"/>
        <v>0</v>
      </c>
      <c r="D219" s="277">
        <f t="shared" si="36"/>
        <v>157.244282621042</v>
      </c>
      <c r="E219" s="20">
        <f t="shared" si="37"/>
        <v>0</v>
      </c>
      <c r="F219" s="20">
        <f t="shared" si="38"/>
        <v>0</v>
      </c>
      <c r="G219" s="277">
        <f t="shared" si="39"/>
        <v>0</v>
      </c>
      <c r="H219" s="3">
        <f t="shared" si="33"/>
        <v>0</v>
      </c>
      <c r="I219" s="277">
        <f t="shared" si="40"/>
        <v>0</v>
      </c>
      <c r="J219" s="359"/>
      <c r="K219" s="359" t="s">
        <v>328</v>
      </c>
      <c r="L219" s="359"/>
      <c r="M219" s="338"/>
      <c r="N219" s="89">
        <v>41033</v>
      </c>
      <c r="O219" s="359">
        <v>90</v>
      </c>
      <c r="P219" s="359" t="s">
        <v>46</v>
      </c>
      <c r="Q219" s="359"/>
      <c r="R219" s="359"/>
      <c r="S219" s="359">
        <v>800</v>
      </c>
      <c r="T219" s="359">
        <v>150</v>
      </c>
      <c r="U219" s="359">
        <v>300</v>
      </c>
      <c r="V219" s="359"/>
      <c r="W219" s="359"/>
      <c r="X219" s="359"/>
      <c r="Y219" s="359">
        <v>47</v>
      </c>
      <c r="Z219" s="359"/>
      <c r="AA219" s="210"/>
      <c r="AB219" s="248"/>
      <c r="AC219" s="359"/>
      <c r="AD219" s="359"/>
      <c r="AE219" s="359"/>
      <c r="AF219" s="359"/>
      <c r="AG219" s="153"/>
      <c r="AH219" s="346">
        <v>157.244282621042</v>
      </c>
      <c r="AI219" s="24"/>
      <c r="AJ219" s="24"/>
      <c r="AK219" s="24"/>
      <c r="AL219" s="24"/>
      <c r="AM219" s="359"/>
      <c r="AN219" s="24">
        <f t="shared" si="41"/>
        <v>0</v>
      </c>
      <c r="AO219" s="54">
        <f t="shared" si="42"/>
        <v>0</v>
      </c>
      <c r="AP219" s="261">
        <f t="shared" si="43"/>
        <v>0</v>
      </c>
      <c r="AQ219" s="338"/>
      <c r="AR219" s="45"/>
      <c r="AS219" s="359"/>
      <c r="AT219" s="359"/>
    </row>
    <row r="220" spans="1:46" ht="12">
      <c r="A220" s="359" t="s">
        <v>331</v>
      </c>
      <c r="B220" s="359" t="str">
        <f t="shared" si="34"/>
        <v>MgO</v>
      </c>
      <c r="C220" s="141">
        <f t="shared" si="35"/>
        <v>0</v>
      </c>
      <c r="D220" s="277">
        <f t="shared" si="36"/>
        <v>159.861055856793</v>
      </c>
      <c r="E220" s="20">
        <f t="shared" si="37"/>
        <v>0</v>
      </c>
      <c r="F220" s="20">
        <f t="shared" si="38"/>
        <v>0</v>
      </c>
      <c r="G220" s="277">
        <f t="shared" si="39"/>
        <v>0</v>
      </c>
      <c r="H220" s="3">
        <f t="shared" si="33"/>
        <v>0</v>
      </c>
      <c r="I220" s="277">
        <f t="shared" si="40"/>
        <v>0</v>
      </c>
      <c r="J220" s="359"/>
      <c r="K220" s="359" t="s">
        <v>328</v>
      </c>
      <c r="L220" s="359"/>
      <c r="M220" s="338"/>
      <c r="N220" s="89">
        <v>41033</v>
      </c>
      <c r="O220" s="359">
        <v>90</v>
      </c>
      <c r="P220" s="359" t="s">
        <v>46</v>
      </c>
      <c r="Q220" s="359"/>
      <c r="R220" s="359"/>
      <c r="S220" s="359">
        <v>800</v>
      </c>
      <c r="T220" s="359">
        <v>150</v>
      </c>
      <c r="U220" s="359">
        <v>300</v>
      </c>
      <c r="V220" s="359"/>
      <c r="W220" s="359"/>
      <c r="X220" s="359"/>
      <c r="Y220" s="359">
        <v>47</v>
      </c>
      <c r="Z220" s="359"/>
      <c r="AA220" s="210"/>
      <c r="AB220" s="248"/>
      <c r="AC220" s="359"/>
      <c r="AD220" s="359"/>
      <c r="AE220" s="359"/>
      <c r="AF220" s="359"/>
      <c r="AG220" s="153"/>
      <c r="AH220" s="346">
        <v>159.861055856793</v>
      </c>
      <c r="AI220" s="24"/>
      <c r="AJ220" s="24"/>
      <c r="AK220" s="24"/>
      <c r="AL220" s="24"/>
      <c r="AM220" s="359"/>
      <c r="AN220" s="24">
        <f t="shared" si="41"/>
        <v>0</v>
      </c>
      <c r="AO220" s="54">
        <f t="shared" si="42"/>
        <v>0</v>
      </c>
      <c r="AP220" s="261">
        <f t="shared" si="43"/>
        <v>0</v>
      </c>
      <c r="AQ220" s="338"/>
      <c r="AR220" s="45"/>
      <c r="AS220" s="359"/>
      <c r="AT220" s="359"/>
    </row>
    <row r="221" spans="1:46" ht="24">
      <c r="A221" s="359" t="s">
        <v>332</v>
      </c>
      <c r="B221" s="359" t="str">
        <f t="shared" si="34"/>
        <v>MgO</v>
      </c>
      <c r="C221" s="141">
        <f t="shared" si="35"/>
        <v>0</v>
      </c>
      <c r="D221" s="277">
        <f t="shared" si="36"/>
        <v>188.52661721206599</v>
      </c>
      <c r="E221" s="20">
        <f t="shared" si="37"/>
        <v>0</v>
      </c>
      <c r="F221" s="20">
        <f t="shared" si="38"/>
        <v>0</v>
      </c>
      <c r="G221" s="277">
        <f t="shared" si="39"/>
        <v>0</v>
      </c>
      <c r="H221" s="3">
        <f t="shared" si="33"/>
        <v>0</v>
      </c>
      <c r="I221" s="277">
        <f t="shared" si="40"/>
        <v>0</v>
      </c>
      <c r="J221" s="359" t="s">
        <v>333</v>
      </c>
      <c r="K221" s="359" t="s">
        <v>328</v>
      </c>
      <c r="L221" s="359"/>
      <c r="M221" s="338" t="s">
        <v>141</v>
      </c>
      <c r="N221" s="89">
        <v>41036</v>
      </c>
      <c r="O221" s="359">
        <v>95</v>
      </c>
      <c r="P221" s="359" t="s">
        <v>46</v>
      </c>
      <c r="Q221" s="359"/>
      <c r="R221" s="359"/>
      <c r="S221" s="359">
        <v>800</v>
      </c>
      <c r="T221" s="359">
        <v>150</v>
      </c>
      <c r="U221" s="359">
        <v>300</v>
      </c>
      <c r="V221" s="359"/>
      <c r="W221" s="359"/>
      <c r="X221" s="359"/>
      <c r="Y221" s="359">
        <v>47</v>
      </c>
      <c r="Z221" s="359"/>
      <c r="AA221" s="210"/>
      <c r="AB221" s="248"/>
      <c r="AC221" s="359"/>
      <c r="AD221" s="359"/>
      <c r="AE221" s="359"/>
      <c r="AF221" s="359"/>
      <c r="AG221" s="153"/>
      <c r="AH221" s="346">
        <v>188.52661721206599</v>
      </c>
      <c r="AI221" s="24"/>
      <c r="AJ221" s="24"/>
      <c r="AK221" s="24"/>
      <c r="AL221" s="24"/>
      <c r="AM221" s="359"/>
      <c r="AN221" s="24">
        <f t="shared" si="41"/>
        <v>0</v>
      </c>
      <c r="AO221" s="54">
        <f t="shared" si="42"/>
        <v>0</v>
      </c>
      <c r="AP221" s="261">
        <f t="shared" si="43"/>
        <v>0</v>
      </c>
      <c r="AQ221" s="338"/>
      <c r="AR221" s="45"/>
      <c r="AS221" s="359"/>
      <c r="AT221" s="359"/>
    </row>
    <row r="222" spans="1:46" ht="24">
      <c r="A222" s="359" t="s">
        <v>334</v>
      </c>
      <c r="B222" s="359" t="str">
        <f t="shared" si="34"/>
        <v>MgO</v>
      </c>
      <c r="C222" s="141">
        <f t="shared" si="35"/>
        <v>0</v>
      </c>
      <c r="D222" s="277">
        <f t="shared" si="36"/>
        <v>178.89213393498201</v>
      </c>
      <c r="E222" s="20">
        <f t="shared" si="37"/>
        <v>0</v>
      </c>
      <c r="F222" s="20">
        <f t="shared" si="38"/>
        <v>0</v>
      </c>
      <c r="G222" s="277">
        <f t="shared" si="39"/>
        <v>0</v>
      </c>
      <c r="H222" s="3">
        <f t="shared" si="33"/>
        <v>0</v>
      </c>
      <c r="I222" s="277">
        <f t="shared" si="40"/>
        <v>0</v>
      </c>
      <c r="J222" s="359" t="s">
        <v>333</v>
      </c>
      <c r="K222" s="359" t="s">
        <v>328</v>
      </c>
      <c r="L222" s="359"/>
      <c r="M222" s="338" t="s">
        <v>141</v>
      </c>
      <c r="N222" s="89">
        <v>41036</v>
      </c>
      <c r="O222" s="359">
        <v>95</v>
      </c>
      <c r="P222" s="359" t="s">
        <v>46</v>
      </c>
      <c r="Q222" s="359"/>
      <c r="R222" s="359"/>
      <c r="S222" s="359">
        <v>800</v>
      </c>
      <c r="T222" s="359">
        <v>150</v>
      </c>
      <c r="U222" s="359">
        <v>300</v>
      </c>
      <c r="V222" s="359"/>
      <c r="W222" s="359"/>
      <c r="X222" s="359"/>
      <c r="Y222" s="359">
        <v>47</v>
      </c>
      <c r="Z222" s="359"/>
      <c r="AA222" s="210"/>
      <c r="AB222" s="248"/>
      <c r="AC222" s="359"/>
      <c r="AD222" s="359"/>
      <c r="AE222" s="359"/>
      <c r="AF222" s="359"/>
      <c r="AG222" s="153"/>
      <c r="AH222" s="346">
        <v>178.89213393498201</v>
      </c>
      <c r="AI222" s="24"/>
      <c r="AJ222" s="24"/>
      <c r="AK222" s="24"/>
      <c r="AL222" s="24"/>
      <c r="AM222" s="359"/>
      <c r="AN222" s="24">
        <f t="shared" si="41"/>
        <v>0</v>
      </c>
      <c r="AO222" s="54">
        <f t="shared" si="42"/>
        <v>0</v>
      </c>
      <c r="AP222" s="261">
        <f t="shared" si="43"/>
        <v>0</v>
      </c>
      <c r="AQ222" s="338"/>
      <c r="AR222" s="45"/>
      <c r="AS222" s="359"/>
      <c r="AT222" s="359"/>
    </row>
    <row r="223" spans="1:46" ht="12">
      <c r="A223" s="359" t="s">
        <v>335</v>
      </c>
      <c r="B223" s="359" t="str">
        <f t="shared" si="34"/>
        <v>MgO</v>
      </c>
      <c r="C223" s="141">
        <f t="shared" si="35"/>
        <v>0</v>
      </c>
      <c r="D223" s="277">
        <f t="shared" si="36"/>
        <v>166.521933184159</v>
      </c>
      <c r="E223" s="20">
        <f t="shared" si="37"/>
        <v>0</v>
      </c>
      <c r="F223" s="20">
        <f t="shared" si="38"/>
        <v>0</v>
      </c>
      <c r="G223" s="277">
        <f t="shared" si="39"/>
        <v>0</v>
      </c>
      <c r="H223" s="3">
        <f t="shared" si="33"/>
        <v>0</v>
      </c>
      <c r="I223" s="277">
        <f t="shared" si="40"/>
        <v>0</v>
      </c>
      <c r="J223" s="359"/>
      <c r="K223" s="359" t="s">
        <v>328</v>
      </c>
      <c r="L223" s="359"/>
      <c r="M223" s="338"/>
      <c r="N223" s="89">
        <v>41036</v>
      </c>
      <c r="O223" s="359">
        <v>95</v>
      </c>
      <c r="P223" s="359" t="s">
        <v>46</v>
      </c>
      <c r="Q223" s="359"/>
      <c r="R223" s="359"/>
      <c r="S223" s="359">
        <v>800</v>
      </c>
      <c r="T223" s="359">
        <v>150</v>
      </c>
      <c r="U223" s="359">
        <v>300</v>
      </c>
      <c r="V223" s="359"/>
      <c r="W223" s="359"/>
      <c r="X223" s="359"/>
      <c r="Y223" s="359">
        <v>47</v>
      </c>
      <c r="Z223" s="359"/>
      <c r="AA223" s="210"/>
      <c r="AB223" s="248"/>
      <c r="AC223" s="359"/>
      <c r="AD223" s="359"/>
      <c r="AE223" s="359"/>
      <c r="AF223" s="359"/>
      <c r="AG223" s="153"/>
      <c r="AH223" s="346">
        <v>166.521933184159</v>
      </c>
      <c r="AI223" s="24"/>
      <c r="AJ223" s="24"/>
      <c r="AK223" s="24"/>
      <c r="AL223" s="24"/>
      <c r="AM223" s="359"/>
      <c r="AN223" s="24">
        <f t="shared" si="41"/>
        <v>0</v>
      </c>
      <c r="AO223" s="54">
        <f t="shared" si="42"/>
        <v>0</v>
      </c>
      <c r="AP223" s="261">
        <f t="shared" si="43"/>
        <v>0</v>
      </c>
      <c r="AQ223" s="338"/>
      <c r="AR223" s="45"/>
      <c r="AS223" s="359"/>
      <c r="AT223" s="359"/>
    </row>
    <row r="224" spans="1:46" ht="12">
      <c r="A224" s="144" t="s">
        <v>336</v>
      </c>
      <c r="B224" s="359" t="str">
        <f t="shared" si="34"/>
        <v>MgO</v>
      </c>
      <c r="C224" s="141">
        <f t="shared" si="35"/>
        <v>0</v>
      </c>
      <c r="D224" s="277">
        <f t="shared" si="36"/>
        <v>164.61882537634</v>
      </c>
      <c r="E224" s="20">
        <f t="shared" si="37"/>
        <v>0</v>
      </c>
      <c r="F224" s="20">
        <f t="shared" si="38"/>
        <v>0</v>
      </c>
      <c r="G224" s="277">
        <f t="shared" si="39"/>
        <v>0</v>
      </c>
      <c r="H224" s="3">
        <f t="shared" ref="H224:H287" si="44">AL224</f>
        <v>0</v>
      </c>
      <c r="I224" s="277">
        <f t="shared" si="40"/>
        <v>0</v>
      </c>
      <c r="J224" s="144"/>
      <c r="K224" s="359" t="s">
        <v>328</v>
      </c>
      <c r="L224" s="144"/>
      <c r="M224" s="372"/>
      <c r="N224" s="296">
        <v>41036</v>
      </c>
      <c r="O224" s="144">
        <v>95</v>
      </c>
      <c r="P224" s="144" t="s">
        <v>46</v>
      </c>
      <c r="Q224" s="144"/>
      <c r="R224" s="144"/>
      <c r="S224" s="144">
        <v>800</v>
      </c>
      <c r="T224" s="144">
        <v>150</v>
      </c>
      <c r="U224" s="144">
        <v>300</v>
      </c>
      <c r="V224" s="144"/>
      <c r="W224" s="144"/>
      <c r="X224" s="144"/>
      <c r="Y224" s="359">
        <v>47</v>
      </c>
      <c r="Z224" s="359"/>
      <c r="AA224" s="210"/>
      <c r="AB224" s="395"/>
      <c r="AC224" s="144"/>
      <c r="AD224" s="144"/>
      <c r="AE224" s="144"/>
      <c r="AF224" s="144"/>
      <c r="AG224" s="314"/>
      <c r="AH224" s="229">
        <v>164.61882537634</v>
      </c>
      <c r="AI224" s="208"/>
      <c r="AJ224" s="208"/>
      <c r="AK224" s="24"/>
      <c r="AL224" s="208"/>
      <c r="AM224" s="144"/>
      <c r="AN224" s="24">
        <f t="shared" si="41"/>
        <v>0</v>
      </c>
      <c r="AO224" s="54">
        <f t="shared" si="42"/>
        <v>0</v>
      </c>
      <c r="AP224" s="261">
        <f t="shared" si="43"/>
        <v>0</v>
      </c>
      <c r="AQ224" s="372"/>
      <c r="AR224" s="211"/>
      <c r="AS224" s="144"/>
      <c r="AT224" s="144"/>
    </row>
    <row r="225" spans="1:46" ht="36">
      <c r="A225" s="186" t="s">
        <v>337</v>
      </c>
      <c r="B225" s="359" t="str">
        <f t="shared" si="34"/>
        <v>Sapphire</v>
      </c>
      <c r="C225" s="141">
        <f t="shared" si="35"/>
        <v>0</v>
      </c>
      <c r="D225" s="277">
        <f t="shared" si="36"/>
        <v>205.654587482436</v>
      </c>
      <c r="E225" s="20">
        <f t="shared" si="37"/>
        <v>0</v>
      </c>
      <c r="F225" s="20">
        <f t="shared" si="38"/>
        <v>0</v>
      </c>
      <c r="G225" s="277">
        <f t="shared" si="39"/>
        <v>0</v>
      </c>
      <c r="H225" s="3">
        <f t="shared" si="44"/>
        <v>0</v>
      </c>
      <c r="I225" s="277">
        <f t="shared" si="40"/>
        <v>0</v>
      </c>
      <c r="J225" s="186"/>
      <c r="K225" s="359" t="s">
        <v>338</v>
      </c>
      <c r="L225" s="186"/>
      <c r="M225" s="27"/>
      <c r="N225" s="212">
        <v>41037</v>
      </c>
      <c r="O225" s="186" t="s">
        <v>339</v>
      </c>
      <c r="P225" s="186" t="s">
        <v>340</v>
      </c>
      <c r="Q225" s="186"/>
      <c r="R225" s="186"/>
      <c r="S225" s="186" t="s">
        <v>168</v>
      </c>
      <c r="T225" s="186" t="s">
        <v>341</v>
      </c>
      <c r="U225" s="186">
        <v>300</v>
      </c>
      <c r="V225" s="186"/>
      <c r="W225" s="186"/>
      <c r="X225" s="186"/>
      <c r="Y225" s="359">
        <v>47</v>
      </c>
      <c r="Z225" s="359"/>
      <c r="AA225" s="210"/>
      <c r="AB225" s="288"/>
      <c r="AC225" s="186"/>
      <c r="AD225" s="186"/>
      <c r="AE225" s="186"/>
      <c r="AF225" s="186"/>
      <c r="AG225" s="397"/>
      <c r="AH225" s="87">
        <v>205.654587482436</v>
      </c>
      <c r="AI225" s="73"/>
      <c r="AJ225" s="73"/>
      <c r="AK225" s="24"/>
      <c r="AL225" s="73"/>
      <c r="AM225" s="186"/>
      <c r="AN225" s="24">
        <f t="shared" si="41"/>
        <v>0</v>
      </c>
      <c r="AO225" s="54">
        <f t="shared" si="42"/>
        <v>0</v>
      </c>
      <c r="AP225" s="261" t="e">
        <f t="shared" si="43"/>
        <v>#VALUE!</v>
      </c>
      <c r="AQ225" s="27"/>
      <c r="AR225" s="133"/>
      <c r="AS225" s="186"/>
      <c r="AT225" s="186"/>
    </row>
    <row r="226" spans="1:46" ht="36">
      <c r="A226" s="359" t="s">
        <v>342</v>
      </c>
      <c r="B226" s="359" t="str">
        <f t="shared" si="34"/>
        <v>Sapphire</v>
      </c>
      <c r="C226" s="141">
        <f t="shared" si="35"/>
        <v>0</v>
      </c>
      <c r="D226" s="277">
        <f t="shared" si="36"/>
        <v>204.82197781651601</v>
      </c>
      <c r="E226" s="20">
        <f t="shared" si="37"/>
        <v>0</v>
      </c>
      <c r="F226" s="20">
        <f t="shared" si="38"/>
        <v>0</v>
      </c>
      <c r="G226" s="277">
        <f t="shared" si="39"/>
        <v>0</v>
      </c>
      <c r="H226" s="3">
        <f t="shared" si="44"/>
        <v>0</v>
      </c>
      <c r="I226" s="277">
        <f t="shared" si="40"/>
        <v>0</v>
      </c>
      <c r="J226" s="359"/>
      <c r="K226" s="359" t="s">
        <v>338</v>
      </c>
      <c r="L226" s="359"/>
      <c r="M226" s="338"/>
      <c r="N226" s="89">
        <v>41037</v>
      </c>
      <c r="O226" s="359" t="s">
        <v>339</v>
      </c>
      <c r="P226" s="359" t="s">
        <v>340</v>
      </c>
      <c r="Q226" s="359"/>
      <c r="R226" s="359"/>
      <c r="S226" s="359" t="s">
        <v>168</v>
      </c>
      <c r="T226" s="359" t="s">
        <v>341</v>
      </c>
      <c r="U226" s="359">
        <v>300</v>
      </c>
      <c r="V226" s="359"/>
      <c r="W226" s="359"/>
      <c r="X226" s="359"/>
      <c r="Y226" s="359">
        <v>47</v>
      </c>
      <c r="Z226" s="359"/>
      <c r="AA226" s="210"/>
      <c r="AB226" s="248"/>
      <c r="AC226" s="359"/>
      <c r="AD226" s="359"/>
      <c r="AE226" s="359"/>
      <c r="AF226" s="359"/>
      <c r="AG226" s="153"/>
      <c r="AH226" s="346">
        <v>204.82197781651601</v>
      </c>
      <c r="AI226" s="24"/>
      <c r="AJ226" s="24"/>
      <c r="AK226" s="24"/>
      <c r="AL226" s="24"/>
      <c r="AM226" s="359"/>
      <c r="AN226" s="24">
        <f t="shared" si="41"/>
        <v>0</v>
      </c>
      <c r="AO226" s="54">
        <f t="shared" si="42"/>
        <v>0</v>
      </c>
      <c r="AP226" s="261" t="e">
        <f t="shared" si="43"/>
        <v>#VALUE!</v>
      </c>
      <c r="AQ226" s="338"/>
      <c r="AR226" s="45"/>
      <c r="AS226" s="359"/>
      <c r="AT226" s="359"/>
    </row>
    <row r="227" spans="1:46" ht="36">
      <c r="A227" s="359" t="s">
        <v>343</v>
      </c>
      <c r="B227" s="359" t="str">
        <f t="shared" si="34"/>
        <v>Sapphire</v>
      </c>
      <c r="C227" s="141">
        <f t="shared" si="35"/>
        <v>0</v>
      </c>
      <c r="D227" s="277">
        <f t="shared" si="36"/>
        <v>198.51793320311501</v>
      </c>
      <c r="E227" s="20">
        <f t="shared" si="37"/>
        <v>0</v>
      </c>
      <c r="F227" s="20">
        <f t="shared" si="38"/>
        <v>0</v>
      </c>
      <c r="G227" s="277">
        <f t="shared" si="39"/>
        <v>0</v>
      </c>
      <c r="H227" s="3">
        <f t="shared" si="44"/>
        <v>0</v>
      </c>
      <c r="I227" s="277">
        <f t="shared" si="40"/>
        <v>0</v>
      </c>
      <c r="J227" s="359"/>
      <c r="K227" s="359" t="s">
        <v>338</v>
      </c>
      <c r="L227" s="359"/>
      <c r="M227" s="338"/>
      <c r="N227" s="89">
        <v>41037</v>
      </c>
      <c r="O227" s="359" t="s">
        <v>339</v>
      </c>
      <c r="P227" s="359" t="s">
        <v>340</v>
      </c>
      <c r="Q227" s="359"/>
      <c r="R227" s="359"/>
      <c r="S227" s="359" t="s">
        <v>168</v>
      </c>
      <c r="T227" s="359" t="s">
        <v>341</v>
      </c>
      <c r="U227" s="359">
        <v>300</v>
      </c>
      <c r="V227" s="359"/>
      <c r="W227" s="359"/>
      <c r="X227" s="359"/>
      <c r="Y227" s="359">
        <v>47</v>
      </c>
      <c r="Z227" s="359"/>
      <c r="AA227" s="210"/>
      <c r="AB227" s="248"/>
      <c r="AC227" s="359"/>
      <c r="AD227" s="359"/>
      <c r="AE227" s="359"/>
      <c r="AF227" s="359"/>
      <c r="AG227" s="153"/>
      <c r="AH227" s="346">
        <v>198.51793320311501</v>
      </c>
      <c r="AI227" s="24"/>
      <c r="AJ227" s="24"/>
      <c r="AK227" s="24"/>
      <c r="AL227" s="24"/>
      <c r="AM227" s="359"/>
      <c r="AN227" s="24">
        <f t="shared" si="41"/>
        <v>0</v>
      </c>
      <c r="AO227" s="54">
        <f t="shared" si="42"/>
        <v>0</v>
      </c>
      <c r="AP227" s="261" t="e">
        <f t="shared" si="43"/>
        <v>#VALUE!</v>
      </c>
      <c r="AQ227" s="338"/>
      <c r="AR227" s="45"/>
      <c r="AS227" s="359"/>
      <c r="AT227" s="359"/>
    </row>
    <row r="228" spans="1:46" ht="36">
      <c r="A228" s="144" t="s">
        <v>344</v>
      </c>
      <c r="B228" s="359" t="str">
        <f t="shared" si="34"/>
        <v>Sapphire</v>
      </c>
      <c r="C228" s="141">
        <f t="shared" si="35"/>
        <v>0</v>
      </c>
      <c r="D228" s="277">
        <f t="shared" si="36"/>
        <v>194.94960606345501</v>
      </c>
      <c r="E228" s="20">
        <f t="shared" si="37"/>
        <v>0</v>
      </c>
      <c r="F228" s="20">
        <f t="shared" si="38"/>
        <v>0</v>
      </c>
      <c r="G228" s="277">
        <f t="shared" si="39"/>
        <v>0</v>
      </c>
      <c r="H228" s="3">
        <f t="shared" si="44"/>
        <v>0</v>
      </c>
      <c r="I228" s="277">
        <f t="shared" si="40"/>
        <v>0</v>
      </c>
      <c r="J228" s="144"/>
      <c r="K228" s="359" t="s">
        <v>338</v>
      </c>
      <c r="L228" s="144"/>
      <c r="M228" s="372"/>
      <c r="N228" s="296">
        <v>41037</v>
      </c>
      <c r="O228" s="144" t="s">
        <v>339</v>
      </c>
      <c r="P228" s="144" t="s">
        <v>340</v>
      </c>
      <c r="Q228" s="144"/>
      <c r="R228" s="144"/>
      <c r="S228" s="144" t="s">
        <v>168</v>
      </c>
      <c r="T228" s="144" t="s">
        <v>341</v>
      </c>
      <c r="U228" s="144">
        <v>300</v>
      </c>
      <c r="V228" s="144"/>
      <c r="W228" s="144"/>
      <c r="X228" s="144"/>
      <c r="Y228" s="359">
        <v>47</v>
      </c>
      <c r="Z228" s="359"/>
      <c r="AA228" s="210"/>
      <c r="AB228" s="395"/>
      <c r="AC228" s="144"/>
      <c r="AD228" s="144"/>
      <c r="AE228" s="144"/>
      <c r="AF228" s="144"/>
      <c r="AG228" s="314"/>
      <c r="AH228" s="229">
        <v>194.94960606345501</v>
      </c>
      <c r="AI228" s="208"/>
      <c r="AJ228" s="208"/>
      <c r="AK228" s="24"/>
      <c r="AL228" s="208"/>
      <c r="AM228" s="144"/>
      <c r="AN228" s="24">
        <f t="shared" si="41"/>
        <v>0</v>
      </c>
      <c r="AO228" s="54">
        <f t="shared" si="42"/>
        <v>0</v>
      </c>
      <c r="AP228" s="261" t="e">
        <f t="shared" si="43"/>
        <v>#VALUE!</v>
      </c>
      <c r="AQ228" s="372"/>
      <c r="AR228" s="211"/>
      <c r="AS228" s="144"/>
      <c r="AT228" s="144"/>
    </row>
    <row r="229" spans="1:46" ht="36">
      <c r="A229" s="186" t="s">
        <v>345</v>
      </c>
      <c r="B229" s="359" t="str">
        <f t="shared" si="34"/>
        <v>MgO</v>
      </c>
      <c r="C229" s="141">
        <f t="shared" si="35"/>
        <v>0</v>
      </c>
      <c r="D229" s="277">
        <f t="shared" si="36"/>
        <v>181.03313021877901</v>
      </c>
      <c r="E229" s="20">
        <f t="shared" si="37"/>
        <v>0</v>
      </c>
      <c r="F229" s="20">
        <f t="shared" si="38"/>
        <v>0</v>
      </c>
      <c r="G229" s="277">
        <f t="shared" si="39"/>
        <v>0</v>
      </c>
      <c r="H229" s="3">
        <f t="shared" si="44"/>
        <v>0</v>
      </c>
      <c r="I229" s="277">
        <f t="shared" si="40"/>
        <v>0</v>
      </c>
      <c r="J229" s="186"/>
      <c r="K229" s="359" t="s">
        <v>338</v>
      </c>
      <c r="L229" s="186"/>
      <c r="M229" s="27"/>
      <c r="N229" s="212">
        <v>41037</v>
      </c>
      <c r="O229" s="186" t="s">
        <v>346</v>
      </c>
      <c r="P229" s="186" t="s">
        <v>46</v>
      </c>
      <c r="Q229" s="186"/>
      <c r="R229" s="186"/>
      <c r="S229" s="186" t="s">
        <v>168</v>
      </c>
      <c r="T229" s="186" t="s">
        <v>341</v>
      </c>
      <c r="U229" s="186">
        <v>300</v>
      </c>
      <c r="V229" s="186"/>
      <c r="W229" s="186"/>
      <c r="X229" s="186"/>
      <c r="Y229" s="359">
        <v>47</v>
      </c>
      <c r="Z229" s="359"/>
      <c r="AA229" s="210"/>
      <c r="AB229" s="288"/>
      <c r="AC229" s="186"/>
      <c r="AD229" s="186"/>
      <c r="AE229" s="186"/>
      <c r="AF229" s="186"/>
      <c r="AG229" s="397"/>
      <c r="AH229" s="87">
        <v>181.03313021877901</v>
      </c>
      <c r="AI229" s="73"/>
      <c r="AJ229" s="73"/>
      <c r="AK229" s="24"/>
      <c r="AL229" s="73"/>
      <c r="AM229" s="186"/>
      <c r="AN229" s="24">
        <f t="shared" si="41"/>
        <v>0</v>
      </c>
      <c r="AO229" s="54">
        <f t="shared" si="42"/>
        <v>0</v>
      </c>
      <c r="AP229" s="261" t="e">
        <f t="shared" si="43"/>
        <v>#VALUE!</v>
      </c>
      <c r="AQ229" s="27"/>
      <c r="AR229" s="133"/>
      <c r="AS229" s="186"/>
      <c r="AT229" s="186"/>
    </row>
    <row r="230" spans="1:46" ht="36">
      <c r="A230" s="359" t="s">
        <v>347</v>
      </c>
      <c r="B230" s="359" t="str">
        <f t="shared" si="34"/>
        <v>MgO</v>
      </c>
      <c r="C230" s="141">
        <f t="shared" si="35"/>
        <v>0</v>
      </c>
      <c r="D230" s="277">
        <f t="shared" si="36"/>
        <v>191.262334685806</v>
      </c>
      <c r="E230" s="20">
        <f t="shared" si="37"/>
        <v>0</v>
      </c>
      <c r="F230" s="20">
        <f t="shared" si="38"/>
        <v>0</v>
      </c>
      <c r="G230" s="277">
        <f t="shared" si="39"/>
        <v>0</v>
      </c>
      <c r="H230" s="3">
        <f t="shared" si="44"/>
        <v>0</v>
      </c>
      <c r="I230" s="277">
        <f t="shared" si="40"/>
        <v>0</v>
      </c>
      <c r="J230" s="359"/>
      <c r="K230" s="359" t="s">
        <v>338</v>
      </c>
      <c r="L230" s="359"/>
      <c r="M230" s="338"/>
      <c r="N230" s="89">
        <v>41037</v>
      </c>
      <c r="O230" s="359" t="s">
        <v>346</v>
      </c>
      <c r="P230" s="359" t="s">
        <v>46</v>
      </c>
      <c r="Q230" s="359"/>
      <c r="R230" s="359"/>
      <c r="S230" s="359" t="s">
        <v>168</v>
      </c>
      <c r="T230" s="359" t="s">
        <v>341</v>
      </c>
      <c r="U230" s="359">
        <v>300</v>
      </c>
      <c r="V230" s="359"/>
      <c r="W230" s="359"/>
      <c r="X230" s="359"/>
      <c r="Y230" s="359">
        <v>47</v>
      </c>
      <c r="Z230" s="359"/>
      <c r="AA230" s="210"/>
      <c r="AB230" s="248"/>
      <c r="AC230" s="359"/>
      <c r="AD230" s="359"/>
      <c r="AE230" s="359"/>
      <c r="AF230" s="359"/>
      <c r="AG230" s="153"/>
      <c r="AH230" s="346">
        <v>191.262334685806</v>
      </c>
      <c r="AI230" s="24"/>
      <c r="AJ230" s="24"/>
      <c r="AK230" s="24"/>
      <c r="AL230" s="24"/>
      <c r="AM230" s="359"/>
      <c r="AN230" s="24">
        <f t="shared" si="41"/>
        <v>0</v>
      </c>
      <c r="AO230" s="54">
        <f t="shared" si="42"/>
        <v>0</v>
      </c>
      <c r="AP230" s="261" t="e">
        <f t="shared" si="43"/>
        <v>#VALUE!</v>
      </c>
      <c r="AQ230" s="338"/>
      <c r="AR230" s="45"/>
      <c r="AS230" s="359"/>
      <c r="AT230" s="359"/>
    </row>
    <row r="231" spans="1:46" ht="36">
      <c r="A231" s="359" t="s">
        <v>348</v>
      </c>
      <c r="B231" s="359" t="str">
        <f t="shared" si="34"/>
        <v>MgO</v>
      </c>
      <c r="C231" s="141">
        <f t="shared" si="35"/>
        <v>0</v>
      </c>
      <c r="D231" s="277">
        <f t="shared" si="36"/>
        <v>165.094602328295</v>
      </c>
      <c r="E231" s="20">
        <f t="shared" si="37"/>
        <v>0</v>
      </c>
      <c r="F231" s="20">
        <f t="shared" si="38"/>
        <v>0</v>
      </c>
      <c r="G231" s="277">
        <f t="shared" si="39"/>
        <v>0</v>
      </c>
      <c r="H231" s="3">
        <f t="shared" si="44"/>
        <v>0</v>
      </c>
      <c r="I231" s="277">
        <f t="shared" si="40"/>
        <v>0</v>
      </c>
      <c r="J231" s="359"/>
      <c r="K231" s="359" t="s">
        <v>338</v>
      </c>
      <c r="L231" s="359"/>
      <c r="M231" s="338"/>
      <c r="N231" s="89">
        <v>41037</v>
      </c>
      <c r="O231" s="359" t="s">
        <v>346</v>
      </c>
      <c r="P231" s="359" t="s">
        <v>46</v>
      </c>
      <c r="Q231" s="359"/>
      <c r="R231" s="359"/>
      <c r="S231" s="359" t="s">
        <v>168</v>
      </c>
      <c r="T231" s="359" t="s">
        <v>341</v>
      </c>
      <c r="U231" s="359">
        <v>300</v>
      </c>
      <c r="V231" s="359"/>
      <c r="W231" s="359"/>
      <c r="X231" s="359"/>
      <c r="Y231" s="359">
        <v>47</v>
      </c>
      <c r="Z231" s="359"/>
      <c r="AA231" s="210"/>
      <c r="AB231" s="248"/>
      <c r="AC231" s="359"/>
      <c r="AD231" s="359"/>
      <c r="AE231" s="359"/>
      <c r="AF231" s="359"/>
      <c r="AG231" s="153"/>
      <c r="AH231" s="346">
        <v>165.094602328295</v>
      </c>
      <c r="AI231" s="24"/>
      <c r="AJ231" s="24"/>
      <c r="AK231" s="24"/>
      <c r="AL231" s="24"/>
      <c r="AM231" s="359"/>
      <c r="AN231" s="24">
        <f t="shared" si="41"/>
        <v>0</v>
      </c>
      <c r="AO231" s="54">
        <f t="shared" si="42"/>
        <v>0</v>
      </c>
      <c r="AP231" s="261" t="e">
        <f t="shared" si="43"/>
        <v>#VALUE!</v>
      </c>
      <c r="AQ231" s="338"/>
      <c r="AR231" s="45"/>
      <c r="AS231" s="359"/>
      <c r="AT231" s="359"/>
    </row>
    <row r="232" spans="1:46" ht="36">
      <c r="A232" s="144" t="s">
        <v>349</v>
      </c>
      <c r="B232" s="359" t="str">
        <f t="shared" si="34"/>
        <v>MgO</v>
      </c>
      <c r="C232" s="141">
        <f t="shared" si="35"/>
        <v>0</v>
      </c>
      <c r="D232" s="277">
        <f t="shared" si="36"/>
        <v>194.71171758747701</v>
      </c>
      <c r="E232" s="20">
        <f t="shared" si="37"/>
        <v>0</v>
      </c>
      <c r="F232" s="20">
        <f t="shared" si="38"/>
        <v>0</v>
      </c>
      <c r="G232" s="277">
        <f t="shared" si="39"/>
        <v>0</v>
      </c>
      <c r="H232" s="3">
        <f t="shared" si="44"/>
        <v>0</v>
      </c>
      <c r="I232" s="277">
        <f t="shared" si="40"/>
        <v>0</v>
      </c>
      <c r="J232" s="144"/>
      <c r="K232" s="359" t="s">
        <v>338</v>
      </c>
      <c r="L232" s="144"/>
      <c r="M232" s="372"/>
      <c r="N232" s="296">
        <v>41037</v>
      </c>
      <c r="O232" s="144" t="s">
        <v>346</v>
      </c>
      <c r="P232" s="144" t="s">
        <v>46</v>
      </c>
      <c r="Q232" s="144"/>
      <c r="R232" s="144"/>
      <c r="S232" s="144" t="s">
        <v>168</v>
      </c>
      <c r="T232" s="144" t="s">
        <v>341</v>
      </c>
      <c r="U232" s="144">
        <v>300</v>
      </c>
      <c r="V232" s="144"/>
      <c r="W232" s="144"/>
      <c r="X232" s="144"/>
      <c r="Y232" s="359">
        <v>47</v>
      </c>
      <c r="Z232" s="359"/>
      <c r="AA232" s="210"/>
      <c r="AB232" s="395"/>
      <c r="AC232" s="144"/>
      <c r="AD232" s="144"/>
      <c r="AE232" s="144"/>
      <c r="AF232" s="144"/>
      <c r="AG232" s="314"/>
      <c r="AH232" s="229">
        <v>194.71171758747701</v>
      </c>
      <c r="AI232" s="208"/>
      <c r="AJ232" s="208"/>
      <c r="AK232" s="24"/>
      <c r="AL232" s="208"/>
      <c r="AM232" s="144"/>
      <c r="AN232" s="24">
        <f t="shared" si="41"/>
        <v>0</v>
      </c>
      <c r="AO232" s="54">
        <f t="shared" si="42"/>
        <v>0</v>
      </c>
      <c r="AP232" s="261" t="e">
        <f t="shared" si="43"/>
        <v>#VALUE!</v>
      </c>
      <c r="AQ232" s="372"/>
      <c r="AR232" s="211"/>
      <c r="AS232" s="144"/>
      <c r="AT232" s="144"/>
    </row>
    <row r="233" spans="1:46" ht="36">
      <c r="A233" s="186" t="s">
        <v>350</v>
      </c>
      <c r="B233" s="359" t="str">
        <f t="shared" si="34"/>
        <v>Sapphire</v>
      </c>
      <c r="C233" s="141">
        <f t="shared" si="35"/>
        <v>0</v>
      </c>
      <c r="D233" s="277">
        <f t="shared" si="36"/>
        <v>208.747137670142</v>
      </c>
      <c r="E233" s="20">
        <f t="shared" si="37"/>
        <v>0</v>
      </c>
      <c r="F233" s="20">
        <f t="shared" si="38"/>
        <v>0</v>
      </c>
      <c r="G233" s="277">
        <f t="shared" si="39"/>
        <v>0</v>
      </c>
      <c r="H233" s="3">
        <f t="shared" si="44"/>
        <v>0</v>
      </c>
      <c r="I233" s="277">
        <f t="shared" si="40"/>
        <v>0</v>
      </c>
      <c r="J233" s="186"/>
      <c r="K233" s="359" t="s">
        <v>338</v>
      </c>
      <c r="L233" s="186"/>
      <c r="M233" s="27"/>
      <c r="N233" s="212">
        <v>41037</v>
      </c>
      <c r="O233" s="186" t="s">
        <v>351</v>
      </c>
      <c r="P233" s="186" t="s">
        <v>340</v>
      </c>
      <c r="Q233" s="186"/>
      <c r="R233" s="186"/>
      <c r="S233" s="186" t="s">
        <v>168</v>
      </c>
      <c r="T233" s="186" t="s">
        <v>341</v>
      </c>
      <c r="U233" s="186">
        <v>300</v>
      </c>
      <c r="V233" s="186"/>
      <c r="W233" s="186"/>
      <c r="X233" s="186"/>
      <c r="Y233" s="359">
        <v>47</v>
      </c>
      <c r="Z233" s="359"/>
      <c r="AA233" s="210"/>
      <c r="AB233" s="288"/>
      <c r="AC233" s="186"/>
      <c r="AD233" s="186"/>
      <c r="AE233" s="186"/>
      <c r="AF233" s="186"/>
      <c r="AG233" s="397"/>
      <c r="AH233" s="87">
        <v>208.747137670142</v>
      </c>
      <c r="AI233" s="73"/>
      <c r="AJ233" s="73"/>
      <c r="AK233" s="24"/>
      <c r="AL233" s="73"/>
      <c r="AM233" s="186"/>
      <c r="AN233" s="24">
        <f t="shared" si="41"/>
        <v>0</v>
      </c>
      <c r="AO233" s="54">
        <f t="shared" si="42"/>
        <v>0</v>
      </c>
      <c r="AP233" s="261" t="e">
        <f t="shared" si="43"/>
        <v>#VALUE!</v>
      </c>
      <c r="AQ233" s="27"/>
      <c r="AR233" s="133"/>
      <c r="AS233" s="186"/>
      <c r="AT233" s="186"/>
    </row>
    <row r="234" spans="1:46" ht="36">
      <c r="A234" s="359" t="s">
        <v>352</v>
      </c>
      <c r="B234" s="359" t="str">
        <f t="shared" si="34"/>
        <v>Sapphire</v>
      </c>
      <c r="C234" s="141">
        <f t="shared" si="35"/>
        <v>0</v>
      </c>
      <c r="D234" s="277">
        <f t="shared" si="36"/>
        <v>205.416699006459</v>
      </c>
      <c r="E234" s="20">
        <f t="shared" si="37"/>
        <v>0</v>
      </c>
      <c r="F234" s="20">
        <f t="shared" si="38"/>
        <v>0</v>
      </c>
      <c r="G234" s="277">
        <f t="shared" si="39"/>
        <v>0</v>
      </c>
      <c r="H234" s="3">
        <f t="shared" si="44"/>
        <v>0</v>
      </c>
      <c r="I234" s="277">
        <f t="shared" si="40"/>
        <v>0</v>
      </c>
      <c r="J234" s="359"/>
      <c r="K234" s="359" t="s">
        <v>338</v>
      </c>
      <c r="L234" s="359"/>
      <c r="M234" s="338"/>
      <c r="N234" s="89">
        <v>41037</v>
      </c>
      <c r="O234" s="359" t="s">
        <v>351</v>
      </c>
      <c r="P234" s="359" t="s">
        <v>340</v>
      </c>
      <c r="Q234" s="359"/>
      <c r="R234" s="359"/>
      <c r="S234" s="359" t="s">
        <v>168</v>
      </c>
      <c r="T234" s="359" t="s">
        <v>341</v>
      </c>
      <c r="U234" s="359">
        <v>300</v>
      </c>
      <c r="V234" s="359"/>
      <c r="W234" s="359"/>
      <c r="X234" s="359"/>
      <c r="Y234" s="359">
        <v>47</v>
      </c>
      <c r="Z234" s="359"/>
      <c r="AA234" s="210"/>
      <c r="AB234" s="248"/>
      <c r="AC234" s="359"/>
      <c r="AD234" s="359"/>
      <c r="AE234" s="359"/>
      <c r="AF234" s="359"/>
      <c r="AG234" s="153"/>
      <c r="AH234" s="346">
        <v>205.416699006459</v>
      </c>
      <c r="AI234" s="24"/>
      <c r="AJ234" s="24"/>
      <c r="AK234" s="24"/>
      <c r="AL234" s="24"/>
      <c r="AM234" s="359"/>
      <c r="AN234" s="24">
        <f t="shared" si="41"/>
        <v>0</v>
      </c>
      <c r="AO234" s="54">
        <f t="shared" si="42"/>
        <v>0</v>
      </c>
      <c r="AP234" s="261" t="e">
        <f t="shared" si="43"/>
        <v>#VALUE!</v>
      </c>
      <c r="AQ234" s="338"/>
      <c r="AR234" s="45"/>
      <c r="AS234" s="359"/>
      <c r="AT234" s="359"/>
    </row>
    <row r="235" spans="1:46" ht="36">
      <c r="A235" s="359" t="s">
        <v>353</v>
      </c>
      <c r="B235" s="359" t="str">
        <f t="shared" si="34"/>
        <v>Sapphire</v>
      </c>
      <c r="C235" s="141">
        <f t="shared" si="35"/>
        <v>0</v>
      </c>
      <c r="D235" s="277">
        <f t="shared" si="36"/>
        <v>201.01576220087799</v>
      </c>
      <c r="E235" s="20">
        <f t="shared" si="37"/>
        <v>0</v>
      </c>
      <c r="F235" s="20">
        <f t="shared" si="38"/>
        <v>0</v>
      </c>
      <c r="G235" s="277">
        <f t="shared" si="39"/>
        <v>0</v>
      </c>
      <c r="H235" s="3">
        <f t="shared" si="44"/>
        <v>0</v>
      </c>
      <c r="I235" s="277">
        <f t="shared" si="40"/>
        <v>0</v>
      </c>
      <c r="J235" s="359"/>
      <c r="K235" s="359" t="s">
        <v>338</v>
      </c>
      <c r="L235" s="359"/>
      <c r="M235" s="338"/>
      <c r="N235" s="89">
        <v>41037</v>
      </c>
      <c r="O235" s="359" t="s">
        <v>351</v>
      </c>
      <c r="P235" s="359" t="s">
        <v>340</v>
      </c>
      <c r="Q235" s="359"/>
      <c r="R235" s="359"/>
      <c r="S235" s="359" t="s">
        <v>168</v>
      </c>
      <c r="T235" s="359" t="s">
        <v>341</v>
      </c>
      <c r="U235" s="359">
        <v>300</v>
      </c>
      <c r="V235" s="359"/>
      <c r="W235" s="359"/>
      <c r="X235" s="359"/>
      <c r="Y235" s="359">
        <v>47</v>
      </c>
      <c r="Z235" s="359"/>
      <c r="AA235" s="210"/>
      <c r="AB235" s="248"/>
      <c r="AC235" s="359"/>
      <c r="AD235" s="359"/>
      <c r="AE235" s="359"/>
      <c r="AF235" s="359"/>
      <c r="AG235" s="153"/>
      <c r="AH235" s="346">
        <v>201.01576220087799</v>
      </c>
      <c r="AI235" s="24"/>
      <c r="AJ235" s="24"/>
      <c r="AK235" s="24"/>
      <c r="AL235" s="24"/>
      <c r="AM235" s="359"/>
      <c r="AN235" s="24">
        <f t="shared" si="41"/>
        <v>0</v>
      </c>
      <c r="AO235" s="54">
        <f t="shared" si="42"/>
        <v>0</v>
      </c>
      <c r="AP235" s="261" t="e">
        <f t="shared" si="43"/>
        <v>#VALUE!</v>
      </c>
      <c r="AQ235" s="338"/>
      <c r="AR235" s="45"/>
      <c r="AS235" s="359"/>
      <c r="AT235" s="359"/>
    </row>
    <row r="236" spans="1:46" ht="36">
      <c r="A236" s="359" t="s">
        <v>354</v>
      </c>
      <c r="B236" s="359" t="str">
        <f t="shared" si="34"/>
        <v>Sapphire</v>
      </c>
      <c r="C236" s="141">
        <f t="shared" si="35"/>
        <v>0</v>
      </c>
      <c r="D236" s="277">
        <f t="shared" si="36"/>
        <v>199.469487107025</v>
      </c>
      <c r="E236" s="20">
        <f t="shared" si="37"/>
        <v>0</v>
      </c>
      <c r="F236" s="20">
        <f t="shared" si="38"/>
        <v>0</v>
      </c>
      <c r="G236" s="277">
        <f t="shared" si="39"/>
        <v>0</v>
      </c>
      <c r="H236" s="3">
        <f t="shared" si="44"/>
        <v>0</v>
      </c>
      <c r="I236" s="277">
        <f t="shared" si="40"/>
        <v>0</v>
      </c>
      <c r="J236" s="359"/>
      <c r="K236" s="359" t="s">
        <v>338</v>
      </c>
      <c r="L236" s="359"/>
      <c r="M236" s="338"/>
      <c r="N236" s="89">
        <v>41037</v>
      </c>
      <c r="O236" s="359" t="s">
        <v>351</v>
      </c>
      <c r="P236" s="359" t="s">
        <v>340</v>
      </c>
      <c r="Q236" s="359"/>
      <c r="R236" s="359"/>
      <c r="S236" s="359" t="s">
        <v>168</v>
      </c>
      <c r="T236" s="359" t="s">
        <v>341</v>
      </c>
      <c r="U236" s="359">
        <v>300</v>
      </c>
      <c r="V236" s="359"/>
      <c r="W236" s="359"/>
      <c r="X236" s="359"/>
      <c r="Y236" s="359">
        <v>47</v>
      </c>
      <c r="Z236" s="359"/>
      <c r="AA236" s="210"/>
      <c r="AB236" s="248"/>
      <c r="AC236" s="359"/>
      <c r="AD236" s="359"/>
      <c r="AE236" s="359"/>
      <c r="AF236" s="359"/>
      <c r="AG236" s="153"/>
      <c r="AH236" s="346">
        <v>199.469487107025</v>
      </c>
      <c r="AI236" s="24"/>
      <c r="AJ236" s="24"/>
      <c r="AK236" s="24"/>
      <c r="AL236" s="24"/>
      <c r="AM236" s="359"/>
      <c r="AN236" s="24">
        <f t="shared" si="41"/>
        <v>0</v>
      </c>
      <c r="AO236" s="54">
        <f t="shared" si="42"/>
        <v>0</v>
      </c>
      <c r="AP236" s="261" t="e">
        <f t="shared" si="43"/>
        <v>#VALUE!</v>
      </c>
      <c r="AQ236" s="338"/>
      <c r="AR236" s="45"/>
      <c r="AS236" s="359"/>
      <c r="AT236" s="359"/>
    </row>
    <row r="237" spans="1:46" ht="36">
      <c r="A237" s="173" t="s">
        <v>355</v>
      </c>
      <c r="B237" s="359" t="str">
        <f t="shared" si="34"/>
        <v>Sapphire</v>
      </c>
      <c r="C237" s="141">
        <f t="shared" si="35"/>
        <v>0</v>
      </c>
      <c r="D237" s="277">
        <f t="shared" si="36"/>
        <v>0</v>
      </c>
      <c r="E237" s="20">
        <f t="shared" si="37"/>
        <v>0</v>
      </c>
      <c r="F237" s="20">
        <f t="shared" si="38"/>
        <v>0</v>
      </c>
      <c r="G237" s="277">
        <f t="shared" si="39"/>
        <v>0</v>
      </c>
      <c r="H237" s="3">
        <f t="shared" si="44"/>
        <v>0</v>
      </c>
      <c r="I237" s="277">
        <f t="shared" si="40"/>
        <v>0</v>
      </c>
      <c r="J237" s="359"/>
      <c r="K237" s="359"/>
      <c r="L237" s="359"/>
      <c r="M237" s="338"/>
      <c r="N237" s="393">
        <v>41038</v>
      </c>
      <c r="O237" s="173" t="s">
        <v>356</v>
      </c>
      <c r="P237" s="173" t="s">
        <v>340</v>
      </c>
      <c r="Q237" s="173"/>
      <c r="R237" s="173"/>
      <c r="S237" s="173" t="s">
        <v>168</v>
      </c>
      <c r="T237" s="173" t="s">
        <v>357</v>
      </c>
      <c r="U237" s="173">
        <v>300</v>
      </c>
      <c r="V237" s="359"/>
      <c r="W237" s="359"/>
      <c r="X237" s="359"/>
      <c r="Y237" s="359">
        <v>47</v>
      </c>
      <c r="Z237" s="359"/>
      <c r="AA237" s="210"/>
      <c r="AB237" s="248"/>
      <c r="AC237" s="359"/>
      <c r="AD237" s="359"/>
      <c r="AE237" s="359"/>
      <c r="AF237" s="359"/>
      <c r="AG237" s="153"/>
      <c r="AH237" s="346"/>
      <c r="AI237" s="24"/>
      <c r="AJ237" s="24"/>
      <c r="AK237" s="24"/>
      <c r="AL237" s="24"/>
      <c r="AM237" s="359"/>
      <c r="AN237" s="24">
        <f t="shared" si="41"/>
        <v>0</v>
      </c>
      <c r="AO237" s="54">
        <f t="shared" si="42"/>
        <v>0</v>
      </c>
      <c r="AP237" s="261" t="e">
        <f t="shared" si="43"/>
        <v>#VALUE!</v>
      </c>
      <c r="AQ237" s="338"/>
      <c r="AR237" s="45"/>
      <c r="AS237" s="359"/>
      <c r="AT237" s="359"/>
    </row>
    <row r="238" spans="1:46" ht="36">
      <c r="A238" s="173" t="s">
        <v>358</v>
      </c>
      <c r="B238" s="359" t="str">
        <f t="shared" si="34"/>
        <v>Sapphire</v>
      </c>
      <c r="C238" s="141">
        <f t="shared" si="35"/>
        <v>0</v>
      </c>
      <c r="D238" s="277">
        <f t="shared" si="36"/>
        <v>0</v>
      </c>
      <c r="E238" s="20">
        <f t="shared" si="37"/>
        <v>0</v>
      </c>
      <c r="F238" s="20">
        <f t="shared" si="38"/>
        <v>0</v>
      </c>
      <c r="G238" s="277">
        <f t="shared" si="39"/>
        <v>0</v>
      </c>
      <c r="H238" s="3">
        <f t="shared" si="44"/>
        <v>0</v>
      </c>
      <c r="I238" s="277">
        <f t="shared" si="40"/>
        <v>0</v>
      </c>
      <c r="J238" s="359"/>
      <c r="K238" s="359"/>
      <c r="L238" s="359"/>
      <c r="M238" s="338"/>
      <c r="N238" s="393">
        <v>41038</v>
      </c>
      <c r="O238" s="173" t="s">
        <v>356</v>
      </c>
      <c r="P238" s="173" t="s">
        <v>340</v>
      </c>
      <c r="Q238" s="173"/>
      <c r="R238" s="173"/>
      <c r="S238" s="173" t="s">
        <v>168</v>
      </c>
      <c r="T238" s="173" t="s">
        <v>357</v>
      </c>
      <c r="U238" s="173">
        <v>300</v>
      </c>
      <c r="V238" s="359"/>
      <c r="W238" s="359"/>
      <c r="X238" s="359"/>
      <c r="Y238" s="359">
        <v>47</v>
      </c>
      <c r="Z238" s="359"/>
      <c r="AA238" s="210"/>
      <c r="AB238" s="248"/>
      <c r="AC238" s="359"/>
      <c r="AD238" s="359"/>
      <c r="AE238" s="359"/>
      <c r="AF238" s="359"/>
      <c r="AG238" s="153"/>
      <c r="AH238" s="346"/>
      <c r="AI238" s="24"/>
      <c r="AJ238" s="24"/>
      <c r="AK238" s="24"/>
      <c r="AL238" s="24"/>
      <c r="AM238" s="359"/>
      <c r="AN238" s="24">
        <f t="shared" si="41"/>
        <v>0</v>
      </c>
      <c r="AO238" s="54">
        <f t="shared" si="42"/>
        <v>0</v>
      </c>
      <c r="AP238" s="261" t="e">
        <f t="shared" si="43"/>
        <v>#VALUE!</v>
      </c>
      <c r="AQ238" s="338"/>
      <c r="AR238" s="45"/>
      <c r="AS238" s="359"/>
      <c r="AT238" s="359"/>
    </row>
    <row r="239" spans="1:46" ht="36">
      <c r="A239" s="173" t="s">
        <v>359</v>
      </c>
      <c r="B239" s="359" t="str">
        <f t="shared" si="34"/>
        <v>Sapphire</v>
      </c>
      <c r="C239" s="141">
        <f t="shared" si="35"/>
        <v>0</v>
      </c>
      <c r="D239" s="277">
        <f t="shared" si="36"/>
        <v>0</v>
      </c>
      <c r="E239" s="20">
        <f t="shared" si="37"/>
        <v>0</v>
      </c>
      <c r="F239" s="20">
        <f t="shared" si="38"/>
        <v>0</v>
      </c>
      <c r="G239" s="277">
        <f t="shared" si="39"/>
        <v>0</v>
      </c>
      <c r="H239" s="3">
        <f t="shared" si="44"/>
        <v>0</v>
      </c>
      <c r="I239" s="277">
        <f t="shared" si="40"/>
        <v>0</v>
      </c>
      <c r="J239" s="359"/>
      <c r="K239" s="359"/>
      <c r="L239" s="359"/>
      <c r="M239" s="338"/>
      <c r="N239" s="393">
        <v>41038</v>
      </c>
      <c r="O239" s="173" t="s">
        <v>356</v>
      </c>
      <c r="P239" s="173" t="s">
        <v>340</v>
      </c>
      <c r="Q239" s="173"/>
      <c r="R239" s="173"/>
      <c r="S239" s="173" t="s">
        <v>168</v>
      </c>
      <c r="T239" s="173" t="s">
        <v>357</v>
      </c>
      <c r="U239" s="173">
        <v>300</v>
      </c>
      <c r="V239" s="359"/>
      <c r="W239" s="359"/>
      <c r="X239" s="359"/>
      <c r="Y239" s="359">
        <v>47</v>
      </c>
      <c r="Z239" s="359"/>
      <c r="AA239" s="210"/>
      <c r="AB239" s="248"/>
      <c r="AC239" s="359"/>
      <c r="AD239" s="359"/>
      <c r="AE239" s="359"/>
      <c r="AF239" s="359"/>
      <c r="AG239" s="153"/>
      <c r="AH239" s="346"/>
      <c r="AI239" s="24"/>
      <c r="AJ239" s="24"/>
      <c r="AK239" s="24"/>
      <c r="AL239" s="24"/>
      <c r="AM239" s="359"/>
      <c r="AN239" s="24">
        <f t="shared" si="41"/>
        <v>0</v>
      </c>
      <c r="AO239" s="54">
        <f t="shared" si="42"/>
        <v>0</v>
      </c>
      <c r="AP239" s="261" t="e">
        <f t="shared" si="43"/>
        <v>#VALUE!</v>
      </c>
      <c r="AQ239" s="338"/>
      <c r="AR239" s="45"/>
      <c r="AS239" s="359"/>
      <c r="AT239" s="359"/>
    </row>
    <row r="240" spans="1:46" ht="36">
      <c r="A240" s="173" t="s">
        <v>360</v>
      </c>
      <c r="B240" s="359" t="str">
        <f t="shared" si="34"/>
        <v>Sapphire</v>
      </c>
      <c r="C240" s="141">
        <f t="shared" si="35"/>
        <v>0</v>
      </c>
      <c r="D240" s="277">
        <f t="shared" si="36"/>
        <v>0</v>
      </c>
      <c r="E240" s="20">
        <f t="shared" si="37"/>
        <v>0</v>
      </c>
      <c r="F240" s="20">
        <f t="shared" si="38"/>
        <v>0</v>
      </c>
      <c r="G240" s="277">
        <f t="shared" si="39"/>
        <v>0</v>
      </c>
      <c r="H240" s="3">
        <f t="shared" si="44"/>
        <v>0</v>
      </c>
      <c r="I240" s="277">
        <f t="shared" si="40"/>
        <v>0</v>
      </c>
      <c r="J240" s="359"/>
      <c r="K240" s="359"/>
      <c r="L240" s="359"/>
      <c r="M240" s="338"/>
      <c r="N240" s="393">
        <v>41038</v>
      </c>
      <c r="O240" s="173" t="s">
        <v>356</v>
      </c>
      <c r="P240" s="173" t="s">
        <v>340</v>
      </c>
      <c r="Q240" s="173"/>
      <c r="R240" s="173"/>
      <c r="S240" s="173" t="s">
        <v>168</v>
      </c>
      <c r="T240" s="173" t="s">
        <v>357</v>
      </c>
      <c r="U240" s="173">
        <v>300</v>
      </c>
      <c r="V240" s="359"/>
      <c r="W240" s="359"/>
      <c r="X240" s="359"/>
      <c r="Y240" s="359">
        <v>47</v>
      </c>
      <c r="Z240" s="359"/>
      <c r="AA240" s="210"/>
      <c r="AB240" s="248"/>
      <c r="AC240" s="359"/>
      <c r="AD240" s="359"/>
      <c r="AE240" s="359"/>
      <c r="AF240" s="359"/>
      <c r="AG240" s="153"/>
      <c r="AH240" s="346"/>
      <c r="AI240" s="24"/>
      <c r="AJ240" s="24"/>
      <c r="AK240" s="24"/>
      <c r="AL240" s="24"/>
      <c r="AM240" s="359"/>
      <c r="AN240" s="24">
        <f t="shared" si="41"/>
        <v>0</v>
      </c>
      <c r="AO240" s="54">
        <f t="shared" si="42"/>
        <v>0</v>
      </c>
      <c r="AP240" s="261" t="e">
        <f t="shared" si="43"/>
        <v>#VALUE!</v>
      </c>
      <c r="AQ240" s="338"/>
      <c r="AR240" s="45"/>
      <c r="AS240" s="359"/>
      <c r="AT240" s="359"/>
    </row>
    <row r="241" spans="1:46" ht="36">
      <c r="A241" s="359" t="s">
        <v>361</v>
      </c>
      <c r="B241" s="359" t="str">
        <f t="shared" si="34"/>
        <v>Sapphire</v>
      </c>
      <c r="C241" s="141">
        <f t="shared" si="35"/>
        <v>0</v>
      </c>
      <c r="D241" s="277">
        <f t="shared" si="36"/>
        <v>763.74095212534598</v>
      </c>
      <c r="E241" s="20">
        <f t="shared" si="37"/>
        <v>0</v>
      </c>
      <c r="F241" s="20">
        <f t="shared" si="38"/>
        <v>0</v>
      </c>
      <c r="G241" s="277">
        <f t="shared" si="39"/>
        <v>0</v>
      </c>
      <c r="H241" s="3">
        <f t="shared" si="44"/>
        <v>0</v>
      </c>
      <c r="I241" s="277">
        <f t="shared" si="40"/>
        <v>0</v>
      </c>
      <c r="J241" s="359"/>
      <c r="K241" s="359" t="s">
        <v>338</v>
      </c>
      <c r="L241" s="359"/>
      <c r="M241" s="338"/>
      <c r="N241" s="89">
        <v>41039</v>
      </c>
      <c r="O241" s="359" t="s">
        <v>362</v>
      </c>
      <c r="P241" s="359" t="s">
        <v>340</v>
      </c>
      <c r="Q241" s="359"/>
      <c r="R241" s="359"/>
      <c r="S241" s="359" t="s">
        <v>168</v>
      </c>
      <c r="T241" s="359" t="s">
        <v>363</v>
      </c>
      <c r="U241" s="359">
        <v>300</v>
      </c>
      <c r="V241" s="359"/>
      <c r="W241" s="359"/>
      <c r="X241" s="359"/>
      <c r="Y241" s="359">
        <v>47</v>
      </c>
      <c r="Z241" s="359"/>
      <c r="AA241" s="210"/>
      <c r="AB241" s="248"/>
      <c r="AC241" s="359"/>
      <c r="AD241" s="359"/>
      <c r="AE241" s="359"/>
      <c r="AF241" s="359"/>
      <c r="AG241" s="153"/>
      <c r="AH241" s="346">
        <v>763.74095212534598</v>
      </c>
      <c r="AI241" s="24"/>
      <c r="AJ241" s="24"/>
      <c r="AK241" s="24"/>
      <c r="AL241" s="24"/>
      <c r="AM241" s="359"/>
      <c r="AN241" s="24">
        <f t="shared" si="41"/>
        <v>0</v>
      </c>
      <c r="AO241" s="54">
        <f t="shared" si="42"/>
        <v>0</v>
      </c>
      <c r="AP241" s="261" t="e">
        <f t="shared" si="43"/>
        <v>#VALUE!</v>
      </c>
      <c r="AQ241" s="338"/>
      <c r="AR241" s="45"/>
      <c r="AS241" s="359"/>
      <c r="AT241" s="359"/>
    </row>
    <row r="242" spans="1:46" ht="36">
      <c r="A242" s="359" t="s">
        <v>364</v>
      </c>
      <c r="B242" s="359" t="str">
        <f t="shared" si="34"/>
        <v>Sapphire</v>
      </c>
      <c r="C242" s="141">
        <f t="shared" si="35"/>
        <v>0</v>
      </c>
      <c r="D242" s="277">
        <f t="shared" si="36"/>
        <v>770.40182945271295</v>
      </c>
      <c r="E242" s="20">
        <f t="shared" si="37"/>
        <v>0</v>
      </c>
      <c r="F242" s="20">
        <f t="shared" si="38"/>
        <v>0</v>
      </c>
      <c r="G242" s="277">
        <f t="shared" si="39"/>
        <v>0</v>
      </c>
      <c r="H242" s="3">
        <f t="shared" si="44"/>
        <v>0</v>
      </c>
      <c r="I242" s="277">
        <f t="shared" si="40"/>
        <v>0</v>
      </c>
      <c r="J242" s="359"/>
      <c r="K242" s="359" t="s">
        <v>338</v>
      </c>
      <c r="L242" s="359"/>
      <c r="M242" s="338"/>
      <c r="N242" s="89">
        <v>41039</v>
      </c>
      <c r="O242" s="359" t="s">
        <v>362</v>
      </c>
      <c r="P242" s="359" t="s">
        <v>340</v>
      </c>
      <c r="Q242" s="359"/>
      <c r="R242" s="359"/>
      <c r="S242" s="359" t="s">
        <v>168</v>
      </c>
      <c r="T242" s="359" t="s">
        <v>363</v>
      </c>
      <c r="U242" s="359">
        <v>300</v>
      </c>
      <c r="V242" s="359"/>
      <c r="W242" s="359"/>
      <c r="X242" s="359"/>
      <c r="Y242" s="359">
        <v>47</v>
      </c>
      <c r="Z242" s="359"/>
      <c r="AA242" s="210"/>
      <c r="AB242" s="248"/>
      <c r="AC242" s="359"/>
      <c r="AD242" s="359"/>
      <c r="AE242" s="359"/>
      <c r="AF242" s="359"/>
      <c r="AG242" s="153"/>
      <c r="AH242" s="346">
        <v>770.40182945271295</v>
      </c>
      <c r="AI242" s="24"/>
      <c r="AJ242" s="24"/>
      <c r="AK242" s="24"/>
      <c r="AL242" s="24"/>
      <c r="AM242" s="359"/>
      <c r="AN242" s="24">
        <f t="shared" si="41"/>
        <v>0</v>
      </c>
      <c r="AO242" s="54">
        <f t="shared" si="42"/>
        <v>0</v>
      </c>
      <c r="AP242" s="261" t="e">
        <f t="shared" si="43"/>
        <v>#VALUE!</v>
      </c>
      <c r="AQ242" s="338"/>
      <c r="AR242" s="45"/>
      <c r="AS242" s="359"/>
      <c r="AT242" s="359"/>
    </row>
    <row r="243" spans="1:46" ht="36">
      <c r="A243" s="359" t="s">
        <v>365</v>
      </c>
      <c r="B243" s="359" t="str">
        <f t="shared" si="34"/>
        <v>Sapphire</v>
      </c>
      <c r="C243" s="141">
        <f t="shared" si="35"/>
        <v>0</v>
      </c>
      <c r="D243" s="277">
        <f t="shared" si="36"/>
        <v>707.95610450865297</v>
      </c>
      <c r="E243" s="20">
        <f t="shared" si="37"/>
        <v>0</v>
      </c>
      <c r="F243" s="20">
        <f t="shared" si="38"/>
        <v>0</v>
      </c>
      <c r="G243" s="277">
        <f t="shared" si="39"/>
        <v>0</v>
      </c>
      <c r="H243" s="3">
        <f t="shared" si="44"/>
        <v>0</v>
      </c>
      <c r="I243" s="277">
        <f t="shared" si="40"/>
        <v>0</v>
      </c>
      <c r="J243" s="359"/>
      <c r="K243" s="359" t="s">
        <v>338</v>
      </c>
      <c r="L243" s="359"/>
      <c r="M243" s="338"/>
      <c r="N243" s="89">
        <v>41039</v>
      </c>
      <c r="O243" s="359" t="s">
        <v>362</v>
      </c>
      <c r="P243" s="359" t="s">
        <v>340</v>
      </c>
      <c r="Q243" s="359"/>
      <c r="R243" s="359"/>
      <c r="S243" s="359" t="s">
        <v>168</v>
      </c>
      <c r="T243" s="359" t="s">
        <v>363</v>
      </c>
      <c r="U243" s="359">
        <v>300</v>
      </c>
      <c r="V243" s="359"/>
      <c r="W243" s="359"/>
      <c r="X243" s="359"/>
      <c r="Y243" s="359">
        <v>47</v>
      </c>
      <c r="Z243" s="359"/>
      <c r="AA243" s="210"/>
      <c r="AB243" s="248"/>
      <c r="AC243" s="359"/>
      <c r="AD243" s="359"/>
      <c r="AE243" s="359"/>
      <c r="AF243" s="359"/>
      <c r="AG243" s="153"/>
      <c r="AH243" s="346">
        <v>707.95610450865297</v>
      </c>
      <c r="AI243" s="24"/>
      <c r="AJ243" s="24"/>
      <c r="AK243" s="24"/>
      <c r="AL243" s="24"/>
      <c r="AM243" s="359"/>
      <c r="AN243" s="24">
        <f t="shared" si="41"/>
        <v>0</v>
      </c>
      <c r="AO243" s="54">
        <f t="shared" si="42"/>
        <v>0</v>
      </c>
      <c r="AP243" s="261" t="e">
        <f t="shared" si="43"/>
        <v>#VALUE!</v>
      </c>
      <c r="AQ243" s="338"/>
      <c r="AR243" s="45"/>
      <c r="AS243" s="359"/>
      <c r="AT243" s="359"/>
    </row>
    <row r="244" spans="1:46" ht="36">
      <c r="A244" s="359" t="s">
        <v>366</v>
      </c>
      <c r="B244" s="359" t="str">
        <f t="shared" si="34"/>
        <v>Sapphire</v>
      </c>
      <c r="C244" s="141">
        <f t="shared" si="35"/>
        <v>0</v>
      </c>
      <c r="D244" s="277">
        <f t="shared" si="36"/>
        <v>709.26449112652904</v>
      </c>
      <c r="E244" s="20">
        <f t="shared" si="37"/>
        <v>0</v>
      </c>
      <c r="F244" s="20">
        <f t="shared" si="38"/>
        <v>0</v>
      </c>
      <c r="G244" s="277">
        <f t="shared" si="39"/>
        <v>0</v>
      </c>
      <c r="H244" s="3">
        <f t="shared" si="44"/>
        <v>0</v>
      </c>
      <c r="I244" s="277">
        <f t="shared" si="40"/>
        <v>0</v>
      </c>
      <c r="J244" s="359"/>
      <c r="K244" s="359" t="s">
        <v>338</v>
      </c>
      <c r="L244" s="359"/>
      <c r="M244" s="338"/>
      <c r="N244" s="89">
        <v>41039</v>
      </c>
      <c r="O244" s="359" t="s">
        <v>362</v>
      </c>
      <c r="P244" s="359" t="s">
        <v>340</v>
      </c>
      <c r="Q244" s="359"/>
      <c r="R244" s="359"/>
      <c r="S244" s="359" t="s">
        <v>168</v>
      </c>
      <c r="T244" s="359" t="s">
        <v>363</v>
      </c>
      <c r="U244" s="359">
        <v>300</v>
      </c>
      <c r="V244" s="359"/>
      <c r="W244" s="359"/>
      <c r="X244" s="359"/>
      <c r="Y244" s="359">
        <v>47</v>
      </c>
      <c r="Z244" s="359"/>
      <c r="AA244" s="210"/>
      <c r="AB244" s="248"/>
      <c r="AC244" s="359"/>
      <c r="AD244" s="359"/>
      <c r="AE244" s="359"/>
      <c r="AF244" s="359"/>
      <c r="AG244" s="153"/>
      <c r="AH244" s="346">
        <v>709.26449112652904</v>
      </c>
      <c r="AI244" s="24"/>
      <c r="AJ244" s="24"/>
      <c r="AK244" s="24"/>
      <c r="AL244" s="24"/>
      <c r="AM244" s="359"/>
      <c r="AN244" s="24">
        <f t="shared" si="41"/>
        <v>0</v>
      </c>
      <c r="AO244" s="54">
        <f t="shared" si="42"/>
        <v>0</v>
      </c>
      <c r="AP244" s="261" t="e">
        <f t="shared" si="43"/>
        <v>#VALUE!</v>
      </c>
      <c r="AQ244" s="338"/>
      <c r="AR244" s="45"/>
      <c r="AS244" s="359"/>
      <c r="AT244" s="359"/>
    </row>
    <row r="245" spans="1:46" ht="12">
      <c r="A245" s="359" t="s">
        <v>367</v>
      </c>
      <c r="B245" s="359" t="str">
        <f t="shared" si="34"/>
        <v>Glass</v>
      </c>
      <c r="C245" s="141">
        <f t="shared" si="35"/>
        <v>0</v>
      </c>
      <c r="D245" s="277">
        <f t="shared" si="36"/>
        <v>382</v>
      </c>
      <c r="E245" s="20">
        <f t="shared" si="37"/>
        <v>0</v>
      </c>
      <c r="F245" s="20">
        <f t="shared" si="38"/>
        <v>0</v>
      </c>
      <c r="G245" s="277">
        <f t="shared" si="39"/>
        <v>0</v>
      </c>
      <c r="H245" s="3">
        <f t="shared" si="44"/>
        <v>0</v>
      </c>
      <c r="I245" s="277">
        <f t="shared" si="40"/>
        <v>0</v>
      </c>
      <c r="J245" s="359"/>
      <c r="K245" s="359" t="s">
        <v>368</v>
      </c>
      <c r="L245" s="359"/>
      <c r="M245" s="338"/>
      <c r="N245" s="89">
        <v>41040</v>
      </c>
      <c r="O245" s="359">
        <v>106</v>
      </c>
      <c r="P245" s="359" t="s">
        <v>290</v>
      </c>
      <c r="Q245" s="359"/>
      <c r="R245" s="359"/>
      <c r="S245" s="359">
        <v>20</v>
      </c>
      <c r="T245" s="359">
        <v>100</v>
      </c>
      <c r="U245" s="359">
        <v>300</v>
      </c>
      <c r="V245" s="359"/>
      <c r="W245" s="359"/>
      <c r="X245" s="359"/>
      <c r="Y245" s="359">
        <v>47</v>
      </c>
      <c r="Z245" s="359"/>
      <c r="AA245" s="210"/>
      <c r="AB245" s="248"/>
      <c r="AC245" s="359"/>
      <c r="AD245" s="359"/>
      <c r="AE245" s="359"/>
      <c r="AF245" s="359"/>
      <c r="AG245" s="153"/>
      <c r="AH245" s="346">
        <v>382</v>
      </c>
      <c r="AI245" s="24"/>
      <c r="AJ245" s="24"/>
      <c r="AK245" s="24"/>
      <c r="AL245" s="24"/>
      <c r="AM245" s="359"/>
      <c r="AN245" s="24">
        <f t="shared" si="41"/>
        <v>0</v>
      </c>
      <c r="AO245" s="54">
        <f t="shared" si="42"/>
        <v>0</v>
      </c>
      <c r="AP245" s="261">
        <f t="shared" si="43"/>
        <v>0</v>
      </c>
      <c r="AQ245" s="338"/>
      <c r="AR245" s="45"/>
      <c r="AS245" s="359"/>
      <c r="AT245" s="359"/>
    </row>
    <row r="246" spans="1:46" ht="12">
      <c r="A246" s="359" t="s">
        <v>369</v>
      </c>
      <c r="B246" s="359" t="str">
        <f t="shared" si="34"/>
        <v>Glass</v>
      </c>
      <c r="C246" s="141">
        <f t="shared" si="35"/>
        <v>0</v>
      </c>
      <c r="D246" s="277">
        <f t="shared" si="36"/>
        <v>372</v>
      </c>
      <c r="E246" s="20">
        <f t="shared" si="37"/>
        <v>0</v>
      </c>
      <c r="F246" s="20">
        <f t="shared" si="38"/>
        <v>0</v>
      </c>
      <c r="G246" s="277">
        <f t="shared" si="39"/>
        <v>0</v>
      </c>
      <c r="H246" s="3">
        <f t="shared" si="44"/>
        <v>0</v>
      </c>
      <c r="I246" s="277">
        <f t="shared" si="40"/>
        <v>0</v>
      </c>
      <c r="J246" s="359"/>
      <c r="K246" s="359" t="s">
        <v>368</v>
      </c>
      <c r="L246" s="359"/>
      <c r="M246" s="338"/>
      <c r="N246" s="89">
        <v>41040</v>
      </c>
      <c r="O246" s="359">
        <v>106</v>
      </c>
      <c r="P246" s="359" t="s">
        <v>290</v>
      </c>
      <c r="Q246" s="359"/>
      <c r="R246" s="359"/>
      <c r="S246" s="359">
        <v>20</v>
      </c>
      <c r="T246" s="359">
        <v>100</v>
      </c>
      <c r="U246" s="359">
        <v>300</v>
      </c>
      <c r="V246" s="359"/>
      <c r="W246" s="359"/>
      <c r="X246" s="359"/>
      <c r="Y246" s="359">
        <v>47</v>
      </c>
      <c r="Z246" s="359"/>
      <c r="AA246" s="210"/>
      <c r="AB246" s="248"/>
      <c r="AC246" s="359"/>
      <c r="AD246" s="359"/>
      <c r="AE246" s="359"/>
      <c r="AF246" s="359"/>
      <c r="AG246" s="153"/>
      <c r="AH246" s="346">
        <v>372</v>
      </c>
      <c r="AI246" s="24"/>
      <c r="AJ246" s="24"/>
      <c r="AK246" s="24"/>
      <c r="AL246" s="24"/>
      <c r="AM246" s="359"/>
      <c r="AN246" s="24">
        <f t="shared" si="41"/>
        <v>0</v>
      </c>
      <c r="AO246" s="54">
        <f t="shared" si="42"/>
        <v>0</v>
      </c>
      <c r="AP246" s="261">
        <f t="shared" si="43"/>
        <v>0</v>
      </c>
      <c r="AQ246" s="338"/>
      <c r="AR246" s="45"/>
      <c r="AS246" s="359"/>
      <c r="AT246" s="359"/>
    </row>
    <row r="247" spans="1:46" ht="12">
      <c r="A247" s="359" t="s">
        <v>370</v>
      </c>
      <c r="B247" s="359" t="str">
        <f t="shared" si="34"/>
        <v>Glass</v>
      </c>
      <c r="C247" s="141">
        <f t="shared" si="35"/>
        <v>0</v>
      </c>
      <c r="D247" s="277">
        <f t="shared" si="36"/>
        <v>380</v>
      </c>
      <c r="E247" s="20">
        <f t="shared" si="37"/>
        <v>0</v>
      </c>
      <c r="F247" s="20">
        <f t="shared" si="38"/>
        <v>0</v>
      </c>
      <c r="G247" s="277">
        <f t="shared" si="39"/>
        <v>0</v>
      </c>
      <c r="H247" s="3">
        <f t="shared" si="44"/>
        <v>0</v>
      </c>
      <c r="I247" s="277">
        <f t="shared" si="40"/>
        <v>0</v>
      </c>
      <c r="J247" s="359"/>
      <c r="K247" s="359" t="s">
        <v>368</v>
      </c>
      <c r="L247" s="359"/>
      <c r="M247" s="338"/>
      <c r="N247" s="89">
        <v>41040</v>
      </c>
      <c r="O247" s="359">
        <v>106</v>
      </c>
      <c r="P247" s="359" t="s">
        <v>290</v>
      </c>
      <c r="Q247" s="359"/>
      <c r="R247" s="359"/>
      <c r="S247" s="359">
        <v>20</v>
      </c>
      <c r="T247" s="359">
        <v>100</v>
      </c>
      <c r="U247" s="359">
        <v>300</v>
      </c>
      <c r="V247" s="359"/>
      <c r="W247" s="359"/>
      <c r="X247" s="359"/>
      <c r="Y247" s="359">
        <v>47</v>
      </c>
      <c r="Z247" s="359"/>
      <c r="AA247" s="210"/>
      <c r="AB247" s="248"/>
      <c r="AC247" s="359"/>
      <c r="AD247" s="359"/>
      <c r="AE247" s="359"/>
      <c r="AF247" s="359"/>
      <c r="AG247" s="153"/>
      <c r="AH247" s="346">
        <v>380</v>
      </c>
      <c r="AI247" s="24"/>
      <c r="AJ247" s="24"/>
      <c r="AK247" s="24"/>
      <c r="AL247" s="24"/>
      <c r="AM247" s="359"/>
      <c r="AN247" s="24">
        <f t="shared" si="41"/>
        <v>0</v>
      </c>
      <c r="AO247" s="54">
        <f t="shared" si="42"/>
        <v>0</v>
      </c>
      <c r="AP247" s="261">
        <f t="shared" si="43"/>
        <v>0</v>
      </c>
      <c r="AQ247" s="338"/>
      <c r="AR247" s="45"/>
      <c r="AS247" s="359"/>
      <c r="AT247" s="359"/>
    </row>
    <row r="248" spans="1:46" ht="12">
      <c r="A248" s="359" t="s">
        <v>371</v>
      </c>
      <c r="B248" s="359" t="str">
        <f t="shared" si="34"/>
        <v>Glass</v>
      </c>
      <c r="C248" s="141">
        <f t="shared" si="35"/>
        <v>0</v>
      </c>
      <c r="D248" s="277">
        <f t="shared" si="36"/>
        <v>401</v>
      </c>
      <c r="E248" s="20">
        <f t="shared" si="37"/>
        <v>0</v>
      </c>
      <c r="F248" s="20">
        <f t="shared" si="38"/>
        <v>0</v>
      </c>
      <c r="G248" s="277">
        <f t="shared" si="39"/>
        <v>0</v>
      </c>
      <c r="H248" s="3">
        <f t="shared" si="44"/>
        <v>0</v>
      </c>
      <c r="I248" s="277">
        <f t="shared" si="40"/>
        <v>0</v>
      </c>
      <c r="J248" s="359"/>
      <c r="K248" s="359" t="s">
        <v>368</v>
      </c>
      <c r="L248" s="359"/>
      <c r="M248" s="338"/>
      <c r="N248" s="89">
        <v>41040</v>
      </c>
      <c r="O248" s="359">
        <v>106</v>
      </c>
      <c r="P248" s="359" t="s">
        <v>290</v>
      </c>
      <c r="Q248" s="359"/>
      <c r="R248" s="359"/>
      <c r="S248" s="359">
        <v>20</v>
      </c>
      <c r="T248" s="359">
        <v>100</v>
      </c>
      <c r="U248" s="359">
        <v>300</v>
      </c>
      <c r="V248" s="359"/>
      <c r="W248" s="359"/>
      <c r="X248" s="359"/>
      <c r="Y248" s="359">
        <v>47</v>
      </c>
      <c r="Z248" s="359"/>
      <c r="AA248" s="210"/>
      <c r="AB248" s="248"/>
      <c r="AC248" s="359"/>
      <c r="AD248" s="359"/>
      <c r="AE248" s="359"/>
      <c r="AF248" s="359"/>
      <c r="AG248" s="153"/>
      <c r="AH248" s="346">
        <v>401</v>
      </c>
      <c r="AI248" s="24"/>
      <c r="AJ248" s="24"/>
      <c r="AK248" s="24"/>
      <c r="AL248" s="24"/>
      <c r="AM248" s="359"/>
      <c r="AN248" s="24">
        <f t="shared" si="41"/>
        <v>0</v>
      </c>
      <c r="AO248" s="54">
        <f t="shared" si="42"/>
        <v>0</v>
      </c>
      <c r="AP248" s="261">
        <f t="shared" si="43"/>
        <v>0</v>
      </c>
      <c r="AQ248" s="338"/>
      <c r="AR248" s="45"/>
      <c r="AS248" s="359"/>
      <c r="AT248" s="359"/>
    </row>
    <row r="249" spans="1:46" ht="12">
      <c r="A249" s="359" t="s">
        <v>372</v>
      </c>
      <c r="B249" s="359" t="str">
        <f t="shared" si="34"/>
        <v>MgO</v>
      </c>
      <c r="C249" s="141">
        <f t="shared" si="35"/>
        <v>0</v>
      </c>
      <c r="D249" s="277">
        <f t="shared" si="36"/>
        <v>773.49437964041897</v>
      </c>
      <c r="E249" s="20">
        <f t="shared" si="37"/>
        <v>10.521325450000001</v>
      </c>
      <c r="F249" s="20">
        <f t="shared" si="38"/>
        <v>1.9913586139999999</v>
      </c>
      <c r="G249" s="277">
        <f t="shared" si="39"/>
        <v>0</v>
      </c>
      <c r="H249" s="3">
        <f t="shared" si="44"/>
        <v>0</v>
      </c>
      <c r="I249" s="277">
        <f t="shared" si="40"/>
        <v>0</v>
      </c>
      <c r="J249" s="359" t="s">
        <v>373</v>
      </c>
      <c r="K249" s="359" t="s">
        <v>374</v>
      </c>
      <c r="L249" s="359"/>
      <c r="M249" s="338"/>
      <c r="N249" s="89">
        <v>41040</v>
      </c>
      <c r="O249" s="359">
        <v>107</v>
      </c>
      <c r="P249" s="359" t="s">
        <v>46</v>
      </c>
      <c r="Q249" s="359"/>
      <c r="R249" s="359"/>
      <c r="S249" s="359">
        <v>800</v>
      </c>
      <c r="T249" s="359">
        <v>45</v>
      </c>
      <c r="U249" s="359">
        <v>400</v>
      </c>
      <c r="V249" s="359"/>
      <c r="W249" s="359"/>
      <c r="X249" s="359"/>
      <c r="Y249" s="359">
        <v>47</v>
      </c>
      <c r="Z249" s="359"/>
      <c r="AA249" s="210"/>
      <c r="AB249" s="248"/>
      <c r="AC249" s="359"/>
      <c r="AD249" s="359"/>
      <c r="AE249" s="359"/>
      <c r="AF249" s="359"/>
      <c r="AG249" s="153"/>
      <c r="AH249" s="346">
        <v>773.49437964041897</v>
      </c>
      <c r="AI249" s="24"/>
      <c r="AJ249" s="24">
        <v>10.521325450000001</v>
      </c>
      <c r="AK249" s="24">
        <v>1.9913586139999999</v>
      </c>
      <c r="AL249" s="24"/>
      <c r="AM249" s="359" t="s">
        <v>375</v>
      </c>
      <c r="AN249" s="24">
        <f t="shared" si="41"/>
        <v>0</v>
      </c>
      <c r="AO249" s="54">
        <f t="shared" si="42"/>
        <v>0</v>
      </c>
      <c r="AP249" s="261">
        <f t="shared" si="43"/>
        <v>0</v>
      </c>
      <c r="AQ249" s="338"/>
      <c r="AR249" s="45"/>
      <c r="AS249" s="359"/>
      <c r="AT249" s="359"/>
    </row>
    <row r="250" spans="1:46" ht="12">
      <c r="A250" s="359" t="s">
        <v>376</v>
      </c>
      <c r="B250" s="359" t="str">
        <f t="shared" si="34"/>
        <v>MgO</v>
      </c>
      <c r="C250" s="141">
        <f t="shared" si="35"/>
        <v>0</v>
      </c>
      <c r="D250" s="277">
        <f t="shared" si="36"/>
        <v>528.11241666976105</v>
      </c>
      <c r="E250" s="20">
        <f t="shared" si="37"/>
        <v>11.38074411</v>
      </c>
      <c r="F250" s="20">
        <f t="shared" si="38"/>
        <v>1.7522623939999999</v>
      </c>
      <c r="G250" s="277">
        <f t="shared" si="39"/>
        <v>0</v>
      </c>
      <c r="H250" s="3">
        <f t="shared" si="44"/>
        <v>0</v>
      </c>
      <c r="I250" s="277">
        <f t="shared" si="40"/>
        <v>0</v>
      </c>
      <c r="J250" s="359" t="s">
        <v>373</v>
      </c>
      <c r="K250" s="359" t="s">
        <v>374</v>
      </c>
      <c r="L250" s="359"/>
      <c r="M250" s="338"/>
      <c r="N250" s="89">
        <v>41040</v>
      </c>
      <c r="O250" s="359">
        <v>107</v>
      </c>
      <c r="P250" s="359" t="s">
        <v>46</v>
      </c>
      <c r="Q250" s="359"/>
      <c r="R250" s="359"/>
      <c r="S250" s="359">
        <v>800</v>
      </c>
      <c r="T250" s="359">
        <v>45</v>
      </c>
      <c r="U250" s="359">
        <v>400</v>
      </c>
      <c r="V250" s="359"/>
      <c r="W250" s="359"/>
      <c r="X250" s="359"/>
      <c r="Y250" s="359">
        <v>47</v>
      </c>
      <c r="Z250" s="359"/>
      <c r="AA250" s="210"/>
      <c r="AB250" s="248"/>
      <c r="AC250" s="359"/>
      <c r="AD250" s="359"/>
      <c r="AE250" s="359"/>
      <c r="AF250" s="359"/>
      <c r="AG250" s="153"/>
      <c r="AH250" s="346">
        <v>528.11241666976105</v>
      </c>
      <c r="AI250" s="24"/>
      <c r="AJ250" s="24">
        <v>11.38074411</v>
      </c>
      <c r="AK250" s="24">
        <v>1.7522623939999999</v>
      </c>
      <c r="AL250" s="24"/>
      <c r="AM250" s="359" t="s">
        <v>375</v>
      </c>
      <c r="AN250" s="24">
        <f t="shared" si="41"/>
        <v>0</v>
      </c>
      <c r="AO250" s="54">
        <f t="shared" si="42"/>
        <v>0</v>
      </c>
      <c r="AP250" s="261">
        <f t="shared" si="43"/>
        <v>0</v>
      </c>
      <c r="AQ250" s="338"/>
      <c r="AR250" s="45"/>
      <c r="AS250" s="359"/>
      <c r="AT250" s="359"/>
    </row>
    <row r="251" spans="1:46" ht="12">
      <c r="A251" s="359" t="s">
        <v>377</v>
      </c>
      <c r="B251" s="359" t="str">
        <f t="shared" si="34"/>
        <v>MgO</v>
      </c>
      <c r="C251" s="141">
        <f t="shared" si="35"/>
        <v>0</v>
      </c>
      <c r="D251" s="277">
        <f t="shared" si="36"/>
        <v>838.20004510626302</v>
      </c>
      <c r="E251" s="20">
        <f t="shared" si="37"/>
        <v>10.30697267</v>
      </c>
      <c r="F251" s="20">
        <f t="shared" si="38"/>
        <v>2.096525652</v>
      </c>
      <c r="G251" s="277">
        <f t="shared" si="39"/>
        <v>0</v>
      </c>
      <c r="H251" s="3">
        <f t="shared" si="44"/>
        <v>0</v>
      </c>
      <c r="I251" s="277">
        <f t="shared" si="40"/>
        <v>0</v>
      </c>
      <c r="J251" s="359" t="s">
        <v>373</v>
      </c>
      <c r="K251" s="359" t="s">
        <v>374</v>
      </c>
      <c r="L251" s="359"/>
      <c r="M251" s="338"/>
      <c r="N251" s="89">
        <v>41040</v>
      </c>
      <c r="O251" s="359">
        <v>107</v>
      </c>
      <c r="P251" s="359" t="s">
        <v>46</v>
      </c>
      <c r="Q251" s="359"/>
      <c r="R251" s="359"/>
      <c r="S251" s="359">
        <v>800</v>
      </c>
      <c r="T251" s="359">
        <v>45</v>
      </c>
      <c r="U251" s="359">
        <v>400</v>
      </c>
      <c r="V251" s="359"/>
      <c r="W251" s="359"/>
      <c r="X251" s="359"/>
      <c r="Y251" s="359">
        <v>47</v>
      </c>
      <c r="Z251" s="359"/>
      <c r="AA251" s="210"/>
      <c r="AB251" s="248"/>
      <c r="AC251" s="359"/>
      <c r="AD251" s="359"/>
      <c r="AE251" s="359"/>
      <c r="AF251" s="359"/>
      <c r="AG251" s="153"/>
      <c r="AH251" s="346">
        <v>838.20004510626302</v>
      </c>
      <c r="AI251" s="24"/>
      <c r="AJ251" s="24">
        <v>10.30697267</v>
      </c>
      <c r="AK251" s="24">
        <v>2.096525652</v>
      </c>
      <c r="AL251" s="24"/>
      <c r="AM251" s="359" t="s">
        <v>375</v>
      </c>
      <c r="AN251" s="24">
        <f t="shared" si="41"/>
        <v>0</v>
      </c>
      <c r="AO251" s="54">
        <f t="shared" si="42"/>
        <v>0</v>
      </c>
      <c r="AP251" s="261">
        <f t="shared" si="43"/>
        <v>0</v>
      </c>
      <c r="AQ251" s="338"/>
      <c r="AR251" s="45"/>
      <c r="AS251" s="359"/>
      <c r="AT251" s="359"/>
    </row>
    <row r="252" spans="1:46" ht="12">
      <c r="A252" s="359" t="s">
        <v>378</v>
      </c>
      <c r="B252" s="359" t="str">
        <f t="shared" si="34"/>
        <v>MgO</v>
      </c>
      <c r="C252" s="141">
        <f t="shared" si="35"/>
        <v>0</v>
      </c>
      <c r="D252" s="277">
        <f t="shared" si="36"/>
        <v>778.72792611192097</v>
      </c>
      <c r="E252" s="20">
        <f t="shared" si="37"/>
        <v>10.51431122</v>
      </c>
      <c r="F252" s="20">
        <f t="shared" si="38"/>
        <v>2.1705932379999999</v>
      </c>
      <c r="G252" s="277">
        <f t="shared" si="39"/>
        <v>0</v>
      </c>
      <c r="H252" s="3">
        <f t="shared" si="44"/>
        <v>0</v>
      </c>
      <c r="I252" s="277">
        <f t="shared" si="40"/>
        <v>0</v>
      </c>
      <c r="J252" s="359" t="s">
        <v>373</v>
      </c>
      <c r="K252" s="359" t="s">
        <v>374</v>
      </c>
      <c r="L252" s="359"/>
      <c r="M252" s="338"/>
      <c r="N252" s="89">
        <v>41040</v>
      </c>
      <c r="O252" s="359">
        <v>107</v>
      </c>
      <c r="P252" s="359" t="s">
        <v>46</v>
      </c>
      <c r="Q252" s="359"/>
      <c r="R252" s="359"/>
      <c r="S252" s="359">
        <v>800</v>
      </c>
      <c r="T252" s="359">
        <v>45</v>
      </c>
      <c r="U252" s="359">
        <v>400</v>
      </c>
      <c r="V252" s="359"/>
      <c r="W252" s="359"/>
      <c r="X252" s="359"/>
      <c r="Y252" s="359">
        <v>47</v>
      </c>
      <c r="Z252" s="359"/>
      <c r="AA252" s="210"/>
      <c r="AB252" s="248"/>
      <c r="AC252" s="359"/>
      <c r="AD252" s="359"/>
      <c r="AE252" s="359"/>
      <c r="AF252" s="359"/>
      <c r="AG252" s="153"/>
      <c r="AH252" s="346">
        <v>778.72792611192097</v>
      </c>
      <c r="AI252" s="24"/>
      <c r="AJ252" s="24">
        <v>10.51431122</v>
      </c>
      <c r="AK252" s="24">
        <v>2.1705932379999999</v>
      </c>
      <c r="AL252" s="24"/>
      <c r="AM252" s="359" t="s">
        <v>375</v>
      </c>
      <c r="AN252" s="24">
        <f t="shared" si="41"/>
        <v>0</v>
      </c>
      <c r="AO252" s="54">
        <f t="shared" si="42"/>
        <v>0</v>
      </c>
      <c r="AP252" s="261">
        <f t="shared" si="43"/>
        <v>0</v>
      </c>
      <c r="AQ252" s="338"/>
      <c r="AR252" s="45"/>
      <c r="AS252" s="359"/>
      <c r="AT252" s="359"/>
    </row>
    <row r="253" spans="1:46" ht="12">
      <c r="A253" s="359" t="s">
        <v>379</v>
      </c>
      <c r="B253" s="359" t="str">
        <f t="shared" si="34"/>
        <v>MgO</v>
      </c>
      <c r="C253" s="141">
        <f t="shared" si="35"/>
        <v>0</v>
      </c>
      <c r="D253" s="277">
        <f t="shared" si="36"/>
        <v>326.620877516929</v>
      </c>
      <c r="E253" s="20">
        <f t="shared" si="37"/>
        <v>0</v>
      </c>
      <c r="F253" s="20">
        <f t="shared" si="38"/>
        <v>0</v>
      </c>
      <c r="G253" s="277">
        <f t="shared" si="39"/>
        <v>0</v>
      </c>
      <c r="H253" s="3">
        <f t="shared" si="44"/>
        <v>0</v>
      </c>
      <c r="I253" s="277">
        <f t="shared" si="40"/>
        <v>0</v>
      </c>
      <c r="J253" s="359"/>
      <c r="K253" s="359" t="s">
        <v>186</v>
      </c>
      <c r="L253" s="359"/>
      <c r="M253" s="338" t="s">
        <v>141</v>
      </c>
      <c r="N253" s="89">
        <v>41043</v>
      </c>
      <c r="O253" s="359">
        <v>108</v>
      </c>
      <c r="P253" s="359" t="s">
        <v>46</v>
      </c>
      <c r="Q253" s="359"/>
      <c r="R253" s="359"/>
      <c r="S253" s="359">
        <v>800</v>
      </c>
      <c r="T253" s="359">
        <v>60</v>
      </c>
      <c r="U253" s="359">
        <v>400</v>
      </c>
      <c r="V253" s="359"/>
      <c r="W253" s="359"/>
      <c r="X253" s="359"/>
      <c r="Y253" s="359">
        <v>47</v>
      </c>
      <c r="Z253" s="359"/>
      <c r="AA253" s="210"/>
      <c r="AB253" s="248"/>
      <c r="AC253" s="359"/>
      <c r="AD253" s="359"/>
      <c r="AE253" s="359"/>
      <c r="AF253" s="359"/>
      <c r="AG253" s="153"/>
      <c r="AH253" s="346">
        <v>326.620877516929</v>
      </c>
      <c r="AI253" s="24"/>
      <c r="AJ253" s="24"/>
      <c r="AK253" s="24"/>
      <c r="AL253" s="24"/>
      <c r="AM253" s="359"/>
      <c r="AN253" s="24">
        <f t="shared" si="41"/>
        <v>0</v>
      </c>
      <c r="AO253" s="54">
        <f t="shared" si="42"/>
        <v>0</v>
      </c>
      <c r="AP253" s="261">
        <f t="shared" si="43"/>
        <v>0</v>
      </c>
      <c r="AQ253" s="338"/>
      <c r="AR253" s="45"/>
      <c r="AS253" s="359"/>
      <c r="AT253" s="359"/>
    </row>
    <row r="254" spans="1:46" ht="12">
      <c r="A254" s="359" t="s">
        <v>380</v>
      </c>
      <c r="B254" s="359" t="str">
        <f t="shared" si="34"/>
        <v>MgO</v>
      </c>
      <c r="C254" s="141">
        <f t="shared" si="35"/>
        <v>0</v>
      </c>
      <c r="D254" s="277">
        <f t="shared" si="36"/>
        <v>330.78392584653301</v>
      </c>
      <c r="E254" s="20">
        <f t="shared" si="37"/>
        <v>0</v>
      </c>
      <c r="F254" s="20">
        <f t="shared" si="38"/>
        <v>0</v>
      </c>
      <c r="G254" s="277">
        <f t="shared" si="39"/>
        <v>0</v>
      </c>
      <c r="H254" s="3">
        <f t="shared" si="44"/>
        <v>0</v>
      </c>
      <c r="I254" s="277">
        <f t="shared" si="40"/>
        <v>0</v>
      </c>
      <c r="J254" s="359"/>
      <c r="K254" s="359" t="s">
        <v>186</v>
      </c>
      <c r="L254" s="359"/>
      <c r="M254" s="338" t="s">
        <v>141</v>
      </c>
      <c r="N254" s="89">
        <v>41043</v>
      </c>
      <c r="O254" s="359">
        <v>108</v>
      </c>
      <c r="P254" s="359" t="s">
        <v>46</v>
      </c>
      <c r="Q254" s="359"/>
      <c r="R254" s="359"/>
      <c r="S254" s="359">
        <v>800</v>
      </c>
      <c r="T254" s="359">
        <v>60</v>
      </c>
      <c r="U254" s="359">
        <v>400</v>
      </c>
      <c r="V254" s="359"/>
      <c r="W254" s="359"/>
      <c r="X254" s="359"/>
      <c r="Y254" s="359">
        <v>47</v>
      </c>
      <c r="Z254" s="359"/>
      <c r="AA254" s="210"/>
      <c r="AB254" s="248"/>
      <c r="AC254" s="359"/>
      <c r="AD254" s="359"/>
      <c r="AE254" s="359"/>
      <c r="AF254" s="359"/>
      <c r="AG254" s="153"/>
      <c r="AH254" s="346">
        <v>330.78392584653301</v>
      </c>
      <c r="AI254" s="24"/>
      <c r="AJ254" s="24"/>
      <c r="AK254" s="24"/>
      <c r="AL254" s="24"/>
      <c r="AM254" s="359"/>
      <c r="AN254" s="24">
        <f t="shared" si="41"/>
        <v>0</v>
      </c>
      <c r="AO254" s="54">
        <f t="shared" si="42"/>
        <v>0</v>
      </c>
      <c r="AP254" s="261">
        <f t="shared" si="43"/>
        <v>0</v>
      </c>
      <c r="AQ254" s="338"/>
      <c r="AR254" s="45"/>
      <c r="AS254" s="359"/>
      <c r="AT254" s="359"/>
    </row>
    <row r="255" spans="1:46" ht="12">
      <c r="A255" s="359" t="s">
        <v>381</v>
      </c>
      <c r="B255" s="359" t="str">
        <f t="shared" si="34"/>
        <v>MgO</v>
      </c>
      <c r="C255" s="141">
        <f t="shared" si="35"/>
        <v>0</v>
      </c>
      <c r="D255" s="277">
        <f t="shared" si="36"/>
        <v>335.18486265211402</v>
      </c>
      <c r="E255" s="20">
        <f t="shared" si="37"/>
        <v>0</v>
      </c>
      <c r="F255" s="20">
        <f t="shared" si="38"/>
        <v>0</v>
      </c>
      <c r="G255" s="277">
        <f t="shared" si="39"/>
        <v>0</v>
      </c>
      <c r="H255" s="3">
        <f t="shared" si="44"/>
        <v>0</v>
      </c>
      <c r="I255" s="277">
        <f t="shared" si="40"/>
        <v>0</v>
      </c>
      <c r="J255" s="359"/>
      <c r="K255" s="359" t="s">
        <v>186</v>
      </c>
      <c r="L255" s="359"/>
      <c r="M255" s="338" t="s">
        <v>141</v>
      </c>
      <c r="N255" s="89">
        <v>41043</v>
      </c>
      <c r="O255" s="359">
        <v>108</v>
      </c>
      <c r="P255" s="359" t="s">
        <v>46</v>
      </c>
      <c r="Q255" s="359"/>
      <c r="R255" s="359"/>
      <c r="S255" s="359">
        <v>800</v>
      </c>
      <c r="T255" s="359">
        <v>60</v>
      </c>
      <c r="U255" s="359">
        <v>400</v>
      </c>
      <c r="V255" s="359"/>
      <c r="W255" s="359"/>
      <c r="X255" s="359"/>
      <c r="Y255" s="359">
        <v>47</v>
      </c>
      <c r="Z255" s="359"/>
      <c r="AA255" s="210"/>
      <c r="AB255" s="248"/>
      <c r="AC255" s="359"/>
      <c r="AD255" s="359"/>
      <c r="AE255" s="359"/>
      <c r="AF255" s="359"/>
      <c r="AG255" s="153"/>
      <c r="AH255" s="346">
        <v>335.18486265211402</v>
      </c>
      <c r="AI255" s="24"/>
      <c r="AJ255" s="24"/>
      <c r="AK255" s="24"/>
      <c r="AL255" s="24"/>
      <c r="AM255" s="359"/>
      <c r="AN255" s="24">
        <f t="shared" si="41"/>
        <v>0</v>
      </c>
      <c r="AO255" s="54">
        <f t="shared" si="42"/>
        <v>0</v>
      </c>
      <c r="AP255" s="261">
        <f t="shared" si="43"/>
        <v>0</v>
      </c>
      <c r="AQ255" s="338"/>
      <c r="AR255" s="45"/>
      <c r="AS255" s="359"/>
      <c r="AT255" s="359"/>
    </row>
    <row r="256" spans="1:46" ht="12">
      <c r="A256" s="359" t="s">
        <v>382</v>
      </c>
      <c r="B256" s="359" t="str">
        <f t="shared" si="34"/>
        <v>MgO</v>
      </c>
      <c r="C256" s="141">
        <f t="shared" si="35"/>
        <v>0</v>
      </c>
      <c r="D256" s="277">
        <f t="shared" si="36"/>
        <v>309.49290724655799</v>
      </c>
      <c r="E256" s="20">
        <f t="shared" si="37"/>
        <v>12.67</v>
      </c>
      <c r="F256" s="20">
        <f t="shared" si="38"/>
        <v>1.22682355</v>
      </c>
      <c r="G256" s="277">
        <f t="shared" si="39"/>
        <v>0</v>
      </c>
      <c r="H256" s="3">
        <f t="shared" si="44"/>
        <v>0.88600000000000001</v>
      </c>
      <c r="I256" s="277">
        <f t="shared" si="40"/>
        <v>0</v>
      </c>
      <c r="J256" s="359" t="s">
        <v>383</v>
      </c>
      <c r="K256" s="359" t="s">
        <v>186</v>
      </c>
      <c r="L256" s="359"/>
      <c r="M256" s="338"/>
      <c r="N256" s="89">
        <v>41043</v>
      </c>
      <c r="O256" s="359">
        <v>108</v>
      </c>
      <c r="P256" s="359" t="s">
        <v>46</v>
      </c>
      <c r="Q256" s="359"/>
      <c r="R256" s="359"/>
      <c r="S256" s="359">
        <v>800</v>
      </c>
      <c r="T256" s="359">
        <v>60</v>
      </c>
      <c r="U256" s="359">
        <v>400</v>
      </c>
      <c r="V256" s="359"/>
      <c r="W256" s="359"/>
      <c r="X256" s="359"/>
      <c r="Y256" s="359">
        <v>47</v>
      </c>
      <c r="Z256" s="359"/>
      <c r="AA256" s="210"/>
      <c r="AB256" s="248"/>
      <c r="AC256" s="359"/>
      <c r="AD256" s="359"/>
      <c r="AE256" s="359"/>
      <c r="AF256" s="359"/>
      <c r="AG256" s="307"/>
      <c r="AH256" s="38">
        <v>309.49290724655799</v>
      </c>
      <c r="AI256" s="8"/>
      <c r="AJ256" s="24">
        <v>12.67</v>
      </c>
      <c r="AK256" s="24">
        <v>1.22682355</v>
      </c>
      <c r="AL256" s="24">
        <v>0.88600000000000001</v>
      </c>
      <c r="AM256" s="359" t="s">
        <v>156</v>
      </c>
      <c r="AN256" s="24">
        <f t="shared" si="41"/>
        <v>0</v>
      </c>
      <c r="AO256" s="54">
        <f t="shared" si="42"/>
        <v>0</v>
      </c>
      <c r="AP256" s="261">
        <f t="shared" si="43"/>
        <v>0</v>
      </c>
      <c r="AQ256" s="338"/>
      <c r="AR256" s="45"/>
      <c r="AS256" s="359"/>
      <c r="AT256" s="359"/>
    </row>
    <row r="257" spans="1:46" ht="12">
      <c r="A257" s="359" t="s">
        <v>384</v>
      </c>
      <c r="B257" s="359" t="str">
        <f t="shared" si="34"/>
        <v>MgO</v>
      </c>
      <c r="C257" s="141">
        <f t="shared" si="35"/>
        <v>4.3</v>
      </c>
      <c r="D257" s="277">
        <f t="shared" si="36"/>
        <v>369.79763590682199</v>
      </c>
      <c r="E257" s="20">
        <f t="shared" si="37"/>
        <v>10.6</v>
      </c>
      <c r="F257" s="20">
        <f t="shared" si="38"/>
        <v>0</v>
      </c>
      <c r="G257" s="277">
        <f t="shared" si="39"/>
        <v>159.01298343993344</v>
      </c>
      <c r="H257" s="3">
        <f t="shared" si="44"/>
        <v>0.75068972478298912</v>
      </c>
      <c r="I257" s="277">
        <f t="shared" si="40"/>
        <v>16855.376244632946</v>
      </c>
      <c r="J257" s="359"/>
      <c r="K257" s="359" t="s">
        <v>385</v>
      </c>
      <c r="L257" s="359"/>
      <c r="M257" s="338"/>
      <c r="N257" s="89">
        <v>41045</v>
      </c>
      <c r="O257" s="359">
        <v>109</v>
      </c>
      <c r="P257" s="359" t="s">
        <v>46</v>
      </c>
      <c r="Q257" s="359"/>
      <c r="R257" s="359"/>
      <c r="S257" s="359">
        <v>800</v>
      </c>
      <c r="T257" s="359">
        <v>50</v>
      </c>
      <c r="U257" s="359">
        <v>400</v>
      </c>
      <c r="V257" s="359"/>
      <c r="W257" s="359"/>
      <c r="X257" s="359"/>
      <c r="Y257" s="359">
        <v>47</v>
      </c>
      <c r="Z257" s="359"/>
      <c r="AA257" s="210"/>
      <c r="AB257" s="248">
        <v>0.16889999999999999</v>
      </c>
      <c r="AC257" s="359">
        <v>0.57779999999999998</v>
      </c>
      <c r="AD257" s="359">
        <v>0.25330000000000003</v>
      </c>
      <c r="AE257" s="359" t="s">
        <v>47</v>
      </c>
      <c r="AF257" s="359">
        <v>4.3</v>
      </c>
      <c r="AG257" s="153"/>
      <c r="AH257" s="346">
        <v>369.79763590682199</v>
      </c>
      <c r="AI257" s="24"/>
      <c r="AJ257" s="24">
        <v>10.6</v>
      </c>
      <c r="AK257" s="24"/>
      <c r="AL257" s="24">
        <f>334.68/445.83</f>
        <v>0.75068972478298912</v>
      </c>
      <c r="AM257" s="359" t="s">
        <v>156</v>
      </c>
      <c r="AN257" s="24">
        <f t="shared" si="41"/>
        <v>159.01298343993344</v>
      </c>
      <c r="AO257" s="54">
        <f t="shared" si="42"/>
        <v>16855.376244632946</v>
      </c>
      <c r="AP257" s="261">
        <f t="shared" si="43"/>
        <v>5.1599999999999993</v>
      </c>
      <c r="AQ257" s="338"/>
      <c r="AR257" s="45"/>
      <c r="AS257" s="359"/>
      <c r="AT257" s="359"/>
    </row>
    <row r="258" spans="1:46" ht="12">
      <c r="A258" s="359" t="s">
        <v>386</v>
      </c>
      <c r="B258" s="359" t="str">
        <f t="shared" si="34"/>
        <v>MgO</v>
      </c>
      <c r="C258" s="141">
        <f t="shared" si="35"/>
        <v>0</v>
      </c>
      <c r="D258" s="277">
        <f t="shared" si="36"/>
        <v>370.273412858776</v>
      </c>
      <c r="E258" s="20">
        <f t="shared" si="37"/>
        <v>11.4</v>
      </c>
      <c r="F258" s="20">
        <f t="shared" si="38"/>
        <v>0</v>
      </c>
      <c r="G258" s="277">
        <f t="shared" si="39"/>
        <v>0</v>
      </c>
      <c r="H258" s="3">
        <f t="shared" si="44"/>
        <v>0.8303296874391809</v>
      </c>
      <c r="I258" s="277">
        <f t="shared" si="40"/>
        <v>0</v>
      </c>
      <c r="J258" s="359"/>
      <c r="K258" s="359" t="s">
        <v>385</v>
      </c>
      <c r="L258" s="359"/>
      <c r="M258" s="338"/>
      <c r="N258" s="89">
        <v>41045</v>
      </c>
      <c r="O258" s="359">
        <v>109</v>
      </c>
      <c r="P258" s="359" t="s">
        <v>46</v>
      </c>
      <c r="Q258" s="359"/>
      <c r="R258" s="359"/>
      <c r="S258" s="359">
        <v>800</v>
      </c>
      <c r="T258" s="359">
        <v>50</v>
      </c>
      <c r="U258" s="359">
        <v>400</v>
      </c>
      <c r="V258" s="359"/>
      <c r="W258" s="359"/>
      <c r="X258" s="359"/>
      <c r="Y258" s="359">
        <v>47</v>
      </c>
      <c r="Z258" s="359"/>
      <c r="AA258" s="210"/>
      <c r="AB258" s="248"/>
      <c r="AC258" s="359"/>
      <c r="AD258" s="359"/>
      <c r="AE258" s="359"/>
      <c r="AF258" s="359"/>
      <c r="AG258" s="153"/>
      <c r="AH258" s="346">
        <v>370.273412858776</v>
      </c>
      <c r="AI258" s="24"/>
      <c r="AJ258" s="24">
        <v>11.4</v>
      </c>
      <c r="AK258" s="24"/>
      <c r="AL258" s="24">
        <f>213.32/256.91</f>
        <v>0.8303296874391809</v>
      </c>
      <c r="AM258" s="359" t="s">
        <v>156</v>
      </c>
      <c r="AN258" s="24">
        <f t="shared" si="41"/>
        <v>0</v>
      </c>
      <c r="AO258" s="54">
        <f t="shared" si="42"/>
        <v>0</v>
      </c>
      <c r="AP258" s="261">
        <f t="shared" si="43"/>
        <v>0</v>
      </c>
      <c r="AQ258" s="338"/>
      <c r="AR258" s="45"/>
      <c r="AS258" s="359"/>
      <c r="AT258" s="359"/>
    </row>
    <row r="259" spans="1:46" ht="12">
      <c r="A259" s="359" t="s">
        <v>387</v>
      </c>
      <c r="B259" s="359" t="str">
        <f t="shared" ref="B259:B322" si="45">P259</f>
        <v>MgO</v>
      </c>
      <c r="C259" s="141">
        <f t="shared" ref="C259:C322" si="46">AF259</f>
        <v>0</v>
      </c>
      <c r="D259" s="277">
        <f t="shared" ref="D259:D322" si="47">AH259</f>
        <v>403.69674373359697</v>
      </c>
      <c r="E259" s="20">
        <f t="shared" ref="E259:E322" si="48">AJ259</f>
        <v>10.3</v>
      </c>
      <c r="F259" s="20">
        <f t="shared" ref="F259:F322" si="49">AK259</f>
        <v>0</v>
      </c>
      <c r="G259" s="277">
        <f t="shared" ref="G259:G322" si="50">AN259</f>
        <v>0</v>
      </c>
      <c r="H259" s="3">
        <f t="shared" si="44"/>
        <v>0.73145185939887924</v>
      </c>
      <c r="I259" s="277">
        <f t="shared" ref="I259:I322" si="51">AO259</f>
        <v>0</v>
      </c>
      <c r="J259" s="359"/>
      <c r="K259" s="359" t="s">
        <v>385</v>
      </c>
      <c r="L259" s="359"/>
      <c r="M259" s="338"/>
      <c r="N259" s="89">
        <v>41045</v>
      </c>
      <c r="O259" s="359">
        <v>109</v>
      </c>
      <c r="P259" s="359" t="s">
        <v>46</v>
      </c>
      <c r="Q259" s="359"/>
      <c r="R259" s="359"/>
      <c r="S259" s="359">
        <v>800</v>
      </c>
      <c r="T259" s="359">
        <v>50</v>
      </c>
      <c r="U259" s="359">
        <v>400</v>
      </c>
      <c r="V259" s="359"/>
      <c r="W259" s="359"/>
      <c r="X259" s="359"/>
      <c r="Y259" s="359">
        <v>47</v>
      </c>
      <c r="Z259" s="359"/>
      <c r="AA259" s="210"/>
      <c r="AB259" s="248"/>
      <c r="AC259" s="359"/>
      <c r="AD259" s="359"/>
      <c r="AE259" s="359"/>
      <c r="AF259" s="359"/>
      <c r="AG259" s="153"/>
      <c r="AH259" s="346">
        <v>403.69674373359697</v>
      </c>
      <c r="AI259" s="24"/>
      <c r="AJ259" s="24">
        <v>10.3</v>
      </c>
      <c r="AK259" s="24"/>
      <c r="AL259" s="24">
        <f>358.96/490.75</f>
        <v>0.73145185939887924</v>
      </c>
      <c r="AM259" s="359" t="s">
        <v>156</v>
      </c>
      <c r="AN259" s="24">
        <f t="shared" ref="AN259:AN322" si="52">((AH259*AF259)/10)</f>
        <v>0</v>
      </c>
      <c r="AO259" s="54">
        <f t="shared" ref="AO259:AO322" si="53">(AF259*AH259)*AJ259</f>
        <v>0</v>
      </c>
      <c r="AP259" s="261">
        <f t="shared" ref="AP259:AP322" si="54">(AF259/T259)*60</f>
        <v>0</v>
      </c>
      <c r="AQ259" s="338"/>
      <c r="AR259" s="45"/>
      <c r="AS259" s="359"/>
      <c r="AT259" s="359"/>
    </row>
    <row r="260" spans="1:46" ht="12">
      <c r="A260" s="359" t="s">
        <v>388</v>
      </c>
      <c r="B260" s="359" t="str">
        <f t="shared" si="45"/>
        <v>MgO</v>
      </c>
      <c r="C260" s="141">
        <f t="shared" si="46"/>
        <v>0</v>
      </c>
      <c r="D260" s="277">
        <f t="shared" si="47"/>
        <v>406.43246120733698</v>
      </c>
      <c r="E260" s="20">
        <f t="shared" si="48"/>
        <v>10.5</v>
      </c>
      <c r="F260" s="20">
        <f t="shared" si="49"/>
        <v>0</v>
      </c>
      <c r="G260" s="277">
        <f t="shared" si="50"/>
        <v>0</v>
      </c>
      <c r="H260" s="3">
        <f t="shared" si="44"/>
        <v>0.75123324560866633</v>
      </c>
      <c r="I260" s="277">
        <f t="shared" si="51"/>
        <v>0</v>
      </c>
      <c r="J260" s="359"/>
      <c r="K260" s="359" t="s">
        <v>385</v>
      </c>
      <c r="L260" s="359"/>
      <c r="M260" s="338"/>
      <c r="N260" s="89">
        <v>41045</v>
      </c>
      <c r="O260" s="359">
        <v>109</v>
      </c>
      <c r="P260" s="359" t="s">
        <v>46</v>
      </c>
      <c r="Q260" s="359"/>
      <c r="R260" s="359"/>
      <c r="S260" s="359">
        <v>800</v>
      </c>
      <c r="T260" s="359">
        <v>50</v>
      </c>
      <c r="U260" s="359">
        <v>400</v>
      </c>
      <c r="V260" s="359"/>
      <c r="W260" s="359"/>
      <c r="X260" s="359"/>
      <c r="Y260" s="359">
        <v>47</v>
      </c>
      <c r="Z260" s="359"/>
      <c r="AA260" s="210"/>
      <c r="AB260" s="248"/>
      <c r="AC260" s="359"/>
      <c r="AD260" s="359"/>
      <c r="AE260" s="359"/>
      <c r="AF260" s="359"/>
      <c r="AG260" s="153"/>
      <c r="AH260" s="346">
        <v>406.43246120733698</v>
      </c>
      <c r="AI260" s="24"/>
      <c r="AJ260" s="24">
        <v>10.5</v>
      </c>
      <c r="AK260" s="24"/>
      <c r="AL260" s="24">
        <f>306.86/408.475</f>
        <v>0.75123324560866633</v>
      </c>
      <c r="AM260" s="359" t="s">
        <v>156</v>
      </c>
      <c r="AN260" s="24">
        <f t="shared" si="52"/>
        <v>0</v>
      </c>
      <c r="AO260" s="54">
        <f t="shared" si="53"/>
        <v>0</v>
      </c>
      <c r="AP260" s="261">
        <f t="shared" si="54"/>
        <v>0</v>
      </c>
      <c r="AQ260" s="338"/>
      <c r="AR260" s="45"/>
      <c r="AS260" s="359"/>
      <c r="AT260" s="359"/>
    </row>
    <row r="261" spans="1:46" ht="12">
      <c r="A261" s="359" t="s">
        <v>389</v>
      </c>
      <c r="B261" s="359" t="str">
        <f t="shared" si="45"/>
        <v>MgO</v>
      </c>
      <c r="C261" s="141">
        <f t="shared" si="46"/>
        <v>5.6</v>
      </c>
      <c r="D261" s="277">
        <f t="shared" si="47"/>
        <v>314.607509480072</v>
      </c>
      <c r="E261" s="20">
        <f t="shared" si="48"/>
        <v>0</v>
      </c>
      <c r="F261" s="20">
        <f t="shared" si="49"/>
        <v>0</v>
      </c>
      <c r="G261" s="277">
        <f t="shared" si="50"/>
        <v>176.1802053088403</v>
      </c>
      <c r="H261" s="3">
        <f t="shared" si="44"/>
        <v>0</v>
      </c>
      <c r="I261" s="277">
        <f t="shared" si="51"/>
        <v>0</v>
      </c>
      <c r="J261" s="359"/>
      <c r="K261" s="359" t="s">
        <v>385</v>
      </c>
      <c r="L261" s="359"/>
      <c r="M261" s="338"/>
      <c r="N261" s="89">
        <v>41045</v>
      </c>
      <c r="O261" s="359">
        <v>110</v>
      </c>
      <c r="P261" s="359" t="s">
        <v>46</v>
      </c>
      <c r="Q261" s="359"/>
      <c r="R261" s="359"/>
      <c r="S261" s="359">
        <v>800</v>
      </c>
      <c r="T261" s="359">
        <v>64</v>
      </c>
      <c r="U261" s="359">
        <v>400</v>
      </c>
      <c r="V261" s="359"/>
      <c r="W261" s="359"/>
      <c r="X261" s="359"/>
      <c r="Y261" s="359">
        <v>47</v>
      </c>
      <c r="Z261" s="359"/>
      <c r="AA261" s="210"/>
      <c r="AB261" s="248">
        <v>0.19950000000000001</v>
      </c>
      <c r="AC261" s="359">
        <v>0.51839999999999997</v>
      </c>
      <c r="AD261" s="359">
        <v>0.28199999999999997</v>
      </c>
      <c r="AE261" s="359" t="s">
        <v>47</v>
      </c>
      <c r="AF261" s="359">
        <v>5.6</v>
      </c>
      <c r="AG261" s="153"/>
      <c r="AH261" s="346">
        <v>314.607509480072</v>
      </c>
      <c r="AI261" s="24"/>
      <c r="AJ261" s="24"/>
      <c r="AK261" s="24"/>
      <c r="AL261" s="24"/>
      <c r="AM261" s="359"/>
      <c r="AN261" s="24">
        <f t="shared" si="52"/>
        <v>176.1802053088403</v>
      </c>
      <c r="AO261" s="54">
        <f t="shared" si="53"/>
        <v>0</v>
      </c>
      <c r="AP261" s="261">
        <f t="shared" si="54"/>
        <v>5.25</v>
      </c>
      <c r="AQ261" s="338"/>
      <c r="AR261" s="45"/>
      <c r="AS261" s="359"/>
      <c r="AT261" s="359"/>
    </row>
    <row r="262" spans="1:46" ht="12">
      <c r="A262" s="359" t="s">
        <v>390</v>
      </c>
      <c r="B262" s="359" t="str">
        <f t="shared" si="45"/>
        <v>MgO</v>
      </c>
      <c r="C262" s="141">
        <f t="shared" si="46"/>
        <v>5.7</v>
      </c>
      <c r="D262" s="277">
        <f t="shared" si="47"/>
        <v>311.51495929236597</v>
      </c>
      <c r="E262" s="20">
        <f t="shared" si="48"/>
        <v>9.6</v>
      </c>
      <c r="F262" s="20">
        <f t="shared" si="49"/>
        <v>0.85903552400000005</v>
      </c>
      <c r="G262" s="277">
        <f t="shared" si="50"/>
        <v>177.5635267966486</v>
      </c>
      <c r="H262" s="3">
        <f t="shared" si="44"/>
        <v>1.0174463354143504</v>
      </c>
      <c r="I262" s="277">
        <f t="shared" si="51"/>
        <v>17046.098572478266</v>
      </c>
      <c r="J262" s="359" t="s">
        <v>373</v>
      </c>
      <c r="K262" s="359" t="s">
        <v>385</v>
      </c>
      <c r="L262" s="359"/>
      <c r="M262" s="338"/>
      <c r="N262" s="89">
        <v>41045</v>
      </c>
      <c r="O262" s="359">
        <v>110</v>
      </c>
      <c r="P262" s="359" t="s">
        <v>46</v>
      </c>
      <c r="Q262" s="359"/>
      <c r="R262" s="359"/>
      <c r="S262" s="359">
        <v>800</v>
      </c>
      <c r="T262" s="359">
        <v>64</v>
      </c>
      <c r="U262" s="359">
        <v>400</v>
      </c>
      <c r="V262" s="359"/>
      <c r="W262" s="359"/>
      <c r="X262" s="359"/>
      <c r="Y262" s="359">
        <v>47</v>
      </c>
      <c r="Z262" s="359"/>
      <c r="AA262" s="210"/>
      <c r="AB262" s="248">
        <v>0.1958</v>
      </c>
      <c r="AC262" s="359">
        <v>0.51349999999999996</v>
      </c>
      <c r="AD262" s="359">
        <v>0.29070000000000001</v>
      </c>
      <c r="AE262" s="359" t="s">
        <v>47</v>
      </c>
      <c r="AF262" s="359">
        <v>5.7</v>
      </c>
      <c r="AG262" s="153"/>
      <c r="AH262" s="346">
        <v>311.51495929236597</v>
      </c>
      <c r="AI262" s="24"/>
      <c r="AJ262" s="24">
        <v>9.6</v>
      </c>
      <c r="AK262" s="24">
        <v>0.85903552400000005</v>
      </c>
      <c r="AL262" s="24">
        <f>118.97/116.93</f>
        <v>1.0174463354143504</v>
      </c>
      <c r="AM262" s="359" t="s">
        <v>156</v>
      </c>
      <c r="AN262" s="24">
        <f t="shared" si="52"/>
        <v>177.5635267966486</v>
      </c>
      <c r="AO262" s="54">
        <f t="shared" si="53"/>
        <v>17046.098572478266</v>
      </c>
      <c r="AP262" s="261">
        <f t="shared" si="54"/>
        <v>5.34375</v>
      </c>
      <c r="AQ262" s="338"/>
      <c r="AR262" s="45"/>
      <c r="AS262" s="359"/>
      <c r="AT262" s="359"/>
    </row>
    <row r="263" spans="1:46" ht="12">
      <c r="A263" s="359" t="s">
        <v>391</v>
      </c>
      <c r="B263" s="359" t="str">
        <f t="shared" si="45"/>
        <v>MgO</v>
      </c>
      <c r="C263" s="141">
        <f t="shared" si="46"/>
        <v>5.4</v>
      </c>
      <c r="D263" s="277">
        <f t="shared" si="47"/>
        <v>316.272728811913</v>
      </c>
      <c r="E263" s="20">
        <f t="shared" si="48"/>
        <v>9.8000000000000007</v>
      </c>
      <c r="F263" s="20">
        <f t="shared" si="49"/>
        <v>0.88214866999999997</v>
      </c>
      <c r="G263" s="277">
        <f t="shared" si="50"/>
        <v>170.78727355843301</v>
      </c>
      <c r="H263" s="3">
        <f t="shared" si="44"/>
        <v>1.0330009706167829</v>
      </c>
      <c r="I263" s="277">
        <f t="shared" si="51"/>
        <v>16737.152808726438</v>
      </c>
      <c r="J263" s="359" t="s">
        <v>373</v>
      </c>
      <c r="K263" s="359" t="s">
        <v>385</v>
      </c>
      <c r="L263" s="359"/>
      <c r="M263" s="338"/>
      <c r="N263" s="89">
        <v>41045</v>
      </c>
      <c r="O263" s="359">
        <v>110</v>
      </c>
      <c r="P263" s="359" t="s">
        <v>46</v>
      </c>
      <c r="Q263" s="359"/>
      <c r="R263" s="359"/>
      <c r="S263" s="359">
        <v>800</v>
      </c>
      <c r="T263" s="359">
        <v>64</v>
      </c>
      <c r="U263" s="359">
        <v>400</v>
      </c>
      <c r="V263" s="359"/>
      <c r="W263" s="359"/>
      <c r="X263" s="359"/>
      <c r="Y263" s="359">
        <v>47</v>
      </c>
      <c r="Z263" s="359"/>
      <c r="AA263" s="210"/>
      <c r="AB263" s="248">
        <v>0.19670000000000001</v>
      </c>
      <c r="AC263" s="359">
        <v>0.52610000000000001</v>
      </c>
      <c r="AD263" s="359">
        <v>0.2772</v>
      </c>
      <c r="AE263" s="359" t="s">
        <v>47</v>
      </c>
      <c r="AF263" s="359">
        <v>5.4</v>
      </c>
      <c r="AG263" s="153"/>
      <c r="AH263" s="346">
        <v>316.272728811913</v>
      </c>
      <c r="AI263" s="24"/>
      <c r="AJ263" s="24">
        <v>9.8000000000000007</v>
      </c>
      <c r="AK263" s="24">
        <v>0.88214866999999997</v>
      </c>
      <c r="AL263" s="24">
        <f>117.07/113.33</f>
        <v>1.0330009706167829</v>
      </c>
      <c r="AM263" s="359" t="s">
        <v>156</v>
      </c>
      <c r="AN263" s="24">
        <f t="shared" si="52"/>
        <v>170.78727355843301</v>
      </c>
      <c r="AO263" s="54">
        <f t="shared" si="53"/>
        <v>16737.152808726438</v>
      </c>
      <c r="AP263" s="261">
        <f t="shared" si="54"/>
        <v>5.0625</v>
      </c>
      <c r="AQ263" s="338"/>
      <c r="AR263" s="45"/>
      <c r="AS263" s="359"/>
      <c r="AT263" s="359"/>
    </row>
    <row r="264" spans="1:46" ht="12">
      <c r="A264" s="359" t="s">
        <v>392</v>
      </c>
      <c r="B264" s="359" t="str">
        <f t="shared" si="45"/>
        <v>MgO</v>
      </c>
      <c r="C264" s="141">
        <f t="shared" si="46"/>
        <v>5.4</v>
      </c>
      <c r="D264" s="277">
        <f t="shared" si="47"/>
        <v>311.27707081638903</v>
      </c>
      <c r="E264" s="20">
        <f t="shared" si="48"/>
        <v>0</v>
      </c>
      <c r="F264" s="20">
        <f t="shared" si="49"/>
        <v>0</v>
      </c>
      <c r="G264" s="277">
        <f t="shared" si="50"/>
        <v>168.08961824085009</v>
      </c>
      <c r="H264" s="3">
        <f t="shared" si="44"/>
        <v>0</v>
      </c>
      <c r="I264" s="277">
        <f t="shared" si="51"/>
        <v>0</v>
      </c>
      <c r="J264" s="359"/>
      <c r="K264" s="359" t="s">
        <v>385</v>
      </c>
      <c r="L264" s="359"/>
      <c r="M264" s="338"/>
      <c r="N264" s="89">
        <v>41045</v>
      </c>
      <c r="O264" s="359">
        <v>110</v>
      </c>
      <c r="P264" s="359" t="s">
        <v>46</v>
      </c>
      <c r="Q264" s="359"/>
      <c r="R264" s="359"/>
      <c r="S264" s="359">
        <v>800</v>
      </c>
      <c r="T264" s="359">
        <v>64</v>
      </c>
      <c r="U264" s="359">
        <v>400</v>
      </c>
      <c r="V264" s="359"/>
      <c r="W264" s="359"/>
      <c r="X264" s="359"/>
      <c r="Y264" s="359">
        <v>47</v>
      </c>
      <c r="Z264" s="359"/>
      <c r="AA264" s="210"/>
      <c r="AB264" s="248">
        <v>0.18870000000000001</v>
      </c>
      <c r="AC264" s="359">
        <v>0.52739999999999998</v>
      </c>
      <c r="AD264" s="359">
        <v>0.28389999999999999</v>
      </c>
      <c r="AE264" s="359" t="s">
        <v>47</v>
      </c>
      <c r="AF264" s="359">
        <v>5.4</v>
      </c>
      <c r="AG264" s="153"/>
      <c r="AH264" s="346">
        <v>311.27707081638903</v>
      </c>
      <c r="AI264" s="24"/>
      <c r="AJ264" s="24"/>
      <c r="AK264" s="24"/>
      <c r="AL264" s="24"/>
      <c r="AM264" s="359"/>
      <c r="AN264" s="24">
        <f t="shared" si="52"/>
        <v>168.08961824085009</v>
      </c>
      <c r="AO264" s="54">
        <f t="shared" si="53"/>
        <v>0</v>
      </c>
      <c r="AP264" s="261">
        <f t="shared" si="54"/>
        <v>5.0625</v>
      </c>
      <c r="AQ264" s="116"/>
      <c r="AR264" s="45"/>
      <c r="AS264" s="359"/>
      <c r="AT264" s="359"/>
    </row>
    <row r="265" spans="1:46" ht="12">
      <c r="A265" s="359" t="s">
        <v>393</v>
      </c>
      <c r="B265" s="359" t="str">
        <f t="shared" si="45"/>
        <v>SiNx</v>
      </c>
      <c r="C265" s="141">
        <f t="shared" si="46"/>
        <v>0</v>
      </c>
      <c r="D265" s="277">
        <f t="shared" si="47"/>
        <v>635.043286621589</v>
      </c>
      <c r="E265" s="20">
        <f t="shared" si="48"/>
        <v>0</v>
      </c>
      <c r="F265" s="20">
        <f t="shared" si="49"/>
        <v>0</v>
      </c>
      <c r="G265" s="277">
        <f t="shared" si="50"/>
        <v>0</v>
      </c>
      <c r="H265" s="3">
        <f t="shared" si="44"/>
        <v>0</v>
      </c>
      <c r="I265" s="277">
        <f t="shared" si="51"/>
        <v>0</v>
      </c>
      <c r="J265" s="359"/>
      <c r="K265" s="359" t="s">
        <v>186</v>
      </c>
      <c r="L265" s="359"/>
      <c r="M265" s="338" t="s">
        <v>138</v>
      </c>
      <c r="N265" s="89">
        <v>41046</v>
      </c>
      <c r="O265" s="359">
        <v>111</v>
      </c>
      <c r="P265" s="359" t="s">
        <v>187</v>
      </c>
      <c r="Q265" s="359"/>
      <c r="R265" s="359"/>
      <c r="S265" s="359">
        <v>20</v>
      </c>
      <c r="T265" s="359">
        <v>68</v>
      </c>
      <c r="U265" s="359">
        <v>400</v>
      </c>
      <c r="V265" s="359"/>
      <c r="W265" s="359"/>
      <c r="X265" s="359"/>
      <c r="Y265" s="359">
        <v>47</v>
      </c>
      <c r="Z265" s="359"/>
      <c r="AA265" s="210"/>
      <c r="AB265" s="248"/>
      <c r="AC265" s="359"/>
      <c r="AD265" s="359"/>
      <c r="AE265" s="359"/>
      <c r="AF265" s="359"/>
      <c r="AG265" s="153"/>
      <c r="AH265" s="346">
        <v>635.043286621589</v>
      </c>
      <c r="AI265" s="24"/>
      <c r="AJ265" s="24"/>
      <c r="AK265" s="24"/>
      <c r="AL265" s="24"/>
      <c r="AM265" s="359"/>
      <c r="AN265" s="24">
        <f t="shared" si="52"/>
        <v>0</v>
      </c>
      <c r="AO265" s="54">
        <f t="shared" si="53"/>
        <v>0</v>
      </c>
      <c r="AP265" s="261">
        <f t="shared" si="54"/>
        <v>0</v>
      </c>
      <c r="AQ265" s="338"/>
      <c r="AR265" s="45"/>
      <c r="AS265" s="359"/>
      <c r="AT265" s="359"/>
    </row>
    <row r="266" spans="1:46" ht="12">
      <c r="A266" s="359" t="s">
        <v>394</v>
      </c>
      <c r="B266" s="359" t="str">
        <f t="shared" si="45"/>
        <v>SiNx</v>
      </c>
      <c r="C266" s="141">
        <f t="shared" si="46"/>
        <v>0</v>
      </c>
      <c r="D266" s="277">
        <f t="shared" si="47"/>
        <v>624.81408215456202</v>
      </c>
      <c r="E266" s="20">
        <f t="shared" si="48"/>
        <v>0</v>
      </c>
      <c r="F266" s="20">
        <f t="shared" si="49"/>
        <v>0</v>
      </c>
      <c r="G266" s="277">
        <f t="shared" si="50"/>
        <v>0</v>
      </c>
      <c r="H266" s="3">
        <f t="shared" si="44"/>
        <v>0</v>
      </c>
      <c r="I266" s="277">
        <f t="shared" si="51"/>
        <v>0</v>
      </c>
      <c r="J266" s="359"/>
      <c r="K266" s="359" t="s">
        <v>186</v>
      </c>
      <c r="L266" s="359"/>
      <c r="M266" s="338" t="s">
        <v>138</v>
      </c>
      <c r="N266" s="89">
        <v>41046</v>
      </c>
      <c r="O266" s="359">
        <v>111</v>
      </c>
      <c r="P266" s="359" t="s">
        <v>187</v>
      </c>
      <c r="Q266" s="359"/>
      <c r="R266" s="359"/>
      <c r="S266" s="359">
        <v>20</v>
      </c>
      <c r="T266" s="359">
        <v>68</v>
      </c>
      <c r="U266" s="359">
        <v>400</v>
      </c>
      <c r="V266" s="359"/>
      <c r="W266" s="359"/>
      <c r="X266" s="359"/>
      <c r="Y266" s="359">
        <v>47</v>
      </c>
      <c r="Z266" s="359"/>
      <c r="AA266" s="210"/>
      <c r="AB266" s="248"/>
      <c r="AC266" s="359"/>
      <c r="AD266" s="359"/>
      <c r="AE266" s="359"/>
      <c r="AF266" s="359"/>
      <c r="AG266" s="153"/>
      <c r="AH266" s="346">
        <v>624.81408215456202</v>
      </c>
      <c r="AI266" s="24"/>
      <c r="AJ266" s="24"/>
      <c r="AK266" s="24"/>
      <c r="AL266" s="24"/>
      <c r="AM266" s="359"/>
      <c r="AN266" s="24">
        <f t="shared" si="52"/>
        <v>0</v>
      </c>
      <c r="AO266" s="54">
        <f t="shared" si="53"/>
        <v>0</v>
      </c>
      <c r="AP266" s="261">
        <f t="shared" si="54"/>
        <v>0</v>
      </c>
      <c r="AQ266" s="338"/>
      <c r="AR266" s="45"/>
      <c r="AS266" s="359"/>
      <c r="AT266" s="359"/>
    </row>
    <row r="267" spans="1:46" ht="12">
      <c r="A267" s="359" t="s">
        <v>395</v>
      </c>
      <c r="B267" s="359" t="str">
        <f t="shared" si="45"/>
        <v>SiNx</v>
      </c>
      <c r="C267" s="141">
        <f t="shared" si="46"/>
        <v>0</v>
      </c>
      <c r="D267" s="277">
        <f t="shared" si="47"/>
        <v>626.36035724841497</v>
      </c>
      <c r="E267" s="20">
        <f t="shared" si="48"/>
        <v>0</v>
      </c>
      <c r="F267" s="20">
        <f t="shared" si="49"/>
        <v>0</v>
      </c>
      <c r="G267" s="277">
        <f t="shared" si="50"/>
        <v>0</v>
      </c>
      <c r="H267" s="3">
        <f t="shared" si="44"/>
        <v>0</v>
      </c>
      <c r="I267" s="277">
        <f t="shared" si="51"/>
        <v>0</v>
      </c>
      <c r="J267" s="359"/>
      <c r="K267" s="359" t="s">
        <v>186</v>
      </c>
      <c r="L267" s="359"/>
      <c r="M267" s="338" t="s">
        <v>138</v>
      </c>
      <c r="N267" s="89">
        <v>41046</v>
      </c>
      <c r="O267" s="359">
        <v>111</v>
      </c>
      <c r="P267" s="359" t="s">
        <v>187</v>
      </c>
      <c r="Q267" s="359"/>
      <c r="R267" s="359"/>
      <c r="S267" s="359">
        <v>20</v>
      </c>
      <c r="T267" s="359">
        <v>68</v>
      </c>
      <c r="U267" s="359">
        <v>400</v>
      </c>
      <c r="V267" s="359"/>
      <c r="W267" s="359"/>
      <c r="X267" s="359"/>
      <c r="Y267" s="359">
        <v>47</v>
      </c>
      <c r="Z267" s="359"/>
      <c r="AA267" s="210"/>
      <c r="AB267" s="248"/>
      <c r="AC267" s="359"/>
      <c r="AD267" s="359"/>
      <c r="AE267" s="359"/>
      <c r="AF267" s="359"/>
      <c r="AG267" s="153"/>
      <c r="AH267" s="346">
        <v>626.36035724841497</v>
      </c>
      <c r="AI267" s="24"/>
      <c r="AJ267" s="24"/>
      <c r="AK267" s="24"/>
      <c r="AL267" s="24"/>
      <c r="AM267" s="359"/>
      <c r="AN267" s="24">
        <f t="shared" si="52"/>
        <v>0</v>
      </c>
      <c r="AO267" s="54">
        <f t="shared" si="53"/>
        <v>0</v>
      </c>
      <c r="AP267" s="261">
        <f t="shared" si="54"/>
        <v>0</v>
      </c>
      <c r="AQ267" s="338"/>
      <c r="AR267" s="45"/>
      <c r="AS267" s="359"/>
      <c r="AT267" s="359"/>
    </row>
    <row r="268" spans="1:46" ht="12">
      <c r="A268" s="359" t="s">
        <v>396</v>
      </c>
      <c r="B268" s="359" t="str">
        <f t="shared" si="45"/>
        <v>SiNx</v>
      </c>
      <c r="C268" s="141">
        <f t="shared" si="46"/>
        <v>0</v>
      </c>
      <c r="D268" s="277">
        <f t="shared" si="47"/>
        <v>635.99484052549894</v>
      </c>
      <c r="E268" s="20">
        <f t="shared" si="48"/>
        <v>0</v>
      </c>
      <c r="F268" s="20">
        <f t="shared" si="49"/>
        <v>0</v>
      </c>
      <c r="G268" s="277">
        <f t="shared" si="50"/>
        <v>0</v>
      </c>
      <c r="H268" s="3">
        <f t="shared" si="44"/>
        <v>0</v>
      </c>
      <c r="I268" s="277">
        <f t="shared" si="51"/>
        <v>0</v>
      </c>
      <c r="J268" s="359"/>
      <c r="K268" s="359" t="s">
        <v>186</v>
      </c>
      <c r="L268" s="359"/>
      <c r="M268" s="338" t="s">
        <v>138</v>
      </c>
      <c r="N268" s="89">
        <v>41046</v>
      </c>
      <c r="O268" s="359">
        <v>111</v>
      </c>
      <c r="P268" s="359" t="s">
        <v>187</v>
      </c>
      <c r="Q268" s="359"/>
      <c r="R268" s="359"/>
      <c r="S268" s="359">
        <v>20</v>
      </c>
      <c r="T268" s="359">
        <v>68</v>
      </c>
      <c r="U268" s="359">
        <v>400</v>
      </c>
      <c r="V268" s="359"/>
      <c r="W268" s="359"/>
      <c r="X268" s="359"/>
      <c r="Y268" s="359">
        <v>47</v>
      </c>
      <c r="Z268" s="359"/>
      <c r="AA268" s="210"/>
      <c r="AB268" s="248"/>
      <c r="AC268" s="359"/>
      <c r="AD268" s="359"/>
      <c r="AE268" s="359"/>
      <c r="AF268" s="359"/>
      <c r="AG268" s="153"/>
      <c r="AH268" s="346">
        <v>635.99484052549894</v>
      </c>
      <c r="AI268" s="24"/>
      <c r="AJ268" s="24"/>
      <c r="AK268" s="24"/>
      <c r="AL268" s="24"/>
      <c r="AM268" s="359"/>
      <c r="AN268" s="24">
        <f t="shared" si="52"/>
        <v>0</v>
      </c>
      <c r="AO268" s="54">
        <f t="shared" si="53"/>
        <v>0</v>
      </c>
      <c r="AP268" s="261">
        <f t="shared" si="54"/>
        <v>0</v>
      </c>
      <c r="AQ268" s="338"/>
      <c r="AR268" s="45"/>
      <c r="AS268" s="359"/>
      <c r="AT268" s="359"/>
    </row>
    <row r="269" spans="1:46" ht="12">
      <c r="A269" s="359" t="s">
        <v>397</v>
      </c>
      <c r="B269" s="359" t="str">
        <f t="shared" si="45"/>
        <v>MgO</v>
      </c>
      <c r="C269" s="141">
        <f t="shared" si="46"/>
        <v>6.4</v>
      </c>
      <c r="D269" s="277">
        <f t="shared" si="47"/>
        <v>435.69274375255299</v>
      </c>
      <c r="E269" s="20">
        <f t="shared" si="48"/>
        <v>0</v>
      </c>
      <c r="F269" s="20">
        <f t="shared" si="49"/>
        <v>0</v>
      </c>
      <c r="G269" s="277">
        <f t="shared" si="50"/>
        <v>278.84335600163394</v>
      </c>
      <c r="H269" s="3">
        <f t="shared" si="44"/>
        <v>0</v>
      </c>
      <c r="I269" s="277">
        <f t="shared" si="51"/>
        <v>0</v>
      </c>
      <c r="J269" s="359"/>
      <c r="K269" s="359" t="s">
        <v>385</v>
      </c>
      <c r="L269" s="359"/>
      <c r="M269" s="338"/>
      <c r="N269" s="89">
        <v>41050</v>
      </c>
      <c r="O269" s="359">
        <v>112</v>
      </c>
      <c r="P269" s="359" t="s">
        <v>46</v>
      </c>
      <c r="Q269" s="359"/>
      <c r="R269" s="359"/>
      <c r="S269" s="359">
        <v>800</v>
      </c>
      <c r="T269" s="359">
        <v>96</v>
      </c>
      <c r="U269" s="359">
        <v>400</v>
      </c>
      <c r="V269" s="359"/>
      <c r="W269" s="359"/>
      <c r="X269" s="359"/>
      <c r="Y269" s="359">
        <v>47</v>
      </c>
      <c r="Z269" s="359"/>
      <c r="AA269" s="210"/>
      <c r="AB269" s="248">
        <v>0.23319999999999999</v>
      </c>
      <c r="AC269" s="359">
        <v>0.48599999999999999</v>
      </c>
      <c r="AD269" s="359">
        <v>0.28079999999999999</v>
      </c>
      <c r="AE269" s="359" t="s">
        <v>47</v>
      </c>
      <c r="AF269" s="359">
        <v>6.4</v>
      </c>
      <c r="AG269" s="153"/>
      <c r="AH269" s="346">
        <v>435.69274375255299</v>
      </c>
      <c r="AI269" s="24"/>
      <c r="AJ269" s="24"/>
      <c r="AK269" s="24"/>
      <c r="AL269" s="24"/>
      <c r="AM269" s="359"/>
      <c r="AN269" s="24">
        <f t="shared" si="52"/>
        <v>278.84335600163394</v>
      </c>
      <c r="AO269" s="54">
        <f t="shared" si="53"/>
        <v>0</v>
      </c>
      <c r="AP269" s="261">
        <f t="shared" si="54"/>
        <v>4</v>
      </c>
      <c r="AQ269" s="338"/>
      <c r="AR269" s="45"/>
      <c r="AS269" s="359"/>
      <c r="AT269" s="359"/>
    </row>
    <row r="270" spans="1:46" ht="12">
      <c r="A270" s="359" t="s">
        <v>398</v>
      </c>
      <c r="B270" s="359" t="str">
        <f t="shared" si="45"/>
        <v>MgO</v>
      </c>
      <c r="C270" s="141">
        <f t="shared" si="46"/>
        <v>6.4</v>
      </c>
      <c r="D270" s="277">
        <f t="shared" si="47"/>
        <v>430.69708575702799</v>
      </c>
      <c r="E270" s="20">
        <f t="shared" si="48"/>
        <v>13.3</v>
      </c>
      <c r="F270" s="20">
        <f t="shared" si="49"/>
        <v>0.88195849199999998</v>
      </c>
      <c r="G270" s="277">
        <f t="shared" si="50"/>
        <v>275.64613488449794</v>
      </c>
      <c r="H270" s="3">
        <f t="shared" si="44"/>
        <v>1.07</v>
      </c>
      <c r="I270" s="277">
        <f t="shared" si="51"/>
        <v>36660.935939638228</v>
      </c>
      <c r="J270" s="359" t="s">
        <v>373</v>
      </c>
      <c r="K270" s="359" t="s">
        <v>385</v>
      </c>
      <c r="L270" s="359"/>
      <c r="M270" s="338"/>
      <c r="N270" s="89">
        <v>41050</v>
      </c>
      <c r="O270" s="359">
        <v>112</v>
      </c>
      <c r="P270" s="359" t="s">
        <v>46</v>
      </c>
      <c r="Q270" s="359"/>
      <c r="R270" s="359"/>
      <c r="S270" s="359">
        <v>800</v>
      </c>
      <c r="T270" s="359">
        <v>96</v>
      </c>
      <c r="U270" s="359">
        <v>400</v>
      </c>
      <c r="V270" s="359"/>
      <c r="W270" s="359"/>
      <c r="X270" s="359"/>
      <c r="Y270" s="359">
        <v>47</v>
      </c>
      <c r="Z270" s="359"/>
      <c r="AA270" s="210"/>
      <c r="AB270" s="248">
        <v>0.2341</v>
      </c>
      <c r="AC270" s="359">
        <v>0.4859</v>
      </c>
      <c r="AD270" s="359">
        <v>0.28000000000000003</v>
      </c>
      <c r="AE270" s="359" t="s">
        <v>47</v>
      </c>
      <c r="AF270" s="359">
        <v>6.4</v>
      </c>
      <c r="AG270" s="153"/>
      <c r="AH270" s="346">
        <v>430.69708575702799</v>
      </c>
      <c r="AI270" s="24"/>
      <c r="AJ270" s="24">
        <v>13.3</v>
      </c>
      <c r="AK270" s="24">
        <v>0.88195849199999998</v>
      </c>
      <c r="AL270" s="24">
        <v>1.07</v>
      </c>
      <c r="AM270" s="359" t="s">
        <v>156</v>
      </c>
      <c r="AN270" s="24">
        <f t="shared" si="52"/>
        <v>275.64613488449794</v>
      </c>
      <c r="AO270" s="54">
        <f t="shared" si="53"/>
        <v>36660.935939638228</v>
      </c>
      <c r="AP270" s="261">
        <f t="shared" si="54"/>
        <v>4</v>
      </c>
      <c r="AQ270" s="338"/>
      <c r="AR270" s="45"/>
      <c r="AS270" s="359"/>
      <c r="AT270" s="359"/>
    </row>
    <row r="271" spans="1:46" ht="12">
      <c r="A271" s="359" t="s">
        <v>399</v>
      </c>
      <c r="B271" s="359" t="str">
        <f t="shared" si="45"/>
        <v>MgO</v>
      </c>
      <c r="C271" s="141">
        <f t="shared" si="46"/>
        <v>6.4</v>
      </c>
      <c r="D271" s="277">
        <f t="shared" si="47"/>
        <v>422.608877573798</v>
      </c>
      <c r="E271" s="20">
        <f t="shared" si="48"/>
        <v>0</v>
      </c>
      <c r="F271" s="20">
        <f t="shared" si="49"/>
        <v>0</v>
      </c>
      <c r="G271" s="277">
        <f t="shared" si="50"/>
        <v>270.46968164723074</v>
      </c>
      <c r="H271" s="3">
        <f t="shared" si="44"/>
        <v>0</v>
      </c>
      <c r="I271" s="277">
        <f t="shared" si="51"/>
        <v>0</v>
      </c>
      <c r="J271" s="359"/>
      <c r="K271" s="359" t="s">
        <v>385</v>
      </c>
      <c r="L271" s="359"/>
      <c r="M271" s="338"/>
      <c r="N271" s="89">
        <v>41050</v>
      </c>
      <c r="O271" s="359">
        <v>112</v>
      </c>
      <c r="P271" s="359" t="s">
        <v>46</v>
      </c>
      <c r="Q271" s="359"/>
      <c r="R271" s="359"/>
      <c r="S271" s="359">
        <v>800</v>
      </c>
      <c r="T271" s="359">
        <v>96</v>
      </c>
      <c r="U271" s="359">
        <v>400</v>
      </c>
      <c r="V271" s="359"/>
      <c r="W271" s="359"/>
      <c r="X271" s="359"/>
      <c r="Y271" s="359">
        <v>47</v>
      </c>
      <c r="Z271" s="359"/>
      <c r="AA271" s="210"/>
      <c r="AB271" s="248">
        <v>0.23469999999999999</v>
      </c>
      <c r="AC271" s="359">
        <v>0.48449999999999999</v>
      </c>
      <c r="AD271" s="359">
        <v>0.28079999999999999</v>
      </c>
      <c r="AE271" s="359" t="s">
        <v>47</v>
      </c>
      <c r="AF271" s="359">
        <v>6.4</v>
      </c>
      <c r="AG271" s="153"/>
      <c r="AH271" s="346">
        <v>422.608877573798</v>
      </c>
      <c r="AI271" s="24"/>
      <c r="AJ271" s="24"/>
      <c r="AK271" s="24"/>
      <c r="AL271" s="24"/>
      <c r="AM271" s="359"/>
      <c r="AN271" s="24">
        <f t="shared" si="52"/>
        <v>270.46968164723074</v>
      </c>
      <c r="AO271" s="54">
        <f t="shared" si="53"/>
        <v>0</v>
      </c>
      <c r="AP271" s="261">
        <f t="shared" si="54"/>
        <v>4</v>
      </c>
      <c r="AQ271" s="338"/>
      <c r="AR271" s="45"/>
      <c r="AS271" s="359"/>
      <c r="AT271" s="359"/>
    </row>
    <row r="272" spans="1:46" ht="12">
      <c r="A272" s="359" t="s">
        <v>400</v>
      </c>
      <c r="B272" s="359" t="str">
        <f t="shared" si="45"/>
        <v>MgO</v>
      </c>
      <c r="C272" s="141">
        <f t="shared" si="46"/>
        <v>6.4</v>
      </c>
      <c r="D272" s="277">
        <f t="shared" si="47"/>
        <v>435.45485527657598</v>
      </c>
      <c r="E272" s="20">
        <f t="shared" si="48"/>
        <v>0</v>
      </c>
      <c r="F272" s="20">
        <f t="shared" si="49"/>
        <v>0</v>
      </c>
      <c r="G272" s="277">
        <f t="shared" si="50"/>
        <v>278.69110737700868</v>
      </c>
      <c r="H272" s="3">
        <f t="shared" si="44"/>
        <v>0</v>
      </c>
      <c r="I272" s="277">
        <f t="shared" si="51"/>
        <v>0</v>
      </c>
      <c r="J272" s="359"/>
      <c r="K272" s="359" t="s">
        <v>385</v>
      </c>
      <c r="L272" s="359"/>
      <c r="M272" s="338"/>
      <c r="N272" s="89">
        <v>41050</v>
      </c>
      <c r="O272" s="359">
        <v>112</v>
      </c>
      <c r="P272" s="359" t="s">
        <v>46</v>
      </c>
      <c r="Q272" s="359"/>
      <c r="R272" s="359"/>
      <c r="S272" s="359">
        <v>800</v>
      </c>
      <c r="T272" s="359">
        <v>96</v>
      </c>
      <c r="U272" s="359">
        <v>400</v>
      </c>
      <c r="V272" s="359"/>
      <c r="W272" s="359"/>
      <c r="X272" s="359"/>
      <c r="Y272" s="359">
        <v>47</v>
      </c>
      <c r="Z272" s="359"/>
      <c r="AA272" s="210"/>
      <c r="AB272" s="248">
        <v>0.23449999999999999</v>
      </c>
      <c r="AC272" s="359">
        <v>0.48459999999999998</v>
      </c>
      <c r="AD272" s="359">
        <v>0.28089999999999998</v>
      </c>
      <c r="AE272" s="359" t="s">
        <v>47</v>
      </c>
      <c r="AF272" s="359">
        <v>6.4</v>
      </c>
      <c r="AG272" s="153"/>
      <c r="AH272" s="346">
        <v>435.45485527657598</v>
      </c>
      <c r="AI272" s="24"/>
      <c r="AJ272" s="24"/>
      <c r="AK272" s="24"/>
      <c r="AL272" s="24"/>
      <c r="AM272" s="359"/>
      <c r="AN272" s="24">
        <f t="shared" si="52"/>
        <v>278.69110737700868</v>
      </c>
      <c r="AO272" s="54">
        <f t="shared" si="53"/>
        <v>0</v>
      </c>
      <c r="AP272" s="261">
        <f t="shared" si="54"/>
        <v>4</v>
      </c>
      <c r="AQ272" s="338"/>
      <c r="AR272" s="45"/>
      <c r="AS272" s="359"/>
      <c r="AT272" s="359"/>
    </row>
    <row r="273" spans="1:46" ht="13.5" customHeight="1">
      <c r="A273" s="359" t="s">
        <v>401</v>
      </c>
      <c r="B273" s="359" t="str">
        <f t="shared" si="45"/>
        <v>MgO</v>
      </c>
      <c r="C273" s="141">
        <f t="shared" si="46"/>
        <v>0</v>
      </c>
      <c r="D273" s="277">
        <f t="shared" si="47"/>
        <v>265.84037190471099</v>
      </c>
      <c r="E273" s="20">
        <f t="shared" si="48"/>
        <v>0</v>
      </c>
      <c r="F273" s="20">
        <f t="shared" si="49"/>
        <v>0</v>
      </c>
      <c r="G273" s="277">
        <f t="shared" si="50"/>
        <v>0</v>
      </c>
      <c r="H273" s="3">
        <f t="shared" si="44"/>
        <v>0</v>
      </c>
      <c r="I273" s="277">
        <f t="shared" si="51"/>
        <v>0</v>
      </c>
      <c r="J273" s="359" t="s">
        <v>133</v>
      </c>
      <c r="K273" s="359" t="s">
        <v>186</v>
      </c>
      <c r="L273" s="359"/>
      <c r="M273" s="338" t="s">
        <v>141</v>
      </c>
      <c r="N273" s="89">
        <v>41050</v>
      </c>
      <c r="O273" s="359">
        <v>113</v>
      </c>
      <c r="P273" s="359" t="s">
        <v>46</v>
      </c>
      <c r="Q273" s="359"/>
      <c r="R273" s="359"/>
      <c r="S273" s="359">
        <v>800</v>
      </c>
      <c r="T273" s="359">
        <v>60</v>
      </c>
      <c r="U273" s="359">
        <v>400</v>
      </c>
      <c r="V273" s="359"/>
      <c r="W273" s="359"/>
      <c r="X273" s="359"/>
      <c r="Y273" s="359">
        <v>47</v>
      </c>
      <c r="Z273" s="359"/>
      <c r="AA273" s="210"/>
      <c r="AB273" s="248"/>
      <c r="AC273" s="359"/>
      <c r="AD273" s="359"/>
      <c r="AE273" s="359"/>
      <c r="AF273" s="359"/>
      <c r="AG273" s="153"/>
      <c r="AH273" s="346">
        <v>265.84037190471099</v>
      </c>
      <c r="AI273" s="24"/>
      <c r="AJ273" s="24"/>
      <c r="AK273" s="24"/>
      <c r="AL273" s="24"/>
      <c r="AM273" s="359"/>
      <c r="AN273" s="24">
        <f t="shared" si="52"/>
        <v>0</v>
      </c>
      <c r="AO273" s="54">
        <f t="shared" si="53"/>
        <v>0</v>
      </c>
      <c r="AP273" s="261">
        <f t="shared" si="54"/>
        <v>0</v>
      </c>
      <c r="AQ273" s="338"/>
      <c r="AR273" s="45"/>
      <c r="AS273" s="359"/>
      <c r="AT273" s="359"/>
    </row>
    <row r="274" spans="1:46" ht="12">
      <c r="A274" s="359" t="s">
        <v>402</v>
      </c>
      <c r="B274" s="359" t="str">
        <f t="shared" si="45"/>
        <v>MgO</v>
      </c>
      <c r="C274" s="141">
        <f t="shared" si="46"/>
        <v>0</v>
      </c>
      <c r="D274" s="277">
        <f t="shared" si="47"/>
        <v>287.13139050468601</v>
      </c>
      <c r="E274" s="20">
        <f t="shared" si="48"/>
        <v>0</v>
      </c>
      <c r="F274" s="20">
        <f t="shared" si="49"/>
        <v>0</v>
      </c>
      <c r="G274" s="277">
        <f t="shared" si="50"/>
        <v>0</v>
      </c>
      <c r="H274" s="3">
        <f t="shared" si="44"/>
        <v>0</v>
      </c>
      <c r="I274" s="277">
        <f t="shared" si="51"/>
        <v>0</v>
      </c>
      <c r="J274" s="359" t="s">
        <v>133</v>
      </c>
      <c r="K274" s="359" t="s">
        <v>186</v>
      </c>
      <c r="L274" s="359"/>
      <c r="M274" s="338" t="s">
        <v>141</v>
      </c>
      <c r="N274" s="89">
        <v>41050</v>
      </c>
      <c r="O274" s="359">
        <v>113</v>
      </c>
      <c r="P274" s="359" t="s">
        <v>46</v>
      </c>
      <c r="Q274" s="359"/>
      <c r="R274" s="359"/>
      <c r="S274" s="359">
        <v>800</v>
      </c>
      <c r="T274" s="359">
        <v>60</v>
      </c>
      <c r="U274" s="359">
        <v>400</v>
      </c>
      <c r="V274" s="359"/>
      <c r="W274" s="359"/>
      <c r="X274" s="359"/>
      <c r="Y274" s="359">
        <v>47</v>
      </c>
      <c r="Z274" s="359"/>
      <c r="AA274" s="210"/>
      <c r="AB274" s="248"/>
      <c r="AC274" s="359"/>
      <c r="AD274" s="359"/>
      <c r="AE274" s="359"/>
      <c r="AF274" s="359"/>
      <c r="AG274" s="153"/>
      <c r="AH274" s="346">
        <v>287.13139050468601</v>
      </c>
      <c r="AI274" s="24"/>
      <c r="AJ274" s="24"/>
      <c r="AK274" s="24"/>
      <c r="AL274" s="24"/>
      <c r="AM274" s="359"/>
      <c r="AN274" s="24">
        <f t="shared" si="52"/>
        <v>0</v>
      </c>
      <c r="AO274" s="54">
        <f t="shared" si="53"/>
        <v>0</v>
      </c>
      <c r="AP274" s="261">
        <f t="shared" si="54"/>
        <v>0</v>
      </c>
      <c r="AQ274" s="338"/>
      <c r="AR274" s="45"/>
      <c r="AS274" s="359"/>
      <c r="AT274" s="359"/>
    </row>
    <row r="275" spans="1:46" ht="12">
      <c r="A275" s="359" t="s">
        <v>403</v>
      </c>
      <c r="B275" s="359" t="str">
        <f t="shared" si="45"/>
        <v>MgO</v>
      </c>
      <c r="C275" s="141">
        <f t="shared" si="46"/>
        <v>0</v>
      </c>
      <c r="D275" s="277">
        <f t="shared" si="47"/>
        <v>288.79660983652701</v>
      </c>
      <c r="E275" s="20">
        <f t="shared" si="48"/>
        <v>0</v>
      </c>
      <c r="F275" s="20">
        <f t="shared" si="49"/>
        <v>0</v>
      </c>
      <c r="G275" s="277">
        <f t="shared" si="50"/>
        <v>0</v>
      </c>
      <c r="H275" s="3">
        <f t="shared" si="44"/>
        <v>0</v>
      </c>
      <c r="I275" s="277">
        <f t="shared" si="51"/>
        <v>0</v>
      </c>
      <c r="J275" s="359" t="s">
        <v>133</v>
      </c>
      <c r="K275" s="359" t="s">
        <v>186</v>
      </c>
      <c r="L275" s="359"/>
      <c r="M275" s="338" t="s">
        <v>141</v>
      </c>
      <c r="N275" s="89">
        <v>41050</v>
      </c>
      <c r="O275" s="359">
        <v>113</v>
      </c>
      <c r="P275" s="359" t="s">
        <v>46</v>
      </c>
      <c r="Q275" s="359"/>
      <c r="R275" s="359"/>
      <c r="S275" s="359">
        <v>800</v>
      </c>
      <c r="T275" s="359">
        <v>60</v>
      </c>
      <c r="U275" s="359">
        <v>400</v>
      </c>
      <c r="V275" s="359"/>
      <c r="W275" s="359"/>
      <c r="X275" s="359"/>
      <c r="Y275" s="359">
        <v>47</v>
      </c>
      <c r="Z275" s="359"/>
      <c r="AA275" s="210"/>
      <c r="AB275" s="248"/>
      <c r="AC275" s="359"/>
      <c r="AD275" s="359"/>
      <c r="AE275" s="359"/>
      <c r="AF275" s="359"/>
      <c r="AG275" s="153"/>
      <c r="AH275" s="346">
        <v>288.79660983652701</v>
      </c>
      <c r="AI275" s="24"/>
      <c r="AJ275" s="24"/>
      <c r="AK275" s="24"/>
      <c r="AL275" s="24"/>
      <c r="AM275" s="359"/>
      <c r="AN275" s="24">
        <f t="shared" si="52"/>
        <v>0</v>
      </c>
      <c r="AO275" s="54">
        <f t="shared" si="53"/>
        <v>0</v>
      </c>
      <c r="AP275" s="261">
        <f t="shared" si="54"/>
        <v>0</v>
      </c>
      <c r="AQ275" s="338"/>
      <c r="AR275" s="45"/>
      <c r="AS275" s="359"/>
      <c r="AT275" s="359"/>
    </row>
    <row r="276" spans="1:46" ht="36">
      <c r="A276" s="359" t="s">
        <v>404</v>
      </c>
      <c r="B276" s="359" t="str">
        <f t="shared" si="45"/>
        <v>MgO</v>
      </c>
      <c r="C276" s="141">
        <f t="shared" si="46"/>
        <v>0</v>
      </c>
      <c r="D276" s="277">
        <f t="shared" si="47"/>
        <v>270.95497413822397</v>
      </c>
      <c r="E276" s="20">
        <f t="shared" si="48"/>
        <v>13.27</v>
      </c>
      <c r="F276" s="20">
        <f t="shared" si="49"/>
        <v>0</v>
      </c>
      <c r="G276" s="277">
        <f t="shared" si="50"/>
        <v>0</v>
      </c>
      <c r="H276" s="3">
        <f t="shared" si="44"/>
        <v>0.94899999999999995</v>
      </c>
      <c r="I276" s="277">
        <f t="shared" si="51"/>
        <v>0</v>
      </c>
      <c r="J276" s="359" t="s">
        <v>405</v>
      </c>
      <c r="K276" s="359" t="s">
        <v>186</v>
      </c>
      <c r="L276" s="359"/>
      <c r="M276" s="338" t="s">
        <v>141</v>
      </c>
      <c r="N276" s="89">
        <v>41050</v>
      </c>
      <c r="O276" s="359">
        <v>113</v>
      </c>
      <c r="P276" s="359" t="s">
        <v>46</v>
      </c>
      <c r="Q276" s="359"/>
      <c r="R276" s="359"/>
      <c r="S276" s="359">
        <v>800</v>
      </c>
      <c r="T276" s="359">
        <v>60</v>
      </c>
      <c r="U276" s="359">
        <v>400</v>
      </c>
      <c r="V276" s="359"/>
      <c r="W276" s="359"/>
      <c r="X276" s="359"/>
      <c r="Y276" s="359">
        <v>47</v>
      </c>
      <c r="Z276" s="359"/>
      <c r="AA276" s="210"/>
      <c r="AB276" s="248"/>
      <c r="AC276" s="359"/>
      <c r="AD276" s="359"/>
      <c r="AE276" s="359"/>
      <c r="AF276" s="359"/>
      <c r="AG276" s="153"/>
      <c r="AH276" s="346">
        <v>270.95497413822397</v>
      </c>
      <c r="AI276" s="24"/>
      <c r="AJ276" s="24">
        <v>13.27</v>
      </c>
      <c r="AK276" s="24"/>
      <c r="AL276" s="24">
        <v>0.94899999999999995</v>
      </c>
      <c r="AM276" s="359" t="s">
        <v>156</v>
      </c>
      <c r="AN276" s="24">
        <f t="shared" si="52"/>
        <v>0</v>
      </c>
      <c r="AO276" s="54">
        <f t="shared" si="53"/>
        <v>0</v>
      </c>
      <c r="AP276" s="261">
        <f t="shared" si="54"/>
        <v>0</v>
      </c>
      <c r="AQ276" s="338"/>
      <c r="AR276" s="45"/>
      <c r="AS276" s="359"/>
      <c r="AT276" s="359"/>
    </row>
    <row r="277" spans="1:46" ht="12">
      <c r="A277" s="359" t="s">
        <v>406</v>
      </c>
      <c r="B277" s="359" t="str">
        <f t="shared" si="45"/>
        <v>SiNx</v>
      </c>
      <c r="C277" s="141">
        <f t="shared" si="46"/>
        <v>0</v>
      </c>
      <c r="D277" s="277">
        <f t="shared" si="47"/>
        <v>654.19330893776805</v>
      </c>
      <c r="E277" s="20">
        <f t="shared" si="48"/>
        <v>0</v>
      </c>
      <c r="F277" s="20">
        <f t="shared" si="49"/>
        <v>0</v>
      </c>
      <c r="G277" s="277">
        <f t="shared" si="50"/>
        <v>0</v>
      </c>
      <c r="H277" s="3">
        <f t="shared" si="44"/>
        <v>0</v>
      </c>
      <c r="I277" s="277">
        <f t="shared" si="51"/>
        <v>0</v>
      </c>
      <c r="J277" s="359"/>
      <c r="K277" s="359" t="s">
        <v>186</v>
      </c>
      <c r="L277" s="359"/>
      <c r="M277" s="338" t="s">
        <v>138</v>
      </c>
      <c r="N277" s="89">
        <v>41051</v>
      </c>
      <c r="O277" s="359">
        <v>114</v>
      </c>
      <c r="P277" s="359" t="s">
        <v>187</v>
      </c>
      <c r="Q277" s="359"/>
      <c r="R277" s="359"/>
      <c r="S277" s="359">
        <v>20</v>
      </c>
      <c r="T277" s="359">
        <v>68</v>
      </c>
      <c r="U277" s="359">
        <v>400</v>
      </c>
      <c r="V277" s="359"/>
      <c r="W277" s="359"/>
      <c r="X277" s="359"/>
      <c r="Y277" s="359">
        <v>47</v>
      </c>
      <c r="Z277" s="359"/>
      <c r="AA277" s="210"/>
      <c r="AB277" s="248"/>
      <c r="AC277" s="359"/>
      <c r="AD277" s="359"/>
      <c r="AE277" s="359"/>
      <c r="AF277" s="359"/>
      <c r="AG277" s="153"/>
      <c r="AH277" s="346">
        <v>654.19330893776805</v>
      </c>
      <c r="AI277" s="24"/>
      <c r="AJ277" s="24"/>
      <c r="AK277" s="24"/>
      <c r="AL277" s="24"/>
      <c r="AM277" s="359"/>
      <c r="AN277" s="24">
        <f t="shared" si="52"/>
        <v>0</v>
      </c>
      <c r="AO277" s="54">
        <f t="shared" si="53"/>
        <v>0</v>
      </c>
      <c r="AP277" s="261">
        <f t="shared" si="54"/>
        <v>0</v>
      </c>
      <c r="AQ277" s="338"/>
      <c r="AR277" s="45"/>
      <c r="AS277" s="359"/>
      <c r="AT277" s="359"/>
    </row>
    <row r="278" spans="1:46" ht="12">
      <c r="A278" s="359" t="s">
        <v>407</v>
      </c>
      <c r="B278" s="359" t="str">
        <f t="shared" si="45"/>
        <v>SiNx</v>
      </c>
      <c r="C278" s="141">
        <f t="shared" si="46"/>
        <v>0</v>
      </c>
      <c r="D278" s="277">
        <f t="shared" si="47"/>
        <v>655.97747250759801</v>
      </c>
      <c r="E278" s="20">
        <f t="shared" si="48"/>
        <v>0</v>
      </c>
      <c r="F278" s="20">
        <f t="shared" si="49"/>
        <v>0</v>
      </c>
      <c r="G278" s="277">
        <f t="shared" si="50"/>
        <v>0</v>
      </c>
      <c r="H278" s="3">
        <f t="shared" si="44"/>
        <v>0</v>
      </c>
      <c r="I278" s="277">
        <f t="shared" si="51"/>
        <v>0</v>
      </c>
      <c r="J278" s="359"/>
      <c r="K278" s="359" t="s">
        <v>186</v>
      </c>
      <c r="L278" s="359"/>
      <c r="M278" s="338" t="s">
        <v>138</v>
      </c>
      <c r="N278" s="89">
        <v>41051</v>
      </c>
      <c r="O278" s="359">
        <v>114</v>
      </c>
      <c r="P278" s="359" t="s">
        <v>187</v>
      </c>
      <c r="Q278" s="359"/>
      <c r="R278" s="359"/>
      <c r="S278" s="359">
        <v>20</v>
      </c>
      <c r="T278" s="359">
        <v>68</v>
      </c>
      <c r="U278" s="359">
        <v>400</v>
      </c>
      <c r="V278" s="359"/>
      <c r="W278" s="359"/>
      <c r="X278" s="359"/>
      <c r="Y278" s="359">
        <v>47</v>
      </c>
      <c r="Z278" s="359"/>
      <c r="AA278" s="210"/>
      <c r="AB278" s="248"/>
      <c r="AC278" s="359"/>
      <c r="AD278" s="359"/>
      <c r="AE278" s="359"/>
      <c r="AF278" s="359"/>
      <c r="AG278" s="153"/>
      <c r="AH278" s="346">
        <v>655.97747250759801</v>
      </c>
      <c r="AI278" s="24"/>
      <c r="AJ278" s="24"/>
      <c r="AK278" s="24"/>
      <c r="AL278" s="24"/>
      <c r="AM278" s="359"/>
      <c r="AN278" s="24">
        <f t="shared" si="52"/>
        <v>0</v>
      </c>
      <c r="AO278" s="54">
        <f t="shared" si="53"/>
        <v>0</v>
      </c>
      <c r="AP278" s="261">
        <f t="shared" si="54"/>
        <v>0</v>
      </c>
      <c r="AQ278" s="338"/>
      <c r="AR278" s="45"/>
      <c r="AS278" s="359"/>
      <c r="AT278" s="359"/>
    </row>
    <row r="279" spans="1:46" ht="12">
      <c r="A279" s="359" t="s">
        <v>408</v>
      </c>
      <c r="B279" s="359" t="str">
        <f t="shared" si="45"/>
        <v>SiNx</v>
      </c>
      <c r="C279" s="141">
        <f t="shared" si="46"/>
        <v>0</v>
      </c>
      <c r="D279" s="277">
        <f t="shared" si="47"/>
        <v>652.76597808190297</v>
      </c>
      <c r="E279" s="20">
        <f t="shared" si="48"/>
        <v>0</v>
      </c>
      <c r="F279" s="20">
        <f t="shared" si="49"/>
        <v>0</v>
      </c>
      <c r="G279" s="277">
        <f t="shared" si="50"/>
        <v>0</v>
      </c>
      <c r="H279" s="3">
        <f t="shared" si="44"/>
        <v>0</v>
      </c>
      <c r="I279" s="277">
        <f t="shared" si="51"/>
        <v>0</v>
      </c>
      <c r="J279" s="359"/>
      <c r="K279" s="359" t="s">
        <v>186</v>
      </c>
      <c r="L279" s="359"/>
      <c r="M279" s="338" t="s">
        <v>138</v>
      </c>
      <c r="N279" s="89">
        <v>41051</v>
      </c>
      <c r="O279" s="359">
        <v>114</v>
      </c>
      <c r="P279" s="359" t="s">
        <v>187</v>
      </c>
      <c r="Q279" s="359"/>
      <c r="R279" s="359"/>
      <c r="S279" s="359">
        <v>20</v>
      </c>
      <c r="T279" s="359">
        <v>68</v>
      </c>
      <c r="U279" s="359">
        <v>400</v>
      </c>
      <c r="V279" s="359"/>
      <c r="W279" s="359"/>
      <c r="X279" s="359"/>
      <c r="Y279" s="359">
        <v>47</v>
      </c>
      <c r="Z279" s="359"/>
      <c r="AA279" s="210"/>
      <c r="AB279" s="248"/>
      <c r="AC279" s="359"/>
      <c r="AD279" s="359"/>
      <c r="AE279" s="359"/>
      <c r="AF279" s="359"/>
      <c r="AG279" s="153"/>
      <c r="AH279" s="346">
        <v>652.76597808190297</v>
      </c>
      <c r="AI279" s="24"/>
      <c r="AJ279" s="24"/>
      <c r="AK279" s="24"/>
      <c r="AL279" s="24"/>
      <c r="AM279" s="359"/>
      <c r="AN279" s="24">
        <f t="shared" si="52"/>
        <v>0</v>
      </c>
      <c r="AO279" s="54">
        <f t="shared" si="53"/>
        <v>0</v>
      </c>
      <c r="AP279" s="261">
        <f t="shared" si="54"/>
        <v>0</v>
      </c>
      <c r="AQ279" s="338"/>
      <c r="AR279" s="45"/>
      <c r="AS279" s="359"/>
      <c r="AT279" s="359"/>
    </row>
    <row r="280" spans="1:46" ht="12">
      <c r="A280" s="359" t="s">
        <v>409</v>
      </c>
      <c r="B280" s="359" t="str">
        <f t="shared" si="45"/>
        <v>SiNx</v>
      </c>
      <c r="C280" s="141">
        <f t="shared" si="46"/>
        <v>0</v>
      </c>
      <c r="D280" s="277">
        <f t="shared" si="47"/>
        <v>654.78803012771095</v>
      </c>
      <c r="E280" s="20">
        <f t="shared" si="48"/>
        <v>0</v>
      </c>
      <c r="F280" s="20">
        <f t="shared" si="49"/>
        <v>0</v>
      </c>
      <c r="G280" s="277">
        <f t="shared" si="50"/>
        <v>0</v>
      </c>
      <c r="H280" s="3">
        <f t="shared" si="44"/>
        <v>0</v>
      </c>
      <c r="I280" s="277">
        <f t="shared" si="51"/>
        <v>0</v>
      </c>
      <c r="J280" s="359"/>
      <c r="K280" s="359" t="s">
        <v>186</v>
      </c>
      <c r="L280" s="359"/>
      <c r="M280" s="338" t="s">
        <v>138</v>
      </c>
      <c r="N280" s="89">
        <v>41051</v>
      </c>
      <c r="O280" s="359">
        <v>114</v>
      </c>
      <c r="P280" s="359" t="s">
        <v>187</v>
      </c>
      <c r="Q280" s="359"/>
      <c r="R280" s="359"/>
      <c r="S280" s="359">
        <v>20</v>
      </c>
      <c r="T280" s="359">
        <v>68</v>
      </c>
      <c r="U280" s="359">
        <v>400</v>
      </c>
      <c r="V280" s="359"/>
      <c r="W280" s="359"/>
      <c r="X280" s="359"/>
      <c r="Y280" s="359">
        <v>47</v>
      </c>
      <c r="Z280" s="359"/>
      <c r="AA280" s="210"/>
      <c r="AB280" s="248"/>
      <c r="AC280" s="359"/>
      <c r="AD280" s="359"/>
      <c r="AE280" s="359"/>
      <c r="AF280" s="359"/>
      <c r="AG280" s="153"/>
      <c r="AH280" s="346">
        <v>654.78803012771095</v>
      </c>
      <c r="AI280" s="24"/>
      <c r="AJ280" s="24"/>
      <c r="AK280" s="24"/>
      <c r="AL280" s="24"/>
      <c r="AM280" s="359"/>
      <c r="AN280" s="24">
        <f t="shared" si="52"/>
        <v>0</v>
      </c>
      <c r="AO280" s="54">
        <f t="shared" si="53"/>
        <v>0</v>
      </c>
      <c r="AP280" s="261">
        <f t="shared" si="54"/>
        <v>0</v>
      </c>
      <c r="AQ280" s="338"/>
      <c r="AR280" s="45"/>
      <c r="AS280" s="359"/>
      <c r="AT280" s="359"/>
    </row>
    <row r="281" spans="1:46" ht="12">
      <c r="A281" s="359" t="s">
        <v>410</v>
      </c>
      <c r="B281" s="359" t="str">
        <f t="shared" si="45"/>
        <v>MgO</v>
      </c>
      <c r="C281" s="141">
        <f t="shared" si="46"/>
        <v>5.4</v>
      </c>
      <c r="D281" s="277">
        <f t="shared" si="47"/>
        <v>177.46480307911801</v>
      </c>
      <c r="E281" s="20">
        <f t="shared" si="48"/>
        <v>14.2</v>
      </c>
      <c r="F281" s="20">
        <f t="shared" si="49"/>
        <v>0.57186308900000005</v>
      </c>
      <c r="G281" s="277">
        <f t="shared" si="50"/>
        <v>95.830993662723728</v>
      </c>
      <c r="H281" s="3">
        <f t="shared" si="44"/>
        <v>1.02</v>
      </c>
      <c r="I281" s="277">
        <f t="shared" si="51"/>
        <v>13608.001100106769</v>
      </c>
      <c r="J281" s="359"/>
      <c r="K281" s="359" t="s">
        <v>385</v>
      </c>
      <c r="L281" s="359"/>
      <c r="M281" s="338"/>
      <c r="N281" s="89">
        <v>41053</v>
      </c>
      <c r="O281" s="359">
        <v>115</v>
      </c>
      <c r="P281" s="359" t="s">
        <v>46</v>
      </c>
      <c r="Q281" s="359"/>
      <c r="R281" s="359"/>
      <c r="S281" s="359">
        <v>800</v>
      </c>
      <c r="T281" s="359">
        <v>84</v>
      </c>
      <c r="U281" s="359">
        <v>400</v>
      </c>
      <c r="V281" s="359"/>
      <c r="W281" s="359"/>
      <c r="X281" s="359"/>
      <c r="Y281" s="359">
        <v>47</v>
      </c>
      <c r="Z281" s="359"/>
      <c r="AA281" s="210"/>
      <c r="AB281" s="248">
        <v>0.22270000000000001</v>
      </c>
      <c r="AC281" s="359">
        <v>0.52639999999999998</v>
      </c>
      <c r="AD281" s="359">
        <v>0.251</v>
      </c>
      <c r="AE281" s="359" t="s">
        <v>47</v>
      </c>
      <c r="AF281" s="359">
        <v>5.4</v>
      </c>
      <c r="AG281" s="153"/>
      <c r="AH281" s="346">
        <v>177.46480307911801</v>
      </c>
      <c r="AI281" s="24"/>
      <c r="AJ281" s="24">
        <v>14.2</v>
      </c>
      <c r="AK281" s="24">
        <v>0.57186308900000005</v>
      </c>
      <c r="AL281" s="24">
        <v>1.02</v>
      </c>
      <c r="AM281" s="359" t="s">
        <v>156</v>
      </c>
      <c r="AN281" s="24">
        <f t="shared" si="52"/>
        <v>95.830993662723728</v>
      </c>
      <c r="AO281" s="54">
        <f t="shared" si="53"/>
        <v>13608.001100106769</v>
      </c>
      <c r="AP281" s="261">
        <f t="shared" si="54"/>
        <v>3.8571428571428577</v>
      </c>
      <c r="AQ281" s="338"/>
      <c r="AR281" s="45"/>
      <c r="AS281" s="359"/>
      <c r="AT281" s="359"/>
    </row>
    <row r="282" spans="1:46" ht="12">
      <c r="A282" s="359" t="s">
        <v>411</v>
      </c>
      <c r="B282" s="359" t="str">
        <f t="shared" si="45"/>
        <v>MgO</v>
      </c>
      <c r="C282" s="141">
        <f t="shared" si="46"/>
        <v>5.3</v>
      </c>
      <c r="D282" s="277">
        <f t="shared" si="47"/>
        <v>179.011078172971</v>
      </c>
      <c r="E282" s="20">
        <f t="shared" si="48"/>
        <v>0</v>
      </c>
      <c r="F282" s="20">
        <f t="shared" si="49"/>
        <v>0</v>
      </c>
      <c r="G282" s="277">
        <f t="shared" si="50"/>
        <v>94.875871431674625</v>
      </c>
      <c r="H282" s="3">
        <f t="shared" si="44"/>
        <v>0</v>
      </c>
      <c r="I282" s="277">
        <f t="shared" si="51"/>
        <v>0</v>
      </c>
      <c r="J282" s="359"/>
      <c r="K282" s="359" t="s">
        <v>385</v>
      </c>
      <c r="L282" s="359"/>
      <c r="M282" s="338"/>
      <c r="N282" s="89">
        <v>41053</v>
      </c>
      <c r="O282" s="359">
        <v>115</v>
      </c>
      <c r="P282" s="359" t="s">
        <v>46</v>
      </c>
      <c r="Q282" s="359"/>
      <c r="R282" s="359"/>
      <c r="S282" s="359">
        <v>800</v>
      </c>
      <c r="T282" s="359">
        <v>84</v>
      </c>
      <c r="U282" s="359">
        <v>400</v>
      </c>
      <c r="V282" s="359"/>
      <c r="W282" s="359"/>
      <c r="X282" s="359"/>
      <c r="Y282" s="359">
        <v>47</v>
      </c>
      <c r="Z282" s="359"/>
      <c r="AA282" s="210"/>
      <c r="AB282" s="248">
        <v>0.22189999999999999</v>
      </c>
      <c r="AC282" s="359">
        <v>0.52829999999999999</v>
      </c>
      <c r="AD282" s="359">
        <v>0.24970000000000001</v>
      </c>
      <c r="AE282" s="359" t="s">
        <v>47</v>
      </c>
      <c r="AF282" s="359">
        <v>5.3</v>
      </c>
      <c r="AG282" s="153"/>
      <c r="AH282" s="346">
        <v>179.011078172971</v>
      </c>
      <c r="AI282" s="24"/>
      <c r="AJ282" s="24"/>
      <c r="AK282" s="24"/>
      <c r="AL282" s="24"/>
      <c r="AM282" s="359"/>
      <c r="AN282" s="24">
        <f t="shared" si="52"/>
        <v>94.875871431674625</v>
      </c>
      <c r="AO282" s="54">
        <f t="shared" si="53"/>
        <v>0</v>
      </c>
      <c r="AP282" s="261">
        <f t="shared" si="54"/>
        <v>3.7857142857142856</v>
      </c>
      <c r="AQ282" s="338"/>
      <c r="AR282" s="45"/>
      <c r="AS282" s="359"/>
      <c r="AT282" s="359"/>
    </row>
    <row r="283" spans="1:46" ht="12">
      <c r="A283" s="359" t="s">
        <v>412</v>
      </c>
      <c r="B283" s="359" t="str">
        <f t="shared" si="45"/>
        <v>MgO</v>
      </c>
      <c r="C283" s="141">
        <f t="shared" si="46"/>
        <v>5.7</v>
      </c>
      <c r="D283" s="277">
        <f t="shared" si="47"/>
        <v>204.227256626572</v>
      </c>
      <c r="E283" s="20">
        <f t="shared" si="48"/>
        <v>13.5</v>
      </c>
      <c r="F283" s="20">
        <f t="shared" si="49"/>
        <v>0.72791187300000004</v>
      </c>
      <c r="G283" s="277">
        <f t="shared" si="50"/>
        <v>116.40953627714605</v>
      </c>
      <c r="H283" s="3">
        <f t="shared" si="44"/>
        <v>1.068505687017911</v>
      </c>
      <c r="I283" s="277">
        <f t="shared" si="51"/>
        <v>15715.287397414717</v>
      </c>
      <c r="J283" s="359"/>
      <c r="K283" s="359" t="s">
        <v>385</v>
      </c>
      <c r="L283" s="359"/>
      <c r="M283" s="338"/>
      <c r="N283" s="89">
        <v>41053</v>
      </c>
      <c r="O283" s="359">
        <v>115</v>
      </c>
      <c r="P283" s="359" t="s">
        <v>46</v>
      </c>
      <c r="Q283" s="359"/>
      <c r="R283" s="359"/>
      <c r="S283" s="359">
        <v>800</v>
      </c>
      <c r="T283" s="359">
        <v>84</v>
      </c>
      <c r="U283" s="359">
        <v>400</v>
      </c>
      <c r="V283" s="359"/>
      <c r="W283" s="359"/>
      <c r="X283" s="359"/>
      <c r="Y283" s="359">
        <v>47</v>
      </c>
      <c r="Z283" s="359"/>
      <c r="AA283" s="210"/>
      <c r="AB283" s="248">
        <v>0.2258</v>
      </c>
      <c r="AC283" s="359">
        <v>0.51359999999999995</v>
      </c>
      <c r="AD283" s="359">
        <v>0.2606</v>
      </c>
      <c r="AE283" s="359" t="s">
        <v>47</v>
      </c>
      <c r="AF283" s="359">
        <v>5.7</v>
      </c>
      <c r="AG283" s="153"/>
      <c r="AH283" s="346">
        <v>204.227256626572</v>
      </c>
      <c r="AI283" s="24"/>
      <c r="AJ283" s="24">
        <v>13.5</v>
      </c>
      <c r="AK283" s="24">
        <v>0.72791187300000004</v>
      </c>
      <c r="AL283" s="24">
        <f>81.73/76.49</f>
        <v>1.068505687017911</v>
      </c>
      <c r="AM283" s="359" t="s">
        <v>156</v>
      </c>
      <c r="AN283" s="24">
        <f t="shared" si="52"/>
        <v>116.40953627714605</v>
      </c>
      <c r="AO283" s="54">
        <f t="shared" si="53"/>
        <v>15715.287397414717</v>
      </c>
      <c r="AP283" s="261">
        <f t="shared" si="54"/>
        <v>4.0714285714285721</v>
      </c>
      <c r="AQ283" s="338"/>
      <c r="AR283" s="45"/>
      <c r="AS283" s="359"/>
      <c r="AT283" s="359"/>
    </row>
    <row r="284" spans="1:46" ht="12">
      <c r="A284" s="359" t="s">
        <v>413</v>
      </c>
      <c r="B284" s="359" t="str">
        <f t="shared" si="45"/>
        <v>MgO</v>
      </c>
      <c r="C284" s="141">
        <f t="shared" si="46"/>
        <v>5.4</v>
      </c>
      <c r="D284" s="277">
        <f t="shared" si="47"/>
        <v>178.773189696994</v>
      </c>
      <c r="E284" s="20">
        <f t="shared" si="48"/>
        <v>0</v>
      </c>
      <c r="F284" s="20">
        <f t="shared" si="49"/>
        <v>0</v>
      </c>
      <c r="G284" s="277">
        <f t="shared" si="50"/>
        <v>96.537522436376761</v>
      </c>
      <c r="H284" s="3">
        <f t="shared" si="44"/>
        <v>0</v>
      </c>
      <c r="I284" s="277">
        <f t="shared" si="51"/>
        <v>0</v>
      </c>
      <c r="J284" s="359"/>
      <c r="K284" s="359" t="s">
        <v>385</v>
      </c>
      <c r="L284" s="359"/>
      <c r="M284" s="338"/>
      <c r="N284" s="89">
        <v>41053</v>
      </c>
      <c r="O284" s="359">
        <v>115</v>
      </c>
      <c r="P284" s="359" t="s">
        <v>46</v>
      </c>
      <c r="Q284" s="359"/>
      <c r="R284" s="359"/>
      <c r="S284" s="359">
        <v>800</v>
      </c>
      <c r="T284" s="359">
        <v>84</v>
      </c>
      <c r="U284" s="359">
        <v>400</v>
      </c>
      <c r="V284" s="359"/>
      <c r="W284" s="359"/>
      <c r="X284" s="359"/>
      <c r="Y284" s="359">
        <v>47</v>
      </c>
      <c r="Z284" s="359"/>
      <c r="AA284" s="210"/>
      <c r="AB284" s="248">
        <v>0.21729999999999999</v>
      </c>
      <c r="AC284" s="359">
        <v>0.52690000000000003</v>
      </c>
      <c r="AD284" s="359">
        <v>0.25590000000000002</v>
      </c>
      <c r="AE284" s="359" t="s">
        <v>47</v>
      </c>
      <c r="AF284" s="359">
        <v>5.4</v>
      </c>
      <c r="AG284" s="153"/>
      <c r="AH284" s="346">
        <v>178.773189696994</v>
      </c>
      <c r="AI284" s="24"/>
      <c r="AJ284" s="24"/>
      <c r="AK284" s="24"/>
      <c r="AL284" s="24"/>
      <c r="AM284" s="359"/>
      <c r="AN284" s="24">
        <f t="shared" si="52"/>
        <v>96.537522436376761</v>
      </c>
      <c r="AO284" s="54">
        <f t="shared" si="53"/>
        <v>0</v>
      </c>
      <c r="AP284" s="261">
        <f t="shared" si="54"/>
        <v>3.8571428571428577</v>
      </c>
      <c r="AQ284" s="338"/>
      <c r="AR284" s="45"/>
      <c r="AS284" s="359"/>
      <c r="AT284" s="359"/>
    </row>
    <row r="285" spans="1:46" ht="12">
      <c r="A285" s="359" t="s">
        <v>414</v>
      </c>
      <c r="B285" s="359" t="str">
        <f t="shared" si="45"/>
        <v>MgO</v>
      </c>
      <c r="C285" s="141">
        <f t="shared" si="46"/>
        <v>4.7</v>
      </c>
      <c r="D285" s="277">
        <f t="shared" si="47"/>
        <v>348.86345002081299</v>
      </c>
      <c r="E285" s="20">
        <f t="shared" si="48"/>
        <v>0</v>
      </c>
      <c r="F285" s="20">
        <f t="shared" si="49"/>
        <v>0</v>
      </c>
      <c r="G285" s="277">
        <f t="shared" si="50"/>
        <v>163.9658215097821</v>
      </c>
      <c r="H285" s="3">
        <f t="shared" si="44"/>
        <v>0</v>
      </c>
      <c r="I285" s="277">
        <f t="shared" si="51"/>
        <v>0</v>
      </c>
      <c r="J285" s="359"/>
      <c r="K285" s="359" t="s">
        <v>186</v>
      </c>
      <c r="L285" s="359"/>
      <c r="M285" s="338" t="s">
        <v>141</v>
      </c>
      <c r="N285" s="89">
        <v>41054</v>
      </c>
      <c r="O285" s="359">
        <v>116</v>
      </c>
      <c r="P285" s="359" t="s">
        <v>46</v>
      </c>
      <c r="Q285" s="359"/>
      <c r="R285" s="359"/>
      <c r="S285" s="359">
        <v>800</v>
      </c>
      <c r="T285" s="359">
        <v>92</v>
      </c>
      <c r="U285" s="359">
        <v>400</v>
      </c>
      <c r="V285" s="359"/>
      <c r="W285" s="359"/>
      <c r="X285" s="359"/>
      <c r="Y285" s="359">
        <v>47</v>
      </c>
      <c r="Z285" s="359"/>
      <c r="AA285" s="210"/>
      <c r="AB285" s="248">
        <v>0.19919999999999999</v>
      </c>
      <c r="AC285" s="359">
        <v>0.5585</v>
      </c>
      <c r="AD285" s="359">
        <v>0.24229999999999999</v>
      </c>
      <c r="AE285" s="359" t="s">
        <v>47</v>
      </c>
      <c r="AF285" s="359">
        <v>4.7</v>
      </c>
      <c r="AG285" s="153"/>
      <c r="AH285" s="346">
        <v>348.86345002081299</v>
      </c>
      <c r="AI285" s="24"/>
      <c r="AJ285" s="24"/>
      <c r="AK285" s="24"/>
      <c r="AL285" s="24"/>
      <c r="AM285" s="359"/>
      <c r="AN285" s="24">
        <f t="shared" si="52"/>
        <v>163.9658215097821</v>
      </c>
      <c r="AO285" s="54">
        <f t="shared" si="53"/>
        <v>0</v>
      </c>
      <c r="AP285" s="261">
        <f t="shared" si="54"/>
        <v>3.0652173913043481</v>
      </c>
      <c r="AQ285" s="338"/>
      <c r="AR285" s="45"/>
      <c r="AS285" s="359"/>
      <c r="AT285" s="359"/>
    </row>
    <row r="286" spans="1:46" ht="12">
      <c r="A286" s="359" t="s">
        <v>415</v>
      </c>
      <c r="B286" s="359" t="str">
        <f t="shared" si="45"/>
        <v>MgO</v>
      </c>
      <c r="C286" s="141">
        <f t="shared" si="46"/>
        <v>0</v>
      </c>
      <c r="D286" s="277">
        <f t="shared" si="47"/>
        <v>354.81066192024701</v>
      </c>
      <c r="E286" s="20">
        <f t="shared" si="48"/>
        <v>0</v>
      </c>
      <c r="F286" s="20">
        <f t="shared" si="49"/>
        <v>0</v>
      </c>
      <c r="G286" s="277">
        <f t="shared" si="50"/>
        <v>0</v>
      </c>
      <c r="H286" s="3">
        <f t="shared" si="44"/>
        <v>0</v>
      </c>
      <c r="I286" s="277">
        <f t="shared" si="51"/>
        <v>0</v>
      </c>
      <c r="J286" s="359"/>
      <c r="K286" s="359" t="s">
        <v>186</v>
      </c>
      <c r="L286" s="359"/>
      <c r="M286" s="338" t="s">
        <v>141</v>
      </c>
      <c r="N286" s="89">
        <v>41054</v>
      </c>
      <c r="O286" s="359">
        <v>116</v>
      </c>
      <c r="P286" s="359" t="s">
        <v>46</v>
      </c>
      <c r="Q286" s="359"/>
      <c r="R286" s="359"/>
      <c r="S286" s="359">
        <v>800</v>
      </c>
      <c r="T286" s="359">
        <v>92</v>
      </c>
      <c r="U286" s="359">
        <v>400</v>
      </c>
      <c r="V286" s="359"/>
      <c r="W286" s="359"/>
      <c r="X286" s="359"/>
      <c r="Y286" s="359">
        <v>47</v>
      </c>
      <c r="Z286" s="359"/>
      <c r="AA286" s="210"/>
      <c r="AB286" s="248"/>
      <c r="AC286" s="359"/>
      <c r="AD286" s="359"/>
      <c r="AE286" s="359"/>
      <c r="AF286" s="359"/>
      <c r="AG286" s="153"/>
      <c r="AH286" s="346">
        <v>354.81066192024701</v>
      </c>
      <c r="AI286" s="24"/>
      <c r="AJ286" s="24"/>
      <c r="AK286" s="24"/>
      <c r="AL286" s="24"/>
      <c r="AM286" s="359"/>
      <c r="AN286" s="24">
        <f t="shared" si="52"/>
        <v>0</v>
      </c>
      <c r="AO286" s="54">
        <f t="shared" si="53"/>
        <v>0</v>
      </c>
      <c r="AP286" s="261">
        <f t="shared" si="54"/>
        <v>0</v>
      </c>
      <c r="AQ286" s="338"/>
      <c r="AR286" s="45"/>
      <c r="AS286" s="359"/>
      <c r="AT286" s="359"/>
    </row>
    <row r="287" spans="1:46" ht="12">
      <c r="A287" s="359" t="s">
        <v>416</v>
      </c>
      <c r="B287" s="359" t="str">
        <f t="shared" si="45"/>
        <v>MgO</v>
      </c>
      <c r="C287" s="141">
        <f t="shared" si="46"/>
        <v>0</v>
      </c>
      <c r="D287" s="277">
        <f t="shared" si="47"/>
        <v>365.991420291184</v>
      </c>
      <c r="E287" s="20">
        <f t="shared" si="48"/>
        <v>0</v>
      </c>
      <c r="F287" s="20">
        <f t="shared" si="49"/>
        <v>0</v>
      </c>
      <c r="G287" s="277">
        <f t="shared" si="50"/>
        <v>0</v>
      </c>
      <c r="H287" s="3">
        <f t="shared" si="44"/>
        <v>0</v>
      </c>
      <c r="I287" s="277">
        <f t="shared" si="51"/>
        <v>0</v>
      </c>
      <c r="J287" s="359"/>
      <c r="K287" s="359" t="s">
        <v>186</v>
      </c>
      <c r="L287" s="359"/>
      <c r="M287" s="338" t="s">
        <v>141</v>
      </c>
      <c r="N287" s="89">
        <v>41054</v>
      </c>
      <c r="O287" s="359">
        <v>116</v>
      </c>
      <c r="P287" s="359" t="s">
        <v>46</v>
      </c>
      <c r="Q287" s="359"/>
      <c r="R287" s="359"/>
      <c r="S287" s="359">
        <v>800</v>
      </c>
      <c r="T287" s="359">
        <v>92</v>
      </c>
      <c r="U287" s="359">
        <v>400</v>
      </c>
      <c r="V287" s="359"/>
      <c r="W287" s="359"/>
      <c r="X287" s="359"/>
      <c r="Y287" s="359">
        <v>47</v>
      </c>
      <c r="Z287" s="359"/>
      <c r="AA287" s="210"/>
      <c r="AB287" s="248"/>
      <c r="AC287" s="359"/>
      <c r="AD287" s="359"/>
      <c r="AE287" s="359"/>
      <c r="AF287" s="359"/>
      <c r="AG287" s="153"/>
      <c r="AH287" s="346">
        <v>365.991420291184</v>
      </c>
      <c r="AI287" s="24"/>
      <c r="AJ287" s="24"/>
      <c r="AK287" s="24"/>
      <c r="AL287" s="24"/>
      <c r="AM287" s="359"/>
      <c r="AN287" s="24">
        <f t="shared" si="52"/>
        <v>0</v>
      </c>
      <c r="AO287" s="54">
        <f t="shared" si="53"/>
        <v>0</v>
      </c>
      <c r="AP287" s="261">
        <f t="shared" si="54"/>
        <v>0</v>
      </c>
      <c r="AQ287" s="338"/>
      <c r="AR287" s="45"/>
      <c r="AS287" s="359"/>
      <c r="AT287" s="359"/>
    </row>
    <row r="288" spans="1:46" ht="12">
      <c r="A288" s="359" t="s">
        <v>417</v>
      </c>
      <c r="B288" s="359" t="str">
        <f t="shared" si="45"/>
        <v>MgO</v>
      </c>
      <c r="C288" s="141">
        <f t="shared" si="46"/>
        <v>0</v>
      </c>
      <c r="D288" s="277">
        <f t="shared" si="47"/>
        <v>356.35693701410003</v>
      </c>
      <c r="E288" s="20">
        <f t="shared" si="48"/>
        <v>0</v>
      </c>
      <c r="F288" s="20">
        <f t="shared" si="49"/>
        <v>0</v>
      </c>
      <c r="G288" s="277">
        <f t="shared" si="50"/>
        <v>0</v>
      </c>
      <c r="H288" s="3">
        <f t="shared" ref="H288:H351" si="55">AL288</f>
        <v>0</v>
      </c>
      <c r="I288" s="277">
        <f t="shared" si="51"/>
        <v>0</v>
      </c>
      <c r="J288" s="359"/>
      <c r="K288" s="359" t="s">
        <v>186</v>
      </c>
      <c r="L288" s="359"/>
      <c r="M288" s="338" t="s">
        <v>141</v>
      </c>
      <c r="N288" s="89">
        <v>41054</v>
      </c>
      <c r="O288" s="359">
        <v>116</v>
      </c>
      <c r="P288" s="359" t="s">
        <v>46</v>
      </c>
      <c r="Q288" s="359"/>
      <c r="R288" s="359"/>
      <c r="S288" s="359">
        <v>800</v>
      </c>
      <c r="T288" s="359">
        <v>92</v>
      </c>
      <c r="U288" s="359">
        <v>400</v>
      </c>
      <c r="V288" s="359"/>
      <c r="W288" s="359"/>
      <c r="X288" s="359"/>
      <c r="Y288" s="359">
        <v>47</v>
      </c>
      <c r="Z288" s="359"/>
      <c r="AA288" s="210"/>
      <c r="AB288" s="248"/>
      <c r="AC288" s="359"/>
      <c r="AD288" s="359"/>
      <c r="AE288" s="359"/>
      <c r="AF288" s="359"/>
      <c r="AG288" s="153"/>
      <c r="AH288" s="346">
        <v>356.35693701410003</v>
      </c>
      <c r="AI288" s="24"/>
      <c r="AJ288" s="24"/>
      <c r="AK288" s="24"/>
      <c r="AL288" s="24"/>
      <c r="AM288" s="359"/>
      <c r="AN288" s="24">
        <f t="shared" si="52"/>
        <v>0</v>
      </c>
      <c r="AO288" s="54">
        <f t="shared" si="53"/>
        <v>0</v>
      </c>
      <c r="AP288" s="261">
        <f t="shared" si="54"/>
        <v>0</v>
      </c>
      <c r="AQ288" s="338"/>
      <c r="AR288" s="45"/>
      <c r="AS288" s="359"/>
      <c r="AT288" s="359"/>
    </row>
    <row r="289" spans="1:46" ht="12">
      <c r="A289" s="359" t="s">
        <v>418</v>
      </c>
      <c r="B289" s="359" t="str">
        <f t="shared" si="45"/>
        <v>MgO</v>
      </c>
      <c r="C289" s="141">
        <f t="shared" si="46"/>
        <v>5.9</v>
      </c>
      <c r="D289" s="277">
        <f t="shared" si="47"/>
        <v>274.28541280190802</v>
      </c>
      <c r="E289" s="20">
        <f t="shared" si="48"/>
        <v>11.3</v>
      </c>
      <c r="F289" s="20">
        <f t="shared" si="49"/>
        <v>1.002938383</v>
      </c>
      <c r="G289" s="277">
        <f t="shared" si="50"/>
        <v>161.82839355312575</v>
      </c>
      <c r="H289" s="3">
        <f t="shared" si="55"/>
        <v>0.74357514059941632</v>
      </c>
      <c r="I289" s="277">
        <f t="shared" si="51"/>
        <v>18286.608471503208</v>
      </c>
      <c r="J289" s="359"/>
      <c r="K289" s="359" t="s">
        <v>385</v>
      </c>
      <c r="L289" s="359"/>
      <c r="M289" s="338"/>
      <c r="N289" s="89">
        <v>41054</v>
      </c>
      <c r="O289" s="359">
        <v>117</v>
      </c>
      <c r="P289" s="359" t="s">
        <v>46</v>
      </c>
      <c r="Q289" s="359"/>
      <c r="R289" s="359"/>
      <c r="S289" s="359">
        <v>800</v>
      </c>
      <c r="T289" s="359">
        <v>112</v>
      </c>
      <c r="U289" s="359">
        <v>400</v>
      </c>
      <c r="V289" s="359"/>
      <c r="W289" s="359"/>
      <c r="X289" s="359"/>
      <c r="Y289" s="359">
        <v>47</v>
      </c>
      <c r="Z289" s="359"/>
      <c r="AA289" s="210"/>
      <c r="AB289" s="248">
        <v>0.218</v>
      </c>
      <c r="AC289" s="359">
        <v>0.50649999999999995</v>
      </c>
      <c r="AD289" s="359">
        <v>0.27550000000000002</v>
      </c>
      <c r="AE289" s="359" t="s">
        <v>47</v>
      </c>
      <c r="AF289" s="359">
        <v>5.9</v>
      </c>
      <c r="AG289" s="153"/>
      <c r="AH289" s="346">
        <v>274.28541280190802</v>
      </c>
      <c r="AI289" s="24"/>
      <c r="AJ289" s="24">
        <v>11.3</v>
      </c>
      <c r="AK289" s="24">
        <v>1.002938383</v>
      </c>
      <c r="AL289" s="24">
        <f>104.45/140.47</f>
        <v>0.74357514059941632</v>
      </c>
      <c r="AM289" s="359" t="s">
        <v>156</v>
      </c>
      <c r="AN289" s="24">
        <f t="shared" si="52"/>
        <v>161.82839355312575</v>
      </c>
      <c r="AO289" s="54">
        <f t="shared" si="53"/>
        <v>18286.608471503208</v>
      </c>
      <c r="AP289" s="261">
        <f t="shared" si="54"/>
        <v>3.1607142857142856</v>
      </c>
      <c r="AQ289" s="338"/>
      <c r="AR289" s="45"/>
      <c r="AS289" s="359"/>
      <c r="AT289" s="359"/>
    </row>
    <row r="290" spans="1:46" ht="12">
      <c r="A290" s="359" t="s">
        <v>419</v>
      </c>
      <c r="B290" s="359" t="str">
        <f t="shared" si="45"/>
        <v>MgO</v>
      </c>
      <c r="C290" s="141">
        <f t="shared" si="46"/>
        <v>5.8</v>
      </c>
      <c r="D290" s="277">
        <f t="shared" si="47"/>
        <v>274.99907822983999</v>
      </c>
      <c r="E290" s="20">
        <f t="shared" si="48"/>
        <v>11.3</v>
      </c>
      <c r="F290" s="20">
        <f t="shared" si="49"/>
        <v>1.0057724649999999</v>
      </c>
      <c r="G290" s="277">
        <f t="shared" si="50"/>
        <v>159.4994653733072</v>
      </c>
      <c r="H290" s="3">
        <f t="shared" si="55"/>
        <v>0.73898788310762653</v>
      </c>
      <c r="I290" s="277">
        <f t="shared" si="51"/>
        <v>18023.439587183715</v>
      </c>
      <c r="J290" s="359"/>
      <c r="K290" s="359" t="s">
        <v>385</v>
      </c>
      <c r="L290" s="359"/>
      <c r="M290" s="338"/>
      <c r="N290" s="89">
        <v>41054</v>
      </c>
      <c r="O290" s="359">
        <v>117</v>
      </c>
      <c r="P290" s="359" t="s">
        <v>46</v>
      </c>
      <c r="Q290" s="359"/>
      <c r="R290" s="359"/>
      <c r="S290" s="359">
        <v>800</v>
      </c>
      <c r="T290" s="359">
        <v>112</v>
      </c>
      <c r="U290" s="359">
        <v>400</v>
      </c>
      <c r="V290" s="359"/>
      <c r="W290" s="359"/>
      <c r="X290" s="359"/>
      <c r="Y290" s="359">
        <v>47</v>
      </c>
      <c r="Z290" s="359"/>
      <c r="AA290" s="210"/>
      <c r="AB290" s="248">
        <v>0.2082</v>
      </c>
      <c r="AC290" s="359">
        <v>0.50839999999999996</v>
      </c>
      <c r="AD290" s="359">
        <v>0.28339999999999999</v>
      </c>
      <c r="AE290" s="359" t="s">
        <v>47</v>
      </c>
      <c r="AF290" s="359">
        <v>5.8</v>
      </c>
      <c r="AG290" s="153"/>
      <c r="AH290" s="346">
        <v>274.99907822983999</v>
      </c>
      <c r="AI290" s="24"/>
      <c r="AJ290" s="24">
        <v>11.3</v>
      </c>
      <c r="AK290" s="24">
        <v>1.0057724649999999</v>
      </c>
      <c r="AL290" s="24">
        <f>103.68/140.3</f>
        <v>0.73898788310762653</v>
      </c>
      <c r="AM290" s="359" t="s">
        <v>156</v>
      </c>
      <c r="AN290" s="24">
        <f t="shared" si="52"/>
        <v>159.4994653733072</v>
      </c>
      <c r="AO290" s="54">
        <f t="shared" si="53"/>
        <v>18023.439587183715</v>
      </c>
      <c r="AP290" s="261">
        <f t="shared" si="54"/>
        <v>3.1071428571428568</v>
      </c>
      <c r="AQ290" s="338"/>
      <c r="AR290" s="45"/>
      <c r="AS290" s="359"/>
      <c r="AT290" s="359"/>
    </row>
    <row r="291" spans="1:46" ht="12">
      <c r="A291" s="359" t="s">
        <v>420</v>
      </c>
      <c r="B291" s="359" t="str">
        <f t="shared" si="45"/>
        <v>MgO</v>
      </c>
      <c r="C291" s="141">
        <f t="shared" si="46"/>
        <v>0</v>
      </c>
      <c r="D291" s="277">
        <f t="shared" si="47"/>
        <v>254.421725057797</v>
      </c>
      <c r="E291" s="20">
        <f t="shared" si="48"/>
        <v>0</v>
      </c>
      <c r="F291" s="20">
        <f t="shared" si="49"/>
        <v>0</v>
      </c>
      <c r="G291" s="277">
        <f t="shared" si="50"/>
        <v>0</v>
      </c>
      <c r="H291" s="3">
        <f t="shared" si="55"/>
        <v>0</v>
      </c>
      <c r="I291" s="277">
        <f t="shared" si="51"/>
        <v>0</v>
      </c>
      <c r="J291" s="359"/>
      <c r="K291" s="359" t="s">
        <v>385</v>
      </c>
      <c r="L291" s="359"/>
      <c r="M291" s="338"/>
      <c r="N291" s="89">
        <v>41054</v>
      </c>
      <c r="O291" s="359">
        <v>117</v>
      </c>
      <c r="P291" s="359" t="s">
        <v>46</v>
      </c>
      <c r="Q291" s="359"/>
      <c r="R291" s="359"/>
      <c r="S291" s="359">
        <v>800</v>
      </c>
      <c r="T291" s="359">
        <v>112</v>
      </c>
      <c r="U291" s="359">
        <v>400</v>
      </c>
      <c r="V291" s="359"/>
      <c r="W291" s="359"/>
      <c r="X291" s="359"/>
      <c r="Y291" s="359">
        <v>47</v>
      </c>
      <c r="Z291" s="359"/>
      <c r="AA291" s="210"/>
      <c r="AB291" s="248"/>
      <c r="AC291" s="359"/>
      <c r="AD291" s="359"/>
      <c r="AE291" s="359"/>
      <c r="AF291" s="359"/>
      <c r="AG291" s="153"/>
      <c r="AH291" s="346">
        <v>254.421725057797</v>
      </c>
      <c r="AI291" s="24"/>
      <c r="AJ291" s="24"/>
      <c r="AK291" s="24"/>
      <c r="AL291" s="24"/>
      <c r="AM291" s="359"/>
      <c r="AN291" s="24">
        <f t="shared" si="52"/>
        <v>0</v>
      </c>
      <c r="AO291" s="54">
        <f t="shared" si="53"/>
        <v>0</v>
      </c>
      <c r="AP291" s="261">
        <f t="shared" si="54"/>
        <v>0</v>
      </c>
      <c r="AQ291" s="338"/>
      <c r="AR291" s="45"/>
      <c r="AS291" s="359"/>
      <c r="AT291" s="359"/>
    </row>
    <row r="292" spans="1:46" ht="12">
      <c r="A292" s="359" t="s">
        <v>421</v>
      </c>
      <c r="B292" s="359" t="str">
        <f t="shared" si="45"/>
        <v>MgO</v>
      </c>
      <c r="C292" s="141">
        <f t="shared" si="46"/>
        <v>0</v>
      </c>
      <c r="D292" s="277">
        <f t="shared" si="47"/>
        <v>270.47919718627003</v>
      </c>
      <c r="E292" s="20">
        <f t="shared" si="48"/>
        <v>0</v>
      </c>
      <c r="F292" s="20">
        <f t="shared" si="49"/>
        <v>0</v>
      </c>
      <c r="G292" s="277">
        <f t="shared" si="50"/>
        <v>0</v>
      </c>
      <c r="H292" s="3">
        <f t="shared" si="55"/>
        <v>0</v>
      </c>
      <c r="I292" s="277">
        <f t="shared" si="51"/>
        <v>0</v>
      </c>
      <c r="J292" s="359"/>
      <c r="K292" s="359" t="s">
        <v>385</v>
      </c>
      <c r="L292" s="359"/>
      <c r="M292" s="338"/>
      <c r="N292" s="89">
        <v>41054</v>
      </c>
      <c r="O292" s="359">
        <v>117</v>
      </c>
      <c r="P292" s="359" t="s">
        <v>46</v>
      </c>
      <c r="Q292" s="359"/>
      <c r="R292" s="359"/>
      <c r="S292" s="359">
        <v>800</v>
      </c>
      <c r="T292" s="359">
        <v>112</v>
      </c>
      <c r="U292" s="359">
        <v>400</v>
      </c>
      <c r="V292" s="359"/>
      <c r="W292" s="359"/>
      <c r="X292" s="359"/>
      <c r="Y292" s="359">
        <v>47</v>
      </c>
      <c r="Z292" s="359"/>
      <c r="AA292" s="210"/>
      <c r="AB292" s="248"/>
      <c r="AC292" s="359"/>
      <c r="AD292" s="359"/>
      <c r="AE292" s="359"/>
      <c r="AF292" s="359"/>
      <c r="AG292" s="153"/>
      <c r="AH292" s="346">
        <v>270.47919718627003</v>
      </c>
      <c r="AI292" s="24"/>
      <c r="AJ292" s="24"/>
      <c r="AK292" s="24"/>
      <c r="AL292" s="24"/>
      <c r="AM292" s="359"/>
      <c r="AN292" s="24">
        <f t="shared" si="52"/>
        <v>0</v>
      </c>
      <c r="AO292" s="54">
        <f t="shared" si="53"/>
        <v>0</v>
      </c>
      <c r="AP292" s="261">
        <f t="shared" si="54"/>
        <v>0</v>
      </c>
      <c r="AQ292" s="338"/>
      <c r="AR292" s="45"/>
      <c r="AS292" s="359"/>
      <c r="AT292" s="359"/>
    </row>
    <row r="293" spans="1:46" ht="12">
      <c r="A293" s="359" t="s">
        <v>422</v>
      </c>
      <c r="B293" s="359" t="str">
        <f t="shared" si="45"/>
        <v>MgO</v>
      </c>
      <c r="C293" s="141">
        <f t="shared" si="46"/>
        <v>9.8000000000000007</v>
      </c>
      <c r="D293" s="277">
        <f t="shared" si="47"/>
        <v>0</v>
      </c>
      <c r="E293" s="20">
        <f t="shared" si="48"/>
        <v>0</v>
      </c>
      <c r="F293" s="20">
        <f t="shared" si="49"/>
        <v>0</v>
      </c>
      <c r="G293" s="277">
        <f t="shared" si="50"/>
        <v>0</v>
      </c>
      <c r="H293" s="3">
        <f t="shared" si="55"/>
        <v>0</v>
      </c>
      <c r="I293" s="277">
        <f t="shared" si="51"/>
        <v>0</v>
      </c>
      <c r="J293" s="359"/>
      <c r="K293" s="359" t="s">
        <v>385</v>
      </c>
      <c r="L293" s="359"/>
      <c r="M293" s="338"/>
      <c r="N293" s="89">
        <v>41057</v>
      </c>
      <c r="O293" s="359">
        <v>118</v>
      </c>
      <c r="P293" s="359" t="s">
        <v>46</v>
      </c>
      <c r="Q293" s="359"/>
      <c r="R293" s="359"/>
      <c r="S293" s="359">
        <v>800</v>
      </c>
      <c r="T293" s="359">
        <v>68</v>
      </c>
      <c r="U293" s="359">
        <v>400</v>
      </c>
      <c r="V293" s="359"/>
      <c r="W293" s="359"/>
      <c r="X293" s="359"/>
      <c r="Y293" s="359">
        <v>47</v>
      </c>
      <c r="Z293" s="359"/>
      <c r="AA293" s="210"/>
      <c r="AB293" s="248">
        <v>0.2802</v>
      </c>
      <c r="AC293" s="359">
        <v>0.37540000000000001</v>
      </c>
      <c r="AD293" s="359">
        <v>0.34439999999999998</v>
      </c>
      <c r="AE293" s="359" t="s">
        <v>47</v>
      </c>
      <c r="AF293" s="359">
        <v>9.8000000000000007</v>
      </c>
      <c r="AG293" s="153"/>
      <c r="AH293" s="346"/>
      <c r="AI293" s="24"/>
      <c r="AJ293" s="24"/>
      <c r="AK293" s="24"/>
      <c r="AL293" s="24"/>
      <c r="AM293" s="359"/>
      <c r="AN293" s="24">
        <f t="shared" si="52"/>
        <v>0</v>
      </c>
      <c r="AO293" s="54">
        <f t="shared" si="53"/>
        <v>0</v>
      </c>
      <c r="AP293" s="261">
        <f t="shared" si="54"/>
        <v>8.647058823529413</v>
      </c>
      <c r="AQ293" s="338"/>
      <c r="AR293" s="45"/>
      <c r="AS293" s="359"/>
      <c r="AT293" s="359"/>
    </row>
    <row r="294" spans="1:46" ht="12">
      <c r="A294" s="359" t="s">
        <v>423</v>
      </c>
      <c r="B294" s="359" t="str">
        <f t="shared" si="45"/>
        <v>MgO</v>
      </c>
      <c r="C294" s="141">
        <f t="shared" si="46"/>
        <v>0</v>
      </c>
      <c r="D294" s="277">
        <f t="shared" si="47"/>
        <v>0</v>
      </c>
      <c r="E294" s="20">
        <f t="shared" si="48"/>
        <v>0</v>
      </c>
      <c r="F294" s="20">
        <f t="shared" si="49"/>
        <v>0</v>
      </c>
      <c r="G294" s="277">
        <f t="shared" si="50"/>
        <v>0</v>
      </c>
      <c r="H294" s="3">
        <f t="shared" si="55"/>
        <v>0</v>
      </c>
      <c r="I294" s="277">
        <f t="shared" si="51"/>
        <v>0</v>
      </c>
      <c r="J294" s="359"/>
      <c r="K294" s="359" t="s">
        <v>385</v>
      </c>
      <c r="L294" s="359"/>
      <c r="M294" s="338"/>
      <c r="N294" s="89">
        <v>41057</v>
      </c>
      <c r="O294" s="359">
        <v>118</v>
      </c>
      <c r="P294" s="359" t="s">
        <v>46</v>
      </c>
      <c r="Q294" s="359"/>
      <c r="R294" s="359"/>
      <c r="S294" s="359">
        <v>800</v>
      </c>
      <c r="T294" s="359">
        <v>68</v>
      </c>
      <c r="U294" s="359">
        <v>400</v>
      </c>
      <c r="V294" s="359"/>
      <c r="W294" s="359"/>
      <c r="X294" s="359"/>
      <c r="Y294" s="359">
        <v>47</v>
      </c>
      <c r="Z294" s="359"/>
      <c r="AA294" s="210"/>
      <c r="AB294" s="248"/>
      <c r="AC294" s="359"/>
      <c r="AD294" s="359"/>
      <c r="AE294" s="359"/>
      <c r="AF294" s="359"/>
      <c r="AG294" s="153"/>
      <c r="AH294" s="346"/>
      <c r="AI294" s="24"/>
      <c r="AJ294" s="24"/>
      <c r="AK294" s="24"/>
      <c r="AL294" s="24"/>
      <c r="AM294" s="359"/>
      <c r="AN294" s="24">
        <f t="shared" si="52"/>
        <v>0</v>
      </c>
      <c r="AO294" s="54">
        <f t="shared" si="53"/>
        <v>0</v>
      </c>
      <c r="AP294" s="261">
        <f t="shared" si="54"/>
        <v>0</v>
      </c>
      <c r="AQ294" s="338"/>
      <c r="AR294" s="45"/>
      <c r="AS294" s="359"/>
      <c r="AT294" s="359"/>
    </row>
    <row r="295" spans="1:46" ht="12">
      <c r="A295" s="359" t="s">
        <v>424</v>
      </c>
      <c r="B295" s="359" t="str">
        <f t="shared" si="45"/>
        <v>MgO</v>
      </c>
      <c r="C295" s="141">
        <f t="shared" si="46"/>
        <v>0</v>
      </c>
      <c r="D295" s="277">
        <f t="shared" si="47"/>
        <v>0</v>
      </c>
      <c r="E295" s="20">
        <f t="shared" si="48"/>
        <v>0</v>
      </c>
      <c r="F295" s="20">
        <f t="shared" si="49"/>
        <v>0</v>
      </c>
      <c r="G295" s="277">
        <f t="shared" si="50"/>
        <v>0</v>
      </c>
      <c r="H295" s="3">
        <f t="shared" si="55"/>
        <v>0</v>
      </c>
      <c r="I295" s="277">
        <f t="shared" si="51"/>
        <v>0</v>
      </c>
      <c r="J295" s="359"/>
      <c r="K295" s="359" t="s">
        <v>385</v>
      </c>
      <c r="L295" s="359"/>
      <c r="M295" s="338"/>
      <c r="N295" s="89">
        <v>41057</v>
      </c>
      <c r="O295" s="359">
        <v>118</v>
      </c>
      <c r="P295" s="359" t="s">
        <v>46</v>
      </c>
      <c r="Q295" s="359"/>
      <c r="R295" s="359"/>
      <c r="S295" s="359">
        <v>800</v>
      </c>
      <c r="T295" s="359">
        <v>68</v>
      </c>
      <c r="U295" s="359">
        <v>400</v>
      </c>
      <c r="V295" s="359"/>
      <c r="W295" s="359"/>
      <c r="X295" s="359"/>
      <c r="Y295" s="359">
        <v>47</v>
      </c>
      <c r="Z295" s="359"/>
      <c r="AA295" s="210"/>
      <c r="AB295" s="248"/>
      <c r="AC295" s="359"/>
      <c r="AD295" s="359"/>
      <c r="AE295" s="359"/>
      <c r="AF295" s="359"/>
      <c r="AG295" s="153"/>
      <c r="AH295" s="346"/>
      <c r="AI295" s="24"/>
      <c r="AJ295" s="24"/>
      <c r="AK295" s="24"/>
      <c r="AL295" s="24"/>
      <c r="AM295" s="359"/>
      <c r="AN295" s="24">
        <f t="shared" si="52"/>
        <v>0</v>
      </c>
      <c r="AO295" s="54">
        <f t="shared" si="53"/>
        <v>0</v>
      </c>
      <c r="AP295" s="261">
        <f t="shared" si="54"/>
        <v>0</v>
      </c>
      <c r="AQ295" s="338"/>
      <c r="AR295" s="45"/>
      <c r="AS295" s="359"/>
      <c r="AT295" s="359"/>
    </row>
    <row r="296" spans="1:46" ht="12">
      <c r="A296" s="359" t="s">
        <v>425</v>
      </c>
      <c r="B296" s="359" t="str">
        <f t="shared" si="45"/>
        <v>MgO</v>
      </c>
      <c r="C296" s="141">
        <f t="shared" si="46"/>
        <v>0</v>
      </c>
      <c r="D296" s="277">
        <f t="shared" si="47"/>
        <v>0</v>
      </c>
      <c r="E296" s="20">
        <f t="shared" si="48"/>
        <v>0</v>
      </c>
      <c r="F296" s="20">
        <f t="shared" si="49"/>
        <v>0</v>
      </c>
      <c r="G296" s="277">
        <f t="shared" si="50"/>
        <v>0</v>
      </c>
      <c r="H296" s="3">
        <f t="shared" si="55"/>
        <v>0</v>
      </c>
      <c r="I296" s="277">
        <f t="shared" si="51"/>
        <v>0</v>
      </c>
      <c r="J296" s="359"/>
      <c r="K296" s="359" t="s">
        <v>385</v>
      </c>
      <c r="L296" s="359"/>
      <c r="M296" s="338"/>
      <c r="N296" s="89">
        <v>41057</v>
      </c>
      <c r="O296" s="359">
        <v>118</v>
      </c>
      <c r="P296" s="359" t="s">
        <v>46</v>
      </c>
      <c r="Q296" s="359"/>
      <c r="R296" s="359"/>
      <c r="S296" s="359">
        <v>800</v>
      </c>
      <c r="T296" s="359">
        <v>68</v>
      </c>
      <c r="U296" s="359">
        <v>400</v>
      </c>
      <c r="V296" s="359"/>
      <c r="W296" s="359"/>
      <c r="X296" s="359"/>
      <c r="Y296" s="359">
        <v>47</v>
      </c>
      <c r="Z296" s="359"/>
      <c r="AA296" s="210"/>
      <c r="AB296" s="248"/>
      <c r="AC296" s="359"/>
      <c r="AD296" s="359"/>
      <c r="AE296" s="359"/>
      <c r="AF296" s="359"/>
      <c r="AG296" s="153"/>
      <c r="AH296" s="346"/>
      <c r="AI296" s="24"/>
      <c r="AJ296" s="24"/>
      <c r="AK296" s="24"/>
      <c r="AL296" s="24"/>
      <c r="AM296" s="359"/>
      <c r="AN296" s="24">
        <f t="shared" si="52"/>
        <v>0</v>
      </c>
      <c r="AO296" s="54">
        <f t="shared" si="53"/>
        <v>0</v>
      </c>
      <c r="AP296" s="261">
        <f t="shared" si="54"/>
        <v>0</v>
      </c>
      <c r="AQ296" s="338"/>
      <c r="AR296" s="45"/>
      <c r="AS296" s="359"/>
      <c r="AT296" s="359"/>
    </row>
    <row r="297" spans="1:46" ht="24">
      <c r="A297" s="359" t="s">
        <v>426</v>
      </c>
      <c r="B297" s="359" t="str">
        <f t="shared" si="45"/>
        <v>MgO</v>
      </c>
      <c r="C297" s="141">
        <f t="shared" si="46"/>
        <v>5.0999999999999996</v>
      </c>
      <c r="D297" s="277">
        <f t="shared" si="47"/>
        <v>627.19296691433601</v>
      </c>
      <c r="E297" s="20" t="str">
        <f t="shared" si="48"/>
        <v>&lt; 4.2</v>
      </c>
      <c r="F297" s="20">
        <f t="shared" si="49"/>
        <v>0</v>
      </c>
      <c r="G297" s="277">
        <f t="shared" si="50"/>
        <v>319.86841312631134</v>
      </c>
      <c r="H297" s="3" t="str">
        <f t="shared" si="55"/>
        <v>-</v>
      </c>
      <c r="I297" s="277" t="e">
        <f t="shared" si="51"/>
        <v>#VALUE!</v>
      </c>
      <c r="J297" s="359"/>
      <c r="K297" s="359" t="s">
        <v>385</v>
      </c>
      <c r="L297" s="359"/>
      <c r="M297" s="338"/>
      <c r="N297" s="89">
        <v>41058</v>
      </c>
      <c r="O297" s="359">
        <v>119</v>
      </c>
      <c r="P297" s="359" t="s">
        <v>46</v>
      </c>
      <c r="Q297" s="359"/>
      <c r="R297" s="359"/>
      <c r="S297" s="359">
        <v>800</v>
      </c>
      <c r="T297" s="359">
        <v>48</v>
      </c>
      <c r="U297" s="359">
        <v>400</v>
      </c>
      <c r="V297" s="359"/>
      <c r="W297" s="359"/>
      <c r="X297" s="359"/>
      <c r="Y297" s="359">
        <v>47</v>
      </c>
      <c r="Z297" s="359"/>
      <c r="AA297" s="210"/>
      <c r="AB297" s="248">
        <v>0.19719999999999999</v>
      </c>
      <c r="AC297" s="359">
        <v>0.53779999999999994</v>
      </c>
      <c r="AD297" s="359">
        <v>0.26490000000000002</v>
      </c>
      <c r="AE297" s="359" t="s">
        <v>47</v>
      </c>
      <c r="AF297" s="359">
        <v>5.0999999999999996</v>
      </c>
      <c r="AG297" s="153"/>
      <c r="AH297" s="346">
        <v>627.19296691433601</v>
      </c>
      <c r="AI297" s="24"/>
      <c r="AJ297" s="24" t="s">
        <v>427</v>
      </c>
      <c r="AK297" s="24"/>
      <c r="AL297" s="24" t="s">
        <v>428</v>
      </c>
      <c r="AM297" s="359" t="s">
        <v>156</v>
      </c>
      <c r="AN297" s="24">
        <f t="shared" si="52"/>
        <v>319.86841312631134</v>
      </c>
      <c r="AO297" s="54" t="e">
        <f t="shared" si="53"/>
        <v>#VALUE!</v>
      </c>
      <c r="AP297" s="261">
        <f t="shared" si="54"/>
        <v>6.375</v>
      </c>
      <c r="AQ297" s="338"/>
      <c r="AR297" s="45"/>
      <c r="AS297" s="359"/>
      <c r="AT297" s="359"/>
    </row>
    <row r="298" spans="1:46" ht="12">
      <c r="A298" s="359" t="s">
        <v>429</v>
      </c>
      <c r="B298" s="359" t="str">
        <f t="shared" si="45"/>
        <v>MgO</v>
      </c>
      <c r="C298" s="141">
        <f t="shared" si="46"/>
        <v>6.8</v>
      </c>
      <c r="D298" s="277">
        <f t="shared" si="47"/>
        <v>531.44285533344396</v>
      </c>
      <c r="E298" s="20">
        <f t="shared" si="48"/>
        <v>0</v>
      </c>
      <c r="F298" s="20">
        <f t="shared" si="49"/>
        <v>0</v>
      </c>
      <c r="G298" s="277">
        <f t="shared" si="50"/>
        <v>361.38114162674185</v>
      </c>
      <c r="H298" s="3">
        <f t="shared" si="55"/>
        <v>0</v>
      </c>
      <c r="I298" s="277">
        <f t="shared" si="51"/>
        <v>0</v>
      </c>
      <c r="J298" s="359"/>
      <c r="K298" s="359" t="s">
        <v>385</v>
      </c>
      <c r="L298" s="359"/>
      <c r="M298" s="338"/>
      <c r="N298" s="89">
        <v>41058</v>
      </c>
      <c r="O298" s="359">
        <v>119</v>
      </c>
      <c r="P298" s="359" t="s">
        <v>46</v>
      </c>
      <c r="Q298" s="359"/>
      <c r="R298" s="359"/>
      <c r="S298" s="359">
        <v>800</v>
      </c>
      <c r="T298" s="359">
        <v>48</v>
      </c>
      <c r="U298" s="359">
        <v>400</v>
      </c>
      <c r="V298" s="359"/>
      <c r="W298" s="359"/>
      <c r="X298" s="359"/>
      <c r="Y298" s="359">
        <v>47</v>
      </c>
      <c r="Z298" s="359"/>
      <c r="AA298" s="210"/>
      <c r="AB298" s="248">
        <v>0.2311</v>
      </c>
      <c r="AC298" s="359">
        <v>0.47070000000000001</v>
      </c>
      <c r="AD298" s="359">
        <v>0.29820000000000002</v>
      </c>
      <c r="AE298" s="359" t="s">
        <v>47</v>
      </c>
      <c r="AF298" s="359">
        <v>6.8</v>
      </c>
      <c r="AG298" s="153"/>
      <c r="AH298" s="346">
        <v>531.44285533344396</v>
      </c>
      <c r="AI298" s="24"/>
      <c r="AJ298" s="24"/>
      <c r="AK298" s="24"/>
      <c r="AL298" s="24"/>
      <c r="AM298" s="359"/>
      <c r="AN298" s="24">
        <f t="shared" si="52"/>
        <v>361.38114162674185</v>
      </c>
      <c r="AO298" s="54">
        <f t="shared" si="53"/>
        <v>0</v>
      </c>
      <c r="AP298" s="261">
        <f t="shared" si="54"/>
        <v>8.5</v>
      </c>
      <c r="AQ298" s="338"/>
      <c r="AR298" s="45"/>
      <c r="AS298" s="359"/>
      <c r="AT298" s="359"/>
    </row>
    <row r="299" spans="1:46" ht="24">
      <c r="A299" s="359" t="s">
        <v>430</v>
      </c>
      <c r="B299" s="359" t="str">
        <f t="shared" si="45"/>
        <v>MgO</v>
      </c>
      <c r="C299" s="141">
        <f t="shared" si="46"/>
        <v>6.6</v>
      </c>
      <c r="D299" s="277">
        <f t="shared" si="47"/>
        <v>522.40309324630505</v>
      </c>
      <c r="E299" s="20" t="str">
        <f t="shared" si="48"/>
        <v>&lt; 4.2</v>
      </c>
      <c r="F299" s="20">
        <f t="shared" si="49"/>
        <v>0</v>
      </c>
      <c r="G299" s="277">
        <f t="shared" si="50"/>
        <v>344.78604154256129</v>
      </c>
      <c r="H299" s="3" t="str">
        <f t="shared" si="55"/>
        <v>-</v>
      </c>
      <c r="I299" s="277" t="e">
        <f t="shared" si="51"/>
        <v>#VALUE!</v>
      </c>
      <c r="J299" s="359"/>
      <c r="K299" s="359" t="s">
        <v>385</v>
      </c>
      <c r="L299" s="359"/>
      <c r="M299" s="338"/>
      <c r="N299" s="89">
        <v>41058</v>
      </c>
      <c r="O299" s="359">
        <v>119</v>
      </c>
      <c r="P299" s="359" t="s">
        <v>46</v>
      </c>
      <c r="Q299" s="359"/>
      <c r="R299" s="359"/>
      <c r="S299" s="359">
        <v>800</v>
      </c>
      <c r="T299" s="359">
        <v>48</v>
      </c>
      <c r="U299" s="359">
        <v>400</v>
      </c>
      <c r="V299" s="359"/>
      <c r="W299" s="359"/>
      <c r="X299" s="359"/>
      <c r="Y299" s="359">
        <v>47</v>
      </c>
      <c r="Z299" s="359"/>
      <c r="AA299" s="210"/>
      <c r="AB299" s="248">
        <v>0.22439999999999999</v>
      </c>
      <c r="AC299" s="359">
        <v>0.4783</v>
      </c>
      <c r="AD299" s="359">
        <v>0.29720000000000002</v>
      </c>
      <c r="AE299" s="359" t="s">
        <v>47</v>
      </c>
      <c r="AF299" s="359">
        <v>6.6</v>
      </c>
      <c r="AG299" s="153"/>
      <c r="AH299" s="346">
        <v>522.40309324630505</v>
      </c>
      <c r="AI299" s="24"/>
      <c r="AJ299" s="24" t="s">
        <v>427</v>
      </c>
      <c r="AK299" s="24"/>
      <c r="AL299" s="24" t="s">
        <v>428</v>
      </c>
      <c r="AM299" s="359" t="s">
        <v>156</v>
      </c>
      <c r="AN299" s="24">
        <f t="shared" si="52"/>
        <v>344.78604154256129</v>
      </c>
      <c r="AO299" s="54" t="e">
        <f t="shared" si="53"/>
        <v>#VALUE!</v>
      </c>
      <c r="AP299" s="261">
        <f t="shared" si="54"/>
        <v>8.2499999999999982</v>
      </c>
      <c r="AQ299" s="338"/>
      <c r="AR299" s="45"/>
      <c r="AS299" s="359"/>
      <c r="AT299" s="359"/>
    </row>
    <row r="300" spans="1:46" ht="12">
      <c r="A300" s="359" t="s">
        <v>431</v>
      </c>
      <c r="B300" s="359" t="str">
        <f t="shared" si="45"/>
        <v>MgO</v>
      </c>
      <c r="C300" s="141">
        <f t="shared" si="46"/>
        <v>6.7</v>
      </c>
      <c r="D300" s="277">
        <f t="shared" si="47"/>
        <v>527.041918527863</v>
      </c>
      <c r="E300" s="20">
        <f t="shared" si="48"/>
        <v>0</v>
      </c>
      <c r="F300" s="20">
        <f t="shared" si="49"/>
        <v>0</v>
      </c>
      <c r="G300" s="277">
        <f t="shared" si="50"/>
        <v>353.11808541366821</v>
      </c>
      <c r="H300" s="3">
        <f t="shared" si="55"/>
        <v>0</v>
      </c>
      <c r="I300" s="277">
        <f t="shared" si="51"/>
        <v>0</v>
      </c>
      <c r="J300" s="359"/>
      <c r="K300" s="359" t="s">
        <v>385</v>
      </c>
      <c r="L300" s="359"/>
      <c r="M300" s="338"/>
      <c r="N300" s="89">
        <v>41058</v>
      </c>
      <c r="O300" s="359">
        <v>119</v>
      </c>
      <c r="P300" s="359" t="s">
        <v>46</v>
      </c>
      <c r="Q300" s="359"/>
      <c r="R300" s="359"/>
      <c r="S300" s="359">
        <v>800</v>
      </c>
      <c r="T300" s="359">
        <v>48</v>
      </c>
      <c r="U300" s="359">
        <v>400</v>
      </c>
      <c r="V300" s="359"/>
      <c r="W300" s="359"/>
      <c r="X300" s="359"/>
      <c r="Y300" s="359">
        <v>47</v>
      </c>
      <c r="Z300" s="359"/>
      <c r="AA300" s="210"/>
      <c r="AB300" s="248">
        <v>0.22750000000000001</v>
      </c>
      <c r="AC300" s="359">
        <v>0.47239999999999999</v>
      </c>
      <c r="AD300" s="359">
        <v>0.30009999999999998</v>
      </c>
      <c r="AE300" s="359" t="s">
        <v>47</v>
      </c>
      <c r="AF300" s="359">
        <v>6.7</v>
      </c>
      <c r="AG300" s="153"/>
      <c r="AH300" s="346">
        <v>527.041918527863</v>
      </c>
      <c r="AI300" s="24"/>
      <c r="AJ300" s="24"/>
      <c r="AK300" s="24"/>
      <c r="AL300" s="24"/>
      <c r="AM300" s="359"/>
      <c r="AN300" s="24">
        <f t="shared" si="52"/>
        <v>353.11808541366821</v>
      </c>
      <c r="AO300" s="54">
        <f t="shared" si="53"/>
        <v>0</v>
      </c>
      <c r="AP300" s="261">
        <f t="shared" si="54"/>
        <v>8.375</v>
      </c>
      <c r="AQ300" s="338"/>
      <c r="AR300" s="45"/>
      <c r="AS300" s="359"/>
      <c r="AT300" s="359"/>
    </row>
    <row r="301" spans="1:46" ht="12">
      <c r="A301" s="359" t="s">
        <v>432</v>
      </c>
      <c r="B301" s="359" t="str">
        <f t="shared" si="45"/>
        <v>MgO</v>
      </c>
      <c r="C301" s="141">
        <f t="shared" si="46"/>
        <v>0</v>
      </c>
      <c r="D301" s="277">
        <f t="shared" si="47"/>
        <v>324.47988123313303</v>
      </c>
      <c r="E301" s="20">
        <f t="shared" si="48"/>
        <v>0</v>
      </c>
      <c r="F301" s="20">
        <f t="shared" si="49"/>
        <v>0</v>
      </c>
      <c r="G301" s="277">
        <f t="shared" si="50"/>
        <v>0</v>
      </c>
      <c r="H301" s="3">
        <f t="shared" si="55"/>
        <v>0</v>
      </c>
      <c r="I301" s="277">
        <f t="shared" si="51"/>
        <v>0</v>
      </c>
      <c r="J301" s="359"/>
      <c r="K301" s="359" t="s">
        <v>186</v>
      </c>
      <c r="L301" s="359"/>
      <c r="M301" s="338" t="s">
        <v>141</v>
      </c>
      <c r="N301" s="89">
        <v>41059</v>
      </c>
      <c r="O301" s="359">
        <v>120</v>
      </c>
      <c r="P301" s="359" t="s">
        <v>46</v>
      </c>
      <c r="Q301" s="359"/>
      <c r="R301" s="359"/>
      <c r="S301" s="359">
        <v>800</v>
      </c>
      <c r="T301" s="359">
        <v>60</v>
      </c>
      <c r="U301" s="359">
        <v>400</v>
      </c>
      <c r="V301" s="359"/>
      <c r="W301" s="359"/>
      <c r="X301" s="359"/>
      <c r="Y301" s="359">
        <v>47</v>
      </c>
      <c r="Z301" s="359"/>
      <c r="AA301" s="210"/>
      <c r="AB301" s="248"/>
      <c r="AC301" s="359"/>
      <c r="AD301" s="359"/>
      <c r="AE301" s="359"/>
      <c r="AF301" s="359"/>
      <c r="AG301" s="153"/>
      <c r="AH301" s="346">
        <v>324.47988123313303</v>
      </c>
      <c r="AI301" s="24"/>
      <c r="AJ301" s="24"/>
      <c r="AK301" s="24"/>
      <c r="AL301" s="24"/>
      <c r="AM301" s="359"/>
      <c r="AN301" s="24">
        <f t="shared" si="52"/>
        <v>0</v>
      </c>
      <c r="AO301" s="54">
        <f t="shared" si="53"/>
        <v>0</v>
      </c>
      <c r="AP301" s="261">
        <f t="shared" si="54"/>
        <v>0</v>
      </c>
      <c r="AQ301" s="338"/>
      <c r="AR301" s="45"/>
      <c r="AS301" s="359"/>
      <c r="AT301" s="359"/>
    </row>
    <row r="302" spans="1:46" ht="12">
      <c r="A302" s="359" t="s">
        <v>433</v>
      </c>
      <c r="B302" s="359" t="str">
        <f t="shared" si="45"/>
        <v>MgO</v>
      </c>
      <c r="C302" s="141">
        <f t="shared" si="46"/>
        <v>0</v>
      </c>
      <c r="D302" s="277">
        <f t="shared" si="47"/>
        <v>291.29443883429002</v>
      </c>
      <c r="E302" s="20">
        <f t="shared" si="48"/>
        <v>13.29</v>
      </c>
      <c r="F302" s="20">
        <f t="shared" si="49"/>
        <v>0.88955954999999998</v>
      </c>
      <c r="G302" s="277">
        <f t="shared" si="50"/>
        <v>0</v>
      </c>
      <c r="H302" s="3">
        <f t="shared" si="55"/>
        <v>0.95</v>
      </c>
      <c r="I302" s="277">
        <f t="shared" si="51"/>
        <v>0</v>
      </c>
      <c r="J302" s="359" t="s">
        <v>226</v>
      </c>
      <c r="K302" s="359" t="s">
        <v>186</v>
      </c>
      <c r="L302" s="359"/>
      <c r="M302" s="338" t="s">
        <v>141</v>
      </c>
      <c r="N302" s="89">
        <v>41059</v>
      </c>
      <c r="O302" s="359">
        <v>120</v>
      </c>
      <c r="P302" s="359" t="s">
        <v>46</v>
      </c>
      <c r="Q302" s="359"/>
      <c r="R302" s="359"/>
      <c r="S302" s="359">
        <v>800</v>
      </c>
      <c r="T302" s="359">
        <v>60</v>
      </c>
      <c r="U302" s="359">
        <v>400</v>
      </c>
      <c r="V302" s="359"/>
      <c r="W302" s="359"/>
      <c r="X302" s="359"/>
      <c r="Y302" s="359">
        <v>47</v>
      </c>
      <c r="Z302" s="359"/>
      <c r="AA302" s="210"/>
      <c r="AB302" s="248"/>
      <c r="AC302" s="359"/>
      <c r="AD302" s="359"/>
      <c r="AE302" s="359"/>
      <c r="AF302" s="359"/>
      <c r="AG302" s="153"/>
      <c r="AH302" s="346">
        <v>291.29443883429002</v>
      </c>
      <c r="AI302" s="24"/>
      <c r="AJ302" s="24">
        <v>13.29</v>
      </c>
      <c r="AK302" s="24">
        <v>0.88955954999999998</v>
      </c>
      <c r="AL302" s="24">
        <v>0.95</v>
      </c>
      <c r="AM302" s="359" t="s">
        <v>156</v>
      </c>
      <c r="AN302" s="24">
        <f t="shared" si="52"/>
        <v>0</v>
      </c>
      <c r="AO302" s="54">
        <f t="shared" si="53"/>
        <v>0</v>
      </c>
      <c r="AP302" s="261">
        <f t="shared" si="54"/>
        <v>0</v>
      </c>
      <c r="AQ302" s="338"/>
      <c r="AR302" s="45"/>
      <c r="AS302" s="359"/>
      <c r="AT302" s="359"/>
    </row>
    <row r="303" spans="1:46" ht="12">
      <c r="A303" s="359" t="s">
        <v>434</v>
      </c>
      <c r="B303" s="359" t="str">
        <f t="shared" si="45"/>
        <v>MgO</v>
      </c>
      <c r="C303" s="141">
        <f t="shared" si="46"/>
        <v>0</v>
      </c>
      <c r="D303" s="277">
        <f t="shared" si="47"/>
        <v>311.990736244321</v>
      </c>
      <c r="E303" s="20">
        <f t="shared" si="48"/>
        <v>0</v>
      </c>
      <c r="F303" s="20">
        <f t="shared" si="49"/>
        <v>0</v>
      </c>
      <c r="G303" s="277">
        <f t="shared" si="50"/>
        <v>0</v>
      </c>
      <c r="H303" s="3">
        <f t="shared" si="55"/>
        <v>0</v>
      </c>
      <c r="I303" s="277">
        <f t="shared" si="51"/>
        <v>0</v>
      </c>
      <c r="J303" s="359"/>
      <c r="K303" s="359" t="s">
        <v>186</v>
      </c>
      <c r="L303" s="359"/>
      <c r="M303" s="338" t="s">
        <v>141</v>
      </c>
      <c r="N303" s="89">
        <v>41059</v>
      </c>
      <c r="O303" s="359">
        <v>120</v>
      </c>
      <c r="P303" s="359" t="s">
        <v>46</v>
      </c>
      <c r="Q303" s="359"/>
      <c r="R303" s="359"/>
      <c r="S303" s="359">
        <v>800</v>
      </c>
      <c r="T303" s="359">
        <v>60</v>
      </c>
      <c r="U303" s="359">
        <v>400</v>
      </c>
      <c r="V303" s="359"/>
      <c r="W303" s="359"/>
      <c r="X303" s="359"/>
      <c r="Y303" s="359">
        <v>47</v>
      </c>
      <c r="Z303" s="359"/>
      <c r="AA303" s="210"/>
      <c r="AB303" s="248"/>
      <c r="AC303" s="359"/>
      <c r="AD303" s="359"/>
      <c r="AE303" s="359"/>
      <c r="AF303" s="359"/>
      <c r="AG303" s="153"/>
      <c r="AH303" s="346">
        <v>311.990736244321</v>
      </c>
      <c r="AI303" s="24"/>
      <c r="AJ303" s="24"/>
      <c r="AK303" s="24"/>
      <c r="AL303" s="24"/>
      <c r="AM303" s="359"/>
      <c r="AN303" s="24">
        <f t="shared" si="52"/>
        <v>0</v>
      </c>
      <c r="AO303" s="54">
        <f t="shared" si="53"/>
        <v>0</v>
      </c>
      <c r="AP303" s="261">
        <f t="shared" si="54"/>
        <v>0</v>
      </c>
      <c r="AQ303" s="338"/>
      <c r="AR303" s="45"/>
      <c r="AS303" s="359"/>
      <c r="AT303" s="359"/>
    </row>
    <row r="304" spans="1:46" ht="12">
      <c r="A304" s="359" t="s">
        <v>435</v>
      </c>
      <c r="B304" s="359" t="str">
        <f t="shared" si="45"/>
        <v>MgO</v>
      </c>
      <c r="C304" s="141">
        <f t="shared" si="46"/>
        <v>0</v>
      </c>
      <c r="D304" s="277">
        <f t="shared" si="47"/>
        <v>286.89350202870799</v>
      </c>
      <c r="E304" s="20">
        <f t="shared" si="48"/>
        <v>0</v>
      </c>
      <c r="F304" s="20">
        <f t="shared" si="49"/>
        <v>0</v>
      </c>
      <c r="G304" s="277">
        <f t="shared" si="50"/>
        <v>0</v>
      </c>
      <c r="H304" s="3">
        <f t="shared" si="55"/>
        <v>0</v>
      </c>
      <c r="I304" s="277">
        <f t="shared" si="51"/>
        <v>0</v>
      </c>
      <c r="J304" s="359"/>
      <c r="K304" s="359" t="s">
        <v>186</v>
      </c>
      <c r="L304" s="359"/>
      <c r="M304" s="338" t="s">
        <v>141</v>
      </c>
      <c r="N304" s="89">
        <v>41059</v>
      </c>
      <c r="O304" s="359">
        <v>120</v>
      </c>
      <c r="P304" s="359" t="s">
        <v>46</v>
      </c>
      <c r="Q304" s="359"/>
      <c r="R304" s="359"/>
      <c r="S304" s="359">
        <v>800</v>
      </c>
      <c r="T304" s="359">
        <v>60</v>
      </c>
      <c r="U304" s="359">
        <v>400</v>
      </c>
      <c r="V304" s="359"/>
      <c r="W304" s="359"/>
      <c r="X304" s="359"/>
      <c r="Y304" s="359">
        <v>47</v>
      </c>
      <c r="Z304" s="359"/>
      <c r="AA304" s="210"/>
      <c r="AB304" s="248"/>
      <c r="AC304" s="359"/>
      <c r="AD304" s="359"/>
      <c r="AE304" s="359"/>
      <c r="AF304" s="359"/>
      <c r="AG304" s="153"/>
      <c r="AH304" s="346">
        <v>286.89350202870799</v>
      </c>
      <c r="AI304" s="24"/>
      <c r="AJ304" s="24"/>
      <c r="AK304" s="24"/>
      <c r="AL304" s="24"/>
      <c r="AM304" s="359"/>
      <c r="AN304" s="24">
        <f t="shared" si="52"/>
        <v>0</v>
      </c>
      <c r="AO304" s="54">
        <f t="shared" si="53"/>
        <v>0</v>
      </c>
      <c r="AP304" s="261">
        <f t="shared" si="54"/>
        <v>0</v>
      </c>
      <c r="AQ304" s="338"/>
      <c r="AR304" s="45"/>
      <c r="AS304" s="359"/>
      <c r="AT304" s="359"/>
    </row>
    <row r="305" spans="1:46" ht="12">
      <c r="A305" s="359" t="s">
        <v>436</v>
      </c>
      <c r="B305" s="359" t="str">
        <f t="shared" si="45"/>
        <v>MgO</v>
      </c>
      <c r="C305" s="141">
        <f t="shared" si="46"/>
        <v>6.5</v>
      </c>
      <c r="D305" s="277">
        <f t="shared" si="47"/>
        <v>318.65161357168699</v>
      </c>
      <c r="E305" s="20">
        <f t="shared" si="48"/>
        <v>8.6999999999999993</v>
      </c>
      <c r="F305" s="20">
        <f t="shared" si="49"/>
        <v>1.105528348</v>
      </c>
      <c r="G305" s="277">
        <f t="shared" si="50"/>
        <v>207.12354882159653</v>
      </c>
      <c r="H305" s="3">
        <f t="shared" si="55"/>
        <v>0.50686225982090627</v>
      </c>
      <c r="I305" s="277">
        <f t="shared" si="51"/>
        <v>18019.748747478898</v>
      </c>
      <c r="J305" s="359"/>
      <c r="K305" s="359" t="s">
        <v>385</v>
      </c>
      <c r="L305" s="359"/>
      <c r="M305" s="338"/>
      <c r="N305" s="89">
        <v>41064</v>
      </c>
      <c r="O305" s="359">
        <v>121</v>
      </c>
      <c r="P305" s="359" t="s">
        <v>46</v>
      </c>
      <c r="Q305" s="359"/>
      <c r="R305" s="359"/>
      <c r="S305" s="359">
        <v>800</v>
      </c>
      <c r="T305" s="359">
        <v>128</v>
      </c>
      <c r="U305" s="359">
        <v>400</v>
      </c>
      <c r="V305" s="359"/>
      <c r="W305" s="359"/>
      <c r="X305" s="359"/>
      <c r="Y305" s="359">
        <v>47</v>
      </c>
      <c r="Z305" s="359"/>
      <c r="AA305" s="210"/>
      <c r="AB305" s="248">
        <v>0.23480000000000001</v>
      </c>
      <c r="AC305" s="359">
        <v>0.48080000000000001</v>
      </c>
      <c r="AD305" s="359">
        <v>0.28439999999999999</v>
      </c>
      <c r="AE305" s="359" t="s">
        <v>47</v>
      </c>
      <c r="AF305" s="359">
        <v>6.5</v>
      </c>
      <c r="AG305" s="153"/>
      <c r="AH305" s="346">
        <v>318.65161357168699</v>
      </c>
      <c r="AI305" s="24"/>
      <c r="AJ305" s="24">
        <v>8.6999999999999993</v>
      </c>
      <c r="AK305" s="24">
        <v>1.105528348</v>
      </c>
      <c r="AL305" s="24">
        <f>112.64/222.23</f>
        <v>0.50686225982090627</v>
      </c>
      <c r="AM305" s="359" t="s">
        <v>156</v>
      </c>
      <c r="AN305" s="24">
        <f t="shared" si="52"/>
        <v>207.12354882159653</v>
      </c>
      <c r="AO305" s="54">
        <f t="shared" si="53"/>
        <v>18019.748747478898</v>
      </c>
      <c r="AP305" s="261">
        <f t="shared" si="54"/>
        <v>3.046875</v>
      </c>
      <c r="AQ305" s="338"/>
      <c r="AR305" s="45"/>
      <c r="AS305" s="359"/>
      <c r="AT305" s="359"/>
    </row>
    <row r="306" spans="1:46" ht="12">
      <c r="A306" s="359" t="s">
        <v>437</v>
      </c>
      <c r="B306" s="359" t="str">
        <f t="shared" si="45"/>
        <v>MgO</v>
      </c>
      <c r="C306" s="141">
        <f t="shared" si="46"/>
        <v>6.4</v>
      </c>
      <c r="D306" s="277">
        <f t="shared" si="47"/>
        <v>321.03049833146099</v>
      </c>
      <c r="E306" s="20">
        <f t="shared" si="48"/>
        <v>8.6999999999999993</v>
      </c>
      <c r="F306" s="20">
        <f t="shared" si="49"/>
        <v>1.154985106</v>
      </c>
      <c r="G306" s="277">
        <f t="shared" si="50"/>
        <v>205.45951893213504</v>
      </c>
      <c r="H306" s="3">
        <f t="shared" si="55"/>
        <v>0.5572849987646834</v>
      </c>
      <c r="I306" s="277">
        <f t="shared" si="51"/>
        <v>17874.97814709575</v>
      </c>
      <c r="J306" s="359"/>
      <c r="K306" s="359" t="s">
        <v>385</v>
      </c>
      <c r="L306" s="359"/>
      <c r="M306" s="338"/>
      <c r="N306" s="89">
        <v>41064</v>
      </c>
      <c r="O306" s="359">
        <v>121</v>
      </c>
      <c r="P306" s="359" t="s">
        <v>46</v>
      </c>
      <c r="Q306" s="359"/>
      <c r="R306" s="359"/>
      <c r="S306" s="359">
        <v>800</v>
      </c>
      <c r="T306" s="359">
        <v>128</v>
      </c>
      <c r="U306" s="359">
        <v>400</v>
      </c>
      <c r="V306" s="359"/>
      <c r="W306" s="359"/>
      <c r="X306" s="359"/>
      <c r="Y306" s="359">
        <v>47</v>
      </c>
      <c r="Z306" s="359"/>
      <c r="AA306" s="210"/>
      <c r="AB306" s="248">
        <v>0.23230000000000001</v>
      </c>
      <c r="AC306" s="359">
        <v>0.48280000000000001</v>
      </c>
      <c r="AD306" s="359">
        <v>0.28499999999999998</v>
      </c>
      <c r="AE306" s="359" t="s">
        <v>47</v>
      </c>
      <c r="AF306" s="359">
        <v>6.4</v>
      </c>
      <c r="AG306" s="153"/>
      <c r="AH306" s="346">
        <v>321.03049833146099</v>
      </c>
      <c r="AI306" s="24"/>
      <c r="AJ306" s="24">
        <v>8.6999999999999993</v>
      </c>
      <c r="AK306" s="24">
        <v>1.154985106</v>
      </c>
      <c r="AL306" s="24">
        <f>124.06/222.615</f>
        <v>0.5572849987646834</v>
      </c>
      <c r="AM306" s="359" t="s">
        <v>156</v>
      </c>
      <c r="AN306" s="24">
        <f t="shared" si="52"/>
        <v>205.45951893213504</v>
      </c>
      <c r="AO306" s="54">
        <f t="shared" si="53"/>
        <v>17874.97814709575</v>
      </c>
      <c r="AP306" s="261">
        <f t="shared" si="54"/>
        <v>3</v>
      </c>
      <c r="AQ306" s="338"/>
      <c r="AR306" s="45"/>
      <c r="AS306" s="359"/>
      <c r="AT306" s="359"/>
    </row>
    <row r="307" spans="1:46" ht="12">
      <c r="A307" s="359" t="s">
        <v>438</v>
      </c>
      <c r="B307" s="359" t="str">
        <f t="shared" si="45"/>
        <v>MgO</v>
      </c>
      <c r="C307" s="141">
        <f t="shared" si="46"/>
        <v>0</v>
      </c>
      <c r="D307" s="277">
        <f t="shared" si="47"/>
        <v>322.576773425314</v>
      </c>
      <c r="E307" s="20">
        <f t="shared" si="48"/>
        <v>0</v>
      </c>
      <c r="F307" s="20">
        <f t="shared" si="49"/>
        <v>0</v>
      </c>
      <c r="G307" s="277">
        <f t="shared" si="50"/>
        <v>0</v>
      </c>
      <c r="H307" s="3">
        <f t="shared" si="55"/>
        <v>0</v>
      </c>
      <c r="I307" s="277">
        <f t="shared" si="51"/>
        <v>0</v>
      </c>
      <c r="J307" s="359"/>
      <c r="K307" s="359" t="s">
        <v>385</v>
      </c>
      <c r="L307" s="359"/>
      <c r="M307" s="338"/>
      <c r="N307" s="89">
        <v>41064</v>
      </c>
      <c r="O307" s="359">
        <v>121</v>
      </c>
      <c r="P307" s="359" t="s">
        <v>46</v>
      </c>
      <c r="Q307" s="359"/>
      <c r="R307" s="359"/>
      <c r="S307" s="359">
        <v>800</v>
      </c>
      <c r="T307" s="359">
        <v>128</v>
      </c>
      <c r="U307" s="359">
        <v>400</v>
      </c>
      <c r="V307" s="359"/>
      <c r="W307" s="359"/>
      <c r="X307" s="359"/>
      <c r="Y307" s="359">
        <v>47</v>
      </c>
      <c r="Z307" s="359"/>
      <c r="AA307" s="210"/>
      <c r="AB307" s="248"/>
      <c r="AC307" s="359"/>
      <c r="AD307" s="359"/>
      <c r="AE307" s="359"/>
      <c r="AF307" s="359"/>
      <c r="AG307" s="153"/>
      <c r="AH307" s="346">
        <v>322.576773425314</v>
      </c>
      <c r="AI307" s="24"/>
      <c r="AJ307" s="24"/>
      <c r="AK307" s="24"/>
      <c r="AL307" s="24"/>
      <c r="AM307" s="359"/>
      <c r="AN307" s="24">
        <f t="shared" si="52"/>
        <v>0</v>
      </c>
      <c r="AO307" s="54">
        <f t="shared" si="53"/>
        <v>0</v>
      </c>
      <c r="AP307" s="261">
        <f t="shared" si="54"/>
        <v>0</v>
      </c>
      <c r="AQ307" s="338"/>
      <c r="AR307" s="45"/>
      <c r="AS307" s="359"/>
      <c r="AT307" s="359"/>
    </row>
    <row r="308" spans="1:46" ht="12">
      <c r="A308" s="359" t="s">
        <v>439</v>
      </c>
      <c r="B308" s="359" t="str">
        <f t="shared" si="45"/>
        <v>MgO</v>
      </c>
      <c r="C308" s="141">
        <f t="shared" si="46"/>
        <v>0</v>
      </c>
      <c r="D308" s="277">
        <f t="shared" si="47"/>
        <v>323.88516004318899</v>
      </c>
      <c r="E308" s="20">
        <f t="shared" si="48"/>
        <v>0</v>
      </c>
      <c r="F308" s="20">
        <f t="shared" si="49"/>
        <v>0</v>
      </c>
      <c r="G308" s="277">
        <f t="shared" si="50"/>
        <v>0</v>
      </c>
      <c r="H308" s="3">
        <f t="shared" si="55"/>
        <v>0</v>
      </c>
      <c r="I308" s="277">
        <f t="shared" si="51"/>
        <v>0</v>
      </c>
      <c r="J308" s="359"/>
      <c r="K308" s="359" t="s">
        <v>385</v>
      </c>
      <c r="L308" s="359"/>
      <c r="M308" s="338"/>
      <c r="N308" s="89">
        <v>41064</v>
      </c>
      <c r="O308" s="359">
        <v>121</v>
      </c>
      <c r="P308" s="359" t="s">
        <v>46</v>
      </c>
      <c r="Q308" s="359"/>
      <c r="R308" s="359"/>
      <c r="S308" s="359">
        <v>800</v>
      </c>
      <c r="T308" s="359">
        <v>128</v>
      </c>
      <c r="U308" s="359">
        <v>400</v>
      </c>
      <c r="V308" s="359"/>
      <c r="W308" s="359"/>
      <c r="X308" s="359"/>
      <c r="Y308" s="359">
        <v>47</v>
      </c>
      <c r="Z308" s="359"/>
      <c r="AA308" s="210"/>
      <c r="AB308" s="248"/>
      <c r="AC308" s="359"/>
      <c r="AD308" s="359"/>
      <c r="AE308" s="359"/>
      <c r="AF308" s="359"/>
      <c r="AG308" s="153"/>
      <c r="AH308" s="346">
        <v>323.88516004318899</v>
      </c>
      <c r="AI308" s="24"/>
      <c r="AJ308" s="24"/>
      <c r="AK308" s="24"/>
      <c r="AL308" s="24"/>
      <c r="AM308" s="359"/>
      <c r="AN308" s="24">
        <f t="shared" si="52"/>
        <v>0</v>
      </c>
      <c r="AO308" s="54">
        <f t="shared" si="53"/>
        <v>0</v>
      </c>
      <c r="AP308" s="261">
        <f t="shared" si="54"/>
        <v>0</v>
      </c>
      <c r="AQ308" s="338"/>
      <c r="AR308" s="45"/>
      <c r="AS308" s="359"/>
      <c r="AT308" s="359"/>
    </row>
    <row r="309" spans="1:46" ht="12">
      <c r="A309" s="359" t="s">
        <v>440</v>
      </c>
      <c r="B309" s="359" t="str">
        <f t="shared" si="45"/>
        <v>MgO</v>
      </c>
      <c r="C309" s="141">
        <f t="shared" si="46"/>
        <v>2.2000000000000002</v>
      </c>
      <c r="D309" s="277">
        <f t="shared" si="47"/>
        <v>821.30996331186998</v>
      </c>
      <c r="E309" s="20">
        <f t="shared" si="48"/>
        <v>0</v>
      </c>
      <c r="F309" s="20">
        <f t="shared" si="49"/>
        <v>0</v>
      </c>
      <c r="G309" s="277">
        <f t="shared" si="50"/>
        <v>180.68819192861139</v>
      </c>
      <c r="H309" s="3">
        <f t="shared" si="55"/>
        <v>0</v>
      </c>
      <c r="I309" s="277">
        <f t="shared" si="51"/>
        <v>0</v>
      </c>
      <c r="J309" s="359"/>
      <c r="K309" s="359" t="s">
        <v>441</v>
      </c>
      <c r="L309" s="359"/>
      <c r="M309" s="338"/>
      <c r="N309" s="89">
        <v>41065</v>
      </c>
      <c r="O309" s="359">
        <v>122</v>
      </c>
      <c r="P309" s="359" t="s">
        <v>46</v>
      </c>
      <c r="Q309" s="359"/>
      <c r="R309" s="359"/>
      <c r="S309" s="359">
        <v>800</v>
      </c>
      <c r="T309" s="359">
        <v>45</v>
      </c>
      <c r="U309" s="359">
        <v>400</v>
      </c>
      <c r="V309" s="359"/>
      <c r="W309" s="359"/>
      <c r="X309" s="359"/>
      <c r="Y309" s="359">
        <v>47</v>
      </c>
      <c r="Z309" s="359"/>
      <c r="AA309" s="210"/>
      <c r="AB309" s="248">
        <v>0.15859999999999999</v>
      </c>
      <c r="AC309" s="359">
        <v>0.69810000000000005</v>
      </c>
      <c r="AD309" s="359">
        <v>0.1434</v>
      </c>
      <c r="AE309" s="359" t="s">
        <v>47</v>
      </c>
      <c r="AF309" s="359">
        <v>2.2000000000000002</v>
      </c>
      <c r="AG309" s="153"/>
      <c r="AH309" s="346">
        <v>821.30996331186998</v>
      </c>
      <c r="AI309" s="24"/>
      <c r="AJ309" s="24"/>
      <c r="AK309" s="24"/>
      <c r="AL309" s="24"/>
      <c r="AM309" s="359"/>
      <c r="AN309" s="24">
        <f t="shared" si="52"/>
        <v>180.68819192861139</v>
      </c>
      <c r="AO309" s="54">
        <f t="shared" si="53"/>
        <v>0</v>
      </c>
      <c r="AP309" s="261">
        <f t="shared" si="54"/>
        <v>2.9333333333333336</v>
      </c>
      <c r="AQ309" s="338"/>
      <c r="AR309" s="45"/>
      <c r="AS309" s="359"/>
      <c r="AT309" s="359"/>
    </row>
    <row r="310" spans="1:46" ht="12">
      <c r="A310" s="359" t="s">
        <v>442</v>
      </c>
      <c r="B310" s="359" t="str">
        <f t="shared" si="45"/>
        <v>MgO</v>
      </c>
      <c r="C310" s="141">
        <f t="shared" si="46"/>
        <v>0</v>
      </c>
      <c r="D310" s="277">
        <f t="shared" si="47"/>
        <v>564.98513044625395</v>
      </c>
      <c r="E310" s="20">
        <f t="shared" si="48"/>
        <v>11.2</v>
      </c>
      <c r="F310" s="20">
        <f t="shared" si="49"/>
        <v>1.7454633879999999</v>
      </c>
      <c r="G310" s="277">
        <f t="shared" si="50"/>
        <v>0</v>
      </c>
      <c r="H310" s="3">
        <f t="shared" si="55"/>
        <v>0.83805545005696924</v>
      </c>
      <c r="I310" s="277">
        <f t="shared" si="51"/>
        <v>0</v>
      </c>
      <c r="J310" s="359"/>
      <c r="K310" s="359" t="s">
        <v>186</v>
      </c>
      <c r="L310" s="359"/>
      <c r="M310" s="338" t="s">
        <v>141</v>
      </c>
      <c r="N310" s="89">
        <v>41065</v>
      </c>
      <c r="O310" s="359">
        <v>122</v>
      </c>
      <c r="P310" s="359" t="s">
        <v>46</v>
      </c>
      <c r="Q310" s="359"/>
      <c r="R310" s="359"/>
      <c r="S310" s="359">
        <v>800</v>
      </c>
      <c r="T310" s="359">
        <v>45</v>
      </c>
      <c r="U310" s="359">
        <v>400</v>
      </c>
      <c r="V310" s="359"/>
      <c r="W310" s="359"/>
      <c r="X310" s="359"/>
      <c r="Y310" s="359">
        <v>47</v>
      </c>
      <c r="Z310" s="359"/>
      <c r="AA310" s="210"/>
      <c r="AB310" s="248"/>
      <c r="AC310" s="359"/>
      <c r="AD310" s="359"/>
      <c r="AE310" s="359"/>
      <c r="AF310" s="359"/>
      <c r="AG310" s="153"/>
      <c r="AH310" s="346">
        <v>564.98513044625395</v>
      </c>
      <c r="AI310" s="24"/>
      <c r="AJ310" s="24">
        <v>11.2</v>
      </c>
      <c r="AK310" s="24">
        <v>1.7454633879999999</v>
      </c>
      <c r="AL310" s="24">
        <f>220.66/263.3</f>
        <v>0.83805545005696924</v>
      </c>
      <c r="AM310" s="359" t="s">
        <v>156</v>
      </c>
      <c r="AN310" s="24">
        <f t="shared" si="52"/>
        <v>0</v>
      </c>
      <c r="AO310" s="54">
        <f t="shared" si="53"/>
        <v>0</v>
      </c>
      <c r="AP310" s="261">
        <f t="shared" si="54"/>
        <v>0</v>
      </c>
      <c r="AQ310" s="338"/>
      <c r="AR310" s="45"/>
      <c r="AS310" s="359"/>
      <c r="AT310" s="359"/>
    </row>
    <row r="311" spans="1:46" ht="12">
      <c r="A311" s="359" t="s">
        <v>443</v>
      </c>
      <c r="B311" s="359" t="str">
        <f t="shared" si="45"/>
        <v>MgO</v>
      </c>
      <c r="C311" s="141">
        <f t="shared" si="46"/>
        <v>0</v>
      </c>
      <c r="D311" s="277">
        <f t="shared" si="47"/>
        <v>582.11310071662399</v>
      </c>
      <c r="E311" s="20">
        <f t="shared" si="48"/>
        <v>0</v>
      </c>
      <c r="F311" s="20">
        <f t="shared" si="49"/>
        <v>0</v>
      </c>
      <c r="G311" s="277">
        <f t="shared" si="50"/>
        <v>0</v>
      </c>
      <c r="H311" s="3">
        <f t="shared" si="55"/>
        <v>0</v>
      </c>
      <c r="I311" s="277">
        <f t="shared" si="51"/>
        <v>0</v>
      </c>
      <c r="J311" s="359"/>
      <c r="K311" s="359" t="s">
        <v>186</v>
      </c>
      <c r="L311" s="359"/>
      <c r="M311" s="338" t="s">
        <v>141</v>
      </c>
      <c r="N311" s="89">
        <v>41065</v>
      </c>
      <c r="O311" s="359">
        <v>122</v>
      </c>
      <c r="P311" s="359" t="s">
        <v>46</v>
      </c>
      <c r="Q311" s="359"/>
      <c r="R311" s="359"/>
      <c r="S311" s="359">
        <v>800</v>
      </c>
      <c r="T311" s="359">
        <v>45</v>
      </c>
      <c r="U311" s="359">
        <v>400</v>
      </c>
      <c r="V311" s="359"/>
      <c r="W311" s="359"/>
      <c r="X311" s="359"/>
      <c r="Y311" s="359">
        <v>47</v>
      </c>
      <c r="Z311" s="359"/>
      <c r="AA311" s="210"/>
      <c r="AB311" s="248"/>
      <c r="AC311" s="359"/>
      <c r="AD311" s="359"/>
      <c r="AE311" s="359"/>
      <c r="AF311" s="359"/>
      <c r="AG311" s="153"/>
      <c r="AH311" s="346">
        <v>582.11310071662399</v>
      </c>
      <c r="AI311" s="24"/>
      <c r="AJ311" s="24"/>
      <c r="AK311" s="24"/>
      <c r="AL311" s="24"/>
      <c r="AM311" s="359"/>
      <c r="AN311" s="24">
        <f t="shared" si="52"/>
        <v>0</v>
      </c>
      <c r="AO311" s="54">
        <f t="shared" si="53"/>
        <v>0</v>
      </c>
      <c r="AP311" s="261">
        <f t="shared" si="54"/>
        <v>0</v>
      </c>
      <c r="AQ311" s="338"/>
      <c r="AR311" s="45"/>
      <c r="AS311" s="359"/>
      <c r="AT311" s="359"/>
    </row>
    <row r="312" spans="1:46" ht="12">
      <c r="A312" s="359" t="s">
        <v>444</v>
      </c>
      <c r="B312" s="359" t="str">
        <f t="shared" si="45"/>
        <v>MgO</v>
      </c>
      <c r="C312" s="141">
        <f t="shared" si="46"/>
        <v>0</v>
      </c>
      <c r="D312" s="277">
        <f t="shared" si="47"/>
        <v>575.69011186523505</v>
      </c>
      <c r="E312" s="20">
        <f t="shared" si="48"/>
        <v>0</v>
      </c>
      <c r="F312" s="20">
        <f t="shared" si="49"/>
        <v>0</v>
      </c>
      <c r="G312" s="277">
        <f t="shared" si="50"/>
        <v>0</v>
      </c>
      <c r="H312" s="3">
        <f t="shared" si="55"/>
        <v>0</v>
      </c>
      <c r="I312" s="277">
        <f t="shared" si="51"/>
        <v>0</v>
      </c>
      <c r="J312" s="359"/>
      <c r="K312" s="359" t="s">
        <v>186</v>
      </c>
      <c r="L312" s="359"/>
      <c r="M312" s="338" t="s">
        <v>141</v>
      </c>
      <c r="N312" s="89">
        <v>41065</v>
      </c>
      <c r="O312" s="359">
        <v>122</v>
      </c>
      <c r="P312" s="359" t="s">
        <v>46</v>
      </c>
      <c r="Q312" s="359"/>
      <c r="R312" s="359"/>
      <c r="S312" s="359">
        <v>800</v>
      </c>
      <c r="T312" s="359">
        <v>45</v>
      </c>
      <c r="U312" s="359">
        <v>400</v>
      </c>
      <c r="V312" s="359"/>
      <c r="W312" s="359"/>
      <c r="X312" s="359"/>
      <c r="Y312" s="359">
        <v>47</v>
      </c>
      <c r="Z312" s="359"/>
      <c r="AA312" s="210"/>
      <c r="AB312" s="248"/>
      <c r="AC312" s="359"/>
      <c r="AD312" s="359"/>
      <c r="AE312" s="359"/>
      <c r="AF312" s="359"/>
      <c r="AG312" s="153"/>
      <c r="AH312" s="346">
        <v>575.69011186523505</v>
      </c>
      <c r="AI312" s="24"/>
      <c r="AJ312" s="24"/>
      <c r="AK312" s="24"/>
      <c r="AL312" s="24"/>
      <c r="AM312" s="359"/>
      <c r="AN312" s="24">
        <f t="shared" si="52"/>
        <v>0</v>
      </c>
      <c r="AO312" s="54">
        <f t="shared" si="53"/>
        <v>0</v>
      </c>
      <c r="AP312" s="261">
        <f t="shared" si="54"/>
        <v>0</v>
      </c>
      <c r="AQ312" s="338"/>
      <c r="AR312" s="45"/>
      <c r="AS312" s="359"/>
      <c r="AT312" s="359"/>
    </row>
    <row r="313" spans="1:46" ht="12">
      <c r="A313" s="359" t="s">
        <v>445</v>
      </c>
      <c r="B313" s="359" t="str">
        <f t="shared" si="45"/>
        <v>SiNx</v>
      </c>
      <c r="C313" s="141">
        <f t="shared" si="46"/>
        <v>0</v>
      </c>
      <c r="D313" s="277">
        <f t="shared" si="47"/>
        <v>653.36069927184701</v>
      </c>
      <c r="E313" s="20">
        <f t="shared" si="48"/>
        <v>0</v>
      </c>
      <c r="F313" s="20">
        <f t="shared" si="49"/>
        <v>0</v>
      </c>
      <c r="G313" s="277">
        <f t="shared" si="50"/>
        <v>0</v>
      </c>
      <c r="H313" s="3">
        <f t="shared" si="55"/>
        <v>0</v>
      </c>
      <c r="I313" s="277">
        <f t="shared" si="51"/>
        <v>0</v>
      </c>
      <c r="J313" s="359"/>
      <c r="K313" s="359" t="s">
        <v>186</v>
      </c>
      <c r="L313" s="359"/>
      <c r="M313" s="338" t="s">
        <v>138</v>
      </c>
      <c r="N313" s="89">
        <v>41065</v>
      </c>
      <c r="O313" s="359">
        <v>123</v>
      </c>
      <c r="P313" s="359" t="s">
        <v>187</v>
      </c>
      <c r="Q313" s="359"/>
      <c r="R313" s="359"/>
      <c r="S313" s="359">
        <v>20</v>
      </c>
      <c r="T313" s="359">
        <v>68</v>
      </c>
      <c r="U313" s="359">
        <v>400</v>
      </c>
      <c r="V313" s="359"/>
      <c r="W313" s="359"/>
      <c r="X313" s="359"/>
      <c r="Y313" s="359">
        <v>47</v>
      </c>
      <c r="Z313" s="359"/>
      <c r="AA313" s="210"/>
      <c r="AB313" s="248"/>
      <c r="AC313" s="359"/>
      <c r="AD313" s="359"/>
      <c r="AE313" s="359"/>
      <c r="AF313" s="359"/>
      <c r="AG313" s="153"/>
      <c r="AH313" s="346">
        <v>653.36069927184701</v>
      </c>
      <c r="AI313" s="24"/>
      <c r="AJ313" s="24"/>
      <c r="AK313" s="24"/>
      <c r="AL313" s="24"/>
      <c r="AM313" s="359"/>
      <c r="AN313" s="24">
        <f t="shared" si="52"/>
        <v>0</v>
      </c>
      <c r="AO313" s="54">
        <f t="shared" si="53"/>
        <v>0</v>
      </c>
      <c r="AP313" s="261">
        <f t="shared" si="54"/>
        <v>0</v>
      </c>
      <c r="AQ313" s="338"/>
      <c r="AR313" s="45"/>
      <c r="AS313" s="359"/>
      <c r="AT313" s="359"/>
    </row>
    <row r="314" spans="1:46" ht="12">
      <c r="A314" s="359" t="s">
        <v>446</v>
      </c>
      <c r="B314" s="359" t="str">
        <f t="shared" si="45"/>
        <v>SiNx</v>
      </c>
      <c r="C314" s="141">
        <f t="shared" si="46"/>
        <v>0</v>
      </c>
      <c r="D314" s="277">
        <f t="shared" si="47"/>
        <v>640.87155428303504</v>
      </c>
      <c r="E314" s="20">
        <f t="shared" si="48"/>
        <v>0</v>
      </c>
      <c r="F314" s="20">
        <f t="shared" si="49"/>
        <v>0</v>
      </c>
      <c r="G314" s="277">
        <f t="shared" si="50"/>
        <v>0</v>
      </c>
      <c r="H314" s="3">
        <f t="shared" si="55"/>
        <v>0</v>
      </c>
      <c r="I314" s="277">
        <f t="shared" si="51"/>
        <v>0</v>
      </c>
      <c r="J314" s="359"/>
      <c r="K314" s="359" t="s">
        <v>186</v>
      </c>
      <c r="L314" s="359"/>
      <c r="M314" s="338" t="s">
        <v>138</v>
      </c>
      <c r="N314" s="89">
        <v>41065</v>
      </c>
      <c r="O314" s="359">
        <v>123</v>
      </c>
      <c r="P314" s="359" t="s">
        <v>187</v>
      </c>
      <c r="Q314" s="359"/>
      <c r="R314" s="359"/>
      <c r="S314" s="359">
        <v>20</v>
      </c>
      <c r="T314" s="359">
        <v>68</v>
      </c>
      <c r="U314" s="359">
        <v>400</v>
      </c>
      <c r="V314" s="359"/>
      <c r="W314" s="359"/>
      <c r="X314" s="359"/>
      <c r="Y314" s="359">
        <v>47</v>
      </c>
      <c r="Z314" s="359"/>
      <c r="AA314" s="210"/>
      <c r="AB314" s="248"/>
      <c r="AC314" s="359"/>
      <c r="AD314" s="359"/>
      <c r="AE314" s="359"/>
      <c r="AF314" s="359"/>
      <c r="AG314" s="153"/>
      <c r="AH314" s="346">
        <v>640.87155428303504</v>
      </c>
      <c r="AI314" s="24"/>
      <c r="AJ314" s="24"/>
      <c r="AK314" s="24"/>
      <c r="AL314" s="24"/>
      <c r="AM314" s="359"/>
      <c r="AN314" s="24">
        <f t="shared" si="52"/>
        <v>0</v>
      </c>
      <c r="AO314" s="54">
        <f t="shared" si="53"/>
        <v>0</v>
      </c>
      <c r="AP314" s="261">
        <f t="shared" si="54"/>
        <v>0</v>
      </c>
      <c r="AQ314" s="338"/>
      <c r="AR314" s="45"/>
      <c r="AS314" s="359"/>
      <c r="AT314" s="359"/>
    </row>
    <row r="315" spans="1:46" ht="12">
      <c r="A315" s="359" t="s">
        <v>447</v>
      </c>
      <c r="B315" s="359" t="str">
        <f t="shared" si="45"/>
        <v>SiNx</v>
      </c>
      <c r="C315" s="141">
        <f t="shared" si="46"/>
        <v>0</v>
      </c>
      <c r="D315" s="277">
        <f t="shared" si="47"/>
        <v>634.92434238359999</v>
      </c>
      <c r="E315" s="20">
        <f t="shared" si="48"/>
        <v>0</v>
      </c>
      <c r="F315" s="20">
        <f t="shared" si="49"/>
        <v>0</v>
      </c>
      <c r="G315" s="277">
        <f t="shared" si="50"/>
        <v>0</v>
      </c>
      <c r="H315" s="3">
        <f t="shared" si="55"/>
        <v>0</v>
      </c>
      <c r="I315" s="277">
        <f t="shared" si="51"/>
        <v>0</v>
      </c>
      <c r="J315" s="359"/>
      <c r="K315" s="359" t="s">
        <v>186</v>
      </c>
      <c r="L315" s="359"/>
      <c r="M315" s="338" t="s">
        <v>138</v>
      </c>
      <c r="N315" s="89">
        <v>41065</v>
      </c>
      <c r="O315" s="359">
        <v>123</v>
      </c>
      <c r="P315" s="359" t="s">
        <v>187</v>
      </c>
      <c r="Q315" s="359"/>
      <c r="R315" s="359"/>
      <c r="S315" s="359">
        <v>20</v>
      </c>
      <c r="T315" s="359">
        <v>68</v>
      </c>
      <c r="U315" s="359">
        <v>400</v>
      </c>
      <c r="V315" s="359"/>
      <c r="W315" s="359"/>
      <c r="X315" s="359"/>
      <c r="Y315" s="359">
        <v>47</v>
      </c>
      <c r="Z315" s="359"/>
      <c r="AA315" s="210"/>
      <c r="AB315" s="248"/>
      <c r="AC315" s="359"/>
      <c r="AD315" s="359"/>
      <c r="AE315" s="359"/>
      <c r="AF315" s="359"/>
      <c r="AG315" s="153"/>
      <c r="AH315" s="346">
        <v>634.92434238359999</v>
      </c>
      <c r="AI315" s="24"/>
      <c r="AJ315" s="24"/>
      <c r="AK315" s="24"/>
      <c r="AL315" s="24"/>
      <c r="AM315" s="359"/>
      <c r="AN315" s="24">
        <f t="shared" si="52"/>
        <v>0</v>
      </c>
      <c r="AO315" s="54">
        <f t="shared" si="53"/>
        <v>0</v>
      </c>
      <c r="AP315" s="261">
        <f t="shared" si="54"/>
        <v>0</v>
      </c>
      <c r="AQ315" s="338"/>
      <c r="AR315" s="45"/>
      <c r="AS315" s="359"/>
      <c r="AT315" s="359"/>
    </row>
    <row r="316" spans="1:46" ht="12">
      <c r="A316" s="359" t="s">
        <v>448</v>
      </c>
      <c r="B316" s="359" t="str">
        <f t="shared" si="45"/>
        <v>SiNx</v>
      </c>
      <c r="C316" s="141">
        <f t="shared" si="46"/>
        <v>0</v>
      </c>
      <c r="D316" s="277">
        <f t="shared" si="47"/>
        <v>638.84950223722694</v>
      </c>
      <c r="E316" s="20">
        <f t="shared" si="48"/>
        <v>0</v>
      </c>
      <c r="F316" s="20">
        <f t="shared" si="49"/>
        <v>0</v>
      </c>
      <c r="G316" s="277">
        <f t="shared" si="50"/>
        <v>0</v>
      </c>
      <c r="H316" s="3">
        <f t="shared" si="55"/>
        <v>0</v>
      </c>
      <c r="I316" s="277">
        <f t="shared" si="51"/>
        <v>0</v>
      </c>
      <c r="J316" s="359"/>
      <c r="K316" s="359" t="s">
        <v>186</v>
      </c>
      <c r="L316" s="359"/>
      <c r="M316" s="338" t="s">
        <v>138</v>
      </c>
      <c r="N316" s="89">
        <v>41065</v>
      </c>
      <c r="O316" s="359">
        <v>123</v>
      </c>
      <c r="P316" s="359" t="s">
        <v>187</v>
      </c>
      <c r="Q316" s="359"/>
      <c r="R316" s="359"/>
      <c r="S316" s="359">
        <v>20</v>
      </c>
      <c r="T316" s="359">
        <v>68</v>
      </c>
      <c r="U316" s="359">
        <v>400</v>
      </c>
      <c r="V316" s="359"/>
      <c r="W316" s="359"/>
      <c r="X316" s="359"/>
      <c r="Y316" s="359">
        <v>47</v>
      </c>
      <c r="Z316" s="359"/>
      <c r="AA316" s="210"/>
      <c r="AB316" s="248"/>
      <c r="AC316" s="359"/>
      <c r="AD316" s="359"/>
      <c r="AE316" s="359"/>
      <c r="AF316" s="359"/>
      <c r="AG316" s="307"/>
      <c r="AH316" s="38">
        <v>638.84950223722694</v>
      </c>
      <c r="AI316" s="8"/>
      <c r="AJ316" s="24"/>
      <c r="AK316" s="24"/>
      <c r="AL316" s="24"/>
      <c r="AM316" s="359"/>
      <c r="AN316" s="24">
        <f t="shared" si="52"/>
        <v>0</v>
      </c>
      <c r="AO316" s="54">
        <f t="shared" si="53"/>
        <v>0</v>
      </c>
      <c r="AP316" s="261">
        <f t="shared" si="54"/>
        <v>0</v>
      </c>
      <c r="AQ316" s="338"/>
      <c r="AR316" s="45"/>
      <c r="AS316" s="359"/>
      <c r="AT316" s="359"/>
    </row>
    <row r="317" spans="1:46" ht="12">
      <c r="A317" s="359" t="s">
        <v>449</v>
      </c>
      <c r="B317" s="359" t="str">
        <f t="shared" si="45"/>
        <v>MgO</v>
      </c>
      <c r="C317" s="141">
        <f t="shared" si="46"/>
        <v>0</v>
      </c>
      <c r="D317" s="277">
        <f t="shared" si="47"/>
        <v>555.588535645148</v>
      </c>
      <c r="E317" s="20">
        <f t="shared" si="48"/>
        <v>0</v>
      </c>
      <c r="F317" s="20">
        <f t="shared" si="49"/>
        <v>0</v>
      </c>
      <c r="G317" s="277">
        <f t="shared" si="50"/>
        <v>0</v>
      </c>
      <c r="H317" s="3">
        <f t="shared" si="55"/>
        <v>0</v>
      </c>
      <c r="I317" s="277">
        <f t="shared" si="51"/>
        <v>0</v>
      </c>
      <c r="J317" s="359"/>
      <c r="K317" s="359" t="s">
        <v>186</v>
      </c>
      <c r="L317" s="359"/>
      <c r="M317" s="338" t="s">
        <v>135</v>
      </c>
      <c r="N317" s="89">
        <v>41066</v>
      </c>
      <c r="O317" s="359">
        <v>124</v>
      </c>
      <c r="P317" s="359" t="s">
        <v>46</v>
      </c>
      <c r="Q317" s="359"/>
      <c r="R317" s="359"/>
      <c r="S317" s="359">
        <v>800</v>
      </c>
      <c r="T317" s="359">
        <v>52</v>
      </c>
      <c r="U317" s="359">
        <v>400</v>
      </c>
      <c r="V317" s="359"/>
      <c r="W317" s="359"/>
      <c r="X317" s="359"/>
      <c r="Y317" s="359">
        <v>47</v>
      </c>
      <c r="Z317" s="359"/>
      <c r="AA317" s="210"/>
      <c r="AB317" s="248"/>
      <c r="AC317" s="359"/>
      <c r="AD317" s="359"/>
      <c r="AE317" s="359"/>
      <c r="AF317" s="359"/>
      <c r="AG317" s="153"/>
      <c r="AH317" s="346">
        <v>555.588535645148</v>
      </c>
      <c r="AI317" s="24"/>
      <c r="AJ317" s="24"/>
      <c r="AK317" s="24"/>
      <c r="AL317" s="24"/>
      <c r="AM317" s="359"/>
      <c r="AN317" s="24">
        <f t="shared" si="52"/>
        <v>0</v>
      </c>
      <c r="AO317" s="54">
        <f t="shared" si="53"/>
        <v>0</v>
      </c>
      <c r="AP317" s="261">
        <f t="shared" si="54"/>
        <v>0</v>
      </c>
      <c r="AQ317" s="338"/>
      <c r="AR317" s="45"/>
      <c r="AS317" s="359"/>
      <c r="AT317" s="359"/>
    </row>
    <row r="318" spans="1:46" ht="12">
      <c r="A318" s="359" t="s">
        <v>450</v>
      </c>
      <c r="B318" s="359" t="str">
        <f t="shared" si="45"/>
        <v>MgO</v>
      </c>
      <c r="C318" s="141">
        <f t="shared" si="46"/>
        <v>0</v>
      </c>
      <c r="D318" s="277">
        <f t="shared" si="47"/>
        <v>353.74016377834897</v>
      </c>
      <c r="E318" s="20">
        <f t="shared" si="48"/>
        <v>0</v>
      </c>
      <c r="F318" s="20">
        <f t="shared" si="49"/>
        <v>0</v>
      </c>
      <c r="G318" s="277">
        <f t="shared" si="50"/>
        <v>0</v>
      </c>
      <c r="H318" s="3">
        <f t="shared" si="55"/>
        <v>0</v>
      </c>
      <c r="I318" s="277">
        <f t="shared" si="51"/>
        <v>0</v>
      </c>
      <c r="J318" s="359"/>
      <c r="K318" s="359" t="s">
        <v>186</v>
      </c>
      <c r="L318" s="359"/>
      <c r="M318" s="338" t="s">
        <v>135</v>
      </c>
      <c r="N318" s="89">
        <v>41066</v>
      </c>
      <c r="O318" s="359">
        <v>124</v>
      </c>
      <c r="P318" s="359" t="s">
        <v>46</v>
      </c>
      <c r="Q318" s="359"/>
      <c r="R318" s="359"/>
      <c r="S318" s="359">
        <v>800</v>
      </c>
      <c r="T318" s="359">
        <v>52</v>
      </c>
      <c r="U318" s="359">
        <v>400</v>
      </c>
      <c r="V318" s="359"/>
      <c r="W318" s="359"/>
      <c r="X318" s="359"/>
      <c r="Y318" s="359">
        <v>47</v>
      </c>
      <c r="Z318" s="359"/>
      <c r="AA318" s="210"/>
      <c r="AB318" s="248"/>
      <c r="AC318" s="359"/>
      <c r="AD318" s="359"/>
      <c r="AE318" s="359"/>
      <c r="AF318" s="359"/>
      <c r="AG318" s="153"/>
      <c r="AH318" s="346">
        <v>353.74016377834897</v>
      </c>
      <c r="AI318" s="24"/>
      <c r="AJ318" s="24"/>
      <c r="AK318" s="24"/>
      <c r="AL318" s="24"/>
      <c r="AM318" s="359"/>
      <c r="AN318" s="24">
        <f t="shared" si="52"/>
        <v>0</v>
      </c>
      <c r="AO318" s="54">
        <f t="shared" si="53"/>
        <v>0</v>
      </c>
      <c r="AP318" s="261">
        <f t="shared" si="54"/>
        <v>0</v>
      </c>
      <c r="AQ318" s="338"/>
      <c r="AR318" s="45"/>
      <c r="AS318" s="359"/>
      <c r="AT318" s="359"/>
    </row>
    <row r="319" spans="1:46" ht="12">
      <c r="A319" s="359" t="s">
        <v>451</v>
      </c>
      <c r="B319" s="359" t="str">
        <f t="shared" si="45"/>
        <v>MgO</v>
      </c>
      <c r="C319" s="141">
        <f t="shared" si="46"/>
        <v>0</v>
      </c>
      <c r="D319" s="277">
        <f t="shared" si="47"/>
        <v>349.33922697276802</v>
      </c>
      <c r="E319" s="20">
        <f t="shared" si="48"/>
        <v>0</v>
      </c>
      <c r="F319" s="20">
        <f t="shared" si="49"/>
        <v>0</v>
      </c>
      <c r="G319" s="277">
        <f t="shared" si="50"/>
        <v>0</v>
      </c>
      <c r="H319" s="3">
        <f t="shared" si="55"/>
        <v>0</v>
      </c>
      <c r="I319" s="277">
        <f t="shared" si="51"/>
        <v>0</v>
      </c>
      <c r="J319" s="359"/>
      <c r="K319" s="359" t="s">
        <v>186</v>
      </c>
      <c r="L319" s="359"/>
      <c r="M319" s="338" t="s">
        <v>135</v>
      </c>
      <c r="N319" s="89">
        <v>41066</v>
      </c>
      <c r="O319" s="359">
        <v>124</v>
      </c>
      <c r="P319" s="359" t="s">
        <v>46</v>
      </c>
      <c r="Q319" s="359"/>
      <c r="R319" s="359"/>
      <c r="S319" s="359">
        <v>800</v>
      </c>
      <c r="T319" s="359">
        <v>52</v>
      </c>
      <c r="U319" s="359">
        <v>400</v>
      </c>
      <c r="V319" s="359"/>
      <c r="W319" s="359"/>
      <c r="X319" s="359"/>
      <c r="Y319" s="359">
        <v>47</v>
      </c>
      <c r="Z319" s="359"/>
      <c r="AA319" s="210"/>
      <c r="AB319" s="248"/>
      <c r="AC319" s="359"/>
      <c r="AD319" s="359"/>
      <c r="AE319" s="359"/>
      <c r="AF319" s="359"/>
      <c r="AG319" s="153"/>
      <c r="AH319" s="346">
        <v>349.33922697276802</v>
      </c>
      <c r="AI319" s="24"/>
      <c r="AJ319" s="24"/>
      <c r="AK319" s="24"/>
      <c r="AL319" s="24"/>
      <c r="AM319" s="359"/>
      <c r="AN319" s="24">
        <f t="shared" si="52"/>
        <v>0</v>
      </c>
      <c r="AO319" s="54">
        <f t="shared" si="53"/>
        <v>0</v>
      </c>
      <c r="AP319" s="261">
        <f t="shared" si="54"/>
        <v>0</v>
      </c>
      <c r="AQ319" s="338"/>
      <c r="AR319" s="45"/>
      <c r="AS319" s="359"/>
      <c r="AT319" s="359"/>
    </row>
    <row r="320" spans="1:46" ht="12">
      <c r="A320" s="359" t="s">
        <v>452</v>
      </c>
      <c r="B320" s="359" t="str">
        <f t="shared" si="45"/>
        <v>MgO</v>
      </c>
      <c r="C320" s="141">
        <f t="shared" si="46"/>
        <v>0</v>
      </c>
      <c r="D320" s="277">
        <f t="shared" si="47"/>
        <v>355.52432734817899</v>
      </c>
      <c r="E320" s="20">
        <f t="shared" si="48"/>
        <v>0</v>
      </c>
      <c r="F320" s="20">
        <f t="shared" si="49"/>
        <v>0</v>
      </c>
      <c r="G320" s="277">
        <f t="shared" si="50"/>
        <v>0</v>
      </c>
      <c r="H320" s="3">
        <f t="shared" si="55"/>
        <v>0</v>
      </c>
      <c r="I320" s="277">
        <f t="shared" si="51"/>
        <v>0</v>
      </c>
      <c r="J320" s="359"/>
      <c r="K320" s="359" t="s">
        <v>186</v>
      </c>
      <c r="L320" s="359"/>
      <c r="M320" s="338" t="s">
        <v>135</v>
      </c>
      <c r="N320" s="89">
        <v>41066</v>
      </c>
      <c r="O320" s="359">
        <v>124</v>
      </c>
      <c r="P320" s="359" t="s">
        <v>46</v>
      </c>
      <c r="Q320" s="359"/>
      <c r="R320" s="359"/>
      <c r="S320" s="359">
        <v>800</v>
      </c>
      <c r="T320" s="359">
        <v>52</v>
      </c>
      <c r="U320" s="359">
        <v>400</v>
      </c>
      <c r="V320" s="359"/>
      <c r="W320" s="359"/>
      <c r="X320" s="359"/>
      <c r="Y320" s="359">
        <v>47</v>
      </c>
      <c r="Z320" s="359"/>
      <c r="AA320" s="210"/>
      <c r="AB320" s="248"/>
      <c r="AC320" s="359"/>
      <c r="AD320" s="359"/>
      <c r="AE320" s="359"/>
      <c r="AF320" s="359"/>
      <c r="AG320" s="153"/>
      <c r="AH320" s="346">
        <v>355.52432734817899</v>
      </c>
      <c r="AI320" s="24"/>
      <c r="AJ320" s="24"/>
      <c r="AK320" s="24"/>
      <c r="AL320" s="24"/>
      <c r="AM320" s="359"/>
      <c r="AN320" s="24">
        <f t="shared" si="52"/>
        <v>0</v>
      </c>
      <c r="AO320" s="54">
        <f t="shared" si="53"/>
        <v>0</v>
      </c>
      <c r="AP320" s="261">
        <f t="shared" si="54"/>
        <v>0</v>
      </c>
      <c r="AQ320" s="338"/>
      <c r="AR320" s="45"/>
      <c r="AS320" s="359"/>
      <c r="AT320" s="359"/>
    </row>
    <row r="321" spans="1:46" ht="12">
      <c r="A321" s="359" t="s">
        <v>453</v>
      </c>
      <c r="B321" s="359" t="str">
        <f t="shared" si="45"/>
        <v>MgO</v>
      </c>
      <c r="C321" s="141">
        <f t="shared" si="46"/>
        <v>0</v>
      </c>
      <c r="D321" s="277">
        <f t="shared" si="47"/>
        <v>286.17983660077613</v>
      </c>
      <c r="E321" s="20">
        <f t="shared" si="48"/>
        <v>0</v>
      </c>
      <c r="F321" s="20">
        <f t="shared" si="49"/>
        <v>0</v>
      </c>
      <c r="G321" s="277">
        <f t="shared" si="50"/>
        <v>0</v>
      </c>
      <c r="H321" s="3">
        <f t="shared" si="55"/>
        <v>0</v>
      </c>
      <c r="I321" s="277">
        <f t="shared" si="51"/>
        <v>0</v>
      </c>
      <c r="J321" s="359"/>
      <c r="K321" s="359" t="s">
        <v>186</v>
      </c>
      <c r="L321" s="359"/>
      <c r="M321" s="338" t="s">
        <v>135</v>
      </c>
      <c r="N321" s="89">
        <v>41067</v>
      </c>
      <c r="O321" s="359">
        <v>125</v>
      </c>
      <c r="P321" s="359" t="s">
        <v>46</v>
      </c>
      <c r="Q321" s="359"/>
      <c r="R321" s="359"/>
      <c r="S321" s="359">
        <v>800</v>
      </c>
      <c r="T321" s="359">
        <v>60</v>
      </c>
      <c r="U321" s="359">
        <v>400</v>
      </c>
      <c r="V321" s="359"/>
      <c r="W321" s="359"/>
      <c r="X321" s="359"/>
      <c r="Y321" s="359">
        <v>47</v>
      </c>
      <c r="Z321" s="359"/>
      <c r="AA321" s="210"/>
      <c r="AB321" s="248"/>
      <c r="AC321" s="359"/>
      <c r="AD321" s="359"/>
      <c r="AE321" s="359"/>
      <c r="AF321" s="359"/>
      <c r="AG321" s="153"/>
      <c r="AH321" s="346">
        <f>((PI()/LN(2))*80.2)*0.7873</f>
        <v>286.17983660077613</v>
      </c>
      <c r="AI321" s="24"/>
      <c r="AJ321" s="24"/>
      <c r="AK321" s="24"/>
      <c r="AL321" s="24"/>
      <c r="AM321" s="359"/>
      <c r="AN321" s="24">
        <f t="shared" si="52"/>
        <v>0</v>
      </c>
      <c r="AO321" s="54">
        <f t="shared" si="53"/>
        <v>0</v>
      </c>
      <c r="AP321" s="261">
        <f t="shared" si="54"/>
        <v>0</v>
      </c>
      <c r="AQ321" s="338"/>
      <c r="AR321" s="45"/>
      <c r="AS321" s="359"/>
      <c r="AT321" s="359"/>
    </row>
    <row r="322" spans="1:46" ht="12">
      <c r="A322" s="359" t="s">
        <v>454</v>
      </c>
      <c r="B322" s="359" t="str">
        <f t="shared" si="45"/>
        <v>MgO</v>
      </c>
      <c r="C322" s="141">
        <f t="shared" si="46"/>
        <v>0</v>
      </c>
      <c r="D322" s="277">
        <f t="shared" si="47"/>
        <v>481.72416385417426</v>
      </c>
      <c r="E322" s="20">
        <f t="shared" si="48"/>
        <v>0</v>
      </c>
      <c r="F322" s="20">
        <f t="shared" si="49"/>
        <v>0</v>
      </c>
      <c r="G322" s="277">
        <f t="shared" si="50"/>
        <v>0</v>
      </c>
      <c r="H322" s="3">
        <f t="shared" si="55"/>
        <v>0</v>
      </c>
      <c r="I322" s="277">
        <f t="shared" si="51"/>
        <v>0</v>
      </c>
      <c r="J322" s="359"/>
      <c r="K322" s="359" t="s">
        <v>186</v>
      </c>
      <c r="L322" s="359"/>
      <c r="M322" s="338" t="s">
        <v>135</v>
      </c>
      <c r="N322" s="89">
        <v>41067</v>
      </c>
      <c r="O322" s="359">
        <v>125</v>
      </c>
      <c r="P322" s="359" t="s">
        <v>46</v>
      </c>
      <c r="Q322" s="359"/>
      <c r="R322" s="359"/>
      <c r="S322" s="359">
        <v>800</v>
      </c>
      <c r="T322" s="359">
        <v>60</v>
      </c>
      <c r="U322" s="359">
        <v>400</v>
      </c>
      <c r="V322" s="359"/>
      <c r="W322" s="359"/>
      <c r="X322" s="359"/>
      <c r="Y322" s="359">
        <v>47</v>
      </c>
      <c r="Z322" s="359"/>
      <c r="AA322" s="210"/>
      <c r="AB322" s="248"/>
      <c r="AC322" s="359"/>
      <c r="AD322" s="359"/>
      <c r="AE322" s="359"/>
      <c r="AF322" s="359"/>
      <c r="AG322" s="153"/>
      <c r="AH322" s="346">
        <f>((PI()/LN(2))*135)*0.7873</f>
        <v>481.72416385417426</v>
      </c>
      <c r="AI322" s="24"/>
      <c r="AJ322" s="24"/>
      <c r="AK322" s="24"/>
      <c r="AL322" s="24"/>
      <c r="AM322" s="359"/>
      <c r="AN322" s="24">
        <f t="shared" si="52"/>
        <v>0</v>
      </c>
      <c r="AO322" s="54">
        <f t="shared" si="53"/>
        <v>0</v>
      </c>
      <c r="AP322" s="261">
        <f t="shared" si="54"/>
        <v>0</v>
      </c>
      <c r="AQ322" s="338"/>
      <c r="AR322" s="45"/>
      <c r="AS322" s="359"/>
      <c r="AT322" s="359"/>
    </row>
    <row r="323" spans="1:46" ht="12">
      <c r="A323" s="359" t="s">
        <v>455</v>
      </c>
      <c r="B323" s="359" t="str">
        <f t="shared" ref="B323:B386" si="56">P323</f>
        <v>MgO</v>
      </c>
      <c r="C323" s="141">
        <f t="shared" ref="C323:C386" si="57">AF323</f>
        <v>0</v>
      </c>
      <c r="D323" s="277">
        <f t="shared" ref="D323:D386" si="58">AH323</f>
        <v>287.25033474267428</v>
      </c>
      <c r="E323" s="20">
        <f t="shared" ref="E323:E386" si="59">AJ323</f>
        <v>0</v>
      </c>
      <c r="F323" s="20">
        <f t="shared" ref="F323:F386" si="60">AK323</f>
        <v>0</v>
      </c>
      <c r="G323" s="277">
        <f t="shared" ref="G323:G386" si="61">AN323</f>
        <v>0</v>
      </c>
      <c r="H323" s="3">
        <f t="shared" si="55"/>
        <v>0</v>
      </c>
      <c r="I323" s="277">
        <f t="shared" ref="I323:I386" si="62">AO323</f>
        <v>0</v>
      </c>
      <c r="J323" s="359"/>
      <c r="K323" s="359" t="s">
        <v>186</v>
      </c>
      <c r="L323" s="359"/>
      <c r="M323" s="338" t="s">
        <v>135</v>
      </c>
      <c r="N323" s="89">
        <v>41067</v>
      </c>
      <c r="O323" s="359">
        <v>125</v>
      </c>
      <c r="P323" s="359" t="s">
        <v>46</v>
      </c>
      <c r="Q323" s="359"/>
      <c r="R323" s="359"/>
      <c r="S323" s="359">
        <v>800</v>
      </c>
      <c r="T323" s="359">
        <v>60</v>
      </c>
      <c r="U323" s="359">
        <v>400</v>
      </c>
      <c r="V323" s="359"/>
      <c r="W323" s="359"/>
      <c r="X323" s="359"/>
      <c r="Y323" s="359">
        <v>47</v>
      </c>
      <c r="Z323" s="359"/>
      <c r="AA323" s="210"/>
      <c r="AB323" s="248"/>
      <c r="AC323" s="359"/>
      <c r="AD323" s="359"/>
      <c r="AE323" s="359"/>
      <c r="AF323" s="359"/>
      <c r="AG323" s="153"/>
      <c r="AH323" s="346">
        <f>((PI()/LN(2))*80.5)*0.7873</f>
        <v>287.25033474267428</v>
      </c>
      <c r="AI323" s="24"/>
      <c r="AJ323" s="24"/>
      <c r="AK323" s="24"/>
      <c r="AL323" s="24"/>
      <c r="AM323" s="359"/>
      <c r="AN323" s="24">
        <f t="shared" ref="AN323:AN386" si="63">((AH323*AF323)/10)</f>
        <v>0</v>
      </c>
      <c r="AO323" s="54">
        <f t="shared" ref="AO323:AO386" si="64">(AF323*AH323)*AJ323</f>
        <v>0</v>
      </c>
      <c r="AP323" s="261">
        <f t="shared" ref="AP323:AP386" si="65">(AF323/T323)*60</f>
        <v>0</v>
      </c>
      <c r="AQ323" s="338"/>
      <c r="AR323" s="45"/>
      <c r="AS323" s="359"/>
      <c r="AT323" s="359"/>
    </row>
    <row r="324" spans="1:46" ht="12">
      <c r="A324" s="359" t="s">
        <v>456</v>
      </c>
      <c r="B324" s="359" t="str">
        <f t="shared" si="56"/>
        <v>MgO</v>
      </c>
      <c r="C324" s="141">
        <f t="shared" si="57"/>
        <v>0</v>
      </c>
      <c r="D324" s="277">
        <f t="shared" si="58"/>
        <v>284.7525057449119</v>
      </c>
      <c r="E324" s="20">
        <f t="shared" si="59"/>
        <v>0</v>
      </c>
      <c r="F324" s="20">
        <f t="shared" si="60"/>
        <v>0</v>
      </c>
      <c r="G324" s="277">
        <f t="shared" si="61"/>
        <v>0</v>
      </c>
      <c r="H324" s="3">
        <f t="shared" si="55"/>
        <v>0</v>
      </c>
      <c r="I324" s="277">
        <f t="shared" si="62"/>
        <v>0</v>
      </c>
      <c r="J324" s="359"/>
      <c r="K324" s="359" t="s">
        <v>186</v>
      </c>
      <c r="L324" s="359"/>
      <c r="M324" s="338" t="s">
        <v>135</v>
      </c>
      <c r="N324" s="89">
        <v>41067</v>
      </c>
      <c r="O324" s="359">
        <v>125</v>
      </c>
      <c r="P324" s="359" t="s">
        <v>46</v>
      </c>
      <c r="Q324" s="359"/>
      <c r="R324" s="359"/>
      <c r="S324" s="359">
        <v>800</v>
      </c>
      <c r="T324" s="359">
        <v>60</v>
      </c>
      <c r="U324" s="359">
        <v>400</v>
      </c>
      <c r="V324" s="359"/>
      <c r="W324" s="359"/>
      <c r="X324" s="359"/>
      <c r="Y324" s="359">
        <v>47</v>
      </c>
      <c r="Z324" s="359"/>
      <c r="AA324" s="210"/>
      <c r="AB324" s="248"/>
      <c r="AC324" s="359"/>
      <c r="AD324" s="359"/>
      <c r="AE324" s="359"/>
      <c r="AF324" s="359"/>
      <c r="AG324" s="153"/>
      <c r="AH324" s="346">
        <f>((PI()/LN(2))*79.8)*0.7873</f>
        <v>284.7525057449119</v>
      </c>
      <c r="AI324" s="24"/>
      <c r="AJ324" s="24"/>
      <c r="AK324" s="24"/>
      <c r="AL324" s="24"/>
      <c r="AM324" s="359"/>
      <c r="AN324" s="24">
        <f t="shared" si="63"/>
        <v>0</v>
      </c>
      <c r="AO324" s="54">
        <f t="shared" si="64"/>
        <v>0</v>
      </c>
      <c r="AP324" s="261">
        <f t="shared" si="65"/>
        <v>0</v>
      </c>
      <c r="AQ324" s="338"/>
      <c r="AR324" s="45"/>
      <c r="AS324" s="359"/>
      <c r="AT324" s="359"/>
    </row>
    <row r="325" spans="1:46" ht="12">
      <c r="A325" s="359" t="s">
        <v>457</v>
      </c>
      <c r="B325" s="359" t="str">
        <f t="shared" si="56"/>
        <v>SiNx</v>
      </c>
      <c r="C325" s="141">
        <f t="shared" si="57"/>
        <v>9.6999999999999993</v>
      </c>
      <c r="D325" s="277">
        <f t="shared" si="58"/>
        <v>333.04386636831799</v>
      </c>
      <c r="E325" s="20">
        <f t="shared" si="59"/>
        <v>0</v>
      </c>
      <c r="F325" s="20">
        <f t="shared" si="60"/>
        <v>0</v>
      </c>
      <c r="G325" s="277">
        <f t="shared" si="61"/>
        <v>323.0525503772684</v>
      </c>
      <c r="H325" s="3">
        <f t="shared" si="55"/>
        <v>0</v>
      </c>
      <c r="I325" s="277">
        <f t="shared" si="62"/>
        <v>0</v>
      </c>
      <c r="J325" s="359"/>
      <c r="K325" s="359" t="s">
        <v>186</v>
      </c>
      <c r="L325" s="359"/>
      <c r="M325" s="338" t="s">
        <v>138</v>
      </c>
      <c r="N325" s="89">
        <v>41071</v>
      </c>
      <c r="O325" s="359">
        <v>126</v>
      </c>
      <c r="P325" s="359" t="s">
        <v>187</v>
      </c>
      <c r="Q325" s="359"/>
      <c r="R325" s="359"/>
      <c r="S325" s="359">
        <v>20</v>
      </c>
      <c r="T325" s="359">
        <v>120</v>
      </c>
      <c r="U325" s="359">
        <v>400</v>
      </c>
      <c r="V325" s="359"/>
      <c r="W325" s="359"/>
      <c r="X325" s="359"/>
      <c r="Y325" s="359">
        <v>47</v>
      </c>
      <c r="Z325" s="359"/>
      <c r="AA325" s="210"/>
      <c r="AB325" s="248">
        <v>0.3634</v>
      </c>
      <c r="AC325" s="359">
        <v>0.37659999999999999</v>
      </c>
      <c r="AD325" s="359">
        <v>0.26</v>
      </c>
      <c r="AE325" s="359" t="s">
        <v>47</v>
      </c>
      <c r="AF325" s="359">
        <v>9.6999999999999993</v>
      </c>
      <c r="AG325" s="153"/>
      <c r="AH325" s="346">
        <v>333.04386636831799</v>
      </c>
      <c r="AI325" s="24"/>
      <c r="AJ325" s="24"/>
      <c r="AK325" s="24"/>
      <c r="AL325" s="24"/>
      <c r="AM325" s="359"/>
      <c r="AN325" s="24">
        <f t="shared" si="63"/>
        <v>323.0525503772684</v>
      </c>
      <c r="AO325" s="54">
        <f t="shared" si="64"/>
        <v>0</v>
      </c>
      <c r="AP325" s="261">
        <f t="shared" si="65"/>
        <v>4.8499999999999996</v>
      </c>
      <c r="AQ325" s="338"/>
      <c r="AR325" s="45"/>
      <c r="AS325" s="359"/>
      <c r="AT325" s="359"/>
    </row>
    <row r="326" spans="1:46" ht="12">
      <c r="A326" s="359" t="s">
        <v>458</v>
      </c>
      <c r="B326" s="359" t="str">
        <f t="shared" si="56"/>
        <v>SiNx</v>
      </c>
      <c r="C326" s="141">
        <f t="shared" si="57"/>
        <v>0</v>
      </c>
      <c r="D326" s="277">
        <f t="shared" si="58"/>
        <v>331.61653551245399</v>
      </c>
      <c r="E326" s="20">
        <f t="shared" si="59"/>
        <v>0</v>
      </c>
      <c r="F326" s="20">
        <f t="shared" si="60"/>
        <v>0</v>
      </c>
      <c r="G326" s="277">
        <f t="shared" si="61"/>
        <v>0</v>
      </c>
      <c r="H326" s="3">
        <f t="shared" si="55"/>
        <v>0</v>
      </c>
      <c r="I326" s="277">
        <f t="shared" si="62"/>
        <v>0</v>
      </c>
      <c r="J326" s="359"/>
      <c r="K326" s="359" t="s">
        <v>186</v>
      </c>
      <c r="L326" s="359"/>
      <c r="M326" s="338" t="s">
        <v>138</v>
      </c>
      <c r="N326" s="89">
        <v>41071</v>
      </c>
      <c r="O326" s="359">
        <v>126</v>
      </c>
      <c r="P326" s="359" t="s">
        <v>187</v>
      </c>
      <c r="Q326" s="359"/>
      <c r="R326" s="359"/>
      <c r="S326" s="359">
        <v>20</v>
      </c>
      <c r="T326" s="359">
        <v>120</v>
      </c>
      <c r="U326" s="359">
        <v>400</v>
      </c>
      <c r="V326" s="359"/>
      <c r="W326" s="359"/>
      <c r="X326" s="359"/>
      <c r="Y326" s="359">
        <v>47</v>
      </c>
      <c r="Z326" s="359"/>
      <c r="AA326" s="210"/>
      <c r="AB326" s="248"/>
      <c r="AC326" s="359"/>
      <c r="AD326" s="359"/>
      <c r="AE326" s="359"/>
      <c r="AF326" s="359"/>
      <c r="AG326" s="153"/>
      <c r="AH326" s="346">
        <v>331.61653551245399</v>
      </c>
      <c r="AI326" s="24"/>
      <c r="AJ326" s="24"/>
      <c r="AK326" s="24"/>
      <c r="AL326" s="24"/>
      <c r="AM326" s="359"/>
      <c r="AN326" s="24">
        <f t="shared" si="63"/>
        <v>0</v>
      </c>
      <c r="AO326" s="54">
        <f t="shared" si="64"/>
        <v>0</v>
      </c>
      <c r="AP326" s="261">
        <f t="shared" si="65"/>
        <v>0</v>
      </c>
      <c r="AQ326" s="338"/>
      <c r="AR326" s="45"/>
      <c r="AS326" s="359"/>
      <c r="AT326" s="359"/>
    </row>
    <row r="327" spans="1:46" ht="12">
      <c r="A327" s="359" t="s">
        <v>459</v>
      </c>
      <c r="B327" s="359" t="str">
        <f t="shared" si="56"/>
        <v>SiNx</v>
      </c>
      <c r="C327" s="141">
        <f t="shared" si="57"/>
        <v>8.6</v>
      </c>
      <c r="D327" s="277">
        <f t="shared" si="58"/>
        <v>388.47188127104499</v>
      </c>
      <c r="E327" s="20">
        <f t="shared" si="59"/>
        <v>0</v>
      </c>
      <c r="F327" s="20">
        <f t="shared" si="60"/>
        <v>0</v>
      </c>
      <c r="G327" s="277">
        <f t="shared" si="61"/>
        <v>334.08581789309869</v>
      </c>
      <c r="H327" s="3">
        <f t="shared" si="55"/>
        <v>0</v>
      </c>
      <c r="I327" s="277">
        <f t="shared" si="62"/>
        <v>0</v>
      </c>
      <c r="J327" s="359"/>
      <c r="K327" s="359" t="s">
        <v>186</v>
      </c>
      <c r="L327" s="359"/>
      <c r="M327" s="338" t="s">
        <v>138</v>
      </c>
      <c r="N327" s="89">
        <v>41071</v>
      </c>
      <c r="O327" s="359">
        <v>127</v>
      </c>
      <c r="P327" s="359" t="s">
        <v>187</v>
      </c>
      <c r="Q327" s="359"/>
      <c r="R327" s="359"/>
      <c r="S327" s="359">
        <v>20</v>
      </c>
      <c r="T327" s="359">
        <v>104</v>
      </c>
      <c r="U327" s="359">
        <v>400</v>
      </c>
      <c r="V327" s="359"/>
      <c r="W327" s="359"/>
      <c r="X327" s="359"/>
      <c r="Y327" s="359">
        <v>47</v>
      </c>
      <c r="Z327" s="359"/>
      <c r="AA327" s="210"/>
      <c r="AB327" s="248">
        <v>0.33979999999999999</v>
      </c>
      <c r="AC327" s="359">
        <v>0.41160000000000002</v>
      </c>
      <c r="AD327" s="359">
        <v>0.2485</v>
      </c>
      <c r="AE327" s="359" t="s">
        <v>47</v>
      </c>
      <c r="AF327" s="359">
        <v>8.6</v>
      </c>
      <c r="AG327" s="153"/>
      <c r="AH327" s="346">
        <v>388.47188127104499</v>
      </c>
      <c r="AI327" s="24"/>
      <c r="AJ327" s="24"/>
      <c r="AK327" s="24"/>
      <c r="AL327" s="24"/>
      <c r="AM327" s="359"/>
      <c r="AN327" s="24">
        <f t="shared" si="63"/>
        <v>334.08581789309869</v>
      </c>
      <c r="AO327" s="54">
        <f t="shared" si="64"/>
        <v>0</v>
      </c>
      <c r="AP327" s="261">
        <f t="shared" si="65"/>
        <v>4.9615384615384617</v>
      </c>
      <c r="AQ327" s="338"/>
      <c r="AR327" s="45"/>
      <c r="AS327" s="359"/>
      <c r="AT327" s="359"/>
    </row>
    <row r="328" spans="1:46" ht="12">
      <c r="A328" s="359" t="s">
        <v>460</v>
      </c>
      <c r="B328" s="359" t="str">
        <f t="shared" si="56"/>
        <v>SiNx</v>
      </c>
      <c r="C328" s="141">
        <f t="shared" si="57"/>
        <v>0</v>
      </c>
      <c r="D328" s="277">
        <f t="shared" si="58"/>
        <v>390.37498907886402</v>
      </c>
      <c r="E328" s="20">
        <f t="shared" si="59"/>
        <v>0</v>
      </c>
      <c r="F328" s="20">
        <f t="shared" si="60"/>
        <v>0</v>
      </c>
      <c r="G328" s="277">
        <f t="shared" si="61"/>
        <v>0</v>
      </c>
      <c r="H328" s="3">
        <f t="shared" si="55"/>
        <v>0</v>
      </c>
      <c r="I328" s="277">
        <f t="shared" si="62"/>
        <v>0</v>
      </c>
      <c r="J328" s="359"/>
      <c r="K328" s="359" t="s">
        <v>186</v>
      </c>
      <c r="L328" s="359"/>
      <c r="M328" s="338" t="s">
        <v>138</v>
      </c>
      <c r="N328" s="89">
        <v>41071</v>
      </c>
      <c r="O328" s="359">
        <v>127</v>
      </c>
      <c r="P328" s="359" t="s">
        <v>187</v>
      </c>
      <c r="Q328" s="359"/>
      <c r="R328" s="359"/>
      <c r="S328" s="359">
        <v>20</v>
      </c>
      <c r="T328" s="359">
        <v>104</v>
      </c>
      <c r="U328" s="359">
        <v>400</v>
      </c>
      <c r="V328" s="359"/>
      <c r="W328" s="359"/>
      <c r="X328" s="359"/>
      <c r="Y328" s="359">
        <v>47</v>
      </c>
      <c r="Z328" s="359"/>
      <c r="AA328" s="210"/>
      <c r="AB328" s="248"/>
      <c r="AC328" s="359"/>
      <c r="AD328" s="359"/>
      <c r="AE328" s="359"/>
      <c r="AF328" s="359"/>
      <c r="AG328" s="153"/>
      <c r="AH328" s="346">
        <v>390.37498907886402</v>
      </c>
      <c r="AI328" s="24"/>
      <c r="AJ328" s="24"/>
      <c r="AK328" s="24"/>
      <c r="AL328" s="24"/>
      <c r="AM328" s="359"/>
      <c r="AN328" s="24">
        <f t="shared" si="63"/>
        <v>0</v>
      </c>
      <c r="AO328" s="54">
        <f t="shared" si="64"/>
        <v>0</v>
      </c>
      <c r="AP328" s="261">
        <f t="shared" si="65"/>
        <v>0</v>
      </c>
      <c r="AQ328" s="338"/>
      <c r="AR328" s="45"/>
      <c r="AS328" s="359"/>
      <c r="AT328" s="359"/>
    </row>
    <row r="329" spans="1:46" ht="12">
      <c r="A329" s="359" t="s">
        <v>461</v>
      </c>
      <c r="B329" s="359" t="str">
        <f t="shared" si="56"/>
        <v>SiNx</v>
      </c>
      <c r="C329" s="141">
        <f t="shared" si="57"/>
        <v>0</v>
      </c>
      <c r="D329" s="277">
        <f t="shared" si="58"/>
        <v>389.30449093696598</v>
      </c>
      <c r="E329" s="20">
        <f t="shared" si="59"/>
        <v>0</v>
      </c>
      <c r="F329" s="20">
        <f t="shared" si="60"/>
        <v>0</v>
      </c>
      <c r="G329" s="277">
        <f t="shared" si="61"/>
        <v>0</v>
      </c>
      <c r="H329" s="3">
        <f t="shared" si="55"/>
        <v>0</v>
      </c>
      <c r="I329" s="277">
        <f t="shared" si="62"/>
        <v>0</v>
      </c>
      <c r="J329" s="359"/>
      <c r="K329" s="359" t="s">
        <v>186</v>
      </c>
      <c r="L329" s="359"/>
      <c r="M329" s="338" t="s">
        <v>138</v>
      </c>
      <c r="N329" s="89">
        <v>41085</v>
      </c>
      <c r="O329" s="359">
        <v>128</v>
      </c>
      <c r="P329" s="359" t="s">
        <v>187</v>
      </c>
      <c r="Q329" s="359"/>
      <c r="R329" s="359"/>
      <c r="S329" s="359">
        <v>20</v>
      </c>
      <c r="T329" s="359">
        <v>110</v>
      </c>
      <c r="U329" s="359">
        <v>400</v>
      </c>
      <c r="V329" s="359"/>
      <c r="W329" s="359"/>
      <c r="X329" s="359"/>
      <c r="Y329" s="359">
        <v>47</v>
      </c>
      <c r="Z329" s="359"/>
      <c r="AA329" s="210"/>
      <c r="AB329" s="248"/>
      <c r="AC329" s="359"/>
      <c r="AD329" s="359"/>
      <c r="AE329" s="359"/>
      <c r="AF329" s="359"/>
      <c r="AG329" s="153"/>
      <c r="AH329" s="346">
        <v>389.30449093696598</v>
      </c>
      <c r="AI329" s="24"/>
      <c r="AJ329" s="24"/>
      <c r="AK329" s="24"/>
      <c r="AL329" s="24"/>
      <c r="AM329" s="359"/>
      <c r="AN329" s="24">
        <f t="shared" si="63"/>
        <v>0</v>
      </c>
      <c r="AO329" s="54">
        <f t="shared" si="64"/>
        <v>0</v>
      </c>
      <c r="AP329" s="261">
        <f t="shared" si="65"/>
        <v>0</v>
      </c>
      <c r="AQ329" s="338"/>
      <c r="AR329" s="45"/>
      <c r="AS329" s="359"/>
      <c r="AT329" s="359"/>
    </row>
    <row r="330" spans="1:46" ht="12">
      <c r="A330" s="359" t="s">
        <v>462</v>
      </c>
      <c r="B330" s="359" t="str">
        <f t="shared" si="56"/>
        <v>SiNx</v>
      </c>
      <c r="C330" s="141">
        <f t="shared" si="57"/>
        <v>0</v>
      </c>
      <c r="D330" s="277">
        <f t="shared" si="58"/>
        <v>388.94765822300002</v>
      </c>
      <c r="E330" s="20">
        <f t="shared" si="59"/>
        <v>0</v>
      </c>
      <c r="F330" s="20">
        <f t="shared" si="60"/>
        <v>0</v>
      </c>
      <c r="G330" s="277">
        <f t="shared" si="61"/>
        <v>0</v>
      </c>
      <c r="H330" s="3">
        <f t="shared" si="55"/>
        <v>0</v>
      </c>
      <c r="I330" s="277">
        <f t="shared" si="62"/>
        <v>0</v>
      </c>
      <c r="J330" s="359"/>
      <c r="K330" s="359" t="s">
        <v>186</v>
      </c>
      <c r="L330" s="359"/>
      <c r="M330" s="338" t="s">
        <v>138</v>
      </c>
      <c r="N330" s="89">
        <v>41085</v>
      </c>
      <c r="O330" s="359">
        <v>128</v>
      </c>
      <c r="P330" s="359" t="s">
        <v>187</v>
      </c>
      <c r="Q330" s="359"/>
      <c r="R330" s="359"/>
      <c r="S330" s="359">
        <v>20</v>
      </c>
      <c r="T330" s="359">
        <v>110</v>
      </c>
      <c r="U330" s="359">
        <v>400</v>
      </c>
      <c r="V330" s="359"/>
      <c r="W330" s="359"/>
      <c r="X330" s="359"/>
      <c r="Y330" s="359">
        <v>47</v>
      </c>
      <c r="Z330" s="359"/>
      <c r="AA330" s="210"/>
      <c r="AB330" s="248"/>
      <c r="AC330" s="359"/>
      <c r="AD330" s="359"/>
      <c r="AE330" s="359"/>
      <c r="AF330" s="359"/>
      <c r="AG330" s="153"/>
      <c r="AH330" s="346">
        <v>388.94765822300002</v>
      </c>
      <c r="AI330" s="24"/>
      <c r="AJ330" s="24"/>
      <c r="AK330" s="24"/>
      <c r="AL330" s="24"/>
      <c r="AM330" s="359"/>
      <c r="AN330" s="24">
        <f t="shared" si="63"/>
        <v>0</v>
      </c>
      <c r="AO330" s="54">
        <f t="shared" si="64"/>
        <v>0</v>
      </c>
      <c r="AP330" s="261">
        <f t="shared" si="65"/>
        <v>0</v>
      </c>
      <c r="AQ330" s="338"/>
      <c r="AR330" s="45"/>
      <c r="AS330" s="359"/>
      <c r="AT330" s="359"/>
    </row>
    <row r="331" spans="1:46" ht="12">
      <c r="A331" s="359" t="s">
        <v>463</v>
      </c>
      <c r="B331" s="359" t="str">
        <f t="shared" si="56"/>
        <v>SiNx</v>
      </c>
      <c r="C331" s="141">
        <f t="shared" si="57"/>
        <v>0</v>
      </c>
      <c r="D331" s="277">
        <f t="shared" si="58"/>
        <v>390.73182179282998</v>
      </c>
      <c r="E331" s="20">
        <f t="shared" si="59"/>
        <v>0</v>
      </c>
      <c r="F331" s="20">
        <f t="shared" si="60"/>
        <v>0</v>
      </c>
      <c r="G331" s="277">
        <f t="shared" si="61"/>
        <v>0</v>
      </c>
      <c r="H331" s="3">
        <f t="shared" si="55"/>
        <v>0</v>
      </c>
      <c r="I331" s="277">
        <f t="shared" si="62"/>
        <v>0</v>
      </c>
      <c r="J331" s="359"/>
      <c r="K331" s="359" t="s">
        <v>186</v>
      </c>
      <c r="L331" s="359"/>
      <c r="M331" s="338" t="s">
        <v>138</v>
      </c>
      <c r="N331" s="89">
        <v>41085</v>
      </c>
      <c r="O331" s="359">
        <v>128</v>
      </c>
      <c r="P331" s="359" t="s">
        <v>187</v>
      </c>
      <c r="Q331" s="359"/>
      <c r="R331" s="359"/>
      <c r="S331" s="359">
        <v>20</v>
      </c>
      <c r="T331" s="359">
        <v>110</v>
      </c>
      <c r="U331" s="359">
        <v>400</v>
      </c>
      <c r="V331" s="359"/>
      <c r="W331" s="359"/>
      <c r="X331" s="359"/>
      <c r="Y331" s="359">
        <v>47</v>
      </c>
      <c r="Z331" s="359"/>
      <c r="AA331" s="210"/>
      <c r="AB331" s="248"/>
      <c r="AC331" s="359"/>
      <c r="AD331" s="359"/>
      <c r="AE331" s="359"/>
      <c r="AF331" s="359"/>
      <c r="AG331" s="153"/>
      <c r="AH331" s="346">
        <v>390.73182179282998</v>
      </c>
      <c r="AI331" s="24"/>
      <c r="AJ331" s="24"/>
      <c r="AK331" s="24"/>
      <c r="AL331" s="24"/>
      <c r="AM331" s="359"/>
      <c r="AN331" s="24">
        <f t="shared" si="63"/>
        <v>0</v>
      </c>
      <c r="AO331" s="54">
        <f t="shared" si="64"/>
        <v>0</v>
      </c>
      <c r="AP331" s="261">
        <f t="shared" si="65"/>
        <v>0</v>
      </c>
      <c r="AQ331" s="338"/>
      <c r="AR331" s="45"/>
      <c r="AS331" s="359"/>
      <c r="AT331" s="359"/>
    </row>
    <row r="332" spans="1:46" ht="12">
      <c r="A332" s="359" t="s">
        <v>464</v>
      </c>
      <c r="B332" s="359" t="str">
        <f t="shared" si="56"/>
        <v>MgO</v>
      </c>
      <c r="C332" s="141">
        <f t="shared" si="57"/>
        <v>3.7</v>
      </c>
      <c r="D332" s="277">
        <f t="shared" si="58"/>
        <v>0</v>
      </c>
      <c r="E332" s="20">
        <f t="shared" si="59"/>
        <v>0</v>
      </c>
      <c r="F332" s="20">
        <f t="shared" si="60"/>
        <v>0</v>
      </c>
      <c r="G332" s="277">
        <f t="shared" si="61"/>
        <v>0</v>
      </c>
      <c r="H332" s="3">
        <f t="shared" si="55"/>
        <v>0</v>
      </c>
      <c r="I332" s="277">
        <f t="shared" si="62"/>
        <v>0</v>
      </c>
      <c r="J332" s="359"/>
      <c r="K332" s="359" t="s">
        <v>385</v>
      </c>
      <c r="L332" s="359"/>
      <c r="M332" s="338"/>
      <c r="N332" s="89">
        <v>41086</v>
      </c>
      <c r="O332" s="359">
        <v>129</v>
      </c>
      <c r="P332" s="359" t="s">
        <v>46</v>
      </c>
      <c r="Q332" s="359"/>
      <c r="R332" s="359"/>
      <c r="S332" s="359">
        <v>800</v>
      </c>
      <c r="T332" s="359">
        <v>80</v>
      </c>
      <c r="U332" s="359">
        <v>400</v>
      </c>
      <c r="V332" s="359"/>
      <c r="W332" s="359"/>
      <c r="X332" s="359"/>
      <c r="Y332" s="359">
        <v>47</v>
      </c>
      <c r="Z332" s="359"/>
      <c r="AA332" s="210"/>
      <c r="AB332" s="248">
        <v>0.1757</v>
      </c>
      <c r="AC332" s="359">
        <v>0.60499999999999998</v>
      </c>
      <c r="AD332" s="359">
        <v>0.21940000000000001</v>
      </c>
      <c r="AE332" s="359" t="s">
        <v>47</v>
      </c>
      <c r="AF332" s="359">
        <v>3.7</v>
      </c>
      <c r="AG332" s="153"/>
      <c r="AH332" s="346"/>
      <c r="AI332" s="24"/>
      <c r="AJ332" s="24"/>
      <c r="AK332" s="24"/>
      <c r="AL332" s="24"/>
      <c r="AM332" s="359"/>
      <c r="AN332" s="24">
        <f t="shared" si="63"/>
        <v>0</v>
      </c>
      <c r="AO332" s="54">
        <f t="shared" si="64"/>
        <v>0</v>
      </c>
      <c r="AP332" s="261">
        <f t="shared" si="65"/>
        <v>2.7749999999999999</v>
      </c>
      <c r="AQ332" s="338"/>
      <c r="AR332" s="45"/>
      <c r="AS332" s="359"/>
      <c r="AT332" s="359"/>
    </row>
    <row r="333" spans="1:46" ht="12">
      <c r="A333" s="359" t="s">
        <v>465</v>
      </c>
      <c r="B333" s="359" t="str">
        <f t="shared" si="56"/>
        <v>MgO</v>
      </c>
      <c r="C333" s="141">
        <f t="shared" si="57"/>
        <v>0</v>
      </c>
      <c r="D333" s="277">
        <f t="shared" si="58"/>
        <v>0</v>
      </c>
      <c r="E333" s="20">
        <f t="shared" si="59"/>
        <v>0</v>
      </c>
      <c r="F333" s="20">
        <f t="shared" si="60"/>
        <v>0</v>
      </c>
      <c r="G333" s="277">
        <f t="shared" si="61"/>
        <v>0</v>
      </c>
      <c r="H333" s="3">
        <f t="shared" si="55"/>
        <v>0</v>
      </c>
      <c r="I333" s="277">
        <f t="shared" si="62"/>
        <v>0</v>
      </c>
      <c r="J333" s="359"/>
      <c r="K333" s="359" t="s">
        <v>385</v>
      </c>
      <c r="L333" s="359"/>
      <c r="M333" s="338"/>
      <c r="N333" s="89">
        <v>41086</v>
      </c>
      <c r="O333" s="359">
        <v>129</v>
      </c>
      <c r="P333" s="359" t="s">
        <v>46</v>
      </c>
      <c r="Q333" s="359"/>
      <c r="R333" s="359"/>
      <c r="S333" s="359">
        <v>800</v>
      </c>
      <c r="T333" s="359">
        <v>80</v>
      </c>
      <c r="U333" s="359">
        <v>400</v>
      </c>
      <c r="V333" s="359"/>
      <c r="W333" s="359"/>
      <c r="X333" s="359"/>
      <c r="Y333" s="359">
        <v>47</v>
      </c>
      <c r="Z333" s="359"/>
      <c r="AA333" s="210"/>
      <c r="AB333" s="248"/>
      <c r="AC333" s="359"/>
      <c r="AD333" s="359"/>
      <c r="AE333" s="359"/>
      <c r="AF333" s="359"/>
      <c r="AG333" s="153"/>
      <c r="AH333" s="346"/>
      <c r="AI333" s="24"/>
      <c r="AJ333" s="24"/>
      <c r="AK333" s="24"/>
      <c r="AL333" s="24"/>
      <c r="AM333" s="359"/>
      <c r="AN333" s="24">
        <f t="shared" si="63"/>
        <v>0</v>
      </c>
      <c r="AO333" s="54">
        <f t="shared" si="64"/>
        <v>0</v>
      </c>
      <c r="AP333" s="261">
        <f t="shared" si="65"/>
        <v>0</v>
      </c>
      <c r="AQ333" s="338"/>
      <c r="AR333" s="45"/>
      <c r="AS333" s="359"/>
      <c r="AT333" s="359"/>
    </row>
    <row r="334" spans="1:46" ht="12">
      <c r="A334" s="359" t="s">
        <v>466</v>
      </c>
      <c r="B334" s="359" t="str">
        <f t="shared" si="56"/>
        <v>MgO</v>
      </c>
      <c r="C334" s="141">
        <f t="shared" si="57"/>
        <v>5.5</v>
      </c>
      <c r="D334" s="277">
        <f t="shared" si="58"/>
        <v>292.72176969015402</v>
      </c>
      <c r="E334" s="20">
        <f t="shared" si="59"/>
        <v>11.5</v>
      </c>
      <c r="F334" s="20">
        <f t="shared" si="60"/>
        <v>1.115136543</v>
      </c>
      <c r="G334" s="277">
        <f t="shared" si="61"/>
        <v>160.9969733295847</v>
      </c>
      <c r="H334" s="3">
        <f t="shared" si="55"/>
        <v>0.68267299616578414</v>
      </c>
      <c r="I334" s="277">
        <f t="shared" si="62"/>
        <v>18514.651932902241</v>
      </c>
      <c r="J334" s="359"/>
      <c r="K334" s="359" t="s">
        <v>385</v>
      </c>
      <c r="L334" s="359"/>
      <c r="M334" s="338"/>
      <c r="N334" s="89">
        <v>41086</v>
      </c>
      <c r="O334" s="359">
        <v>130</v>
      </c>
      <c r="P334" s="359" t="s">
        <v>46</v>
      </c>
      <c r="Q334" s="359"/>
      <c r="R334" s="359"/>
      <c r="S334" s="359">
        <v>800</v>
      </c>
      <c r="T334" s="359">
        <v>114</v>
      </c>
      <c r="U334" s="359">
        <v>400</v>
      </c>
      <c r="V334" s="359"/>
      <c r="W334" s="359"/>
      <c r="X334" s="359"/>
      <c r="Y334" s="359">
        <v>47</v>
      </c>
      <c r="Z334" s="359"/>
      <c r="AA334" s="210"/>
      <c r="AB334" s="248">
        <v>0.21310000000000001</v>
      </c>
      <c r="AC334" s="359">
        <v>0.52380000000000004</v>
      </c>
      <c r="AD334" s="359">
        <v>0.2631</v>
      </c>
      <c r="AE334" s="359" t="s">
        <v>47</v>
      </c>
      <c r="AF334" s="359">
        <v>5.5</v>
      </c>
      <c r="AG334" s="153"/>
      <c r="AH334" s="346">
        <v>292.72176969015402</v>
      </c>
      <c r="AI334" s="24"/>
      <c r="AJ334" s="24">
        <v>11.5</v>
      </c>
      <c r="AK334" s="24">
        <v>1.115136543</v>
      </c>
      <c r="AL334" s="24">
        <f>112.17/164.31</f>
        <v>0.68267299616578414</v>
      </c>
      <c r="AM334" s="359" t="s">
        <v>156</v>
      </c>
      <c r="AN334" s="24">
        <f t="shared" si="63"/>
        <v>160.9969733295847</v>
      </c>
      <c r="AO334" s="54">
        <f t="shared" si="64"/>
        <v>18514.651932902241</v>
      </c>
      <c r="AP334" s="261">
        <f t="shared" si="65"/>
        <v>2.8947368421052628</v>
      </c>
      <c r="AQ334" s="338"/>
      <c r="AR334" s="45"/>
      <c r="AS334" s="359"/>
      <c r="AT334" s="359"/>
    </row>
    <row r="335" spans="1:46" ht="12">
      <c r="A335" s="359" t="s">
        <v>467</v>
      </c>
      <c r="B335" s="359" t="str">
        <f t="shared" si="56"/>
        <v>MgO</v>
      </c>
      <c r="C335" s="141">
        <f t="shared" si="57"/>
        <v>0</v>
      </c>
      <c r="D335" s="277">
        <f t="shared" si="58"/>
        <v>0</v>
      </c>
      <c r="E335" s="20">
        <f t="shared" si="59"/>
        <v>0</v>
      </c>
      <c r="F335" s="20">
        <f t="shared" si="60"/>
        <v>0</v>
      </c>
      <c r="G335" s="277">
        <f t="shared" si="61"/>
        <v>0</v>
      </c>
      <c r="H335" s="3">
        <f t="shared" si="55"/>
        <v>0</v>
      </c>
      <c r="I335" s="277">
        <f t="shared" si="62"/>
        <v>0</v>
      </c>
      <c r="J335" s="359"/>
      <c r="K335" s="359" t="s">
        <v>385</v>
      </c>
      <c r="L335" s="359"/>
      <c r="M335" s="338"/>
      <c r="N335" s="89">
        <v>41086</v>
      </c>
      <c r="O335" s="359">
        <v>130</v>
      </c>
      <c r="P335" s="359" t="s">
        <v>46</v>
      </c>
      <c r="Q335" s="359"/>
      <c r="R335" s="359"/>
      <c r="S335" s="359">
        <v>800</v>
      </c>
      <c r="T335" s="359">
        <v>114</v>
      </c>
      <c r="U335" s="359">
        <v>400</v>
      </c>
      <c r="V335" s="321"/>
      <c r="W335" s="321"/>
      <c r="X335" s="321"/>
      <c r="Y335" s="359">
        <v>47</v>
      </c>
      <c r="Z335" s="134"/>
      <c r="AA335" s="124"/>
      <c r="AB335" s="253"/>
      <c r="AC335" s="134"/>
      <c r="AD335" s="134"/>
      <c r="AE335" s="134"/>
      <c r="AF335" s="134"/>
      <c r="AG335" s="307"/>
      <c r="AH335" s="346"/>
      <c r="AI335" s="24"/>
      <c r="AJ335" s="24"/>
      <c r="AK335" s="24"/>
      <c r="AL335" s="24"/>
      <c r="AM335" s="359"/>
      <c r="AN335" s="24">
        <f t="shared" si="63"/>
        <v>0</v>
      </c>
      <c r="AO335" s="54">
        <f t="shared" si="64"/>
        <v>0</v>
      </c>
      <c r="AP335" s="261">
        <f t="shared" si="65"/>
        <v>0</v>
      </c>
      <c r="AQ335" s="338"/>
      <c r="AR335" s="45"/>
      <c r="AS335" s="359"/>
      <c r="AT335" s="359"/>
    </row>
    <row r="336" spans="1:46" ht="12">
      <c r="A336" s="359" t="s">
        <v>468</v>
      </c>
      <c r="B336" s="359" t="str">
        <f t="shared" si="56"/>
        <v>Sapphire</v>
      </c>
      <c r="C336" s="141">
        <f t="shared" si="57"/>
        <v>0</v>
      </c>
      <c r="D336" s="277">
        <f t="shared" si="58"/>
        <v>0</v>
      </c>
      <c r="E336" s="20">
        <f t="shared" si="59"/>
        <v>0</v>
      </c>
      <c r="F336" s="20">
        <f t="shared" si="60"/>
        <v>0</v>
      </c>
      <c r="G336" s="277">
        <f t="shared" si="61"/>
        <v>0</v>
      </c>
      <c r="H336" s="3">
        <f t="shared" si="55"/>
        <v>0</v>
      </c>
      <c r="I336" s="277">
        <f t="shared" si="62"/>
        <v>0</v>
      </c>
      <c r="J336" s="359"/>
      <c r="K336" s="359" t="s">
        <v>469</v>
      </c>
      <c r="L336" s="359"/>
      <c r="M336" s="338"/>
      <c r="N336" s="89">
        <v>41087</v>
      </c>
      <c r="O336" s="359">
        <v>131</v>
      </c>
      <c r="P336" s="359" t="s">
        <v>340</v>
      </c>
      <c r="Q336" s="359"/>
      <c r="R336" s="359"/>
      <c r="S336" s="359">
        <v>800</v>
      </c>
      <c r="T336" s="359">
        <v>300</v>
      </c>
      <c r="U336" s="359">
        <v>400</v>
      </c>
      <c r="V336" s="359"/>
      <c r="W336" s="359"/>
      <c r="X336" s="359"/>
      <c r="Y336" s="359">
        <v>47</v>
      </c>
      <c r="Z336" s="359"/>
      <c r="AA336" s="210"/>
      <c r="AB336" s="248"/>
      <c r="AC336" s="359"/>
      <c r="AD336" s="359"/>
      <c r="AE336" s="359"/>
      <c r="AF336" s="359"/>
      <c r="AG336" s="153"/>
      <c r="AH336" s="346"/>
      <c r="AI336" s="24"/>
      <c r="AJ336" s="24"/>
      <c r="AK336" s="24"/>
      <c r="AL336" s="24"/>
      <c r="AM336" s="359"/>
      <c r="AN336" s="24">
        <f t="shared" si="63"/>
        <v>0</v>
      </c>
      <c r="AO336" s="54">
        <f t="shared" si="64"/>
        <v>0</v>
      </c>
      <c r="AP336" s="261">
        <f t="shared" si="65"/>
        <v>0</v>
      </c>
      <c r="AQ336" s="338"/>
      <c r="AR336" s="45"/>
      <c r="AS336" s="359"/>
      <c r="AT336" s="359"/>
    </row>
    <row r="337" spans="1:46" ht="12">
      <c r="A337" s="359" t="s">
        <v>470</v>
      </c>
      <c r="B337" s="359" t="str">
        <f t="shared" si="56"/>
        <v>Sapphire</v>
      </c>
      <c r="C337" s="141">
        <f t="shared" si="57"/>
        <v>0</v>
      </c>
      <c r="D337" s="277">
        <f t="shared" si="58"/>
        <v>0</v>
      </c>
      <c r="E337" s="20">
        <f t="shared" si="59"/>
        <v>0</v>
      </c>
      <c r="F337" s="20">
        <f t="shared" si="60"/>
        <v>0</v>
      </c>
      <c r="G337" s="277">
        <f t="shared" si="61"/>
        <v>0</v>
      </c>
      <c r="H337" s="3">
        <f t="shared" si="55"/>
        <v>0</v>
      </c>
      <c r="I337" s="277">
        <f t="shared" si="62"/>
        <v>0</v>
      </c>
      <c r="J337" s="359"/>
      <c r="K337" s="359" t="s">
        <v>469</v>
      </c>
      <c r="L337" s="359"/>
      <c r="M337" s="338"/>
      <c r="N337" s="89">
        <v>41087</v>
      </c>
      <c r="O337" s="359">
        <v>131</v>
      </c>
      <c r="P337" s="359" t="s">
        <v>340</v>
      </c>
      <c r="Q337" s="359"/>
      <c r="R337" s="359"/>
      <c r="S337" s="359">
        <v>800</v>
      </c>
      <c r="T337" s="359">
        <v>300</v>
      </c>
      <c r="U337" s="359">
        <v>400</v>
      </c>
      <c r="V337" s="359"/>
      <c r="W337" s="359"/>
      <c r="X337" s="359"/>
      <c r="Y337" s="359">
        <v>47</v>
      </c>
      <c r="Z337" s="359"/>
      <c r="AA337" s="210"/>
      <c r="AB337" s="248"/>
      <c r="AC337" s="359"/>
      <c r="AD337" s="359"/>
      <c r="AE337" s="359"/>
      <c r="AF337" s="359"/>
      <c r="AG337" s="153"/>
      <c r="AH337" s="346"/>
      <c r="AI337" s="24"/>
      <c r="AJ337" s="24"/>
      <c r="AK337" s="24"/>
      <c r="AL337" s="24"/>
      <c r="AM337" s="359"/>
      <c r="AN337" s="24">
        <f t="shared" si="63"/>
        <v>0</v>
      </c>
      <c r="AO337" s="54">
        <f t="shared" si="64"/>
        <v>0</v>
      </c>
      <c r="AP337" s="261">
        <f t="shared" si="65"/>
        <v>0</v>
      </c>
      <c r="AQ337" s="338"/>
      <c r="AR337" s="45"/>
      <c r="AS337" s="359"/>
      <c r="AT337" s="359"/>
    </row>
    <row r="338" spans="1:46" ht="12">
      <c r="A338" s="359" t="s">
        <v>471</v>
      </c>
      <c r="B338" s="359" t="str">
        <f t="shared" si="56"/>
        <v>Sapphire</v>
      </c>
      <c r="C338" s="141">
        <f t="shared" si="57"/>
        <v>0</v>
      </c>
      <c r="D338" s="277">
        <f t="shared" si="58"/>
        <v>0</v>
      </c>
      <c r="E338" s="20">
        <f t="shared" si="59"/>
        <v>0</v>
      </c>
      <c r="F338" s="20">
        <f t="shared" si="60"/>
        <v>0</v>
      </c>
      <c r="G338" s="277">
        <f t="shared" si="61"/>
        <v>0</v>
      </c>
      <c r="H338" s="3">
        <f t="shared" si="55"/>
        <v>0</v>
      </c>
      <c r="I338" s="277">
        <f t="shared" si="62"/>
        <v>0</v>
      </c>
      <c r="J338" s="359"/>
      <c r="K338" s="359" t="s">
        <v>469</v>
      </c>
      <c r="L338" s="359"/>
      <c r="M338" s="338"/>
      <c r="N338" s="89">
        <v>41087</v>
      </c>
      <c r="O338" s="359">
        <v>131</v>
      </c>
      <c r="P338" s="359" t="s">
        <v>340</v>
      </c>
      <c r="Q338" s="359"/>
      <c r="R338" s="359"/>
      <c r="S338" s="359">
        <v>800</v>
      </c>
      <c r="T338" s="359">
        <v>300</v>
      </c>
      <c r="U338" s="359">
        <v>400</v>
      </c>
      <c r="V338" s="359"/>
      <c r="W338" s="359"/>
      <c r="X338" s="359"/>
      <c r="Y338" s="359">
        <v>47</v>
      </c>
      <c r="Z338" s="359"/>
      <c r="AA338" s="210"/>
      <c r="AB338" s="248"/>
      <c r="AC338" s="359"/>
      <c r="AD338" s="359"/>
      <c r="AE338" s="359"/>
      <c r="AF338" s="359"/>
      <c r="AG338" s="153"/>
      <c r="AH338" s="346"/>
      <c r="AI338" s="24"/>
      <c r="AJ338" s="24"/>
      <c r="AK338" s="24"/>
      <c r="AL338" s="24"/>
      <c r="AM338" s="359"/>
      <c r="AN338" s="24">
        <f t="shared" si="63"/>
        <v>0</v>
      </c>
      <c r="AO338" s="54">
        <f t="shared" si="64"/>
        <v>0</v>
      </c>
      <c r="AP338" s="261">
        <f t="shared" si="65"/>
        <v>0</v>
      </c>
      <c r="AQ338" s="338"/>
      <c r="AR338" s="45"/>
      <c r="AS338" s="359"/>
      <c r="AT338" s="359"/>
    </row>
    <row r="339" spans="1:46" ht="12">
      <c r="A339" s="359" t="s">
        <v>472</v>
      </c>
      <c r="B339" s="359" t="str">
        <f t="shared" si="56"/>
        <v>Sapphire</v>
      </c>
      <c r="C339" s="141">
        <f t="shared" si="57"/>
        <v>0</v>
      </c>
      <c r="D339" s="277">
        <f t="shared" si="58"/>
        <v>0</v>
      </c>
      <c r="E339" s="20">
        <f t="shared" si="59"/>
        <v>0</v>
      </c>
      <c r="F339" s="20">
        <f t="shared" si="60"/>
        <v>0</v>
      </c>
      <c r="G339" s="277">
        <f t="shared" si="61"/>
        <v>0</v>
      </c>
      <c r="H339" s="3">
        <f t="shared" si="55"/>
        <v>0</v>
      </c>
      <c r="I339" s="277">
        <f t="shared" si="62"/>
        <v>0</v>
      </c>
      <c r="J339" s="359"/>
      <c r="K339" s="359" t="s">
        <v>469</v>
      </c>
      <c r="L339" s="359"/>
      <c r="M339" s="338"/>
      <c r="N339" s="89">
        <v>41087</v>
      </c>
      <c r="O339" s="359">
        <v>131</v>
      </c>
      <c r="P339" s="359" t="s">
        <v>340</v>
      </c>
      <c r="Q339" s="359"/>
      <c r="R339" s="359"/>
      <c r="S339" s="359">
        <v>800</v>
      </c>
      <c r="T339" s="359">
        <v>300</v>
      </c>
      <c r="U339" s="359">
        <v>400</v>
      </c>
      <c r="V339" s="359"/>
      <c r="W339" s="359"/>
      <c r="X339" s="359"/>
      <c r="Y339" s="359">
        <v>47</v>
      </c>
      <c r="Z339" s="359"/>
      <c r="AA339" s="210"/>
      <c r="AB339" s="248"/>
      <c r="AC339" s="359"/>
      <c r="AD339" s="359"/>
      <c r="AE339" s="359"/>
      <c r="AF339" s="359"/>
      <c r="AG339" s="153"/>
      <c r="AH339" s="346"/>
      <c r="AI339" s="24"/>
      <c r="AJ339" s="24"/>
      <c r="AK339" s="24"/>
      <c r="AL339" s="24"/>
      <c r="AM339" s="359"/>
      <c r="AN339" s="24">
        <f t="shared" si="63"/>
        <v>0</v>
      </c>
      <c r="AO339" s="54">
        <f t="shared" si="64"/>
        <v>0</v>
      </c>
      <c r="AP339" s="261">
        <f t="shared" si="65"/>
        <v>0</v>
      </c>
      <c r="AQ339" s="338"/>
      <c r="AR339" s="45"/>
      <c r="AS339" s="359"/>
      <c r="AT339" s="359"/>
    </row>
    <row r="340" spans="1:46" ht="12">
      <c r="A340" s="381" t="s">
        <v>473</v>
      </c>
      <c r="B340" s="359">
        <f t="shared" si="56"/>
        <v>0</v>
      </c>
      <c r="C340" s="141">
        <f t="shared" si="57"/>
        <v>0</v>
      </c>
      <c r="D340" s="277">
        <f t="shared" si="58"/>
        <v>0</v>
      </c>
      <c r="E340" s="20">
        <f t="shared" si="59"/>
        <v>0</v>
      </c>
      <c r="F340" s="20">
        <f t="shared" si="60"/>
        <v>0</v>
      </c>
      <c r="G340" s="277">
        <f t="shared" si="61"/>
        <v>0</v>
      </c>
      <c r="H340" s="3">
        <f t="shared" si="55"/>
        <v>0</v>
      </c>
      <c r="I340" s="277">
        <f t="shared" si="62"/>
        <v>0</v>
      </c>
      <c r="J340" s="359"/>
      <c r="K340" s="173" t="s">
        <v>140</v>
      </c>
      <c r="L340" s="359"/>
      <c r="M340" s="338"/>
      <c r="N340" s="45"/>
      <c r="O340" s="359"/>
      <c r="P340" s="359"/>
      <c r="Q340" s="359"/>
      <c r="R340" s="359"/>
      <c r="S340" s="359"/>
      <c r="T340" s="359"/>
      <c r="U340" s="359"/>
      <c r="V340" s="359"/>
      <c r="W340" s="359"/>
      <c r="X340" s="359"/>
      <c r="Y340" s="359">
        <v>47</v>
      </c>
      <c r="Z340" s="359"/>
      <c r="AA340" s="210"/>
      <c r="AB340" s="248"/>
      <c r="AC340" s="359"/>
      <c r="AD340" s="359"/>
      <c r="AE340" s="359"/>
      <c r="AF340" s="359"/>
      <c r="AG340" s="153"/>
      <c r="AH340" s="346"/>
      <c r="AI340" s="24"/>
      <c r="AJ340" s="24"/>
      <c r="AK340" s="24"/>
      <c r="AL340" s="24"/>
      <c r="AM340" s="359"/>
      <c r="AN340" s="24">
        <f t="shared" si="63"/>
        <v>0</v>
      </c>
      <c r="AO340" s="54">
        <f t="shared" si="64"/>
        <v>0</v>
      </c>
      <c r="AP340" s="261" t="e">
        <f t="shared" si="65"/>
        <v>#DIV/0!</v>
      </c>
      <c r="AQ340" s="338"/>
      <c r="AR340" s="45"/>
      <c r="AS340" s="359"/>
      <c r="AT340" s="359"/>
    </row>
    <row r="341" spans="1:46" ht="12">
      <c r="A341" s="381" t="s">
        <v>474</v>
      </c>
      <c r="B341" s="359">
        <f t="shared" si="56"/>
        <v>0</v>
      </c>
      <c r="C341" s="141">
        <f t="shared" si="57"/>
        <v>0</v>
      </c>
      <c r="D341" s="277">
        <f t="shared" si="58"/>
        <v>0</v>
      </c>
      <c r="E341" s="20">
        <f t="shared" si="59"/>
        <v>0</v>
      </c>
      <c r="F341" s="20">
        <f t="shared" si="60"/>
        <v>0</v>
      </c>
      <c r="G341" s="277">
        <f t="shared" si="61"/>
        <v>0</v>
      </c>
      <c r="H341" s="3">
        <f t="shared" si="55"/>
        <v>0</v>
      </c>
      <c r="I341" s="277">
        <f t="shared" si="62"/>
        <v>0</v>
      </c>
      <c r="J341" s="359"/>
      <c r="K341" s="173" t="s">
        <v>140</v>
      </c>
      <c r="L341" s="359"/>
      <c r="M341" s="338"/>
      <c r="N341" s="45"/>
      <c r="O341" s="359"/>
      <c r="P341" s="359"/>
      <c r="Q341" s="359"/>
      <c r="R341" s="359"/>
      <c r="S341" s="359"/>
      <c r="T341" s="359"/>
      <c r="U341" s="359"/>
      <c r="V341" s="359"/>
      <c r="W341" s="359"/>
      <c r="X341" s="359"/>
      <c r="Y341" s="359">
        <v>47</v>
      </c>
      <c r="Z341" s="359"/>
      <c r="AA341" s="210"/>
      <c r="AB341" s="248"/>
      <c r="AC341" s="359"/>
      <c r="AD341" s="359"/>
      <c r="AE341" s="359"/>
      <c r="AF341" s="359"/>
      <c r="AG341" s="153"/>
      <c r="AH341" s="346"/>
      <c r="AI341" s="24"/>
      <c r="AJ341" s="24"/>
      <c r="AK341" s="24"/>
      <c r="AL341" s="24"/>
      <c r="AM341" s="359"/>
      <c r="AN341" s="24">
        <f t="shared" si="63"/>
        <v>0</v>
      </c>
      <c r="AO341" s="54">
        <f t="shared" si="64"/>
        <v>0</v>
      </c>
      <c r="AP341" s="261" t="e">
        <f t="shared" si="65"/>
        <v>#DIV/0!</v>
      </c>
      <c r="AQ341" s="338"/>
      <c r="AR341" s="45"/>
      <c r="AS341" s="359"/>
      <c r="AT341" s="359"/>
    </row>
    <row r="342" spans="1:46" ht="12">
      <c r="A342" s="359" t="s">
        <v>475</v>
      </c>
      <c r="B342" s="359" t="str">
        <f t="shared" si="56"/>
        <v>MgO</v>
      </c>
      <c r="C342" s="141">
        <f t="shared" si="57"/>
        <v>6.2</v>
      </c>
      <c r="D342" s="277">
        <f t="shared" si="58"/>
        <v>188.407672974077</v>
      </c>
      <c r="E342" s="20">
        <f t="shared" si="59"/>
        <v>13.2</v>
      </c>
      <c r="F342" s="20">
        <f t="shared" si="60"/>
        <v>0.70056853900000005</v>
      </c>
      <c r="G342" s="277">
        <f t="shared" si="61"/>
        <v>116.81275724392773</v>
      </c>
      <c r="H342" s="3">
        <f t="shared" si="55"/>
        <v>0.84116228322039743</v>
      </c>
      <c r="I342" s="277">
        <f t="shared" si="62"/>
        <v>15419.28395619846</v>
      </c>
      <c r="J342" s="359"/>
      <c r="K342" s="359" t="s">
        <v>476</v>
      </c>
      <c r="L342" s="359"/>
      <c r="M342" s="338"/>
      <c r="N342" s="89">
        <v>41089</v>
      </c>
      <c r="O342" s="359">
        <v>135</v>
      </c>
      <c r="P342" s="359" t="s">
        <v>46</v>
      </c>
      <c r="Q342" s="359"/>
      <c r="R342" s="359"/>
      <c r="S342" s="359">
        <v>800</v>
      </c>
      <c r="T342" s="359">
        <v>120</v>
      </c>
      <c r="U342" s="359">
        <v>400</v>
      </c>
      <c r="V342" s="359"/>
      <c r="W342" s="359"/>
      <c r="X342" s="359"/>
      <c r="Y342" s="359">
        <v>47</v>
      </c>
      <c r="Z342" s="359"/>
      <c r="AA342" s="210"/>
      <c r="AB342" s="248">
        <v>0.2442</v>
      </c>
      <c r="AC342" s="359">
        <v>0.49309999999999998</v>
      </c>
      <c r="AD342" s="359">
        <v>0.26269999999999999</v>
      </c>
      <c r="AE342" s="359" t="s">
        <v>47</v>
      </c>
      <c r="AF342" s="359">
        <v>6.2</v>
      </c>
      <c r="AG342" s="153"/>
      <c r="AH342" s="346">
        <v>188.407672974077</v>
      </c>
      <c r="AI342" s="24"/>
      <c r="AJ342" s="24">
        <v>13.2</v>
      </c>
      <c r="AK342" s="24">
        <v>0.70056853900000005</v>
      </c>
      <c r="AL342" s="24">
        <f>(73.24/87.07)</f>
        <v>0.84116228322039743</v>
      </c>
      <c r="AM342" s="359" t="s">
        <v>156</v>
      </c>
      <c r="AN342" s="24">
        <f t="shared" si="63"/>
        <v>116.81275724392773</v>
      </c>
      <c r="AO342" s="54">
        <f t="shared" si="64"/>
        <v>15419.28395619846</v>
      </c>
      <c r="AP342" s="261">
        <f t="shared" si="65"/>
        <v>3.1</v>
      </c>
      <c r="AQ342" s="338"/>
      <c r="AR342" s="45"/>
      <c r="AS342" s="359"/>
      <c r="AT342" s="359"/>
    </row>
    <row r="343" spans="1:46" ht="12">
      <c r="A343" s="359" t="s">
        <v>477</v>
      </c>
      <c r="B343" s="359" t="str">
        <f t="shared" si="56"/>
        <v>MgO</v>
      </c>
      <c r="C343" s="141">
        <f t="shared" si="57"/>
        <v>0</v>
      </c>
      <c r="D343" s="277">
        <f t="shared" si="58"/>
        <v>199.707375583002</v>
      </c>
      <c r="E343" s="20">
        <f t="shared" si="59"/>
        <v>0</v>
      </c>
      <c r="F343" s="20">
        <f t="shared" si="60"/>
        <v>0</v>
      </c>
      <c r="G343" s="277">
        <f t="shared" si="61"/>
        <v>0</v>
      </c>
      <c r="H343" s="3">
        <f t="shared" si="55"/>
        <v>0</v>
      </c>
      <c r="I343" s="277">
        <f t="shared" si="62"/>
        <v>0</v>
      </c>
      <c r="J343" s="359"/>
      <c r="K343" s="359" t="s">
        <v>476</v>
      </c>
      <c r="L343" s="359"/>
      <c r="M343" s="338"/>
      <c r="N343" s="89">
        <v>41089</v>
      </c>
      <c r="O343" s="359">
        <v>135</v>
      </c>
      <c r="P343" s="359" t="s">
        <v>46</v>
      </c>
      <c r="Q343" s="359"/>
      <c r="R343" s="359"/>
      <c r="S343" s="359">
        <v>800</v>
      </c>
      <c r="T343" s="359">
        <v>120</v>
      </c>
      <c r="U343" s="359">
        <v>400</v>
      </c>
      <c r="V343" s="359"/>
      <c r="W343" s="359"/>
      <c r="X343" s="359"/>
      <c r="Y343" s="359">
        <v>47</v>
      </c>
      <c r="Z343" s="359"/>
      <c r="AA343" s="210"/>
      <c r="AB343" s="248"/>
      <c r="AC343" s="359"/>
      <c r="AD343" s="359"/>
      <c r="AE343" s="359"/>
      <c r="AF343" s="359"/>
      <c r="AG343" s="153"/>
      <c r="AH343" s="346">
        <v>199.707375583002</v>
      </c>
      <c r="AI343" s="24"/>
      <c r="AJ343" s="24"/>
      <c r="AK343" s="24"/>
      <c r="AL343" s="24"/>
      <c r="AM343" s="359"/>
      <c r="AN343" s="24">
        <f t="shared" si="63"/>
        <v>0</v>
      </c>
      <c r="AO343" s="54">
        <f t="shared" si="64"/>
        <v>0</v>
      </c>
      <c r="AP343" s="261">
        <f t="shared" si="65"/>
        <v>0</v>
      </c>
      <c r="AQ343" s="338"/>
      <c r="AR343" s="45"/>
      <c r="AS343" s="359"/>
      <c r="AT343" s="359"/>
    </row>
    <row r="344" spans="1:46" ht="12">
      <c r="A344" s="359" t="s">
        <v>478</v>
      </c>
      <c r="B344" s="359" t="str">
        <f t="shared" si="56"/>
        <v>MgO</v>
      </c>
      <c r="C344" s="141">
        <f t="shared" si="57"/>
        <v>0</v>
      </c>
      <c r="D344" s="277">
        <f t="shared" si="58"/>
        <v>175.32380679532201</v>
      </c>
      <c r="E344" s="20">
        <f t="shared" si="59"/>
        <v>0</v>
      </c>
      <c r="F344" s="20">
        <f t="shared" si="60"/>
        <v>0</v>
      </c>
      <c r="G344" s="277">
        <f t="shared" si="61"/>
        <v>0</v>
      </c>
      <c r="H344" s="3">
        <f t="shared" si="55"/>
        <v>0</v>
      </c>
      <c r="I344" s="277">
        <f t="shared" si="62"/>
        <v>0</v>
      </c>
      <c r="J344" s="359"/>
      <c r="K344" s="359" t="s">
        <v>476</v>
      </c>
      <c r="L344" s="359"/>
      <c r="M344" s="338"/>
      <c r="N344" s="89">
        <v>41089</v>
      </c>
      <c r="O344" s="359">
        <v>135</v>
      </c>
      <c r="P344" s="359" t="s">
        <v>46</v>
      </c>
      <c r="Q344" s="359"/>
      <c r="R344" s="359"/>
      <c r="S344" s="359">
        <v>800</v>
      </c>
      <c r="T344" s="359">
        <v>120</v>
      </c>
      <c r="U344" s="359">
        <v>400</v>
      </c>
      <c r="V344" s="359"/>
      <c r="W344" s="359"/>
      <c r="X344" s="359"/>
      <c r="Y344" s="359">
        <v>47</v>
      </c>
      <c r="Z344" s="359"/>
      <c r="AA344" s="210"/>
      <c r="AB344" s="248"/>
      <c r="AC344" s="359"/>
      <c r="AD344" s="359"/>
      <c r="AE344" s="359"/>
      <c r="AF344" s="359"/>
      <c r="AG344" s="153"/>
      <c r="AH344" s="346">
        <v>175.32380679532201</v>
      </c>
      <c r="AI344" s="24"/>
      <c r="AJ344" s="24"/>
      <c r="AK344" s="24"/>
      <c r="AL344" s="24"/>
      <c r="AM344" s="359"/>
      <c r="AN344" s="24">
        <f t="shared" si="63"/>
        <v>0</v>
      </c>
      <c r="AO344" s="54">
        <f t="shared" si="64"/>
        <v>0</v>
      </c>
      <c r="AP344" s="261">
        <f t="shared" si="65"/>
        <v>0</v>
      </c>
      <c r="AQ344" s="338"/>
      <c r="AR344" s="45"/>
      <c r="AS344" s="359"/>
      <c r="AT344" s="359"/>
    </row>
    <row r="345" spans="1:46" ht="12">
      <c r="A345" s="359" t="s">
        <v>479</v>
      </c>
      <c r="B345" s="359" t="str">
        <f t="shared" si="56"/>
        <v>MgO</v>
      </c>
      <c r="C345" s="141">
        <f t="shared" si="57"/>
        <v>0</v>
      </c>
      <c r="D345" s="277">
        <f t="shared" si="58"/>
        <v>193.641219445579</v>
      </c>
      <c r="E345" s="20">
        <f t="shared" si="59"/>
        <v>0</v>
      </c>
      <c r="F345" s="20">
        <f t="shared" si="60"/>
        <v>0</v>
      </c>
      <c r="G345" s="277">
        <f t="shared" si="61"/>
        <v>0</v>
      </c>
      <c r="H345" s="3">
        <f t="shared" si="55"/>
        <v>0</v>
      </c>
      <c r="I345" s="277">
        <f t="shared" si="62"/>
        <v>0</v>
      </c>
      <c r="J345" s="359"/>
      <c r="K345" s="359" t="s">
        <v>476</v>
      </c>
      <c r="L345" s="359"/>
      <c r="M345" s="338"/>
      <c r="N345" s="89">
        <v>41089</v>
      </c>
      <c r="O345" s="359">
        <v>135</v>
      </c>
      <c r="P345" s="359" t="s">
        <v>46</v>
      </c>
      <c r="Q345" s="359"/>
      <c r="R345" s="359"/>
      <c r="S345" s="359">
        <v>800</v>
      </c>
      <c r="T345" s="359">
        <v>120</v>
      </c>
      <c r="U345" s="359">
        <v>400</v>
      </c>
      <c r="V345" s="359"/>
      <c r="W345" s="359"/>
      <c r="X345" s="359"/>
      <c r="Y345" s="359">
        <v>47</v>
      </c>
      <c r="Z345" s="359"/>
      <c r="AA345" s="210"/>
      <c r="AB345" s="248"/>
      <c r="AC345" s="359"/>
      <c r="AD345" s="359"/>
      <c r="AE345" s="359"/>
      <c r="AF345" s="359"/>
      <c r="AG345" s="153"/>
      <c r="AH345" s="346">
        <v>193.641219445579</v>
      </c>
      <c r="AI345" s="24"/>
      <c r="AJ345" s="24"/>
      <c r="AK345" s="24"/>
      <c r="AL345" s="24"/>
      <c r="AM345" s="359"/>
      <c r="AN345" s="24">
        <f t="shared" si="63"/>
        <v>0</v>
      </c>
      <c r="AO345" s="54">
        <f t="shared" si="64"/>
        <v>0</v>
      </c>
      <c r="AP345" s="261">
        <f t="shared" si="65"/>
        <v>0</v>
      </c>
      <c r="AQ345" s="338"/>
      <c r="AR345" s="45"/>
      <c r="AS345" s="359"/>
      <c r="AT345" s="359"/>
    </row>
    <row r="346" spans="1:46" ht="12">
      <c r="A346" s="359" t="s">
        <v>480</v>
      </c>
      <c r="B346" s="359" t="str">
        <f t="shared" si="56"/>
        <v>MgO</v>
      </c>
      <c r="C346" s="141">
        <f t="shared" si="57"/>
        <v>5.0999999999999996</v>
      </c>
      <c r="D346" s="277">
        <f t="shared" si="58"/>
        <v>213.861739903656</v>
      </c>
      <c r="E346" s="20">
        <f t="shared" si="59"/>
        <v>0</v>
      </c>
      <c r="F346" s="20">
        <f t="shared" si="60"/>
        <v>0</v>
      </c>
      <c r="G346" s="277">
        <f t="shared" si="61"/>
        <v>109.06948735086455</v>
      </c>
      <c r="H346" s="3">
        <f t="shared" si="55"/>
        <v>0</v>
      </c>
      <c r="I346" s="277">
        <f t="shared" si="62"/>
        <v>0</v>
      </c>
      <c r="J346" s="359"/>
      <c r="K346" s="359" t="s">
        <v>476</v>
      </c>
      <c r="L346" s="359"/>
      <c r="M346" s="338"/>
      <c r="N346" s="89">
        <v>41092</v>
      </c>
      <c r="O346" s="359">
        <v>136</v>
      </c>
      <c r="P346" s="359" t="s">
        <v>46</v>
      </c>
      <c r="Q346" s="359"/>
      <c r="R346" s="359"/>
      <c r="S346" s="359">
        <v>800</v>
      </c>
      <c r="T346" s="359">
        <v>104</v>
      </c>
      <c r="U346" s="359">
        <v>400</v>
      </c>
      <c r="V346" s="359"/>
      <c r="W346" s="359"/>
      <c r="X346" s="359"/>
      <c r="Y346" s="359">
        <v>47</v>
      </c>
      <c r="Z346" s="359"/>
      <c r="AA346" s="210"/>
      <c r="AB346" s="248">
        <v>0.22059999999999999</v>
      </c>
      <c r="AC346" s="359">
        <v>0.53959999999999997</v>
      </c>
      <c r="AD346" s="359">
        <v>0.23980000000000001</v>
      </c>
      <c r="AE346" s="359" t="s">
        <v>47</v>
      </c>
      <c r="AF346" s="359">
        <v>5.0999999999999996</v>
      </c>
      <c r="AG346" s="153"/>
      <c r="AH346" s="346">
        <v>213.861739903656</v>
      </c>
      <c r="AI346" s="24"/>
      <c r="AJ346" s="24"/>
      <c r="AK346" s="24"/>
      <c r="AL346" s="24"/>
      <c r="AM346" s="359"/>
      <c r="AN346" s="24">
        <f t="shared" si="63"/>
        <v>109.06948735086455</v>
      </c>
      <c r="AO346" s="54">
        <f t="shared" si="64"/>
        <v>0</v>
      </c>
      <c r="AP346" s="261">
        <f t="shared" si="65"/>
        <v>2.9423076923076921</v>
      </c>
      <c r="AQ346" s="338"/>
      <c r="AR346" s="45"/>
      <c r="AS346" s="359"/>
      <c r="AT346" s="359"/>
    </row>
    <row r="347" spans="1:46" ht="12">
      <c r="A347" s="359" t="s">
        <v>481</v>
      </c>
      <c r="B347" s="359" t="str">
        <f t="shared" si="56"/>
        <v>MgO</v>
      </c>
      <c r="C347" s="141">
        <f t="shared" si="57"/>
        <v>0</v>
      </c>
      <c r="D347" s="277">
        <f t="shared" si="58"/>
        <v>212.79124176175799</v>
      </c>
      <c r="E347" s="20">
        <f t="shared" si="59"/>
        <v>0</v>
      </c>
      <c r="F347" s="20">
        <f t="shared" si="60"/>
        <v>0</v>
      </c>
      <c r="G347" s="277">
        <f t="shared" si="61"/>
        <v>0</v>
      </c>
      <c r="H347" s="3">
        <f t="shared" si="55"/>
        <v>0</v>
      </c>
      <c r="I347" s="277">
        <f t="shared" si="62"/>
        <v>0</v>
      </c>
      <c r="J347" s="359"/>
      <c r="K347" s="359" t="s">
        <v>476</v>
      </c>
      <c r="L347" s="359"/>
      <c r="M347" s="338"/>
      <c r="N347" s="89">
        <v>41092</v>
      </c>
      <c r="O347" s="359">
        <v>136</v>
      </c>
      <c r="P347" s="359" t="s">
        <v>46</v>
      </c>
      <c r="Q347" s="359"/>
      <c r="R347" s="359"/>
      <c r="S347" s="359">
        <v>800</v>
      </c>
      <c r="T347" s="359">
        <v>104</v>
      </c>
      <c r="U347" s="359">
        <v>400</v>
      </c>
      <c r="V347" s="359"/>
      <c r="W347" s="359"/>
      <c r="X347" s="359"/>
      <c r="Y347" s="359">
        <v>47</v>
      </c>
      <c r="Z347" s="359"/>
      <c r="AA347" s="210"/>
      <c r="AB347" s="248"/>
      <c r="AC347" s="359"/>
      <c r="AD347" s="359"/>
      <c r="AE347" s="359"/>
      <c r="AF347" s="359"/>
      <c r="AG347" s="153"/>
      <c r="AH347" s="346">
        <v>212.79124176175799</v>
      </c>
      <c r="AI347" s="24"/>
      <c r="AJ347" s="24"/>
      <c r="AK347" s="24"/>
      <c r="AL347" s="24"/>
      <c r="AM347" s="359"/>
      <c r="AN347" s="24">
        <f t="shared" si="63"/>
        <v>0</v>
      </c>
      <c r="AO347" s="54">
        <f t="shared" si="64"/>
        <v>0</v>
      </c>
      <c r="AP347" s="261">
        <f t="shared" si="65"/>
        <v>0</v>
      </c>
      <c r="AQ347" s="338"/>
      <c r="AR347" s="45"/>
      <c r="AS347" s="359"/>
      <c r="AT347" s="359"/>
    </row>
    <row r="348" spans="1:46" ht="12">
      <c r="A348" s="359" t="s">
        <v>482</v>
      </c>
      <c r="B348" s="359" t="str">
        <f t="shared" si="56"/>
        <v>MgO</v>
      </c>
      <c r="C348" s="141">
        <f t="shared" si="57"/>
        <v>5.3</v>
      </c>
      <c r="D348" s="277">
        <f t="shared" si="58"/>
        <v>251.56706334606901</v>
      </c>
      <c r="E348" s="20">
        <f t="shared" si="59"/>
        <v>0</v>
      </c>
      <c r="F348" s="20">
        <f t="shared" si="60"/>
        <v>0</v>
      </c>
      <c r="G348" s="277">
        <f t="shared" si="61"/>
        <v>133.33054357341658</v>
      </c>
      <c r="H348" s="3">
        <f t="shared" si="55"/>
        <v>0</v>
      </c>
      <c r="I348" s="277">
        <f t="shared" si="62"/>
        <v>0</v>
      </c>
      <c r="J348" s="359"/>
      <c r="K348" s="359" t="s">
        <v>476</v>
      </c>
      <c r="L348" s="359"/>
      <c r="M348" s="338"/>
      <c r="N348" s="89">
        <v>41092</v>
      </c>
      <c r="O348" s="359">
        <v>136</v>
      </c>
      <c r="P348" s="359" t="s">
        <v>46</v>
      </c>
      <c r="Q348" s="359"/>
      <c r="R348" s="359"/>
      <c r="S348" s="359">
        <v>800</v>
      </c>
      <c r="T348" s="359">
        <v>104</v>
      </c>
      <c r="U348" s="359">
        <v>400</v>
      </c>
      <c r="V348" s="359"/>
      <c r="W348" s="359"/>
      <c r="X348" s="359"/>
      <c r="Y348" s="359">
        <v>47</v>
      </c>
      <c r="Z348" s="359"/>
      <c r="AA348" s="210"/>
      <c r="AB348" s="248">
        <v>0.2268</v>
      </c>
      <c r="AC348" s="359">
        <v>0.53</v>
      </c>
      <c r="AD348" s="359">
        <v>0.2432</v>
      </c>
      <c r="AE348" s="359" t="s">
        <v>47</v>
      </c>
      <c r="AF348" s="359">
        <v>5.3</v>
      </c>
      <c r="AG348" s="153"/>
      <c r="AH348" s="346">
        <v>251.56706334606901</v>
      </c>
      <c r="AI348" s="24"/>
      <c r="AJ348" s="24"/>
      <c r="AK348" s="24"/>
      <c r="AL348" s="24"/>
      <c r="AM348" s="359"/>
      <c r="AN348" s="24">
        <f t="shared" si="63"/>
        <v>133.33054357341658</v>
      </c>
      <c r="AO348" s="54">
        <f t="shared" si="64"/>
        <v>0</v>
      </c>
      <c r="AP348" s="261">
        <f t="shared" si="65"/>
        <v>3.0576923076923075</v>
      </c>
      <c r="AQ348" s="338"/>
      <c r="AR348" s="45"/>
      <c r="AS348" s="359"/>
      <c r="AT348" s="359"/>
    </row>
    <row r="349" spans="1:46" ht="12">
      <c r="A349" s="359" t="s">
        <v>483</v>
      </c>
      <c r="B349" s="359" t="str">
        <f t="shared" si="56"/>
        <v>MgO</v>
      </c>
      <c r="C349" s="141">
        <f t="shared" si="57"/>
        <v>0</v>
      </c>
      <c r="D349" s="277">
        <f t="shared" si="58"/>
        <v>251.44811910807999</v>
      </c>
      <c r="E349" s="20">
        <f t="shared" si="59"/>
        <v>0</v>
      </c>
      <c r="F349" s="20">
        <f t="shared" si="60"/>
        <v>0</v>
      </c>
      <c r="G349" s="277">
        <f t="shared" si="61"/>
        <v>0</v>
      </c>
      <c r="H349" s="3">
        <f t="shared" si="55"/>
        <v>0</v>
      </c>
      <c r="I349" s="277">
        <f t="shared" si="62"/>
        <v>0</v>
      </c>
      <c r="J349" s="359"/>
      <c r="K349" s="359" t="s">
        <v>476</v>
      </c>
      <c r="L349" s="359"/>
      <c r="M349" s="338"/>
      <c r="N349" s="89">
        <v>41092</v>
      </c>
      <c r="O349" s="359">
        <v>136</v>
      </c>
      <c r="P349" s="359" t="s">
        <v>46</v>
      </c>
      <c r="Q349" s="359"/>
      <c r="R349" s="359"/>
      <c r="S349" s="359">
        <v>800</v>
      </c>
      <c r="T349" s="359">
        <v>104</v>
      </c>
      <c r="U349" s="359">
        <v>400</v>
      </c>
      <c r="V349" s="359"/>
      <c r="W349" s="359"/>
      <c r="X349" s="359"/>
      <c r="Y349" s="359">
        <v>47</v>
      </c>
      <c r="Z349" s="359"/>
      <c r="AA349" s="210"/>
      <c r="AB349" s="248"/>
      <c r="AC349" s="359"/>
      <c r="AD349" s="359"/>
      <c r="AE349" s="359"/>
      <c r="AF349" s="359"/>
      <c r="AG349" s="153"/>
      <c r="AH349" s="346">
        <v>251.44811910807999</v>
      </c>
      <c r="AI349" s="24"/>
      <c r="AJ349" s="24"/>
      <c r="AK349" s="24"/>
      <c r="AL349" s="24"/>
      <c r="AM349" s="359"/>
      <c r="AN349" s="24">
        <f t="shared" si="63"/>
        <v>0</v>
      </c>
      <c r="AO349" s="54">
        <f t="shared" si="64"/>
        <v>0</v>
      </c>
      <c r="AP349" s="261">
        <f t="shared" si="65"/>
        <v>0</v>
      </c>
      <c r="AQ349" s="338"/>
      <c r="AR349" s="45"/>
      <c r="AS349" s="359"/>
      <c r="AT349" s="359"/>
    </row>
    <row r="350" spans="1:46" ht="12">
      <c r="A350" s="359" t="s">
        <v>484</v>
      </c>
      <c r="B350" s="359" t="str">
        <f t="shared" si="56"/>
        <v>MgO</v>
      </c>
      <c r="C350" s="141">
        <f t="shared" si="57"/>
        <v>4.4000000000000004</v>
      </c>
      <c r="D350" s="277">
        <f t="shared" si="58"/>
        <v>297.836371923667</v>
      </c>
      <c r="E350" s="20">
        <f t="shared" si="59"/>
        <v>12</v>
      </c>
      <c r="F350" s="20">
        <f t="shared" si="60"/>
        <v>1.1236293390000001</v>
      </c>
      <c r="G350" s="277">
        <f t="shared" si="61"/>
        <v>131.04800364641349</v>
      </c>
      <c r="H350" s="3">
        <f t="shared" si="55"/>
        <v>0.81399199668828481</v>
      </c>
      <c r="I350" s="277">
        <f t="shared" si="62"/>
        <v>15725.760437569617</v>
      </c>
      <c r="J350" s="359"/>
      <c r="K350" s="359" t="s">
        <v>476</v>
      </c>
      <c r="L350" s="359"/>
      <c r="M350" s="338"/>
      <c r="N350" s="89">
        <v>41092</v>
      </c>
      <c r="O350" s="359">
        <v>137</v>
      </c>
      <c r="P350" s="359" t="s">
        <v>46</v>
      </c>
      <c r="Q350" s="359"/>
      <c r="R350" s="359"/>
      <c r="S350" s="359">
        <v>800</v>
      </c>
      <c r="T350" s="359">
        <v>88</v>
      </c>
      <c r="U350" s="359">
        <v>400</v>
      </c>
      <c r="V350" s="359"/>
      <c r="W350" s="359"/>
      <c r="X350" s="359"/>
      <c r="Y350" s="359">
        <v>47</v>
      </c>
      <c r="Z350" s="359"/>
      <c r="AA350" s="210"/>
      <c r="AB350" s="248">
        <v>0.20100000000000001</v>
      </c>
      <c r="AC350" s="359">
        <v>0.5726</v>
      </c>
      <c r="AD350" s="359">
        <v>0.2263</v>
      </c>
      <c r="AE350" s="359" t="s">
        <v>47</v>
      </c>
      <c r="AF350" s="359">
        <v>4.4000000000000004</v>
      </c>
      <c r="AG350" s="153"/>
      <c r="AH350" s="346">
        <v>297.836371923667</v>
      </c>
      <c r="AI350" s="24"/>
      <c r="AJ350" s="24">
        <v>12</v>
      </c>
      <c r="AK350" s="24">
        <v>1.1236293390000001</v>
      </c>
      <c r="AL350" s="24">
        <f>117.98/144.94</f>
        <v>0.81399199668828481</v>
      </c>
      <c r="AM350" s="359" t="s">
        <v>156</v>
      </c>
      <c r="AN350" s="24">
        <f t="shared" si="63"/>
        <v>131.04800364641349</v>
      </c>
      <c r="AO350" s="54">
        <f t="shared" si="64"/>
        <v>15725.760437569617</v>
      </c>
      <c r="AP350" s="261">
        <f t="shared" si="65"/>
        <v>3</v>
      </c>
      <c r="AQ350" s="338"/>
      <c r="AR350" s="45"/>
      <c r="AS350" s="359"/>
      <c r="AT350" s="359"/>
    </row>
    <row r="351" spans="1:46" ht="12">
      <c r="A351" s="359" t="s">
        <v>485</v>
      </c>
      <c r="B351" s="359" t="str">
        <f t="shared" si="56"/>
        <v>MgO</v>
      </c>
      <c r="C351" s="141">
        <f t="shared" si="57"/>
        <v>0</v>
      </c>
      <c r="D351" s="277">
        <f t="shared" si="58"/>
        <v>305.56774739293201</v>
      </c>
      <c r="E351" s="20">
        <f t="shared" si="59"/>
        <v>0</v>
      </c>
      <c r="F351" s="20">
        <f t="shared" si="60"/>
        <v>0</v>
      </c>
      <c r="G351" s="277">
        <f t="shared" si="61"/>
        <v>0</v>
      </c>
      <c r="H351" s="3">
        <f t="shared" si="55"/>
        <v>0</v>
      </c>
      <c r="I351" s="277">
        <f t="shared" si="62"/>
        <v>0</v>
      </c>
      <c r="J351" s="359"/>
      <c r="K351" s="359" t="s">
        <v>486</v>
      </c>
      <c r="L351" s="359"/>
      <c r="M351" s="338" t="s">
        <v>141</v>
      </c>
      <c r="N351" s="89">
        <v>41092</v>
      </c>
      <c r="O351" s="359">
        <v>137</v>
      </c>
      <c r="P351" s="359" t="s">
        <v>46</v>
      </c>
      <c r="Q351" s="359"/>
      <c r="R351" s="359"/>
      <c r="S351" s="359">
        <v>800</v>
      </c>
      <c r="T351" s="359">
        <v>88</v>
      </c>
      <c r="U351" s="359">
        <v>400</v>
      </c>
      <c r="V351" s="359"/>
      <c r="W351" s="359"/>
      <c r="X351" s="359"/>
      <c r="Y351" s="359">
        <v>47</v>
      </c>
      <c r="Z351" s="359"/>
      <c r="AA351" s="210"/>
      <c r="AB351" s="248"/>
      <c r="AC351" s="359"/>
      <c r="AD351" s="359"/>
      <c r="AE351" s="359"/>
      <c r="AF351" s="359"/>
      <c r="AG351" s="153"/>
      <c r="AH351" s="346">
        <v>305.56774739293201</v>
      </c>
      <c r="AI351" s="24"/>
      <c r="AJ351" s="24"/>
      <c r="AK351" s="24"/>
      <c r="AL351" s="24"/>
      <c r="AM351" s="359"/>
      <c r="AN351" s="24">
        <f t="shared" si="63"/>
        <v>0</v>
      </c>
      <c r="AO351" s="54">
        <f t="shared" si="64"/>
        <v>0</v>
      </c>
      <c r="AP351" s="261">
        <f t="shared" si="65"/>
        <v>0</v>
      </c>
      <c r="AQ351" s="338"/>
      <c r="AR351" s="45"/>
      <c r="AS351" s="359"/>
      <c r="AT351" s="359"/>
    </row>
    <row r="352" spans="1:46" ht="12">
      <c r="A352" s="359" t="s">
        <v>487</v>
      </c>
      <c r="B352" s="359" t="str">
        <f t="shared" si="56"/>
        <v>MgO</v>
      </c>
      <c r="C352" s="141">
        <f t="shared" si="57"/>
        <v>0</v>
      </c>
      <c r="D352" s="277">
        <f t="shared" si="58"/>
        <v>300.57208939740701</v>
      </c>
      <c r="E352" s="20">
        <f t="shared" si="59"/>
        <v>0</v>
      </c>
      <c r="F352" s="20">
        <f t="shared" si="60"/>
        <v>0</v>
      </c>
      <c r="G352" s="277">
        <f t="shared" si="61"/>
        <v>0</v>
      </c>
      <c r="H352" s="3">
        <f t="shared" ref="H352:H415" si="66">AL352</f>
        <v>0</v>
      </c>
      <c r="I352" s="277">
        <f t="shared" si="62"/>
        <v>0</v>
      </c>
      <c r="J352" s="359"/>
      <c r="K352" s="359" t="s">
        <v>476</v>
      </c>
      <c r="L352" s="359"/>
      <c r="M352" s="338"/>
      <c r="N352" s="89">
        <v>41092</v>
      </c>
      <c r="O352" s="359">
        <v>137</v>
      </c>
      <c r="P352" s="359" t="s">
        <v>46</v>
      </c>
      <c r="Q352" s="359"/>
      <c r="R352" s="359"/>
      <c r="S352" s="359">
        <v>800</v>
      </c>
      <c r="T352" s="359">
        <v>88</v>
      </c>
      <c r="U352" s="359">
        <v>400</v>
      </c>
      <c r="V352" s="359"/>
      <c r="W352" s="359"/>
      <c r="X352" s="359"/>
      <c r="Y352" s="359">
        <v>47</v>
      </c>
      <c r="Z352" s="359"/>
      <c r="AA352" s="210"/>
      <c r="AB352" s="248"/>
      <c r="AC352" s="359"/>
      <c r="AD352" s="359"/>
      <c r="AE352" s="359"/>
      <c r="AF352" s="359"/>
      <c r="AG352" s="153"/>
      <c r="AH352" s="346">
        <v>300.57208939740701</v>
      </c>
      <c r="AI352" s="24"/>
      <c r="AJ352" s="24"/>
      <c r="AK352" s="24"/>
      <c r="AL352" s="24"/>
      <c r="AM352" s="359"/>
      <c r="AN352" s="24">
        <f t="shared" si="63"/>
        <v>0</v>
      </c>
      <c r="AO352" s="54">
        <f t="shared" si="64"/>
        <v>0</v>
      </c>
      <c r="AP352" s="261">
        <f t="shared" si="65"/>
        <v>0</v>
      </c>
      <c r="AQ352" s="338"/>
      <c r="AR352" s="45"/>
      <c r="AS352" s="359"/>
      <c r="AT352" s="359"/>
    </row>
    <row r="353" spans="1:46" ht="12">
      <c r="A353" s="359" t="s">
        <v>488</v>
      </c>
      <c r="B353" s="359" t="str">
        <f t="shared" si="56"/>
        <v>MgO</v>
      </c>
      <c r="C353" s="141">
        <f t="shared" si="57"/>
        <v>0</v>
      </c>
      <c r="D353" s="277">
        <f t="shared" si="58"/>
        <v>296.52798530579201</v>
      </c>
      <c r="E353" s="20">
        <f t="shared" si="59"/>
        <v>0</v>
      </c>
      <c r="F353" s="20">
        <f t="shared" si="60"/>
        <v>0</v>
      </c>
      <c r="G353" s="277">
        <f t="shared" si="61"/>
        <v>0</v>
      </c>
      <c r="H353" s="3">
        <f t="shared" si="66"/>
        <v>0</v>
      </c>
      <c r="I353" s="277">
        <f t="shared" si="62"/>
        <v>0</v>
      </c>
      <c r="J353" s="359"/>
      <c r="K353" s="359" t="s">
        <v>489</v>
      </c>
      <c r="L353" s="359"/>
      <c r="M353" s="338" t="s">
        <v>141</v>
      </c>
      <c r="N353" s="89">
        <v>41092</v>
      </c>
      <c r="O353" s="359">
        <v>137</v>
      </c>
      <c r="P353" s="359" t="s">
        <v>46</v>
      </c>
      <c r="Q353" s="359"/>
      <c r="R353" s="359"/>
      <c r="S353" s="359">
        <v>800</v>
      </c>
      <c r="T353" s="359">
        <v>88</v>
      </c>
      <c r="U353" s="359">
        <v>400</v>
      </c>
      <c r="V353" s="359"/>
      <c r="W353" s="359"/>
      <c r="X353" s="359"/>
      <c r="Y353" s="359">
        <v>47</v>
      </c>
      <c r="Z353" s="359"/>
      <c r="AA353" s="210"/>
      <c r="AB353" s="248"/>
      <c r="AC353" s="359"/>
      <c r="AD353" s="359"/>
      <c r="AE353" s="359"/>
      <c r="AF353" s="359"/>
      <c r="AG353" s="153"/>
      <c r="AH353" s="346">
        <v>296.52798530579201</v>
      </c>
      <c r="AI353" s="24"/>
      <c r="AJ353" s="24"/>
      <c r="AK353" s="24"/>
      <c r="AL353" s="24"/>
      <c r="AM353" s="359"/>
      <c r="AN353" s="24">
        <f t="shared" si="63"/>
        <v>0</v>
      </c>
      <c r="AO353" s="54">
        <f t="shared" si="64"/>
        <v>0</v>
      </c>
      <c r="AP353" s="261">
        <f t="shared" si="65"/>
        <v>0</v>
      </c>
      <c r="AQ353" s="338"/>
      <c r="AR353" s="45"/>
      <c r="AS353" s="359"/>
      <c r="AT353" s="359"/>
    </row>
    <row r="354" spans="1:46" ht="12">
      <c r="A354" s="359" t="s">
        <v>490</v>
      </c>
      <c r="B354" s="359" t="str">
        <f t="shared" si="56"/>
        <v>MgO</v>
      </c>
      <c r="C354" s="141">
        <f t="shared" si="57"/>
        <v>3.5</v>
      </c>
      <c r="D354" s="277">
        <f t="shared" si="58"/>
        <v>396.441145216287</v>
      </c>
      <c r="E354" s="20">
        <f t="shared" si="59"/>
        <v>11.4</v>
      </c>
      <c r="F354" s="20">
        <f t="shared" si="60"/>
        <v>0</v>
      </c>
      <c r="G354" s="277">
        <f t="shared" si="61"/>
        <v>138.75440082570043</v>
      </c>
      <c r="H354" s="3">
        <f t="shared" si="66"/>
        <v>0.79264691406634513</v>
      </c>
      <c r="I354" s="277">
        <f t="shared" si="62"/>
        <v>15818.001694129851</v>
      </c>
      <c r="J354" s="359"/>
      <c r="K354" s="359" t="s">
        <v>476</v>
      </c>
      <c r="L354" s="359"/>
      <c r="M354" s="338"/>
      <c r="N354" s="89">
        <v>41093</v>
      </c>
      <c r="O354" s="359">
        <v>138</v>
      </c>
      <c r="P354" s="359" t="s">
        <v>46</v>
      </c>
      <c r="Q354" s="359"/>
      <c r="R354" s="359"/>
      <c r="S354" s="359">
        <v>800</v>
      </c>
      <c r="T354" s="359">
        <v>72</v>
      </c>
      <c r="U354" s="359">
        <v>400</v>
      </c>
      <c r="V354" s="359"/>
      <c r="W354" s="359"/>
      <c r="X354" s="359"/>
      <c r="Y354" s="359">
        <v>47</v>
      </c>
      <c r="Z354" s="359"/>
      <c r="AA354" s="210"/>
      <c r="AB354" s="248">
        <v>0.18790000000000001</v>
      </c>
      <c r="AC354" s="359">
        <v>0.61860000000000004</v>
      </c>
      <c r="AD354" s="359">
        <v>0.19339999999999999</v>
      </c>
      <c r="AE354" s="359" t="s">
        <v>47</v>
      </c>
      <c r="AF354" s="359">
        <v>3.5</v>
      </c>
      <c r="AG354" s="153"/>
      <c r="AH354" s="346">
        <v>396.441145216287</v>
      </c>
      <c r="AI354" s="24"/>
      <c r="AJ354" s="24">
        <v>11.4</v>
      </c>
      <c r="AK354" s="24"/>
      <c r="AL354" s="24">
        <f>(161.05/203.18)</f>
        <v>0.79264691406634513</v>
      </c>
      <c r="AM354" s="359" t="s">
        <v>156</v>
      </c>
      <c r="AN354" s="24">
        <f t="shared" si="63"/>
        <v>138.75440082570043</v>
      </c>
      <c r="AO354" s="54">
        <f t="shared" si="64"/>
        <v>15818.001694129851</v>
      </c>
      <c r="AP354" s="261">
        <f t="shared" si="65"/>
        <v>2.9166666666666665</v>
      </c>
      <c r="AQ354" s="338"/>
      <c r="AR354" s="45"/>
      <c r="AS354" s="359"/>
      <c r="AT354" s="359"/>
    </row>
    <row r="355" spans="1:46" ht="12">
      <c r="A355" s="359" t="s">
        <v>491</v>
      </c>
      <c r="B355" s="359" t="str">
        <f t="shared" si="56"/>
        <v>MgO</v>
      </c>
      <c r="C355" s="141">
        <f t="shared" si="57"/>
        <v>0</v>
      </c>
      <c r="D355" s="277">
        <f t="shared" si="58"/>
        <v>400.485249307902</v>
      </c>
      <c r="E355" s="20">
        <f t="shared" si="59"/>
        <v>0</v>
      </c>
      <c r="F355" s="20">
        <f t="shared" si="60"/>
        <v>0</v>
      </c>
      <c r="G355" s="277">
        <f t="shared" si="61"/>
        <v>0</v>
      </c>
      <c r="H355" s="3">
        <f t="shared" si="66"/>
        <v>0</v>
      </c>
      <c r="I355" s="277">
        <f t="shared" si="62"/>
        <v>0</v>
      </c>
      <c r="J355" s="359"/>
      <c r="K355" s="359" t="s">
        <v>476</v>
      </c>
      <c r="L355" s="359"/>
      <c r="M355" s="338"/>
      <c r="N355" s="89">
        <v>41093</v>
      </c>
      <c r="O355" s="359">
        <v>138</v>
      </c>
      <c r="P355" s="359" t="s">
        <v>46</v>
      </c>
      <c r="Q355" s="359"/>
      <c r="R355" s="359"/>
      <c r="S355" s="359">
        <v>800</v>
      </c>
      <c r="T355" s="359">
        <v>72</v>
      </c>
      <c r="U355" s="359">
        <v>400</v>
      </c>
      <c r="V355" s="359"/>
      <c r="W355" s="359"/>
      <c r="X355" s="359"/>
      <c r="Y355" s="359">
        <v>47</v>
      </c>
      <c r="Z355" s="359"/>
      <c r="AA355" s="210"/>
      <c r="AB355" s="248"/>
      <c r="AC355" s="359"/>
      <c r="AD355" s="359"/>
      <c r="AE355" s="359"/>
      <c r="AF355" s="359"/>
      <c r="AG355" s="153"/>
      <c r="AH355" s="346">
        <v>400.485249307902</v>
      </c>
      <c r="AI355" s="24"/>
      <c r="AJ355" s="24"/>
      <c r="AK355" s="24"/>
      <c r="AL355" s="24"/>
      <c r="AM355" s="359"/>
      <c r="AN355" s="24">
        <f t="shared" si="63"/>
        <v>0</v>
      </c>
      <c r="AO355" s="54">
        <f t="shared" si="64"/>
        <v>0</v>
      </c>
      <c r="AP355" s="261">
        <f t="shared" si="65"/>
        <v>0</v>
      </c>
      <c r="AQ355" s="338"/>
      <c r="AR355" s="45"/>
      <c r="AS355" s="359"/>
      <c r="AT355" s="359"/>
    </row>
    <row r="356" spans="1:46" ht="12">
      <c r="A356" s="359" t="s">
        <v>492</v>
      </c>
      <c r="B356" s="359" t="str">
        <f t="shared" si="56"/>
        <v>MgO</v>
      </c>
      <c r="C356" s="141">
        <f t="shared" si="57"/>
        <v>0</v>
      </c>
      <c r="D356" s="277">
        <f t="shared" si="58"/>
        <v>374.31751695039202</v>
      </c>
      <c r="E356" s="20">
        <f t="shared" si="59"/>
        <v>0</v>
      </c>
      <c r="F356" s="20">
        <f t="shared" si="60"/>
        <v>0</v>
      </c>
      <c r="G356" s="277">
        <f t="shared" si="61"/>
        <v>0</v>
      </c>
      <c r="H356" s="3">
        <f t="shared" si="66"/>
        <v>0</v>
      </c>
      <c r="I356" s="277">
        <f t="shared" si="62"/>
        <v>0</v>
      </c>
      <c r="J356" s="359"/>
      <c r="K356" s="359" t="s">
        <v>486</v>
      </c>
      <c r="L356" s="359"/>
      <c r="M356" s="338" t="s">
        <v>141</v>
      </c>
      <c r="N356" s="89">
        <v>41093</v>
      </c>
      <c r="O356" s="359">
        <v>138</v>
      </c>
      <c r="P356" s="359" t="s">
        <v>46</v>
      </c>
      <c r="Q356" s="359"/>
      <c r="R356" s="359"/>
      <c r="S356" s="359">
        <v>800</v>
      </c>
      <c r="T356" s="359">
        <v>72</v>
      </c>
      <c r="U356" s="359">
        <v>400</v>
      </c>
      <c r="V356" s="359"/>
      <c r="W356" s="359"/>
      <c r="X356" s="359"/>
      <c r="Y356" s="359">
        <v>47</v>
      </c>
      <c r="Z356" s="359"/>
      <c r="AA356" s="210"/>
      <c r="AB356" s="248"/>
      <c r="AC356" s="359"/>
      <c r="AD356" s="359"/>
      <c r="AE356" s="359"/>
      <c r="AF356" s="359"/>
      <c r="AG356" s="153"/>
      <c r="AH356" s="346">
        <v>374.31751695039202</v>
      </c>
      <c r="AI356" s="24"/>
      <c r="AJ356" s="24"/>
      <c r="AK356" s="24"/>
      <c r="AL356" s="24"/>
      <c r="AM356" s="359"/>
      <c r="AN356" s="24">
        <f t="shared" si="63"/>
        <v>0</v>
      </c>
      <c r="AO356" s="54">
        <f t="shared" si="64"/>
        <v>0</v>
      </c>
      <c r="AP356" s="261">
        <f t="shared" si="65"/>
        <v>0</v>
      </c>
      <c r="AQ356" s="338"/>
      <c r="AR356" s="45"/>
      <c r="AS356" s="359"/>
      <c r="AT356" s="359"/>
    </row>
    <row r="357" spans="1:46" ht="12">
      <c r="A357" s="359" t="s">
        <v>493</v>
      </c>
      <c r="B357" s="359" t="str">
        <f t="shared" si="56"/>
        <v>MgO</v>
      </c>
      <c r="C357" s="141">
        <f t="shared" si="57"/>
        <v>0</v>
      </c>
      <c r="D357" s="277">
        <f t="shared" si="58"/>
        <v>63.516223085957797</v>
      </c>
      <c r="E357" s="20">
        <f t="shared" si="59"/>
        <v>0</v>
      </c>
      <c r="F357" s="20">
        <f t="shared" si="60"/>
        <v>0</v>
      </c>
      <c r="G357" s="277">
        <f t="shared" si="61"/>
        <v>0</v>
      </c>
      <c r="H357" s="3">
        <f t="shared" si="66"/>
        <v>0</v>
      </c>
      <c r="I357" s="277">
        <f t="shared" si="62"/>
        <v>0</v>
      </c>
      <c r="J357" s="359"/>
      <c r="K357" s="359" t="s">
        <v>476</v>
      </c>
      <c r="L357" s="359"/>
      <c r="M357" s="338"/>
      <c r="N357" s="89">
        <v>41093</v>
      </c>
      <c r="O357" s="359">
        <v>139</v>
      </c>
      <c r="P357" s="359" t="s">
        <v>46</v>
      </c>
      <c r="Q357" s="359"/>
      <c r="R357" s="359"/>
      <c r="S357" s="359">
        <v>800</v>
      </c>
      <c r="T357" s="359">
        <v>300</v>
      </c>
      <c r="U357" s="359">
        <v>400</v>
      </c>
      <c r="V357" s="359"/>
      <c r="W357" s="359"/>
      <c r="X357" s="359"/>
      <c r="Y357" s="359">
        <v>47</v>
      </c>
      <c r="Z357" s="359"/>
      <c r="AA357" s="210"/>
      <c r="AB357" s="248"/>
      <c r="AC357" s="359"/>
      <c r="AD357" s="359"/>
      <c r="AE357" s="359"/>
      <c r="AF357" s="359"/>
      <c r="AG357" s="153"/>
      <c r="AH357" s="346">
        <v>63.516223085957797</v>
      </c>
      <c r="AI357" s="24"/>
      <c r="AJ357" s="24"/>
      <c r="AK357" s="24"/>
      <c r="AL357" s="24"/>
      <c r="AM357" s="359"/>
      <c r="AN357" s="24">
        <f t="shared" si="63"/>
        <v>0</v>
      </c>
      <c r="AO357" s="54">
        <f t="shared" si="64"/>
        <v>0</v>
      </c>
      <c r="AP357" s="261">
        <f t="shared" si="65"/>
        <v>0</v>
      </c>
      <c r="AQ357" s="338"/>
      <c r="AR357" s="45"/>
      <c r="AS357" s="359"/>
      <c r="AT357" s="359"/>
    </row>
    <row r="358" spans="1:46" ht="12">
      <c r="A358" s="359" t="s">
        <v>494</v>
      </c>
      <c r="B358" s="359" t="str">
        <f t="shared" si="56"/>
        <v>MgO</v>
      </c>
      <c r="C358" s="141">
        <f t="shared" si="57"/>
        <v>0</v>
      </c>
      <c r="D358" s="277">
        <f t="shared" si="58"/>
        <v>54.4764609988177</v>
      </c>
      <c r="E358" s="20">
        <f t="shared" si="59"/>
        <v>0</v>
      </c>
      <c r="F358" s="20">
        <f t="shared" si="60"/>
        <v>0</v>
      </c>
      <c r="G358" s="277">
        <f t="shared" si="61"/>
        <v>0</v>
      </c>
      <c r="H358" s="3">
        <f t="shared" si="66"/>
        <v>0</v>
      </c>
      <c r="I358" s="277">
        <f t="shared" si="62"/>
        <v>0</v>
      </c>
      <c r="J358" s="359"/>
      <c r="K358" s="359" t="s">
        <v>476</v>
      </c>
      <c r="L358" s="359"/>
      <c r="M358" s="338"/>
      <c r="N358" s="89">
        <v>41093</v>
      </c>
      <c r="O358" s="359">
        <v>139</v>
      </c>
      <c r="P358" s="359" t="s">
        <v>46</v>
      </c>
      <c r="Q358" s="359"/>
      <c r="R358" s="359"/>
      <c r="S358" s="359">
        <v>800</v>
      </c>
      <c r="T358" s="359">
        <v>300</v>
      </c>
      <c r="U358" s="359">
        <v>400</v>
      </c>
      <c r="V358" s="359"/>
      <c r="W358" s="359"/>
      <c r="X358" s="359"/>
      <c r="Y358" s="359">
        <v>47</v>
      </c>
      <c r="Z358" s="359"/>
      <c r="AA358" s="210"/>
      <c r="AB358" s="248"/>
      <c r="AC358" s="359"/>
      <c r="AD358" s="359"/>
      <c r="AE358" s="359"/>
      <c r="AF358" s="359"/>
      <c r="AG358" s="153"/>
      <c r="AH358" s="346">
        <v>54.4764609988177</v>
      </c>
      <c r="AI358" s="24"/>
      <c r="AJ358" s="24"/>
      <c r="AK358" s="24"/>
      <c r="AL358" s="24"/>
      <c r="AM358" s="359"/>
      <c r="AN358" s="24">
        <f t="shared" si="63"/>
        <v>0</v>
      </c>
      <c r="AO358" s="54">
        <f t="shared" si="64"/>
        <v>0</v>
      </c>
      <c r="AP358" s="261">
        <f t="shared" si="65"/>
        <v>0</v>
      </c>
      <c r="AQ358" s="338"/>
      <c r="AR358" s="45"/>
      <c r="AS358" s="359"/>
      <c r="AT358" s="359"/>
    </row>
    <row r="359" spans="1:46" ht="12">
      <c r="A359" s="359" t="s">
        <v>495</v>
      </c>
      <c r="B359" s="359" t="str">
        <f t="shared" si="56"/>
        <v>MgO</v>
      </c>
      <c r="C359" s="141">
        <f t="shared" si="57"/>
        <v>0</v>
      </c>
      <c r="D359" s="277">
        <f t="shared" si="58"/>
        <v>55.784847616693298</v>
      </c>
      <c r="E359" s="20">
        <f t="shared" si="59"/>
        <v>0</v>
      </c>
      <c r="F359" s="20">
        <f t="shared" si="60"/>
        <v>0</v>
      </c>
      <c r="G359" s="277">
        <f t="shared" si="61"/>
        <v>0</v>
      </c>
      <c r="H359" s="3">
        <f t="shared" si="66"/>
        <v>0</v>
      </c>
      <c r="I359" s="277">
        <f t="shared" si="62"/>
        <v>0</v>
      </c>
      <c r="J359" s="359"/>
      <c r="K359" s="359" t="s">
        <v>476</v>
      </c>
      <c r="L359" s="359"/>
      <c r="M359" s="338"/>
      <c r="N359" s="89">
        <v>41093</v>
      </c>
      <c r="O359" s="359">
        <v>139</v>
      </c>
      <c r="P359" s="359" t="s">
        <v>46</v>
      </c>
      <c r="Q359" s="359"/>
      <c r="R359" s="359"/>
      <c r="S359" s="359">
        <v>800</v>
      </c>
      <c r="T359" s="359">
        <v>300</v>
      </c>
      <c r="U359" s="359">
        <v>400</v>
      </c>
      <c r="V359" s="359"/>
      <c r="W359" s="359"/>
      <c r="X359" s="359"/>
      <c r="Y359" s="359">
        <v>47</v>
      </c>
      <c r="Z359" s="359"/>
      <c r="AA359" s="210"/>
      <c r="AB359" s="248"/>
      <c r="AC359" s="359"/>
      <c r="AD359" s="359"/>
      <c r="AE359" s="359"/>
      <c r="AF359" s="359"/>
      <c r="AG359" s="153"/>
      <c r="AH359" s="346">
        <v>55.784847616693298</v>
      </c>
      <c r="AI359" s="24"/>
      <c r="AJ359" s="24"/>
      <c r="AK359" s="24"/>
      <c r="AL359" s="24"/>
      <c r="AM359" s="359"/>
      <c r="AN359" s="24">
        <f t="shared" si="63"/>
        <v>0</v>
      </c>
      <c r="AO359" s="54">
        <f t="shared" si="64"/>
        <v>0</v>
      </c>
      <c r="AP359" s="261">
        <f t="shared" si="65"/>
        <v>0</v>
      </c>
      <c r="AQ359" s="338"/>
      <c r="AR359" s="45"/>
      <c r="AS359" s="359"/>
      <c r="AT359" s="359"/>
    </row>
    <row r="360" spans="1:46" ht="12">
      <c r="A360" s="359" t="s">
        <v>496</v>
      </c>
      <c r="B360" s="359" t="str">
        <f t="shared" si="56"/>
        <v>MgO</v>
      </c>
      <c r="C360" s="141">
        <f t="shared" si="57"/>
        <v>16</v>
      </c>
      <c r="D360" s="277">
        <f t="shared" si="58"/>
        <v>54.1196282848517</v>
      </c>
      <c r="E360" s="20">
        <f t="shared" si="59"/>
        <v>15.1</v>
      </c>
      <c r="F360" s="20">
        <f t="shared" si="60"/>
        <v>0.20478480299999999</v>
      </c>
      <c r="G360" s="277">
        <f t="shared" si="61"/>
        <v>86.591405255762723</v>
      </c>
      <c r="H360" s="3">
        <f t="shared" si="66"/>
        <v>0.96286231884057982</v>
      </c>
      <c r="I360" s="277">
        <f t="shared" si="62"/>
        <v>13075.302193620171</v>
      </c>
      <c r="J360" s="359"/>
      <c r="K360" s="359" t="s">
        <v>476</v>
      </c>
      <c r="L360" s="359"/>
      <c r="M360" s="338"/>
      <c r="N360" s="89">
        <v>41093</v>
      </c>
      <c r="O360" s="359">
        <v>139</v>
      </c>
      <c r="P360" s="359" t="s">
        <v>46</v>
      </c>
      <c r="Q360" s="359"/>
      <c r="R360" s="359"/>
      <c r="S360" s="359">
        <v>800</v>
      </c>
      <c r="T360" s="359">
        <v>300</v>
      </c>
      <c r="U360" s="359">
        <v>400</v>
      </c>
      <c r="V360" s="359"/>
      <c r="W360" s="359"/>
      <c r="X360" s="359"/>
      <c r="Y360" s="359">
        <v>47</v>
      </c>
      <c r="Z360" s="359"/>
      <c r="AA360" s="210"/>
      <c r="AB360" s="248">
        <v>0.43759999999999999</v>
      </c>
      <c r="AC360" s="359">
        <v>0.24279999999999999</v>
      </c>
      <c r="AD360" s="359">
        <v>0.3196</v>
      </c>
      <c r="AE360" s="359"/>
      <c r="AF360" s="359">
        <v>16</v>
      </c>
      <c r="AG360" s="153"/>
      <c r="AH360" s="346">
        <v>54.1196282848517</v>
      </c>
      <c r="AI360" s="24"/>
      <c r="AJ360" s="24">
        <v>15.1</v>
      </c>
      <c r="AK360" s="24">
        <v>0.20478480299999999</v>
      </c>
      <c r="AL360" s="24">
        <f>21.26/22.08</f>
        <v>0.96286231884057982</v>
      </c>
      <c r="AM360" s="359" t="s">
        <v>156</v>
      </c>
      <c r="AN360" s="24">
        <f t="shared" si="63"/>
        <v>86.591405255762723</v>
      </c>
      <c r="AO360" s="54">
        <f t="shared" si="64"/>
        <v>13075.302193620171</v>
      </c>
      <c r="AP360" s="261">
        <f t="shared" si="65"/>
        <v>3.2</v>
      </c>
      <c r="AQ360" s="338"/>
      <c r="AR360" s="45"/>
      <c r="AS360" s="359"/>
      <c r="AT360" s="359"/>
    </row>
    <row r="361" spans="1:46" ht="12">
      <c r="A361" s="359" t="s">
        <v>497</v>
      </c>
      <c r="B361" s="359" t="str">
        <f t="shared" si="56"/>
        <v>MgO</v>
      </c>
      <c r="C361" s="141">
        <f t="shared" si="57"/>
        <v>2.6</v>
      </c>
      <c r="D361" s="277">
        <f t="shared" si="58"/>
        <v>503.72884788208103</v>
      </c>
      <c r="E361" s="20">
        <f t="shared" si="59"/>
        <v>0</v>
      </c>
      <c r="F361" s="20">
        <f t="shared" si="60"/>
        <v>0</v>
      </c>
      <c r="G361" s="277">
        <f t="shared" si="61"/>
        <v>130.96950044934107</v>
      </c>
      <c r="H361" s="3">
        <f t="shared" si="66"/>
        <v>0</v>
      </c>
      <c r="I361" s="277">
        <f t="shared" si="62"/>
        <v>0</v>
      </c>
      <c r="J361" s="359"/>
      <c r="K361" s="359" t="s">
        <v>489</v>
      </c>
      <c r="L361" s="359"/>
      <c r="M361" s="338" t="s">
        <v>141</v>
      </c>
      <c r="N361" s="89">
        <v>41095</v>
      </c>
      <c r="O361" s="359">
        <v>140</v>
      </c>
      <c r="P361" s="359" t="s">
        <v>46</v>
      </c>
      <c r="Q361" s="359"/>
      <c r="R361" s="359"/>
      <c r="S361" s="359">
        <v>800</v>
      </c>
      <c r="T361" s="359">
        <v>56</v>
      </c>
      <c r="U361" s="359">
        <v>400</v>
      </c>
      <c r="V361" s="359"/>
      <c r="W361" s="359"/>
      <c r="X361" s="359"/>
      <c r="Y361" s="359">
        <v>47</v>
      </c>
      <c r="Z361" s="359"/>
      <c r="AA361" s="210"/>
      <c r="AB361" s="248">
        <v>0.17560000000000001</v>
      </c>
      <c r="AC361" s="359">
        <v>0.66920000000000002</v>
      </c>
      <c r="AD361" s="359">
        <v>0.1552</v>
      </c>
      <c r="AE361" s="359" t="s">
        <v>47</v>
      </c>
      <c r="AF361" s="359">
        <v>2.6</v>
      </c>
      <c r="AG361" s="153"/>
      <c r="AH361" s="346">
        <v>503.72884788208103</v>
      </c>
      <c r="AI361" s="24"/>
      <c r="AJ361" s="24"/>
      <c r="AK361" s="24"/>
      <c r="AL361" s="24"/>
      <c r="AM361" s="359"/>
      <c r="AN361" s="24">
        <f t="shared" si="63"/>
        <v>130.96950044934107</v>
      </c>
      <c r="AO361" s="54">
        <f t="shared" si="64"/>
        <v>0</v>
      </c>
      <c r="AP361" s="261">
        <f t="shared" si="65"/>
        <v>2.7857142857142856</v>
      </c>
      <c r="AQ361" s="338"/>
      <c r="AR361" s="45"/>
      <c r="AS361" s="359"/>
      <c r="AT361" s="359"/>
    </row>
    <row r="362" spans="1:46" ht="12">
      <c r="A362" s="359" t="s">
        <v>498</v>
      </c>
      <c r="B362" s="359" t="str">
        <f t="shared" si="56"/>
        <v>MgO</v>
      </c>
      <c r="C362" s="141">
        <f t="shared" si="57"/>
        <v>0</v>
      </c>
      <c r="D362" s="277">
        <f t="shared" si="58"/>
        <v>488.622929657518</v>
      </c>
      <c r="E362" s="20">
        <f t="shared" si="59"/>
        <v>0</v>
      </c>
      <c r="F362" s="20">
        <f t="shared" si="60"/>
        <v>0</v>
      </c>
      <c r="G362" s="277">
        <f t="shared" si="61"/>
        <v>0</v>
      </c>
      <c r="H362" s="3">
        <f t="shared" si="66"/>
        <v>0</v>
      </c>
      <c r="I362" s="277">
        <f t="shared" si="62"/>
        <v>0</v>
      </c>
      <c r="J362" s="359"/>
      <c r="K362" s="359" t="s">
        <v>476</v>
      </c>
      <c r="L362" s="359"/>
      <c r="M362" s="338"/>
      <c r="N362" s="89">
        <v>41095</v>
      </c>
      <c r="O362" s="359">
        <v>140</v>
      </c>
      <c r="P362" s="359" t="s">
        <v>46</v>
      </c>
      <c r="Q362" s="359"/>
      <c r="R362" s="359"/>
      <c r="S362" s="359">
        <v>800</v>
      </c>
      <c r="T362" s="359">
        <v>56</v>
      </c>
      <c r="U362" s="359">
        <v>400</v>
      </c>
      <c r="V362" s="359"/>
      <c r="W362" s="359"/>
      <c r="X362" s="359"/>
      <c r="Y362" s="359">
        <v>47</v>
      </c>
      <c r="Z362" s="359"/>
      <c r="AA362" s="210"/>
      <c r="AB362" s="248"/>
      <c r="AC362" s="359"/>
      <c r="AD362" s="359"/>
      <c r="AE362" s="359"/>
      <c r="AF362" s="359"/>
      <c r="AG362" s="153"/>
      <c r="AH362" s="346">
        <v>488.622929657518</v>
      </c>
      <c r="AI362" s="24"/>
      <c r="AJ362" s="24"/>
      <c r="AK362" s="24"/>
      <c r="AL362" s="24"/>
      <c r="AM362" s="359"/>
      <c r="AN362" s="24">
        <f t="shared" si="63"/>
        <v>0</v>
      </c>
      <c r="AO362" s="54">
        <f t="shared" si="64"/>
        <v>0</v>
      </c>
      <c r="AP362" s="261">
        <f t="shared" si="65"/>
        <v>0</v>
      </c>
      <c r="AQ362" s="338"/>
      <c r="AR362" s="45"/>
      <c r="AS362" s="359"/>
      <c r="AT362" s="359"/>
    </row>
    <row r="363" spans="1:46" ht="12">
      <c r="A363" s="359" t="s">
        <v>499</v>
      </c>
      <c r="B363" s="359" t="str">
        <f t="shared" si="56"/>
        <v>MgO</v>
      </c>
      <c r="C363" s="141">
        <f t="shared" si="57"/>
        <v>0</v>
      </c>
      <c r="D363" s="277">
        <f t="shared" si="58"/>
        <v>500.04157650443199</v>
      </c>
      <c r="E363" s="20">
        <f t="shared" si="59"/>
        <v>11.3</v>
      </c>
      <c r="F363" s="20">
        <f t="shared" si="60"/>
        <v>0</v>
      </c>
      <c r="G363" s="277">
        <f t="shared" si="61"/>
        <v>0</v>
      </c>
      <c r="H363" s="3">
        <f t="shared" si="66"/>
        <v>0.79</v>
      </c>
      <c r="I363" s="277">
        <f t="shared" si="62"/>
        <v>0</v>
      </c>
      <c r="J363" s="359"/>
      <c r="K363" s="359" t="s">
        <v>476</v>
      </c>
      <c r="L363" s="359"/>
      <c r="M363" s="338"/>
      <c r="N363" s="89">
        <v>41095</v>
      </c>
      <c r="O363" s="359">
        <v>140</v>
      </c>
      <c r="P363" s="359" t="s">
        <v>46</v>
      </c>
      <c r="Q363" s="359"/>
      <c r="R363" s="359"/>
      <c r="S363" s="359">
        <v>800</v>
      </c>
      <c r="T363" s="359">
        <v>56</v>
      </c>
      <c r="U363" s="359">
        <v>400</v>
      </c>
      <c r="V363" s="359"/>
      <c r="W363" s="359"/>
      <c r="X363" s="359"/>
      <c r="Y363" s="359">
        <v>47</v>
      </c>
      <c r="Z363" s="359"/>
      <c r="AA363" s="210"/>
      <c r="AB363" s="248"/>
      <c r="AC363" s="359"/>
      <c r="AD363" s="359"/>
      <c r="AE363" s="359"/>
      <c r="AF363" s="359"/>
      <c r="AG363" s="153"/>
      <c r="AH363" s="346">
        <v>500.04157650443199</v>
      </c>
      <c r="AI363" s="24"/>
      <c r="AJ363" s="24">
        <v>11.3</v>
      </c>
      <c r="AK363" s="24"/>
      <c r="AL363" s="24">
        <v>0.79</v>
      </c>
      <c r="AM363" s="359" t="s">
        <v>156</v>
      </c>
      <c r="AN363" s="24">
        <f t="shared" si="63"/>
        <v>0</v>
      </c>
      <c r="AO363" s="54">
        <f t="shared" si="64"/>
        <v>0</v>
      </c>
      <c r="AP363" s="261">
        <f t="shared" si="65"/>
        <v>0</v>
      </c>
      <c r="AQ363" s="338"/>
      <c r="AR363" s="45"/>
      <c r="AS363" s="359"/>
      <c r="AT363" s="359"/>
    </row>
    <row r="364" spans="1:46" ht="12">
      <c r="A364" s="359" t="s">
        <v>500</v>
      </c>
      <c r="B364" s="359" t="str">
        <f t="shared" si="56"/>
        <v>MgO</v>
      </c>
      <c r="C364" s="141">
        <f t="shared" si="57"/>
        <v>0</v>
      </c>
      <c r="D364" s="277">
        <f t="shared" si="58"/>
        <v>494.33225308097502</v>
      </c>
      <c r="E364" s="20">
        <f t="shared" si="59"/>
        <v>0</v>
      </c>
      <c r="F364" s="20">
        <f t="shared" si="60"/>
        <v>0</v>
      </c>
      <c r="G364" s="277">
        <f t="shared" si="61"/>
        <v>0</v>
      </c>
      <c r="H364" s="3">
        <f t="shared" si="66"/>
        <v>0</v>
      </c>
      <c r="I364" s="277">
        <f t="shared" si="62"/>
        <v>0</v>
      </c>
      <c r="J364" s="359"/>
      <c r="K364" s="359" t="s">
        <v>489</v>
      </c>
      <c r="L364" s="359"/>
      <c r="M364" s="338" t="s">
        <v>141</v>
      </c>
      <c r="N364" s="89">
        <v>41095</v>
      </c>
      <c r="O364" s="359">
        <v>140</v>
      </c>
      <c r="P364" s="359" t="s">
        <v>46</v>
      </c>
      <c r="Q364" s="359"/>
      <c r="R364" s="359"/>
      <c r="S364" s="359">
        <v>800</v>
      </c>
      <c r="T364" s="359">
        <v>56</v>
      </c>
      <c r="U364" s="359">
        <v>400</v>
      </c>
      <c r="V364" s="359"/>
      <c r="W364" s="359"/>
      <c r="X364" s="359"/>
      <c r="Y364" s="359">
        <v>47</v>
      </c>
      <c r="Z364" s="359"/>
      <c r="AA364" s="210"/>
      <c r="AB364" s="248"/>
      <c r="AC364" s="359"/>
      <c r="AD364" s="359"/>
      <c r="AE364" s="134"/>
      <c r="AF364" s="134"/>
      <c r="AG364" s="307"/>
      <c r="AH364" s="346">
        <v>494.33225308097502</v>
      </c>
      <c r="AI364" s="24"/>
      <c r="AJ364" s="24"/>
      <c r="AK364" s="24"/>
      <c r="AL364" s="24"/>
      <c r="AM364" s="359"/>
      <c r="AN364" s="24">
        <f t="shared" si="63"/>
        <v>0</v>
      </c>
      <c r="AO364" s="54">
        <f t="shared" si="64"/>
        <v>0</v>
      </c>
      <c r="AP364" s="261">
        <f t="shared" si="65"/>
        <v>0</v>
      </c>
      <c r="AQ364" s="338"/>
      <c r="AR364" s="45"/>
      <c r="AS364" s="359"/>
      <c r="AT364" s="359"/>
    </row>
    <row r="365" spans="1:46" ht="12">
      <c r="A365" s="359" t="s">
        <v>501</v>
      </c>
      <c r="B365" s="359" t="str">
        <f t="shared" si="56"/>
        <v>SiNx</v>
      </c>
      <c r="C365" s="141">
        <f t="shared" si="57"/>
        <v>8.1999999999999993</v>
      </c>
      <c r="D365" s="277">
        <f t="shared" si="58"/>
        <v>355.52432734817899</v>
      </c>
      <c r="E365" s="20">
        <f t="shared" si="59"/>
        <v>0</v>
      </c>
      <c r="F365" s="20">
        <f t="shared" si="60"/>
        <v>0</v>
      </c>
      <c r="G365" s="277">
        <f t="shared" si="61"/>
        <v>291.52994842550675</v>
      </c>
      <c r="H365" s="3">
        <f t="shared" si="66"/>
        <v>0</v>
      </c>
      <c r="I365" s="277">
        <f t="shared" si="62"/>
        <v>0</v>
      </c>
      <c r="J365" s="359"/>
      <c r="K365" s="359" t="s">
        <v>186</v>
      </c>
      <c r="L365" s="359"/>
      <c r="M365" s="338" t="s">
        <v>138</v>
      </c>
      <c r="N365" s="89">
        <v>41095</v>
      </c>
      <c r="O365" s="359">
        <v>141</v>
      </c>
      <c r="P365" s="359" t="s">
        <v>187</v>
      </c>
      <c r="Q365" s="359"/>
      <c r="R365" s="359"/>
      <c r="S365" s="359">
        <v>20</v>
      </c>
      <c r="T365" s="359">
        <v>116</v>
      </c>
      <c r="U365" s="359">
        <v>400</v>
      </c>
      <c r="V365" s="359"/>
      <c r="W365" s="359"/>
      <c r="X365" s="359"/>
      <c r="Y365" s="359">
        <v>47</v>
      </c>
      <c r="Z365" s="359"/>
      <c r="AA365" s="210"/>
      <c r="AB365" s="248">
        <v>0.2346</v>
      </c>
      <c r="AC365" s="359">
        <v>0.42320000000000002</v>
      </c>
      <c r="AD365" s="359">
        <v>0.3422</v>
      </c>
      <c r="AE365" s="359" t="s">
        <v>47</v>
      </c>
      <c r="AF365" s="359">
        <v>8.1999999999999993</v>
      </c>
      <c r="AG365" s="153"/>
      <c r="AH365" s="346">
        <v>355.52432734817899</v>
      </c>
      <c r="AI365" s="24"/>
      <c r="AJ365" s="24"/>
      <c r="AK365" s="24"/>
      <c r="AL365" s="24"/>
      <c r="AM365" s="359"/>
      <c r="AN365" s="24">
        <f t="shared" si="63"/>
        <v>291.52994842550675</v>
      </c>
      <c r="AO365" s="54">
        <f t="shared" si="64"/>
        <v>0</v>
      </c>
      <c r="AP365" s="261">
        <f t="shared" si="65"/>
        <v>4.2413793103448265</v>
      </c>
      <c r="AQ365" s="338"/>
      <c r="AR365" s="45"/>
      <c r="AS365" s="359"/>
      <c r="AT365" s="359"/>
    </row>
    <row r="366" spans="1:46" ht="12">
      <c r="A366" s="359" t="s">
        <v>502</v>
      </c>
      <c r="B366" s="359" t="str">
        <f t="shared" si="56"/>
        <v>SiNx</v>
      </c>
      <c r="C366" s="141">
        <f t="shared" si="57"/>
        <v>8.1999999999999993</v>
      </c>
      <c r="D366" s="277">
        <f t="shared" si="58"/>
        <v>356.832713966055</v>
      </c>
      <c r="E366" s="20">
        <f t="shared" si="59"/>
        <v>0</v>
      </c>
      <c r="F366" s="20">
        <f t="shared" si="60"/>
        <v>0</v>
      </c>
      <c r="G366" s="277">
        <f t="shared" si="61"/>
        <v>292.60282545216506</v>
      </c>
      <c r="H366" s="3">
        <f t="shared" si="66"/>
        <v>0</v>
      </c>
      <c r="I366" s="277">
        <f t="shared" si="62"/>
        <v>0</v>
      </c>
      <c r="J366" s="359"/>
      <c r="K366" s="359" t="s">
        <v>186</v>
      </c>
      <c r="L366" s="359"/>
      <c r="M366" s="338" t="s">
        <v>138</v>
      </c>
      <c r="N366" s="89">
        <v>41095</v>
      </c>
      <c r="O366" s="359">
        <v>141</v>
      </c>
      <c r="P366" s="359" t="s">
        <v>187</v>
      </c>
      <c r="Q366" s="359"/>
      <c r="R366" s="359"/>
      <c r="S366" s="359">
        <v>20</v>
      </c>
      <c r="T366" s="359">
        <v>116</v>
      </c>
      <c r="U366" s="359">
        <v>400</v>
      </c>
      <c r="V366" s="359"/>
      <c r="W366" s="359"/>
      <c r="X366" s="359"/>
      <c r="Y366" s="359">
        <v>47</v>
      </c>
      <c r="Z366" s="359"/>
      <c r="AA366" s="210"/>
      <c r="AB366" s="248">
        <v>0.2346</v>
      </c>
      <c r="AC366" s="359">
        <v>0.42320000000000002</v>
      </c>
      <c r="AD366" s="359">
        <v>0.3422</v>
      </c>
      <c r="AE366" s="359" t="s">
        <v>47</v>
      </c>
      <c r="AF366" s="359">
        <v>8.1999999999999993</v>
      </c>
      <c r="AG366" s="153"/>
      <c r="AH366" s="346">
        <v>356.832713966055</v>
      </c>
      <c r="AI366" s="24"/>
      <c r="AJ366" s="24"/>
      <c r="AK366" s="24"/>
      <c r="AL366" s="24"/>
      <c r="AM366" s="359"/>
      <c r="AN366" s="24">
        <f t="shared" si="63"/>
        <v>292.60282545216506</v>
      </c>
      <c r="AO366" s="54">
        <f t="shared" si="64"/>
        <v>0</v>
      </c>
      <c r="AP366" s="261">
        <f t="shared" si="65"/>
        <v>4.2413793103448265</v>
      </c>
      <c r="AQ366" s="338"/>
      <c r="AR366" s="45"/>
      <c r="AS366" s="359"/>
      <c r="AT366" s="359"/>
    </row>
    <row r="367" spans="1:46" ht="12">
      <c r="A367" s="359" t="s">
        <v>503</v>
      </c>
      <c r="B367" s="359" t="str">
        <f t="shared" si="56"/>
        <v>SiNx</v>
      </c>
      <c r="C367" s="141">
        <f t="shared" si="57"/>
        <v>8.1999999999999993</v>
      </c>
      <c r="D367" s="277">
        <f t="shared" si="58"/>
        <v>355.76221582415701</v>
      </c>
      <c r="E367" s="20">
        <f t="shared" si="59"/>
        <v>0</v>
      </c>
      <c r="F367" s="20">
        <f t="shared" si="60"/>
        <v>0</v>
      </c>
      <c r="G367" s="277">
        <f t="shared" si="61"/>
        <v>291.72501697580873</v>
      </c>
      <c r="H367" s="3">
        <f t="shared" si="66"/>
        <v>0</v>
      </c>
      <c r="I367" s="277">
        <f t="shared" si="62"/>
        <v>0</v>
      </c>
      <c r="J367" s="359"/>
      <c r="K367" s="359" t="s">
        <v>186</v>
      </c>
      <c r="L367" s="359"/>
      <c r="M367" s="338" t="s">
        <v>138</v>
      </c>
      <c r="N367" s="89">
        <v>41095</v>
      </c>
      <c r="O367" s="359">
        <v>141</v>
      </c>
      <c r="P367" s="359" t="s">
        <v>187</v>
      </c>
      <c r="Q367" s="359"/>
      <c r="R367" s="359"/>
      <c r="S367" s="359">
        <v>20</v>
      </c>
      <c r="T367" s="359">
        <v>116</v>
      </c>
      <c r="U367" s="359">
        <v>400</v>
      </c>
      <c r="V367" s="359"/>
      <c r="W367" s="359"/>
      <c r="X367" s="359"/>
      <c r="Y367" s="359">
        <v>47</v>
      </c>
      <c r="Z367" s="359"/>
      <c r="AA367" s="210"/>
      <c r="AB367" s="248">
        <v>0.2346</v>
      </c>
      <c r="AC367" s="359">
        <v>0.42320000000000002</v>
      </c>
      <c r="AD367" s="359">
        <v>0.3422</v>
      </c>
      <c r="AE367" s="359" t="s">
        <v>47</v>
      </c>
      <c r="AF367" s="359">
        <v>8.1999999999999993</v>
      </c>
      <c r="AG367" s="153"/>
      <c r="AH367" s="346">
        <v>355.76221582415701</v>
      </c>
      <c r="AI367" s="24"/>
      <c r="AJ367" s="24"/>
      <c r="AK367" s="24"/>
      <c r="AL367" s="24"/>
      <c r="AM367" s="359"/>
      <c r="AN367" s="24">
        <f t="shared" si="63"/>
        <v>291.72501697580873</v>
      </c>
      <c r="AO367" s="54">
        <f t="shared" si="64"/>
        <v>0</v>
      </c>
      <c r="AP367" s="261">
        <f t="shared" si="65"/>
        <v>4.2413793103448265</v>
      </c>
      <c r="AQ367" s="338"/>
      <c r="AR367" s="45"/>
      <c r="AS367" s="359"/>
      <c r="AT367" s="359"/>
    </row>
    <row r="368" spans="1:46" ht="12">
      <c r="A368" s="359" t="s">
        <v>504</v>
      </c>
      <c r="B368" s="359" t="str">
        <f t="shared" si="56"/>
        <v>MgO</v>
      </c>
      <c r="C368" s="141">
        <f t="shared" si="57"/>
        <v>0</v>
      </c>
      <c r="D368" s="277">
        <f t="shared" si="58"/>
        <v>172.46914508359299</v>
      </c>
      <c r="E368" s="20">
        <f t="shared" si="59"/>
        <v>0</v>
      </c>
      <c r="F368" s="20">
        <f t="shared" si="60"/>
        <v>0</v>
      </c>
      <c r="G368" s="277">
        <f t="shared" si="61"/>
        <v>0</v>
      </c>
      <c r="H368" s="3">
        <f t="shared" si="66"/>
        <v>0</v>
      </c>
      <c r="I368" s="277">
        <f t="shared" si="62"/>
        <v>0</v>
      </c>
      <c r="J368" s="359"/>
      <c r="K368" s="359" t="s">
        <v>476</v>
      </c>
      <c r="L368" s="359"/>
      <c r="M368" s="338" t="s">
        <v>505</v>
      </c>
      <c r="N368" s="89">
        <v>41101</v>
      </c>
      <c r="O368" s="359">
        <v>142</v>
      </c>
      <c r="P368" s="359" t="s">
        <v>46</v>
      </c>
      <c r="Q368" s="359"/>
      <c r="R368" s="359"/>
      <c r="S368" s="359">
        <v>800</v>
      </c>
      <c r="T368" s="359">
        <v>152</v>
      </c>
      <c r="U368" s="359">
        <v>400</v>
      </c>
      <c r="V368" s="359"/>
      <c r="W368" s="359"/>
      <c r="X368" s="359"/>
      <c r="Y368" s="359">
        <v>47</v>
      </c>
      <c r="Z368" s="359"/>
      <c r="AA368" s="210"/>
      <c r="AB368" s="248"/>
      <c r="AC368" s="359"/>
      <c r="AD368" s="359"/>
      <c r="AE368" s="359"/>
      <c r="AF368" s="359"/>
      <c r="AG368" s="153"/>
      <c r="AH368" s="346">
        <v>172.46914508359299</v>
      </c>
      <c r="AI368" s="24"/>
      <c r="AJ368" s="24"/>
      <c r="AK368" s="24"/>
      <c r="AL368" s="24"/>
      <c r="AM368" s="359"/>
      <c r="AN368" s="24">
        <f t="shared" si="63"/>
        <v>0</v>
      </c>
      <c r="AO368" s="54">
        <f t="shared" si="64"/>
        <v>0</v>
      </c>
      <c r="AP368" s="261">
        <f t="shared" si="65"/>
        <v>0</v>
      </c>
      <c r="AQ368" s="338"/>
      <c r="AR368" s="45"/>
      <c r="AS368" s="359"/>
      <c r="AT368" s="359"/>
    </row>
    <row r="369" spans="1:46" ht="12">
      <c r="A369" s="359" t="s">
        <v>506</v>
      </c>
      <c r="B369" s="359" t="str">
        <f t="shared" si="56"/>
        <v>MgO</v>
      </c>
      <c r="C369" s="141">
        <f t="shared" si="57"/>
        <v>0</v>
      </c>
      <c r="D369" s="277">
        <f t="shared" si="58"/>
        <v>184.60145735843901</v>
      </c>
      <c r="E369" s="20">
        <f t="shared" si="59"/>
        <v>0</v>
      </c>
      <c r="F369" s="20">
        <f t="shared" si="60"/>
        <v>0</v>
      </c>
      <c r="G369" s="277">
        <f t="shared" si="61"/>
        <v>0</v>
      </c>
      <c r="H369" s="3">
        <f t="shared" si="66"/>
        <v>0</v>
      </c>
      <c r="I369" s="277">
        <f t="shared" si="62"/>
        <v>0</v>
      </c>
      <c r="J369" s="359"/>
      <c r="K369" s="359" t="s">
        <v>476</v>
      </c>
      <c r="L369" s="359"/>
      <c r="M369" s="338" t="s">
        <v>505</v>
      </c>
      <c r="N369" s="89">
        <v>41101</v>
      </c>
      <c r="O369" s="359">
        <v>142</v>
      </c>
      <c r="P369" s="359" t="s">
        <v>46</v>
      </c>
      <c r="Q369" s="359"/>
      <c r="R369" s="359"/>
      <c r="S369" s="359">
        <v>800</v>
      </c>
      <c r="T369" s="359">
        <v>152</v>
      </c>
      <c r="U369" s="359">
        <v>400</v>
      </c>
      <c r="V369" s="359"/>
      <c r="W369" s="359"/>
      <c r="X369" s="359"/>
      <c r="Y369" s="359">
        <v>47</v>
      </c>
      <c r="Z369" s="359"/>
      <c r="AA369" s="210"/>
      <c r="AB369" s="248"/>
      <c r="AC369" s="359"/>
      <c r="AD369" s="359"/>
      <c r="AE369" s="359"/>
      <c r="AF369" s="359"/>
      <c r="AG369" s="153"/>
      <c r="AH369" s="346">
        <v>184.60145735843901</v>
      </c>
      <c r="AI369" s="24"/>
      <c r="AJ369" s="24"/>
      <c r="AK369" s="24"/>
      <c r="AL369" s="24"/>
      <c r="AM369" s="359"/>
      <c r="AN369" s="24">
        <f t="shared" si="63"/>
        <v>0</v>
      </c>
      <c r="AO369" s="54">
        <f t="shared" si="64"/>
        <v>0</v>
      </c>
      <c r="AP369" s="261">
        <f t="shared" si="65"/>
        <v>0</v>
      </c>
      <c r="AQ369" s="338"/>
      <c r="AR369" s="45"/>
      <c r="AS369" s="359"/>
      <c r="AT369" s="359"/>
    </row>
    <row r="370" spans="1:46" ht="12">
      <c r="A370" s="359" t="s">
        <v>507</v>
      </c>
      <c r="B370" s="359" t="str">
        <f t="shared" si="56"/>
        <v>MgO</v>
      </c>
      <c r="C370" s="141">
        <f t="shared" si="57"/>
        <v>0</v>
      </c>
      <c r="D370" s="277">
        <f t="shared" si="58"/>
        <v>136.54798521101</v>
      </c>
      <c r="E370" s="20">
        <f t="shared" si="59"/>
        <v>0</v>
      </c>
      <c r="F370" s="20">
        <f t="shared" si="60"/>
        <v>0</v>
      </c>
      <c r="G370" s="277">
        <f t="shared" si="61"/>
        <v>0</v>
      </c>
      <c r="H370" s="3">
        <f t="shared" si="66"/>
        <v>0</v>
      </c>
      <c r="I370" s="277">
        <f t="shared" si="62"/>
        <v>0</v>
      </c>
      <c r="J370" s="359"/>
      <c r="K370" s="359" t="s">
        <v>476</v>
      </c>
      <c r="L370" s="359"/>
      <c r="M370" s="338" t="s">
        <v>505</v>
      </c>
      <c r="N370" s="89">
        <v>41101</v>
      </c>
      <c r="O370" s="359">
        <v>142</v>
      </c>
      <c r="P370" s="359" t="s">
        <v>46</v>
      </c>
      <c r="Q370" s="359"/>
      <c r="R370" s="359"/>
      <c r="S370" s="359">
        <v>800</v>
      </c>
      <c r="T370" s="359">
        <v>152</v>
      </c>
      <c r="U370" s="359">
        <v>400</v>
      </c>
      <c r="V370" s="359"/>
      <c r="W370" s="359"/>
      <c r="X370" s="359"/>
      <c r="Y370" s="359">
        <v>47</v>
      </c>
      <c r="Z370" s="359"/>
      <c r="AA370" s="210"/>
      <c r="AB370" s="248"/>
      <c r="AC370" s="359"/>
      <c r="AD370" s="359"/>
      <c r="AE370" s="359"/>
      <c r="AF370" s="359"/>
      <c r="AG370" s="153"/>
      <c r="AH370" s="346">
        <v>136.54798521101</v>
      </c>
      <c r="AI370" s="24"/>
      <c r="AJ370" s="24"/>
      <c r="AK370" s="24"/>
      <c r="AL370" s="24"/>
      <c r="AM370" s="359"/>
      <c r="AN370" s="24">
        <f t="shared" si="63"/>
        <v>0</v>
      </c>
      <c r="AO370" s="54">
        <f t="shared" si="64"/>
        <v>0</v>
      </c>
      <c r="AP370" s="261">
        <f t="shared" si="65"/>
        <v>0</v>
      </c>
      <c r="AQ370" s="338"/>
      <c r="AR370" s="45"/>
      <c r="AS370" s="359"/>
      <c r="AT370" s="359"/>
    </row>
    <row r="371" spans="1:46" ht="12">
      <c r="A371" s="359" t="s">
        <v>508</v>
      </c>
      <c r="B371" s="359" t="str">
        <f t="shared" si="56"/>
        <v>MgO</v>
      </c>
      <c r="C371" s="141">
        <f t="shared" si="57"/>
        <v>7.9</v>
      </c>
      <c r="D371" s="277">
        <f t="shared" si="58"/>
        <v>146.896133916026</v>
      </c>
      <c r="E371" s="20">
        <f t="shared" si="59"/>
        <v>13.4</v>
      </c>
      <c r="F371" s="20">
        <f t="shared" si="60"/>
        <v>0.58689185799999999</v>
      </c>
      <c r="G371" s="277">
        <f t="shared" si="61"/>
        <v>116.04794579366055</v>
      </c>
      <c r="H371" s="3">
        <f t="shared" si="66"/>
        <v>0.8628330995792427</v>
      </c>
      <c r="I371" s="277">
        <f t="shared" si="62"/>
        <v>15550.424736350515</v>
      </c>
      <c r="J371" s="359"/>
      <c r="K371" s="359" t="s">
        <v>476</v>
      </c>
      <c r="L371" s="359"/>
      <c r="M371" s="338" t="s">
        <v>505</v>
      </c>
      <c r="N371" s="89">
        <v>41101</v>
      </c>
      <c r="O371" s="359">
        <v>142</v>
      </c>
      <c r="P371" s="359" t="s">
        <v>46</v>
      </c>
      <c r="Q371" s="359"/>
      <c r="R371" s="359"/>
      <c r="S371" s="359">
        <v>800</v>
      </c>
      <c r="T371" s="359">
        <v>152</v>
      </c>
      <c r="U371" s="359">
        <v>400</v>
      </c>
      <c r="V371" s="359"/>
      <c r="W371" s="359"/>
      <c r="X371" s="359"/>
      <c r="Y371" s="359">
        <v>47</v>
      </c>
      <c r="Z371" s="359"/>
      <c r="AA371" s="210"/>
      <c r="AB371" s="248">
        <v>0.28620000000000001</v>
      </c>
      <c r="AC371" s="359">
        <v>0.43130000000000002</v>
      </c>
      <c r="AD371" s="359">
        <v>0.28249999999999997</v>
      </c>
      <c r="AE371" s="359" t="s">
        <v>47</v>
      </c>
      <c r="AF371" s="359">
        <v>7.9</v>
      </c>
      <c r="AG371" s="153"/>
      <c r="AH371" s="346">
        <v>146.896133916026</v>
      </c>
      <c r="AI371" s="24"/>
      <c r="AJ371" s="24">
        <v>13.4</v>
      </c>
      <c r="AK371" s="24">
        <v>0.58689185799999999</v>
      </c>
      <c r="AL371" s="24">
        <f>61.52/71.3</f>
        <v>0.8628330995792427</v>
      </c>
      <c r="AM371" s="359" t="s">
        <v>156</v>
      </c>
      <c r="AN371" s="24">
        <f t="shared" si="63"/>
        <v>116.04794579366055</v>
      </c>
      <c r="AO371" s="54">
        <f t="shared" si="64"/>
        <v>15550.424736350515</v>
      </c>
      <c r="AP371" s="261">
        <f t="shared" si="65"/>
        <v>3.1184210526315792</v>
      </c>
      <c r="AQ371" s="338"/>
      <c r="AR371" s="45"/>
      <c r="AS371" s="359"/>
      <c r="AT371" s="359"/>
    </row>
    <row r="372" spans="1:46" ht="12">
      <c r="A372" s="359" t="s">
        <v>509</v>
      </c>
      <c r="B372" s="359" t="str">
        <f t="shared" si="56"/>
        <v>MgO</v>
      </c>
      <c r="C372" s="141">
        <f t="shared" si="57"/>
        <v>0</v>
      </c>
      <c r="D372" s="277">
        <f t="shared" si="58"/>
        <v>214.21857261762199</v>
      </c>
      <c r="E372" s="20">
        <f t="shared" si="59"/>
        <v>0</v>
      </c>
      <c r="F372" s="20">
        <f t="shared" si="60"/>
        <v>0</v>
      </c>
      <c r="G372" s="277">
        <f t="shared" si="61"/>
        <v>0</v>
      </c>
      <c r="H372" s="3">
        <f t="shared" si="66"/>
        <v>0</v>
      </c>
      <c r="I372" s="277">
        <f t="shared" si="62"/>
        <v>0</v>
      </c>
      <c r="J372" s="359"/>
      <c r="K372" s="359" t="s">
        <v>476</v>
      </c>
      <c r="L372" s="359"/>
      <c r="M372" s="338" t="s">
        <v>505</v>
      </c>
      <c r="N372" s="89">
        <v>41101</v>
      </c>
      <c r="O372" s="359">
        <v>143</v>
      </c>
      <c r="P372" s="359" t="s">
        <v>46</v>
      </c>
      <c r="Q372" s="359"/>
      <c r="R372" s="359"/>
      <c r="S372" s="359">
        <v>800</v>
      </c>
      <c r="T372" s="359">
        <v>184</v>
      </c>
      <c r="U372" s="359">
        <v>400</v>
      </c>
      <c r="V372" s="359"/>
      <c r="W372" s="359"/>
      <c r="X372" s="359"/>
      <c r="Y372" s="359">
        <v>47</v>
      </c>
      <c r="Z372" s="359"/>
      <c r="AA372" s="210"/>
      <c r="AB372" s="248"/>
      <c r="AC372" s="359"/>
      <c r="AD372" s="359"/>
      <c r="AE372" s="359"/>
      <c r="AF372" s="359"/>
      <c r="AG372" s="153"/>
      <c r="AH372" s="346">
        <v>214.21857261762199</v>
      </c>
      <c r="AI372" s="24"/>
      <c r="AJ372" s="24"/>
      <c r="AK372" s="24"/>
      <c r="AL372" s="24"/>
      <c r="AM372" s="359"/>
      <c r="AN372" s="24">
        <f t="shared" si="63"/>
        <v>0</v>
      </c>
      <c r="AO372" s="54">
        <f t="shared" si="64"/>
        <v>0</v>
      </c>
      <c r="AP372" s="261">
        <f t="shared" si="65"/>
        <v>0</v>
      </c>
      <c r="AQ372" s="338"/>
      <c r="AR372" s="45"/>
      <c r="AS372" s="359"/>
      <c r="AT372" s="359"/>
    </row>
    <row r="373" spans="1:46" ht="12">
      <c r="A373" s="359" t="s">
        <v>510</v>
      </c>
      <c r="B373" s="359" t="str">
        <f t="shared" si="56"/>
        <v>MgO</v>
      </c>
      <c r="C373" s="141">
        <f t="shared" si="57"/>
        <v>9.3000000000000007</v>
      </c>
      <c r="D373" s="277">
        <f t="shared" si="58"/>
        <v>103.600431288145</v>
      </c>
      <c r="E373" s="20">
        <f t="shared" si="59"/>
        <v>14.5</v>
      </c>
      <c r="F373" s="20">
        <f t="shared" si="60"/>
        <v>0.32500554199999998</v>
      </c>
      <c r="G373" s="277">
        <f t="shared" si="61"/>
        <v>96.348401097974858</v>
      </c>
      <c r="H373" s="3">
        <f t="shared" si="66"/>
        <v>0.91099365750528549</v>
      </c>
      <c r="I373" s="277">
        <f t="shared" si="62"/>
        <v>13970.518159206355</v>
      </c>
      <c r="J373" s="359"/>
      <c r="K373" s="359" t="s">
        <v>476</v>
      </c>
      <c r="L373" s="359"/>
      <c r="M373" s="338" t="s">
        <v>505</v>
      </c>
      <c r="N373" s="89">
        <v>41101</v>
      </c>
      <c r="O373" s="359">
        <v>143</v>
      </c>
      <c r="P373" s="359" t="s">
        <v>46</v>
      </c>
      <c r="Q373" s="359"/>
      <c r="R373" s="359"/>
      <c r="S373" s="359">
        <v>800</v>
      </c>
      <c r="T373" s="359">
        <v>184</v>
      </c>
      <c r="U373" s="359">
        <v>400</v>
      </c>
      <c r="V373" s="359"/>
      <c r="W373" s="359"/>
      <c r="X373" s="359"/>
      <c r="Y373" s="359">
        <v>47</v>
      </c>
      <c r="Z373" s="359"/>
      <c r="AA373" s="210"/>
      <c r="AB373" s="248">
        <v>0.31819999999999998</v>
      </c>
      <c r="AC373" s="359">
        <v>0.38600000000000001</v>
      </c>
      <c r="AD373" s="359">
        <v>0.29580000000000001</v>
      </c>
      <c r="AE373" s="359" t="s">
        <v>47</v>
      </c>
      <c r="AF373" s="359">
        <v>9.3000000000000007</v>
      </c>
      <c r="AG373" s="153"/>
      <c r="AH373" s="346">
        <v>103.600431288145</v>
      </c>
      <c r="AI373" s="24"/>
      <c r="AJ373" s="24">
        <v>14.5</v>
      </c>
      <c r="AK373" s="24">
        <v>0.32500554199999998</v>
      </c>
      <c r="AL373" s="24">
        <f>43.09/47.3</f>
        <v>0.91099365750528549</v>
      </c>
      <c r="AM373" s="359" t="s">
        <v>156</v>
      </c>
      <c r="AN373" s="24">
        <f t="shared" si="63"/>
        <v>96.348401097974858</v>
      </c>
      <c r="AO373" s="54">
        <f t="shared" si="64"/>
        <v>13970.518159206355</v>
      </c>
      <c r="AP373" s="261">
        <f t="shared" si="65"/>
        <v>3.0326086956521743</v>
      </c>
      <c r="AQ373" s="338"/>
      <c r="AR373" s="45"/>
      <c r="AS373" s="359"/>
      <c r="AT373" s="359"/>
    </row>
    <row r="374" spans="1:46" ht="12">
      <c r="A374" s="359" t="s">
        <v>511</v>
      </c>
      <c r="B374" s="359" t="str">
        <f t="shared" si="56"/>
        <v>MgO</v>
      </c>
      <c r="C374" s="141">
        <f t="shared" si="57"/>
        <v>0</v>
      </c>
      <c r="D374" s="277">
        <f t="shared" si="58"/>
        <v>103.36254281216701</v>
      </c>
      <c r="E374" s="20">
        <f t="shared" si="59"/>
        <v>0</v>
      </c>
      <c r="F374" s="20">
        <f t="shared" si="60"/>
        <v>0</v>
      </c>
      <c r="G374" s="277">
        <f t="shared" si="61"/>
        <v>0</v>
      </c>
      <c r="H374" s="3">
        <f t="shared" si="66"/>
        <v>0</v>
      </c>
      <c r="I374" s="277">
        <f t="shared" si="62"/>
        <v>0</v>
      </c>
      <c r="J374" s="359"/>
      <c r="K374" s="359" t="s">
        <v>476</v>
      </c>
      <c r="L374" s="359"/>
      <c r="M374" s="338" t="s">
        <v>505</v>
      </c>
      <c r="N374" s="89">
        <v>41101</v>
      </c>
      <c r="O374" s="359">
        <v>143</v>
      </c>
      <c r="P374" s="359" t="s">
        <v>46</v>
      </c>
      <c r="Q374" s="359"/>
      <c r="R374" s="359"/>
      <c r="S374" s="359">
        <v>800</v>
      </c>
      <c r="T374" s="359">
        <v>184</v>
      </c>
      <c r="U374" s="359">
        <v>400</v>
      </c>
      <c r="V374" s="359"/>
      <c r="W374" s="359"/>
      <c r="X374" s="359"/>
      <c r="Y374" s="359">
        <v>47</v>
      </c>
      <c r="Z374" s="359"/>
      <c r="AA374" s="210"/>
      <c r="AB374" s="248"/>
      <c r="AC374" s="359"/>
      <c r="AD374" s="359"/>
      <c r="AE374" s="359"/>
      <c r="AF374" s="359"/>
      <c r="AG374" s="153"/>
      <c r="AH374" s="346">
        <v>103.36254281216701</v>
      </c>
      <c r="AI374" s="24"/>
      <c r="AJ374" s="24"/>
      <c r="AK374" s="24"/>
      <c r="AL374" s="24"/>
      <c r="AM374" s="359"/>
      <c r="AN374" s="24">
        <f t="shared" si="63"/>
        <v>0</v>
      </c>
      <c r="AO374" s="54">
        <f t="shared" si="64"/>
        <v>0</v>
      </c>
      <c r="AP374" s="261">
        <f t="shared" si="65"/>
        <v>0</v>
      </c>
      <c r="AQ374" s="338"/>
      <c r="AR374" s="45"/>
      <c r="AS374" s="359"/>
      <c r="AT374" s="359"/>
    </row>
    <row r="375" spans="1:46" ht="12">
      <c r="A375" s="359" t="s">
        <v>512</v>
      </c>
      <c r="B375" s="359" t="str">
        <f t="shared" si="56"/>
        <v>MgO</v>
      </c>
      <c r="C375" s="141">
        <f t="shared" si="57"/>
        <v>0</v>
      </c>
      <c r="D375" s="277">
        <f t="shared" si="58"/>
        <v>104.43304095406501</v>
      </c>
      <c r="E375" s="20">
        <f t="shared" si="59"/>
        <v>0</v>
      </c>
      <c r="F375" s="20">
        <f t="shared" si="60"/>
        <v>0</v>
      </c>
      <c r="G375" s="277">
        <f t="shared" si="61"/>
        <v>0</v>
      </c>
      <c r="H375" s="3">
        <f t="shared" si="66"/>
        <v>0</v>
      </c>
      <c r="I375" s="277">
        <f t="shared" si="62"/>
        <v>0</v>
      </c>
      <c r="J375" s="359"/>
      <c r="K375" s="359" t="s">
        <v>476</v>
      </c>
      <c r="L375" s="359"/>
      <c r="M375" s="338" t="s">
        <v>505</v>
      </c>
      <c r="N375" s="89">
        <v>41101</v>
      </c>
      <c r="O375" s="359">
        <v>143</v>
      </c>
      <c r="P375" s="359" t="s">
        <v>46</v>
      </c>
      <c r="Q375" s="359"/>
      <c r="R375" s="359"/>
      <c r="S375" s="359">
        <v>800</v>
      </c>
      <c r="T375" s="359">
        <v>184</v>
      </c>
      <c r="U375" s="359">
        <v>400</v>
      </c>
      <c r="V375" s="359"/>
      <c r="W375" s="359"/>
      <c r="X375" s="359"/>
      <c r="Y375" s="359">
        <v>47</v>
      </c>
      <c r="Z375" s="359"/>
      <c r="AA375" s="210"/>
      <c r="AB375" s="248"/>
      <c r="AC375" s="359"/>
      <c r="AD375" s="359"/>
      <c r="AE375" s="359"/>
      <c r="AF375" s="359"/>
      <c r="AG375" s="153"/>
      <c r="AH375" s="346">
        <v>104.43304095406501</v>
      </c>
      <c r="AI375" s="24"/>
      <c r="AJ375" s="24"/>
      <c r="AK375" s="24"/>
      <c r="AL375" s="24"/>
      <c r="AM375" s="359"/>
      <c r="AN375" s="24">
        <f t="shared" si="63"/>
        <v>0</v>
      </c>
      <c r="AO375" s="54">
        <f t="shared" si="64"/>
        <v>0</v>
      </c>
      <c r="AP375" s="261">
        <f t="shared" si="65"/>
        <v>0</v>
      </c>
      <c r="AQ375" s="338"/>
      <c r="AR375" s="45"/>
      <c r="AS375" s="359"/>
      <c r="AT375" s="359"/>
    </row>
    <row r="376" spans="1:46" ht="12">
      <c r="A376" s="359" t="s">
        <v>513</v>
      </c>
      <c r="B376" s="359" t="str">
        <f t="shared" si="56"/>
        <v>SiNx</v>
      </c>
      <c r="C376" s="141">
        <f t="shared" si="57"/>
        <v>8.1</v>
      </c>
      <c r="D376" s="277">
        <f t="shared" si="58"/>
        <v>346.48456526103899</v>
      </c>
      <c r="E376" s="20">
        <f t="shared" si="59"/>
        <v>0</v>
      </c>
      <c r="F376" s="20">
        <f t="shared" si="60"/>
        <v>0</v>
      </c>
      <c r="G376" s="277">
        <f t="shared" si="61"/>
        <v>280.65249786144159</v>
      </c>
      <c r="H376" s="3">
        <f t="shared" si="66"/>
        <v>0</v>
      </c>
      <c r="I376" s="277">
        <f t="shared" si="62"/>
        <v>0</v>
      </c>
      <c r="J376" s="359"/>
      <c r="K376" s="359" t="s">
        <v>186</v>
      </c>
      <c r="L376" s="359"/>
      <c r="M376" s="338" t="s">
        <v>138</v>
      </c>
      <c r="N376" s="89">
        <v>41101</v>
      </c>
      <c r="O376" s="359">
        <v>144</v>
      </c>
      <c r="P376" s="359" t="s">
        <v>187</v>
      </c>
      <c r="Q376" s="359"/>
      <c r="R376" s="359"/>
      <c r="S376" s="359">
        <v>20</v>
      </c>
      <c r="T376" s="359">
        <v>116</v>
      </c>
      <c r="U376" s="359">
        <v>400</v>
      </c>
      <c r="V376" s="359"/>
      <c r="W376" s="359"/>
      <c r="X376" s="359"/>
      <c r="Y376" s="359">
        <v>47</v>
      </c>
      <c r="Z376" s="359"/>
      <c r="AA376" s="210"/>
      <c r="AB376" s="248">
        <v>0.22839999999999999</v>
      </c>
      <c r="AC376" s="359">
        <v>0.42620000000000002</v>
      </c>
      <c r="AD376" s="359">
        <v>0.34539999999999998</v>
      </c>
      <c r="AE376" s="359" t="s">
        <v>47</v>
      </c>
      <c r="AF376" s="359">
        <v>8.1</v>
      </c>
      <c r="AG376" s="153"/>
      <c r="AH376" s="346">
        <v>346.48456526103899</v>
      </c>
      <c r="AI376" s="24"/>
      <c r="AJ376" s="24"/>
      <c r="AK376" s="24"/>
      <c r="AL376" s="24"/>
      <c r="AM376" s="359"/>
      <c r="AN376" s="24">
        <f t="shared" si="63"/>
        <v>280.65249786144159</v>
      </c>
      <c r="AO376" s="54">
        <f t="shared" si="64"/>
        <v>0</v>
      </c>
      <c r="AP376" s="261">
        <f t="shared" si="65"/>
        <v>4.1896551724137936</v>
      </c>
      <c r="AQ376" s="338"/>
      <c r="AR376" s="45"/>
      <c r="AS376" s="359"/>
      <c r="AT376" s="359"/>
    </row>
    <row r="377" spans="1:46" ht="12">
      <c r="A377" s="359" t="s">
        <v>514</v>
      </c>
      <c r="B377" s="359" t="str">
        <f t="shared" si="56"/>
        <v>SiNx</v>
      </c>
      <c r="C377" s="141">
        <f t="shared" si="57"/>
        <v>8.1</v>
      </c>
      <c r="D377" s="277">
        <f t="shared" si="58"/>
        <v>347.67400764092599</v>
      </c>
      <c r="E377" s="20">
        <f t="shared" si="59"/>
        <v>0</v>
      </c>
      <c r="F377" s="20">
        <f t="shared" si="60"/>
        <v>0</v>
      </c>
      <c r="G377" s="277">
        <f t="shared" si="61"/>
        <v>281.61594618915007</v>
      </c>
      <c r="H377" s="3">
        <f t="shared" si="66"/>
        <v>0</v>
      </c>
      <c r="I377" s="277">
        <f t="shared" si="62"/>
        <v>0</v>
      </c>
      <c r="J377" s="359"/>
      <c r="K377" s="359" t="s">
        <v>186</v>
      </c>
      <c r="L377" s="359"/>
      <c r="M377" s="338" t="s">
        <v>138</v>
      </c>
      <c r="N377" s="89">
        <v>41101</v>
      </c>
      <c r="O377" s="359">
        <v>144</v>
      </c>
      <c r="P377" s="359" t="s">
        <v>187</v>
      </c>
      <c r="Q377" s="359"/>
      <c r="R377" s="359"/>
      <c r="S377" s="359">
        <v>20</v>
      </c>
      <c r="T377" s="359">
        <v>116</v>
      </c>
      <c r="U377" s="359">
        <v>400</v>
      </c>
      <c r="V377" s="359"/>
      <c r="W377" s="359"/>
      <c r="X377" s="359"/>
      <c r="Y377" s="359">
        <v>47</v>
      </c>
      <c r="Z377" s="359"/>
      <c r="AA377" s="210"/>
      <c r="AB377" s="248">
        <v>0.22839999999999999</v>
      </c>
      <c r="AC377" s="359">
        <v>0.42620000000000002</v>
      </c>
      <c r="AD377" s="359">
        <v>0.34539999999999998</v>
      </c>
      <c r="AE377" s="359" t="s">
        <v>47</v>
      </c>
      <c r="AF377" s="359">
        <v>8.1</v>
      </c>
      <c r="AG377" s="153"/>
      <c r="AH377" s="346">
        <v>347.67400764092599</v>
      </c>
      <c r="AI377" s="24"/>
      <c r="AJ377" s="24"/>
      <c r="AK377" s="24"/>
      <c r="AL377" s="24"/>
      <c r="AM377" s="359"/>
      <c r="AN377" s="24">
        <f t="shared" si="63"/>
        <v>281.61594618915007</v>
      </c>
      <c r="AO377" s="54">
        <f t="shared" si="64"/>
        <v>0</v>
      </c>
      <c r="AP377" s="261">
        <f t="shared" si="65"/>
        <v>4.1896551724137936</v>
      </c>
      <c r="AQ377" s="338"/>
      <c r="AR377" s="45"/>
      <c r="AS377" s="359"/>
      <c r="AT377" s="359"/>
    </row>
    <row r="378" spans="1:46" ht="12">
      <c r="A378" s="359" t="s">
        <v>515</v>
      </c>
      <c r="B378" s="359" t="str">
        <f t="shared" si="56"/>
        <v>SiNx</v>
      </c>
      <c r="C378" s="141">
        <f t="shared" si="57"/>
        <v>8.1</v>
      </c>
      <c r="D378" s="277">
        <f t="shared" si="58"/>
        <v>348.50661730684698</v>
      </c>
      <c r="E378" s="20">
        <f t="shared" si="59"/>
        <v>0</v>
      </c>
      <c r="F378" s="20">
        <f t="shared" si="60"/>
        <v>0</v>
      </c>
      <c r="G378" s="277">
        <f t="shared" si="61"/>
        <v>282.29036001854604</v>
      </c>
      <c r="H378" s="3">
        <f t="shared" si="66"/>
        <v>0</v>
      </c>
      <c r="I378" s="277">
        <f t="shared" si="62"/>
        <v>0</v>
      </c>
      <c r="J378" s="359"/>
      <c r="K378" s="359" t="s">
        <v>186</v>
      </c>
      <c r="L378" s="359"/>
      <c r="M378" s="338" t="s">
        <v>138</v>
      </c>
      <c r="N378" s="89">
        <v>41101</v>
      </c>
      <c r="O378" s="359">
        <v>144</v>
      </c>
      <c r="P378" s="359" t="s">
        <v>187</v>
      </c>
      <c r="Q378" s="359"/>
      <c r="R378" s="359"/>
      <c r="S378" s="359">
        <v>20</v>
      </c>
      <c r="T378" s="359">
        <v>116</v>
      </c>
      <c r="U378" s="359">
        <v>400</v>
      </c>
      <c r="V378" s="359"/>
      <c r="W378" s="359"/>
      <c r="X378" s="359"/>
      <c r="Y378" s="359">
        <v>47</v>
      </c>
      <c r="Z378" s="359"/>
      <c r="AA378" s="210"/>
      <c r="AB378" s="248">
        <v>0.22839999999999999</v>
      </c>
      <c r="AC378" s="359">
        <v>0.42620000000000002</v>
      </c>
      <c r="AD378" s="359">
        <v>0.34539999999999998</v>
      </c>
      <c r="AE378" s="359" t="s">
        <v>47</v>
      </c>
      <c r="AF378" s="359">
        <v>8.1</v>
      </c>
      <c r="AG378" s="153"/>
      <c r="AH378" s="346">
        <v>348.50661730684698</v>
      </c>
      <c r="AI378" s="24"/>
      <c r="AJ378" s="24"/>
      <c r="AK378" s="24"/>
      <c r="AL378" s="24"/>
      <c r="AM378" s="359"/>
      <c r="AN378" s="24">
        <f t="shared" si="63"/>
        <v>282.29036001854604</v>
      </c>
      <c r="AO378" s="54">
        <f t="shared" si="64"/>
        <v>0</v>
      </c>
      <c r="AP378" s="261">
        <f t="shared" si="65"/>
        <v>4.1896551724137936</v>
      </c>
      <c r="AQ378" s="338"/>
      <c r="AR378" s="45"/>
      <c r="AS378" s="359"/>
      <c r="AT378" s="359"/>
    </row>
    <row r="379" spans="1:46" ht="12">
      <c r="A379" s="359" t="s">
        <v>516</v>
      </c>
      <c r="B379" s="359" t="str">
        <f t="shared" si="56"/>
        <v>MgO</v>
      </c>
      <c r="C379" s="141">
        <f t="shared" si="57"/>
        <v>0</v>
      </c>
      <c r="D379" s="277">
        <f t="shared" si="58"/>
        <v>368.608193526935</v>
      </c>
      <c r="E379" s="20">
        <f t="shared" si="59"/>
        <v>0</v>
      </c>
      <c r="F379" s="20">
        <f t="shared" si="60"/>
        <v>0</v>
      </c>
      <c r="G379" s="277">
        <f t="shared" si="61"/>
        <v>0</v>
      </c>
      <c r="H379" s="3">
        <f t="shared" si="66"/>
        <v>0</v>
      </c>
      <c r="I379" s="277">
        <f t="shared" si="62"/>
        <v>0</v>
      </c>
      <c r="J379" s="359"/>
      <c r="K379" s="359" t="s">
        <v>517</v>
      </c>
      <c r="L379" s="359"/>
      <c r="M379" s="338" t="s">
        <v>141</v>
      </c>
      <c r="N379" s="89">
        <v>41101</v>
      </c>
      <c r="O379" s="359">
        <v>145</v>
      </c>
      <c r="P379" s="359" t="s">
        <v>46</v>
      </c>
      <c r="Q379" s="359"/>
      <c r="R379" s="359"/>
      <c r="S379" s="359">
        <v>800</v>
      </c>
      <c r="T379" s="359">
        <v>72</v>
      </c>
      <c r="U379" s="359">
        <v>400</v>
      </c>
      <c r="V379" s="359"/>
      <c r="W379" s="359"/>
      <c r="X379" s="359"/>
      <c r="Y379" s="359">
        <v>47</v>
      </c>
      <c r="Z379" s="359"/>
      <c r="AA379" s="210"/>
      <c r="AB379" s="248"/>
      <c r="AC379" s="359"/>
      <c r="AD379" s="359"/>
      <c r="AE379" s="359"/>
      <c r="AF379" s="359"/>
      <c r="AG379" s="153"/>
      <c r="AH379" s="346">
        <v>368.608193526935</v>
      </c>
      <c r="AI379" s="24"/>
      <c r="AJ379" s="24"/>
      <c r="AK379" s="24"/>
      <c r="AL379" s="24"/>
      <c r="AM379" s="359"/>
      <c r="AN379" s="24">
        <f t="shared" si="63"/>
        <v>0</v>
      </c>
      <c r="AO379" s="54">
        <f t="shared" si="64"/>
        <v>0</v>
      </c>
      <c r="AP379" s="261">
        <f t="shared" si="65"/>
        <v>0</v>
      </c>
      <c r="AQ379" s="338"/>
      <c r="AR379" s="45"/>
      <c r="AS379" s="359"/>
      <c r="AT379" s="359"/>
    </row>
    <row r="380" spans="1:46" ht="12">
      <c r="A380" s="359" t="s">
        <v>518</v>
      </c>
      <c r="B380" s="359" t="str">
        <f t="shared" si="56"/>
        <v>MgO</v>
      </c>
      <c r="C380" s="141">
        <f t="shared" si="57"/>
        <v>0</v>
      </c>
      <c r="D380" s="277">
        <f t="shared" si="58"/>
        <v>371.70074371464102</v>
      </c>
      <c r="E380" s="20">
        <f t="shared" si="59"/>
        <v>0</v>
      </c>
      <c r="F380" s="20">
        <f t="shared" si="60"/>
        <v>0</v>
      </c>
      <c r="G380" s="277">
        <f t="shared" si="61"/>
        <v>0</v>
      </c>
      <c r="H380" s="3">
        <f t="shared" si="66"/>
        <v>0</v>
      </c>
      <c r="I380" s="277">
        <f t="shared" si="62"/>
        <v>0</v>
      </c>
      <c r="J380" s="359"/>
      <c r="K380" s="359" t="s">
        <v>517</v>
      </c>
      <c r="L380" s="359"/>
      <c r="M380" s="338" t="s">
        <v>141</v>
      </c>
      <c r="N380" s="89">
        <v>41101</v>
      </c>
      <c r="O380" s="359">
        <v>145</v>
      </c>
      <c r="P380" s="359" t="s">
        <v>46</v>
      </c>
      <c r="Q380" s="359"/>
      <c r="R380" s="359"/>
      <c r="S380" s="359">
        <v>800</v>
      </c>
      <c r="T380" s="359">
        <v>72</v>
      </c>
      <c r="U380" s="359">
        <v>400</v>
      </c>
      <c r="V380" s="359"/>
      <c r="W380" s="359"/>
      <c r="X380" s="359"/>
      <c r="Y380" s="359">
        <v>47</v>
      </c>
      <c r="Z380" s="359"/>
      <c r="AA380" s="210"/>
      <c r="AB380" s="248"/>
      <c r="AC380" s="359"/>
      <c r="AD380" s="359"/>
      <c r="AE380" s="359"/>
      <c r="AF380" s="359"/>
      <c r="AG380" s="153"/>
      <c r="AH380" s="346">
        <v>371.70074371464102</v>
      </c>
      <c r="AI380" s="24"/>
      <c r="AJ380" s="24"/>
      <c r="AK380" s="24"/>
      <c r="AL380" s="24"/>
      <c r="AM380" s="359"/>
      <c r="AN380" s="24">
        <f t="shared" si="63"/>
        <v>0</v>
      </c>
      <c r="AO380" s="54">
        <f t="shared" si="64"/>
        <v>0</v>
      </c>
      <c r="AP380" s="261">
        <f t="shared" si="65"/>
        <v>0</v>
      </c>
      <c r="AQ380" s="338"/>
      <c r="AR380" s="45"/>
      <c r="AS380" s="359"/>
      <c r="AT380" s="359"/>
    </row>
    <row r="381" spans="1:46" ht="12">
      <c r="A381" s="359" t="s">
        <v>519</v>
      </c>
      <c r="B381" s="359" t="str">
        <f t="shared" si="56"/>
        <v>MgO</v>
      </c>
      <c r="C381" s="141">
        <f t="shared" si="57"/>
        <v>0</v>
      </c>
      <c r="D381" s="277">
        <f t="shared" si="58"/>
        <v>407.85979206320098</v>
      </c>
      <c r="E381" s="20">
        <f t="shared" si="59"/>
        <v>0</v>
      </c>
      <c r="F381" s="20">
        <f t="shared" si="60"/>
        <v>0</v>
      </c>
      <c r="G381" s="277">
        <f t="shared" si="61"/>
        <v>0</v>
      </c>
      <c r="H381" s="3">
        <f t="shared" si="66"/>
        <v>0</v>
      </c>
      <c r="I381" s="277">
        <f t="shared" si="62"/>
        <v>0</v>
      </c>
      <c r="J381" s="359"/>
      <c r="K381" s="359" t="s">
        <v>517</v>
      </c>
      <c r="L381" s="359"/>
      <c r="M381" s="338" t="s">
        <v>141</v>
      </c>
      <c r="N381" s="89">
        <v>41101</v>
      </c>
      <c r="O381" s="359">
        <v>145</v>
      </c>
      <c r="P381" s="359" t="s">
        <v>46</v>
      </c>
      <c r="Q381" s="359"/>
      <c r="R381" s="359"/>
      <c r="S381" s="359">
        <v>800</v>
      </c>
      <c r="T381" s="359">
        <v>72</v>
      </c>
      <c r="U381" s="359">
        <v>400</v>
      </c>
      <c r="V381" s="359"/>
      <c r="W381" s="359"/>
      <c r="X381" s="359"/>
      <c r="Y381" s="359">
        <v>47</v>
      </c>
      <c r="Z381" s="359"/>
      <c r="AA381" s="210"/>
      <c r="AB381" s="248"/>
      <c r="AC381" s="359"/>
      <c r="AD381" s="359"/>
      <c r="AE381" s="359"/>
      <c r="AF381" s="359"/>
      <c r="AG381" s="153"/>
      <c r="AH381" s="346">
        <v>407.85979206320098</v>
      </c>
      <c r="AI381" s="24"/>
      <c r="AJ381" s="24"/>
      <c r="AK381" s="24"/>
      <c r="AL381" s="24"/>
      <c r="AM381" s="359"/>
      <c r="AN381" s="24">
        <f t="shared" si="63"/>
        <v>0</v>
      </c>
      <c r="AO381" s="54">
        <f t="shared" si="64"/>
        <v>0</v>
      </c>
      <c r="AP381" s="261">
        <f t="shared" si="65"/>
        <v>0</v>
      </c>
      <c r="AQ381" s="338"/>
      <c r="AR381" s="45"/>
      <c r="AS381" s="359"/>
      <c r="AT381" s="359"/>
    </row>
    <row r="382" spans="1:46" ht="12">
      <c r="A382" s="359" t="s">
        <v>520</v>
      </c>
      <c r="B382" s="359" t="str">
        <f t="shared" si="56"/>
        <v>MgO</v>
      </c>
      <c r="C382" s="141">
        <f t="shared" si="57"/>
        <v>0</v>
      </c>
      <c r="D382" s="277">
        <f t="shared" si="58"/>
        <v>423.56043147770703</v>
      </c>
      <c r="E382" s="20">
        <f t="shared" si="59"/>
        <v>0</v>
      </c>
      <c r="F382" s="20">
        <f t="shared" si="60"/>
        <v>0</v>
      </c>
      <c r="G382" s="277">
        <f t="shared" si="61"/>
        <v>0</v>
      </c>
      <c r="H382" s="3">
        <f t="shared" si="66"/>
        <v>0</v>
      </c>
      <c r="I382" s="277">
        <f t="shared" si="62"/>
        <v>0</v>
      </c>
      <c r="J382" s="359"/>
      <c r="K382" s="359" t="s">
        <v>517</v>
      </c>
      <c r="L382" s="359"/>
      <c r="M382" s="338" t="s">
        <v>141</v>
      </c>
      <c r="N382" s="89">
        <v>41101</v>
      </c>
      <c r="O382" s="359">
        <v>145</v>
      </c>
      <c r="P382" s="359" t="s">
        <v>46</v>
      </c>
      <c r="Q382" s="359"/>
      <c r="R382" s="359"/>
      <c r="S382" s="359">
        <v>800</v>
      </c>
      <c r="T382" s="359">
        <v>72</v>
      </c>
      <c r="U382" s="359">
        <v>400</v>
      </c>
      <c r="V382" s="359"/>
      <c r="W382" s="359"/>
      <c r="X382" s="359"/>
      <c r="Y382" s="359">
        <v>47</v>
      </c>
      <c r="Z382" s="359"/>
      <c r="AA382" s="210"/>
      <c r="AB382" s="248"/>
      <c r="AC382" s="359"/>
      <c r="AD382" s="359"/>
      <c r="AE382" s="359"/>
      <c r="AF382" s="359"/>
      <c r="AG382" s="153"/>
      <c r="AH382" s="346">
        <v>423.56043147770703</v>
      </c>
      <c r="AI382" s="24"/>
      <c r="AJ382" s="24"/>
      <c r="AK382" s="24"/>
      <c r="AL382" s="24"/>
      <c r="AM382" s="359"/>
      <c r="AN382" s="24">
        <f t="shared" si="63"/>
        <v>0</v>
      </c>
      <c r="AO382" s="54">
        <f t="shared" si="64"/>
        <v>0</v>
      </c>
      <c r="AP382" s="261">
        <f t="shared" si="65"/>
        <v>0</v>
      </c>
      <c r="AQ382" s="338"/>
      <c r="AR382" s="45"/>
      <c r="AS382" s="359"/>
      <c r="AT382" s="359"/>
    </row>
    <row r="383" spans="1:46" ht="12">
      <c r="A383" s="359" t="s">
        <v>521</v>
      </c>
      <c r="B383" s="359" t="str">
        <f t="shared" si="56"/>
        <v>SiNx</v>
      </c>
      <c r="C383" s="141">
        <f t="shared" si="57"/>
        <v>0</v>
      </c>
      <c r="D383" s="277">
        <f t="shared" si="58"/>
        <v>366.94297419509297</v>
      </c>
      <c r="E383" s="20">
        <f t="shared" si="59"/>
        <v>0</v>
      </c>
      <c r="F383" s="20">
        <f t="shared" si="60"/>
        <v>0</v>
      </c>
      <c r="G383" s="277">
        <f t="shared" si="61"/>
        <v>0</v>
      </c>
      <c r="H383" s="3">
        <f t="shared" si="66"/>
        <v>0</v>
      </c>
      <c r="I383" s="277">
        <f t="shared" si="62"/>
        <v>0</v>
      </c>
      <c r="J383" s="359"/>
      <c r="K383" s="359" t="s">
        <v>186</v>
      </c>
      <c r="L383" s="359"/>
      <c r="M383" s="338" t="s">
        <v>138</v>
      </c>
      <c r="N383" s="89">
        <v>41103</v>
      </c>
      <c r="O383" s="359">
        <v>146</v>
      </c>
      <c r="P383" s="359" t="s">
        <v>187</v>
      </c>
      <c r="Q383" s="359"/>
      <c r="R383" s="359"/>
      <c r="S383" s="359">
        <v>20</v>
      </c>
      <c r="T383" s="359">
        <v>116</v>
      </c>
      <c r="U383" s="359">
        <v>400</v>
      </c>
      <c r="V383" s="359"/>
      <c r="W383" s="359"/>
      <c r="X383" s="359"/>
      <c r="Y383" s="359">
        <v>47</v>
      </c>
      <c r="Z383" s="359"/>
      <c r="AA383" s="210"/>
      <c r="AB383" s="248"/>
      <c r="AC383" s="359"/>
      <c r="AD383" s="359"/>
      <c r="AE383" s="359"/>
      <c r="AF383" s="359"/>
      <c r="AG383" s="153"/>
      <c r="AH383" s="346">
        <v>366.94297419509297</v>
      </c>
      <c r="AI383" s="24"/>
      <c r="AJ383" s="24"/>
      <c r="AK383" s="24"/>
      <c r="AL383" s="24"/>
      <c r="AM383" s="359"/>
      <c r="AN383" s="24">
        <f t="shared" si="63"/>
        <v>0</v>
      </c>
      <c r="AO383" s="54">
        <f t="shared" si="64"/>
        <v>0</v>
      </c>
      <c r="AP383" s="261">
        <f t="shared" si="65"/>
        <v>0</v>
      </c>
      <c r="AQ383" s="338"/>
      <c r="AR383" s="45"/>
      <c r="AS383" s="359"/>
      <c r="AT383" s="359"/>
    </row>
    <row r="384" spans="1:46" ht="12">
      <c r="A384" s="359" t="s">
        <v>522</v>
      </c>
      <c r="B384" s="359" t="str">
        <f t="shared" si="56"/>
        <v>SiNx</v>
      </c>
      <c r="C384" s="141">
        <f t="shared" si="57"/>
        <v>0</v>
      </c>
      <c r="D384" s="277">
        <f t="shared" si="58"/>
        <v>366.82402995710402</v>
      </c>
      <c r="E384" s="20">
        <f t="shared" si="59"/>
        <v>0</v>
      </c>
      <c r="F384" s="20">
        <f t="shared" si="60"/>
        <v>0</v>
      </c>
      <c r="G384" s="277">
        <f t="shared" si="61"/>
        <v>0</v>
      </c>
      <c r="H384" s="3">
        <f t="shared" si="66"/>
        <v>0</v>
      </c>
      <c r="I384" s="277">
        <f t="shared" si="62"/>
        <v>0</v>
      </c>
      <c r="J384" s="359"/>
      <c r="K384" s="359" t="s">
        <v>186</v>
      </c>
      <c r="L384" s="359"/>
      <c r="M384" s="338" t="s">
        <v>138</v>
      </c>
      <c r="N384" s="89">
        <v>41103</v>
      </c>
      <c r="O384" s="359">
        <v>146</v>
      </c>
      <c r="P384" s="359" t="s">
        <v>187</v>
      </c>
      <c r="Q384" s="359"/>
      <c r="R384" s="359"/>
      <c r="S384" s="359">
        <v>20</v>
      </c>
      <c r="T384" s="359">
        <v>116</v>
      </c>
      <c r="U384" s="359">
        <v>400</v>
      </c>
      <c r="V384" s="359"/>
      <c r="W384" s="359"/>
      <c r="X384" s="359"/>
      <c r="Y384" s="359">
        <v>47</v>
      </c>
      <c r="Z384" s="359"/>
      <c r="AA384" s="210"/>
      <c r="AB384" s="248"/>
      <c r="AC384" s="359"/>
      <c r="AD384" s="359"/>
      <c r="AE384" s="359"/>
      <c r="AF384" s="359"/>
      <c r="AG384" s="153"/>
      <c r="AH384" s="346">
        <v>366.82402995710402</v>
      </c>
      <c r="AI384" s="24"/>
      <c r="AJ384" s="24"/>
      <c r="AK384" s="24"/>
      <c r="AL384" s="24"/>
      <c r="AM384" s="359"/>
      <c r="AN384" s="24">
        <f t="shared" si="63"/>
        <v>0</v>
      </c>
      <c r="AO384" s="54">
        <f t="shared" si="64"/>
        <v>0</v>
      </c>
      <c r="AP384" s="261">
        <f t="shared" si="65"/>
        <v>0</v>
      </c>
      <c r="AQ384" s="338"/>
      <c r="AR384" s="45"/>
      <c r="AS384" s="359"/>
      <c r="AT384" s="359"/>
    </row>
    <row r="385" spans="1:46" ht="12">
      <c r="A385" s="359" t="s">
        <v>523</v>
      </c>
      <c r="B385" s="359" t="str">
        <f t="shared" si="56"/>
        <v>SiNx</v>
      </c>
      <c r="C385" s="141">
        <f t="shared" si="57"/>
        <v>0</v>
      </c>
      <c r="D385" s="277">
        <f t="shared" si="58"/>
        <v>365.991420291184</v>
      </c>
      <c r="E385" s="20">
        <f t="shared" si="59"/>
        <v>0</v>
      </c>
      <c r="F385" s="20">
        <f t="shared" si="60"/>
        <v>0</v>
      </c>
      <c r="G385" s="277">
        <f t="shared" si="61"/>
        <v>0</v>
      </c>
      <c r="H385" s="3">
        <f t="shared" si="66"/>
        <v>0</v>
      </c>
      <c r="I385" s="277">
        <f t="shared" si="62"/>
        <v>0</v>
      </c>
      <c r="J385" s="359"/>
      <c r="K385" s="359" t="s">
        <v>186</v>
      </c>
      <c r="L385" s="359"/>
      <c r="M385" s="338" t="s">
        <v>138</v>
      </c>
      <c r="N385" s="89">
        <v>41103</v>
      </c>
      <c r="O385" s="359">
        <v>146</v>
      </c>
      <c r="P385" s="359" t="s">
        <v>187</v>
      </c>
      <c r="Q385" s="359"/>
      <c r="R385" s="359"/>
      <c r="S385" s="359">
        <v>20</v>
      </c>
      <c r="T385" s="359">
        <v>116</v>
      </c>
      <c r="U385" s="359">
        <v>400</v>
      </c>
      <c r="V385" s="359"/>
      <c r="W385" s="359"/>
      <c r="X385" s="359"/>
      <c r="Y385" s="359">
        <v>47</v>
      </c>
      <c r="Z385" s="359"/>
      <c r="AA385" s="210"/>
      <c r="AB385" s="248"/>
      <c r="AC385" s="359"/>
      <c r="AD385" s="359"/>
      <c r="AE385" s="359"/>
      <c r="AF385" s="359"/>
      <c r="AG385" s="153"/>
      <c r="AH385" s="346">
        <v>365.991420291184</v>
      </c>
      <c r="AI385" s="24"/>
      <c r="AJ385" s="24"/>
      <c r="AK385" s="24"/>
      <c r="AL385" s="24"/>
      <c r="AM385" s="359"/>
      <c r="AN385" s="24">
        <f t="shared" si="63"/>
        <v>0</v>
      </c>
      <c r="AO385" s="54">
        <f t="shared" si="64"/>
        <v>0</v>
      </c>
      <c r="AP385" s="261">
        <f t="shared" si="65"/>
        <v>0</v>
      </c>
      <c r="AQ385" s="338"/>
      <c r="AR385" s="45"/>
      <c r="AS385" s="359"/>
      <c r="AT385" s="359"/>
    </row>
    <row r="386" spans="1:46" ht="12">
      <c r="A386" s="359" t="s">
        <v>524</v>
      </c>
      <c r="B386" s="359" t="str">
        <f t="shared" si="56"/>
        <v>MgO</v>
      </c>
      <c r="C386" s="141">
        <f t="shared" si="57"/>
        <v>0</v>
      </c>
      <c r="D386" s="277">
        <f t="shared" si="58"/>
        <v>0</v>
      </c>
      <c r="E386" s="20">
        <f t="shared" si="59"/>
        <v>0</v>
      </c>
      <c r="F386" s="20">
        <f t="shared" si="60"/>
        <v>0</v>
      </c>
      <c r="G386" s="277">
        <f t="shared" si="61"/>
        <v>0</v>
      </c>
      <c r="H386" s="3">
        <f t="shared" si="66"/>
        <v>0</v>
      </c>
      <c r="I386" s="277">
        <f t="shared" si="62"/>
        <v>0</v>
      </c>
      <c r="J386" s="359"/>
      <c r="K386" s="359" t="s">
        <v>517</v>
      </c>
      <c r="L386" s="359"/>
      <c r="M386" s="338" t="s">
        <v>141</v>
      </c>
      <c r="N386" s="89">
        <v>41110</v>
      </c>
      <c r="O386" s="359">
        <v>147</v>
      </c>
      <c r="P386" s="359" t="s">
        <v>46</v>
      </c>
      <c r="Q386" s="359"/>
      <c r="R386" s="359"/>
      <c r="S386" s="359">
        <v>800</v>
      </c>
      <c r="T386" s="359">
        <v>72</v>
      </c>
      <c r="U386" s="359">
        <v>400</v>
      </c>
      <c r="V386" s="359"/>
      <c r="W386" s="359"/>
      <c r="X386" s="359"/>
      <c r="Y386" s="359">
        <v>47</v>
      </c>
      <c r="Z386" s="359"/>
      <c r="AA386" s="210"/>
      <c r="AB386" s="248"/>
      <c r="AC386" s="359"/>
      <c r="AD386" s="359"/>
      <c r="AE386" s="359"/>
      <c r="AF386" s="359"/>
      <c r="AG386" s="153"/>
      <c r="AH386" s="346"/>
      <c r="AI386" s="24"/>
      <c r="AJ386" s="24"/>
      <c r="AK386" s="24"/>
      <c r="AL386" s="24"/>
      <c r="AM386" s="359"/>
      <c r="AN386" s="24">
        <f t="shared" si="63"/>
        <v>0</v>
      </c>
      <c r="AO386" s="54">
        <f t="shared" si="64"/>
        <v>0</v>
      </c>
      <c r="AP386" s="261">
        <f t="shared" si="65"/>
        <v>0</v>
      </c>
      <c r="AQ386" s="338"/>
      <c r="AR386" s="45"/>
      <c r="AS386" s="359"/>
      <c r="AT386" s="359"/>
    </row>
    <row r="387" spans="1:46" ht="12">
      <c r="A387" s="359" t="s">
        <v>525</v>
      </c>
      <c r="B387" s="359" t="str">
        <f t="shared" ref="B387:B450" si="67">P387</f>
        <v>MgO</v>
      </c>
      <c r="C387" s="141">
        <f t="shared" ref="C387:C450" si="68">AF387</f>
        <v>0</v>
      </c>
      <c r="D387" s="277">
        <f t="shared" ref="D387:D450" si="69">AH387</f>
        <v>0</v>
      </c>
      <c r="E387" s="20">
        <f t="shared" ref="E387:E450" si="70">AJ387</f>
        <v>0</v>
      </c>
      <c r="F387" s="20">
        <f t="shared" ref="F387:F450" si="71">AK387</f>
        <v>0</v>
      </c>
      <c r="G387" s="277">
        <f t="shared" ref="G387:G450" si="72">AN387</f>
        <v>0</v>
      </c>
      <c r="H387" s="3">
        <f t="shared" si="66"/>
        <v>0</v>
      </c>
      <c r="I387" s="277">
        <f t="shared" ref="I387:I450" si="73">AO387</f>
        <v>0</v>
      </c>
      <c r="J387" s="359"/>
      <c r="K387" s="359" t="s">
        <v>517</v>
      </c>
      <c r="L387" s="359"/>
      <c r="M387" s="338" t="s">
        <v>141</v>
      </c>
      <c r="N387" s="89">
        <v>41110</v>
      </c>
      <c r="O387" s="359">
        <v>147</v>
      </c>
      <c r="P387" s="359" t="s">
        <v>46</v>
      </c>
      <c r="Q387" s="359"/>
      <c r="R387" s="359"/>
      <c r="S387" s="359">
        <v>800</v>
      </c>
      <c r="T387" s="359">
        <v>72</v>
      </c>
      <c r="U387" s="359">
        <v>400</v>
      </c>
      <c r="V387" s="359"/>
      <c r="W387" s="359"/>
      <c r="X387" s="359"/>
      <c r="Y387" s="359">
        <v>47</v>
      </c>
      <c r="Z387" s="359"/>
      <c r="AA387" s="210"/>
      <c r="AB387" s="248"/>
      <c r="AC387" s="359"/>
      <c r="AD387" s="359"/>
      <c r="AE387" s="359"/>
      <c r="AF387" s="359"/>
      <c r="AG387" s="153"/>
      <c r="AH387" s="346"/>
      <c r="AI387" s="24"/>
      <c r="AJ387" s="24"/>
      <c r="AK387" s="24"/>
      <c r="AL387" s="24"/>
      <c r="AM387" s="359"/>
      <c r="AN387" s="24">
        <f t="shared" ref="AN387:AN450" si="74">((AH387*AF387)/10)</f>
        <v>0</v>
      </c>
      <c r="AO387" s="54">
        <f t="shared" ref="AO387:AO450" si="75">(AF387*AH387)*AJ387</f>
        <v>0</v>
      </c>
      <c r="AP387" s="261">
        <f t="shared" ref="AP387:AP450" si="76">(AF387/T387)*60</f>
        <v>0</v>
      </c>
      <c r="AQ387" s="338"/>
      <c r="AR387" s="45"/>
      <c r="AS387" s="359"/>
      <c r="AT387" s="359"/>
    </row>
    <row r="388" spans="1:46" ht="12">
      <c r="A388" s="359" t="s">
        <v>526</v>
      </c>
      <c r="B388" s="359" t="str">
        <f t="shared" si="67"/>
        <v>MgO</v>
      </c>
      <c r="C388" s="141">
        <f t="shared" si="68"/>
        <v>0</v>
      </c>
      <c r="D388" s="277">
        <f t="shared" si="69"/>
        <v>0</v>
      </c>
      <c r="E388" s="20">
        <f t="shared" si="70"/>
        <v>0</v>
      </c>
      <c r="F388" s="20">
        <f t="shared" si="71"/>
        <v>0</v>
      </c>
      <c r="G388" s="277">
        <f t="shared" si="72"/>
        <v>0</v>
      </c>
      <c r="H388" s="3">
        <f t="shared" si="66"/>
        <v>0</v>
      </c>
      <c r="I388" s="277">
        <f t="shared" si="73"/>
        <v>0</v>
      </c>
      <c r="J388" s="359"/>
      <c r="K388" s="359" t="s">
        <v>517</v>
      </c>
      <c r="L388" s="359"/>
      <c r="M388" s="338" t="s">
        <v>141</v>
      </c>
      <c r="N388" s="89">
        <v>41110</v>
      </c>
      <c r="O388" s="359">
        <v>147</v>
      </c>
      <c r="P388" s="359" t="s">
        <v>46</v>
      </c>
      <c r="Q388" s="359"/>
      <c r="R388" s="359"/>
      <c r="S388" s="359">
        <v>800</v>
      </c>
      <c r="T388" s="359">
        <v>72</v>
      </c>
      <c r="U388" s="359">
        <v>400</v>
      </c>
      <c r="V388" s="359"/>
      <c r="W388" s="359"/>
      <c r="X388" s="359"/>
      <c r="Y388" s="359">
        <v>47</v>
      </c>
      <c r="Z388" s="359"/>
      <c r="AA388" s="210"/>
      <c r="AB388" s="248"/>
      <c r="AC388" s="359"/>
      <c r="AD388" s="359"/>
      <c r="AE388" s="359"/>
      <c r="AF388" s="359"/>
      <c r="AG388" s="153"/>
      <c r="AH388" s="346"/>
      <c r="AI388" s="24"/>
      <c r="AJ388" s="24"/>
      <c r="AK388" s="24"/>
      <c r="AL388" s="24"/>
      <c r="AM388" s="359"/>
      <c r="AN388" s="24">
        <f t="shared" si="74"/>
        <v>0</v>
      </c>
      <c r="AO388" s="54">
        <f t="shared" si="75"/>
        <v>0</v>
      </c>
      <c r="AP388" s="261">
        <f t="shared" si="76"/>
        <v>0</v>
      </c>
      <c r="AQ388" s="338"/>
      <c r="AR388" s="45"/>
      <c r="AS388" s="359"/>
      <c r="AT388" s="359"/>
    </row>
    <row r="389" spans="1:46" ht="12">
      <c r="A389" s="359" t="s">
        <v>527</v>
      </c>
      <c r="B389" s="359" t="str">
        <f t="shared" si="67"/>
        <v>MgO</v>
      </c>
      <c r="C389" s="141">
        <f t="shared" si="68"/>
        <v>0</v>
      </c>
      <c r="D389" s="277">
        <f t="shared" si="69"/>
        <v>0</v>
      </c>
      <c r="E389" s="20">
        <f t="shared" si="70"/>
        <v>0</v>
      </c>
      <c r="F389" s="20">
        <f t="shared" si="71"/>
        <v>0</v>
      </c>
      <c r="G389" s="277">
        <f t="shared" si="72"/>
        <v>0</v>
      </c>
      <c r="H389" s="3">
        <f t="shared" si="66"/>
        <v>0</v>
      </c>
      <c r="I389" s="277">
        <f t="shared" si="73"/>
        <v>0</v>
      </c>
      <c r="J389" s="359"/>
      <c r="K389" s="359" t="s">
        <v>517</v>
      </c>
      <c r="L389" s="359"/>
      <c r="M389" s="338" t="s">
        <v>141</v>
      </c>
      <c r="N389" s="89">
        <v>41110</v>
      </c>
      <c r="O389" s="359">
        <v>147</v>
      </c>
      <c r="P389" s="359" t="s">
        <v>46</v>
      </c>
      <c r="Q389" s="359"/>
      <c r="R389" s="359"/>
      <c r="S389" s="359">
        <v>800</v>
      </c>
      <c r="T389" s="359">
        <v>72</v>
      </c>
      <c r="U389" s="359">
        <v>400</v>
      </c>
      <c r="V389" s="359"/>
      <c r="W389" s="359"/>
      <c r="X389" s="359"/>
      <c r="Y389" s="359">
        <v>47</v>
      </c>
      <c r="Z389" s="359"/>
      <c r="AA389" s="210"/>
      <c r="AB389" s="248"/>
      <c r="AC389" s="359"/>
      <c r="AD389" s="359"/>
      <c r="AE389" s="359"/>
      <c r="AF389" s="359"/>
      <c r="AG389" s="153"/>
      <c r="AH389" s="346"/>
      <c r="AI389" s="24"/>
      <c r="AJ389" s="24"/>
      <c r="AK389" s="24"/>
      <c r="AL389" s="24"/>
      <c r="AM389" s="359"/>
      <c r="AN389" s="24">
        <f t="shared" si="74"/>
        <v>0</v>
      </c>
      <c r="AO389" s="54">
        <f t="shared" si="75"/>
        <v>0</v>
      </c>
      <c r="AP389" s="261">
        <f t="shared" si="76"/>
        <v>0</v>
      </c>
      <c r="AQ389" s="338"/>
      <c r="AR389" s="45"/>
      <c r="AS389" s="359"/>
      <c r="AT389" s="359"/>
    </row>
    <row r="390" spans="1:46" ht="12">
      <c r="A390" s="359" t="s">
        <v>528</v>
      </c>
      <c r="B390" s="359" t="str">
        <f t="shared" si="67"/>
        <v>Sapphire</v>
      </c>
      <c r="C390" s="141">
        <f t="shared" si="68"/>
        <v>0</v>
      </c>
      <c r="D390" s="277">
        <f t="shared" si="69"/>
        <v>383.5</v>
      </c>
      <c r="E390" s="20">
        <f t="shared" si="70"/>
        <v>11.44</v>
      </c>
      <c r="F390" s="20">
        <f t="shared" si="71"/>
        <v>1.436379487</v>
      </c>
      <c r="G390" s="277">
        <f t="shared" si="72"/>
        <v>0</v>
      </c>
      <c r="H390" s="3">
        <f t="shared" si="66"/>
        <v>0.78100000000000003</v>
      </c>
      <c r="I390" s="277">
        <f t="shared" si="73"/>
        <v>0</v>
      </c>
      <c r="J390" s="359" t="s">
        <v>529</v>
      </c>
      <c r="K390" s="359" t="s">
        <v>530</v>
      </c>
      <c r="L390" s="359"/>
      <c r="M390" s="338" t="s">
        <v>531</v>
      </c>
      <c r="N390" s="89">
        <v>41113</v>
      </c>
      <c r="O390" s="359">
        <v>148</v>
      </c>
      <c r="P390" s="359" t="s">
        <v>340</v>
      </c>
      <c r="Q390" s="359"/>
      <c r="R390" s="359"/>
      <c r="S390" s="359">
        <v>800</v>
      </c>
      <c r="T390" s="359">
        <v>88</v>
      </c>
      <c r="U390" s="359">
        <v>400</v>
      </c>
      <c r="V390" s="359"/>
      <c r="W390" s="359"/>
      <c r="X390" s="359"/>
      <c r="Y390" s="359">
        <v>47</v>
      </c>
      <c r="Z390" s="359"/>
      <c r="AA390" s="210"/>
      <c r="AB390" s="248"/>
      <c r="AC390" s="359"/>
      <c r="AD390" s="359"/>
      <c r="AE390" s="359"/>
      <c r="AF390" s="359"/>
      <c r="AG390" s="153"/>
      <c r="AH390" s="346">
        <v>383.5</v>
      </c>
      <c r="AI390" s="24"/>
      <c r="AJ390" s="24">
        <v>11.44</v>
      </c>
      <c r="AK390" s="24">
        <v>1.436379487</v>
      </c>
      <c r="AL390" s="24">
        <v>0.78100000000000003</v>
      </c>
      <c r="AM390" s="359" t="s">
        <v>156</v>
      </c>
      <c r="AN390" s="24">
        <f t="shared" si="74"/>
        <v>0</v>
      </c>
      <c r="AO390" s="54">
        <f t="shared" si="75"/>
        <v>0</v>
      </c>
      <c r="AP390" s="261">
        <f t="shared" si="76"/>
        <v>0</v>
      </c>
      <c r="AQ390" s="338"/>
      <c r="AR390" s="45"/>
      <c r="AS390" s="359"/>
      <c r="AT390" s="359"/>
    </row>
    <row r="391" spans="1:46" ht="12">
      <c r="A391" s="359" t="s">
        <v>532</v>
      </c>
      <c r="B391" s="359" t="str">
        <f t="shared" si="67"/>
        <v>MgO</v>
      </c>
      <c r="C391" s="141">
        <f t="shared" si="68"/>
        <v>0</v>
      </c>
      <c r="D391" s="277">
        <f t="shared" si="69"/>
        <v>354.7</v>
      </c>
      <c r="E391" s="20">
        <f t="shared" si="70"/>
        <v>10.8</v>
      </c>
      <c r="F391" s="20">
        <f t="shared" si="71"/>
        <v>0</v>
      </c>
      <c r="G391" s="277">
        <f t="shared" si="72"/>
        <v>0</v>
      </c>
      <c r="H391" s="3">
        <f t="shared" si="66"/>
        <v>0.68300000000000005</v>
      </c>
      <c r="I391" s="277">
        <f t="shared" si="73"/>
        <v>0</v>
      </c>
      <c r="J391" s="359" t="s">
        <v>529</v>
      </c>
      <c r="K391" s="359" t="s">
        <v>530</v>
      </c>
      <c r="L391" s="359"/>
      <c r="M391" s="338" t="s">
        <v>531</v>
      </c>
      <c r="N391" s="89">
        <v>41113</v>
      </c>
      <c r="O391" s="359">
        <v>148</v>
      </c>
      <c r="P391" s="359" t="s">
        <v>46</v>
      </c>
      <c r="Q391" s="359"/>
      <c r="R391" s="359"/>
      <c r="S391" s="359">
        <v>800</v>
      </c>
      <c r="T391" s="359">
        <v>88</v>
      </c>
      <c r="U391" s="359">
        <v>400</v>
      </c>
      <c r="V391" s="359"/>
      <c r="W391" s="359"/>
      <c r="X391" s="359"/>
      <c r="Y391" s="359">
        <v>47</v>
      </c>
      <c r="Z391" s="359"/>
      <c r="AA391" s="210"/>
      <c r="AB391" s="248"/>
      <c r="AC391" s="359"/>
      <c r="AD391" s="359"/>
      <c r="AE391" s="359"/>
      <c r="AF391" s="359"/>
      <c r="AG391" s="153"/>
      <c r="AH391" s="346">
        <v>354.7</v>
      </c>
      <c r="AI391" s="24"/>
      <c r="AJ391" s="24">
        <v>10.8</v>
      </c>
      <c r="AK391" s="24"/>
      <c r="AL391" s="24">
        <v>0.68300000000000005</v>
      </c>
      <c r="AM391" s="359" t="s">
        <v>156</v>
      </c>
      <c r="AN391" s="24">
        <f t="shared" si="74"/>
        <v>0</v>
      </c>
      <c r="AO391" s="54">
        <f t="shared" si="75"/>
        <v>0</v>
      </c>
      <c r="AP391" s="261">
        <f t="shared" si="76"/>
        <v>0</v>
      </c>
      <c r="AQ391" s="338"/>
      <c r="AR391" s="45"/>
      <c r="AS391" s="359"/>
      <c r="AT391" s="359"/>
    </row>
    <row r="392" spans="1:46" ht="12">
      <c r="A392" s="359" t="s">
        <v>533</v>
      </c>
      <c r="B392" s="359" t="str">
        <f t="shared" si="67"/>
        <v>Sapphire</v>
      </c>
      <c r="C392" s="141">
        <f t="shared" si="68"/>
        <v>0</v>
      </c>
      <c r="D392" s="277">
        <f t="shared" si="69"/>
        <v>415.4</v>
      </c>
      <c r="E392" s="20">
        <f t="shared" si="70"/>
        <v>10.8</v>
      </c>
      <c r="F392" s="20">
        <f t="shared" si="71"/>
        <v>1.3260088590000001</v>
      </c>
      <c r="G392" s="277">
        <f t="shared" si="72"/>
        <v>0</v>
      </c>
      <c r="H392" s="3">
        <f t="shared" si="66"/>
        <v>0.76300000000000001</v>
      </c>
      <c r="I392" s="277">
        <f t="shared" si="73"/>
        <v>0</v>
      </c>
      <c r="J392" s="359" t="s">
        <v>529</v>
      </c>
      <c r="K392" s="359" t="s">
        <v>530</v>
      </c>
      <c r="L392" s="359"/>
      <c r="M392" s="338" t="s">
        <v>531</v>
      </c>
      <c r="N392" s="89">
        <v>41113</v>
      </c>
      <c r="O392" s="359">
        <v>148</v>
      </c>
      <c r="P392" s="359" t="s">
        <v>340</v>
      </c>
      <c r="Q392" s="359"/>
      <c r="R392" s="359"/>
      <c r="S392" s="359">
        <v>800</v>
      </c>
      <c r="T392" s="359">
        <v>88</v>
      </c>
      <c r="U392" s="359">
        <v>400</v>
      </c>
      <c r="V392" s="359"/>
      <c r="W392" s="359"/>
      <c r="X392" s="359"/>
      <c r="Y392" s="359">
        <v>47</v>
      </c>
      <c r="Z392" s="359"/>
      <c r="AA392" s="210"/>
      <c r="AB392" s="248"/>
      <c r="AC392" s="359"/>
      <c r="AD392" s="359"/>
      <c r="AE392" s="359"/>
      <c r="AF392" s="359"/>
      <c r="AG392" s="153"/>
      <c r="AH392" s="346">
        <v>415.4</v>
      </c>
      <c r="AI392" s="24"/>
      <c r="AJ392" s="24">
        <v>10.8</v>
      </c>
      <c r="AK392" s="24">
        <v>1.3260088590000001</v>
      </c>
      <c r="AL392" s="24">
        <v>0.76300000000000001</v>
      </c>
      <c r="AM392" s="359" t="s">
        <v>156</v>
      </c>
      <c r="AN392" s="24">
        <f t="shared" si="74"/>
        <v>0</v>
      </c>
      <c r="AO392" s="54">
        <f t="shared" si="75"/>
        <v>0</v>
      </c>
      <c r="AP392" s="261">
        <f t="shared" si="76"/>
        <v>0</v>
      </c>
      <c r="AQ392" s="338"/>
      <c r="AR392" s="45"/>
      <c r="AS392" s="359"/>
      <c r="AT392" s="359"/>
    </row>
    <row r="393" spans="1:46" ht="12">
      <c r="A393" s="359" t="s">
        <v>534</v>
      </c>
      <c r="B393" s="359" t="str">
        <f t="shared" si="67"/>
        <v>MgO</v>
      </c>
      <c r="C393" s="141">
        <f t="shared" si="68"/>
        <v>0</v>
      </c>
      <c r="D393" s="277">
        <f t="shared" si="69"/>
        <v>356.7</v>
      </c>
      <c r="E393" s="20">
        <f t="shared" si="70"/>
        <v>10.6</v>
      </c>
      <c r="F393" s="20">
        <f t="shared" si="71"/>
        <v>0</v>
      </c>
      <c r="G393" s="277">
        <f t="shared" si="72"/>
        <v>0</v>
      </c>
      <c r="H393" s="3">
        <f t="shared" si="66"/>
        <v>0.68</v>
      </c>
      <c r="I393" s="277">
        <f t="shared" si="73"/>
        <v>0</v>
      </c>
      <c r="J393" s="359" t="s">
        <v>529</v>
      </c>
      <c r="K393" s="359" t="s">
        <v>530</v>
      </c>
      <c r="L393" s="359"/>
      <c r="M393" s="338" t="s">
        <v>531</v>
      </c>
      <c r="N393" s="89">
        <v>41113</v>
      </c>
      <c r="O393" s="359">
        <v>148</v>
      </c>
      <c r="P393" s="359" t="s">
        <v>46</v>
      </c>
      <c r="Q393" s="359"/>
      <c r="R393" s="359"/>
      <c r="S393" s="359">
        <v>800</v>
      </c>
      <c r="T393" s="359">
        <v>88</v>
      </c>
      <c r="U393" s="359">
        <v>400</v>
      </c>
      <c r="V393" s="359"/>
      <c r="W393" s="359"/>
      <c r="X393" s="359"/>
      <c r="Y393" s="359">
        <v>47</v>
      </c>
      <c r="Z393" s="359"/>
      <c r="AA393" s="210"/>
      <c r="AB393" s="248"/>
      <c r="AC393" s="359"/>
      <c r="AD393" s="359"/>
      <c r="AE393" s="359"/>
      <c r="AF393" s="359"/>
      <c r="AG393" s="153"/>
      <c r="AH393" s="346">
        <v>356.7</v>
      </c>
      <c r="AI393" s="24"/>
      <c r="AJ393" s="24">
        <v>10.6</v>
      </c>
      <c r="AK393" s="24"/>
      <c r="AL393" s="24">
        <v>0.68</v>
      </c>
      <c r="AM393" s="359" t="s">
        <v>156</v>
      </c>
      <c r="AN393" s="24">
        <f t="shared" si="74"/>
        <v>0</v>
      </c>
      <c r="AO393" s="54">
        <f t="shared" si="75"/>
        <v>0</v>
      </c>
      <c r="AP393" s="261">
        <f t="shared" si="76"/>
        <v>0</v>
      </c>
      <c r="AQ393" s="338"/>
      <c r="AR393" s="45"/>
      <c r="AS393" s="359"/>
      <c r="AT393" s="359"/>
    </row>
    <row r="394" spans="1:46" ht="12">
      <c r="A394" s="359" t="s">
        <v>535</v>
      </c>
      <c r="B394" s="359" t="str">
        <f t="shared" si="67"/>
        <v>MgO</v>
      </c>
      <c r="C394" s="141">
        <f t="shared" si="68"/>
        <v>0</v>
      </c>
      <c r="D394" s="277">
        <f t="shared" si="69"/>
        <v>850.92707857105199</v>
      </c>
      <c r="E394" s="20">
        <f t="shared" si="70"/>
        <v>7.7</v>
      </c>
      <c r="F394" s="20">
        <f t="shared" si="71"/>
        <v>2.143989097</v>
      </c>
      <c r="G394" s="277">
        <f t="shared" si="72"/>
        <v>0</v>
      </c>
      <c r="H394" s="3">
        <f t="shared" si="66"/>
        <v>0.6129221732745963</v>
      </c>
      <c r="I394" s="277">
        <f t="shared" si="73"/>
        <v>0</v>
      </c>
      <c r="J394" s="359"/>
      <c r="K394" s="359" t="s">
        <v>476</v>
      </c>
      <c r="L394" s="359"/>
      <c r="M394" s="338" t="s">
        <v>505</v>
      </c>
      <c r="N394" s="89">
        <v>41113</v>
      </c>
      <c r="O394" s="359">
        <v>149</v>
      </c>
      <c r="P394" s="359" t="s">
        <v>46</v>
      </c>
      <c r="Q394" s="359"/>
      <c r="R394" s="359"/>
      <c r="S394" s="359">
        <v>800</v>
      </c>
      <c r="T394" s="359">
        <v>52</v>
      </c>
      <c r="U394" s="359">
        <v>400</v>
      </c>
      <c r="V394" s="359"/>
      <c r="W394" s="359"/>
      <c r="X394" s="359"/>
      <c r="Y394" s="359">
        <v>47</v>
      </c>
      <c r="Z394" s="359"/>
      <c r="AA394" s="210"/>
      <c r="AB394" s="248"/>
      <c r="AC394" s="359"/>
      <c r="AD394" s="359"/>
      <c r="AE394" s="359"/>
      <c r="AF394" s="359"/>
      <c r="AG394" s="307"/>
      <c r="AH394" s="38">
        <v>850.92707857105199</v>
      </c>
      <c r="AI394" s="8"/>
      <c r="AJ394" s="24">
        <v>7.7</v>
      </c>
      <c r="AK394" s="24">
        <v>2.143989097</v>
      </c>
      <c r="AL394" s="24">
        <f>333.92/544.8</f>
        <v>0.6129221732745963</v>
      </c>
      <c r="AM394" s="359" t="s">
        <v>156</v>
      </c>
      <c r="AN394" s="24">
        <f t="shared" si="74"/>
        <v>0</v>
      </c>
      <c r="AO394" s="54">
        <f t="shared" si="75"/>
        <v>0</v>
      </c>
      <c r="AP394" s="261">
        <f t="shared" si="76"/>
        <v>0</v>
      </c>
      <c r="AQ394" s="338"/>
      <c r="AR394" s="45"/>
      <c r="AS394" s="359"/>
      <c r="AT394" s="359"/>
    </row>
    <row r="395" spans="1:46" ht="12">
      <c r="A395" s="359" t="s">
        <v>536</v>
      </c>
      <c r="B395" s="359" t="str">
        <f t="shared" si="67"/>
        <v>MgO</v>
      </c>
      <c r="C395" s="141">
        <f t="shared" si="68"/>
        <v>2.4</v>
      </c>
      <c r="D395" s="277">
        <f t="shared" si="69"/>
        <v>853.662796044792</v>
      </c>
      <c r="E395" s="20">
        <f t="shared" si="70"/>
        <v>0</v>
      </c>
      <c r="F395" s="20">
        <f t="shared" si="71"/>
        <v>0</v>
      </c>
      <c r="G395" s="277">
        <f t="shared" si="72"/>
        <v>204.87907105075004</v>
      </c>
      <c r="H395" s="3">
        <f t="shared" si="66"/>
        <v>0</v>
      </c>
      <c r="I395" s="277">
        <f t="shared" si="73"/>
        <v>0</v>
      </c>
      <c r="J395" s="359"/>
      <c r="K395" s="359" t="s">
        <v>476</v>
      </c>
      <c r="L395" s="359"/>
      <c r="M395" s="338" t="s">
        <v>505</v>
      </c>
      <c r="N395" s="89">
        <v>41113</v>
      </c>
      <c r="O395" s="359">
        <v>149</v>
      </c>
      <c r="P395" s="359" t="s">
        <v>46</v>
      </c>
      <c r="Q395" s="359"/>
      <c r="R395" s="359"/>
      <c r="S395" s="359">
        <v>800</v>
      </c>
      <c r="T395" s="359">
        <v>52</v>
      </c>
      <c r="U395" s="359">
        <v>400</v>
      </c>
      <c r="V395" s="359"/>
      <c r="W395" s="359"/>
      <c r="X395" s="359"/>
      <c r="Y395" s="359">
        <v>47</v>
      </c>
      <c r="Z395" s="359"/>
      <c r="AA395" s="210"/>
      <c r="AB395" s="248">
        <v>0.17050000000000001</v>
      </c>
      <c r="AC395" s="359">
        <v>0.68169999999999997</v>
      </c>
      <c r="AD395" s="359">
        <v>0.1479</v>
      </c>
      <c r="AE395" s="359" t="s">
        <v>47</v>
      </c>
      <c r="AF395" s="359">
        <v>2.4</v>
      </c>
      <c r="AG395" s="153"/>
      <c r="AH395" s="346">
        <v>853.662796044792</v>
      </c>
      <c r="AI395" s="24"/>
      <c r="AJ395" s="24"/>
      <c r="AK395" s="24"/>
      <c r="AL395" s="24"/>
      <c r="AM395" s="359"/>
      <c r="AN395" s="24">
        <f t="shared" si="74"/>
        <v>204.87907105075004</v>
      </c>
      <c r="AO395" s="54">
        <f t="shared" si="75"/>
        <v>0</v>
      </c>
      <c r="AP395" s="261">
        <f t="shared" si="76"/>
        <v>2.7692307692307692</v>
      </c>
      <c r="AQ395" s="338"/>
      <c r="AR395" s="45"/>
      <c r="AS395" s="359"/>
      <c r="AT395" s="359"/>
    </row>
    <row r="396" spans="1:46" ht="12">
      <c r="A396" s="359" t="s">
        <v>537</v>
      </c>
      <c r="B396" s="359" t="str">
        <f t="shared" si="67"/>
        <v>MgO</v>
      </c>
      <c r="C396" s="141">
        <f t="shared" si="68"/>
        <v>0</v>
      </c>
      <c r="D396" s="277">
        <f t="shared" si="69"/>
        <v>0</v>
      </c>
      <c r="E396" s="20">
        <f t="shared" si="70"/>
        <v>0</v>
      </c>
      <c r="F396" s="20">
        <f t="shared" si="71"/>
        <v>0</v>
      </c>
      <c r="G396" s="277">
        <f t="shared" si="72"/>
        <v>0</v>
      </c>
      <c r="H396" s="3">
        <f t="shared" si="66"/>
        <v>0</v>
      </c>
      <c r="I396" s="277">
        <f t="shared" si="73"/>
        <v>0</v>
      </c>
      <c r="J396" s="359"/>
      <c r="K396" s="359" t="s">
        <v>476</v>
      </c>
      <c r="L396" s="359"/>
      <c r="M396" s="338" t="s">
        <v>505</v>
      </c>
      <c r="N396" s="89">
        <v>41113</v>
      </c>
      <c r="O396" s="359">
        <v>149</v>
      </c>
      <c r="P396" s="359" t="s">
        <v>46</v>
      </c>
      <c r="Q396" s="359"/>
      <c r="R396" s="359"/>
      <c r="S396" s="359">
        <v>800</v>
      </c>
      <c r="T396" s="359">
        <v>52</v>
      </c>
      <c r="U396" s="359">
        <v>400</v>
      </c>
      <c r="V396" s="359"/>
      <c r="W396" s="359"/>
      <c r="X396" s="359"/>
      <c r="Y396" s="359">
        <v>47</v>
      </c>
      <c r="Z396" s="359"/>
      <c r="AA396" s="210"/>
      <c r="AB396" s="248"/>
      <c r="AC396" s="359"/>
      <c r="AD396" s="359"/>
      <c r="AE396" s="359"/>
      <c r="AF396" s="359"/>
      <c r="AG396" s="153"/>
      <c r="AH396" s="346"/>
      <c r="AI396" s="24"/>
      <c r="AJ396" s="24"/>
      <c r="AK396" s="24"/>
      <c r="AL396" s="24"/>
      <c r="AM396" s="359"/>
      <c r="AN396" s="24">
        <f t="shared" si="74"/>
        <v>0</v>
      </c>
      <c r="AO396" s="54">
        <f t="shared" si="75"/>
        <v>0</v>
      </c>
      <c r="AP396" s="261">
        <f t="shared" si="76"/>
        <v>0</v>
      </c>
      <c r="AQ396" s="338"/>
      <c r="AR396" s="45"/>
      <c r="AS396" s="359"/>
      <c r="AT396" s="359"/>
    </row>
    <row r="397" spans="1:46" ht="12">
      <c r="A397" s="359" t="s">
        <v>538</v>
      </c>
      <c r="B397" s="359" t="str">
        <f t="shared" si="67"/>
        <v>MgO</v>
      </c>
      <c r="C397" s="141">
        <f t="shared" si="68"/>
        <v>0</v>
      </c>
      <c r="D397" s="277">
        <f t="shared" si="69"/>
        <v>0</v>
      </c>
      <c r="E397" s="20">
        <f t="shared" si="70"/>
        <v>0</v>
      </c>
      <c r="F397" s="20">
        <f t="shared" si="71"/>
        <v>0</v>
      </c>
      <c r="G397" s="277">
        <f t="shared" si="72"/>
        <v>0</v>
      </c>
      <c r="H397" s="3">
        <f t="shared" si="66"/>
        <v>0</v>
      </c>
      <c r="I397" s="277">
        <f t="shared" si="73"/>
        <v>0</v>
      </c>
      <c r="J397" s="359"/>
      <c r="K397" s="359" t="s">
        <v>476</v>
      </c>
      <c r="L397" s="359"/>
      <c r="M397" s="338" t="s">
        <v>505</v>
      </c>
      <c r="N397" s="89">
        <v>41113</v>
      </c>
      <c r="O397" s="359">
        <v>149</v>
      </c>
      <c r="P397" s="359" t="s">
        <v>46</v>
      </c>
      <c r="Q397" s="359"/>
      <c r="R397" s="359"/>
      <c r="S397" s="359">
        <v>800</v>
      </c>
      <c r="T397" s="359">
        <v>52</v>
      </c>
      <c r="U397" s="359">
        <v>400</v>
      </c>
      <c r="V397" s="359"/>
      <c r="W397" s="359"/>
      <c r="X397" s="359"/>
      <c r="Y397" s="359">
        <v>47</v>
      </c>
      <c r="Z397" s="359"/>
      <c r="AA397" s="210"/>
      <c r="AB397" s="248"/>
      <c r="AC397" s="359"/>
      <c r="AD397" s="359"/>
      <c r="AE397" s="359"/>
      <c r="AF397" s="359"/>
      <c r="AG397" s="153"/>
      <c r="AH397" s="346"/>
      <c r="AI397" s="24"/>
      <c r="AJ397" s="24"/>
      <c r="AK397" s="24"/>
      <c r="AL397" s="24"/>
      <c r="AM397" s="359"/>
      <c r="AN397" s="24">
        <f t="shared" si="74"/>
        <v>0</v>
      </c>
      <c r="AO397" s="54">
        <f t="shared" si="75"/>
        <v>0</v>
      </c>
      <c r="AP397" s="261">
        <f t="shared" si="76"/>
        <v>0</v>
      </c>
      <c r="AQ397" s="338"/>
      <c r="AR397" s="45"/>
      <c r="AS397" s="359"/>
      <c r="AT397" s="359"/>
    </row>
    <row r="398" spans="1:46" ht="12">
      <c r="A398" s="359" t="s">
        <v>539</v>
      </c>
      <c r="B398" s="359" t="str">
        <f t="shared" si="67"/>
        <v>SiNx</v>
      </c>
      <c r="C398" s="141">
        <f t="shared" si="68"/>
        <v>7.8</v>
      </c>
      <c r="D398" s="277">
        <f t="shared" si="69"/>
        <v>395.60853555036601</v>
      </c>
      <c r="E398" s="20">
        <f t="shared" si="70"/>
        <v>0</v>
      </c>
      <c r="F398" s="20">
        <f t="shared" si="71"/>
        <v>0</v>
      </c>
      <c r="G398" s="277">
        <f t="shared" si="72"/>
        <v>308.57465772928549</v>
      </c>
      <c r="H398" s="3">
        <f t="shared" si="66"/>
        <v>0</v>
      </c>
      <c r="I398" s="277">
        <f t="shared" si="73"/>
        <v>0</v>
      </c>
      <c r="J398" s="359"/>
      <c r="K398" s="359" t="s">
        <v>186</v>
      </c>
      <c r="L398" s="359"/>
      <c r="M398" s="338" t="s">
        <v>138</v>
      </c>
      <c r="N398" s="89">
        <v>41114</v>
      </c>
      <c r="O398" s="359">
        <v>150</v>
      </c>
      <c r="P398" s="359" t="s">
        <v>187</v>
      </c>
      <c r="Q398" s="359"/>
      <c r="R398" s="359"/>
      <c r="S398" s="359">
        <v>20</v>
      </c>
      <c r="T398" s="359">
        <v>116</v>
      </c>
      <c r="U398" s="359">
        <v>400</v>
      </c>
      <c r="V398" s="359"/>
      <c r="W398" s="359"/>
      <c r="X398" s="359"/>
      <c r="Y398" s="359">
        <v>47</v>
      </c>
      <c r="Z398" s="359"/>
      <c r="AA398" s="210"/>
      <c r="AB398" s="248">
        <v>0.22359999999999999</v>
      </c>
      <c r="AC398" s="359">
        <v>0.43719999999999998</v>
      </c>
      <c r="AD398" s="359">
        <v>0.3392</v>
      </c>
      <c r="AE398" s="359" t="s">
        <v>47</v>
      </c>
      <c r="AF398" s="359">
        <v>7.8</v>
      </c>
      <c r="AG398" s="153"/>
      <c r="AH398" s="346">
        <v>395.60853555036601</v>
      </c>
      <c r="AI398" s="24"/>
      <c r="AJ398" s="24"/>
      <c r="AK398" s="24"/>
      <c r="AL398" s="24"/>
      <c r="AM398" s="359"/>
      <c r="AN398" s="24">
        <f t="shared" si="74"/>
        <v>308.57465772928549</v>
      </c>
      <c r="AO398" s="54">
        <f t="shared" si="75"/>
        <v>0</v>
      </c>
      <c r="AP398" s="261">
        <f t="shared" si="76"/>
        <v>4.0344827586206895</v>
      </c>
      <c r="AQ398" s="338"/>
      <c r="AR398" s="45"/>
      <c r="AS398" s="359"/>
      <c r="AT398" s="359"/>
    </row>
    <row r="399" spans="1:46" ht="12">
      <c r="A399" s="359" t="s">
        <v>540</v>
      </c>
      <c r="B399" s="359" t="str">
        <f t="shared" si="67"/>
        <v>SiNx</v>
      </c>
      <c r="C399" s="141">
        <f t="shared" si="68"/>
        <v>7.8</v>
      </c>
      <c r="D399" s="277">
        <f t="shared" si="69"/>
        <v>396.20325674031</v>
      </c>
      <c r="E399" s="20">
        <f t="shared" si="70"/>
        <v>0</v>
      </c>
      <c r="F399" s="20">
        <f t="shared" si="71"/>
        <v>0</v>
      </c>
      <c r="G399" s="277">
        <f t="shared" si="72"/>
        <v>309.03854025744181</v>
      </c>
      <c r="H399" s="3">
        <f t="shared" si="66"/>
        <v>0</v>
      </c>
      <c r="I399" s="277">
        <f t="shared" si="73"/>
        <v>0</v>
      </c>
      <c r="J399" s="359"/>
      <c r="K399" s="359" t="s">
        <v>186</v>
      </c>
      <c r="L399" s="359"/>
      <c r="M399" s="338" t="s">
        <v>138</v>
      </c>
      <c r="N399" s="89">
        <v>41114</v>
      </c>
      <c r="O399" s="359">
        <v>150</v>
      </c>
      <c r="P399" s="359" t="s">
        <v>187</v>
      </c>
      <c r="Q399" s="359"/>
      <c r="R399" s="359"/>
      <c r="S399" s="359">
        <v>20</v>
      </c>
      <c r="T399" s="359">
        <v>116</v>
      </c>
      <c r="U399" s="359">
        <v>400</v>
      </c>
      <c r="V399" s="359"/>
      <c r="W399" s="359"/>
      <c r="X399" s="359"/>
      <c r="Y399" s="359">
        <v>47</v>
      </c>
      <c r="Z399" s="359"/>
      <c r="AA399" s="210"/>
      <c r="AB399" s="248">
        <v>0.22359999999999999</v>
      </c>
      <c r="AC399" s="359">
        <v>0.43719999999999998</v>
      </c>
      <c r="AD399" s="359">
        <v>0.3392</v>
      </c>
      <c r="AE399" s="359" t="s">
        <v>47</v>
      </c>
      <c r="AF399" s="359">
        <v>7.8</v>
      </c>
      <c r="AG399" s="153"/>
      <c r="AH399" s="346">
        <v>396.20325674031</v>
      </c>
      <c r="AI399" s="24"/>
      <c r="AJ399" s="24"/>
      <c r="AK399" s="24"/>
      <c r="AL399" s="24"/>
      <c r="AM399" s="359"/>
      <c r="AN399" s="24">
        <f t="shared" si="74"/>
        <v>309.03854025744181</v>
      </c>
      <c r="AO399" s="54">
        <f t="shared" si="75"/>
        <v>0</v>
      </c>
      <c r="AP399" s="261">
        <f t="shared" si="76"/>
        <v>4.0344827586206895</v>
      </c>
      <c r="AQ399" s="338"/>
      <c r="AR399" s="45"/>
      <c r="AS399" s="359"/>
      <c r="AT399" s="359"/>
    </row>
    <row r="400" spans="1:46" ht="12">
      <c r="A400" s="359" t="s">
        <v>541</v>
      </c>
      <c r="B400" s="359" t="str">
        <f t="shared" si="67"/>
        <v>SiNx</v>
      </c>
      <c r="C400" s="141">
        <f t="shared" si="68"/>
        <v>7.8</v>
      </c>
      <c r="D400" s="277">
        <f t="shared" si="69"/>
        <v>396.679033692264</v>
      </c>
      <c r="E400" s="20">
        <f t="shared" si="70"/>
        <v>0</v>
      </c>
      <c r="F400" s="20">
        <f t="shared" si="71"/>
        <v>0</v>
      </c>
      <c r="G400" s="277">
        <f t="shared" si="72"/>
        <v>309.4096462799659</v>
      </c>
      <c r="H400" s="3">
        <f t="shared" si="66"/>
        <v>0</v>
      </c>
      <c r="I400" s="277">
        <f t="shared" si="73"/>
        <v>0</v>
      </c>
      <c r="J400" s="359"/>
      <c r="K400" s="359" t="s">
        <v>186</v>
      </c>
      <c r="L400" s="359"/>
      <c r="M400" s="338" t="s">
        <v>138</v>
      </c>
      <c r="N400" s="89">
        <v>41114</v>
      </c>
      <c r="O400" s="359">
        <v>150</v>
      </c>
      <c r="P400" s="359" t="s">
        <v>187</v>
      </c>
      <c r="Q400" s="359"/>
      <c r="R400" s="359"/>
      <c r="S400" s="359">
        <v>20</v>
      </c>
      <c r="T400" s="359">
        <v>116</v>
      </c>
      <c r="U400" s="359">
        <v>400</v>
      </c>
      <c r="V400" s="359"/>
      <c r="W400" s="359"/>
      <c r="X400" s="359"/>
      <c r="Y400" s="359">
        <v>47</v>
      </c>
      <c r="Z400" s="359"/>
      <c r="AA400" s="210"/>
      <c r="AB400" s="248">
        <v>0.22359999999999999</v>
      </c>
      <c r="AC400" s="359">
        <v>0.43719999999999998</v>
      </c>
      <c r="AD400" s="359">
        <v>0.3392</v>
      </c>
      <c r="AE400" s="359" t="s">
        <v>47</v>
      </c>
      <c r="AF400" s="359">
        <v>7.8</v>
      </c>
      <c r="AG400" s="153"/>
      <c r="AH400" s="346">
        <v>396.679033692264</v>
      </c>
      <c r="AI400" s="24"/>
      <c r="AJ400" s="24"/>
      <c r="AK400" s="24"/>
      <c r="AL400" s="24"/>
      <c r="AM400" s="359"/>
      <c r="AN400" s="24">
        <f t="shared" si="74"/>
        <v>309.4096462799659</v>
      </c>
      <c r="AO400" s="54">
        <f t="shared" si="75"/>
        <v>0</v>
      </c>
      <c r="AP400" s="261">
        <f t="shared" si="76"/>
        <v>4.0344827586206895</v>
      </c>
      <c r="AQ400" s="338"/>
      <c r="AR400" s="45"/>
      <c r="AS400" s="359"/>
      <c r="AT400" s="359"/>
    </row>
    <row r="401" spans="1:46" ht="12">
      <c r="A401" s="359" t="s">
        <v>542</v>
      </c>
      <c r="B401" s="359" t="str">
        <f t="shared" si="67"/>
        <v>MgO</v>
      </c>
      <c r="C401" s="141">
        <f t="shared" si="68"/>
        <v>0</v>
      </c>
      <c r="D401" s="277">
        <f t="shared" si="69"/>
        <v>439.49895936819098</v>
      </c>
      <c r="E401" s="20">
        <f t="shared" si="70"/>
        <v>0</v>
      </c>
      <c r="F401" s="20">
        <f t="shared" si="71"/>
        <v>0</v>
      </c>
      <c r="G401" s="277">
        <f t="shared" si="72"/>
        <v>0</v>
      </c>
      <c r="H401" s="3">
        <f t="shared" si="66"/>
        <v>0</v>
      </c>
      <c r="I401" s="277">
        <f t="shared" si="73"/>
        <v>0</v>
      </c>
      <c r="J401" s="359"/>
      <c r="K401" s="359" t="s">
        <v>517</v>
      </c>
      <c r="L401" s="359"/>
      <c r="M401" s="338" t="s">
        <v>141</v>
      </c>
      <c r="N401" s="89">
        <v>41114</v>
      </c>
      <c r="O401" s="359">
        <v>151</v>
      </c>
      <c r="P401" s="359" t="s">
        <v>46</v>
      </c>
      <c r="Q401" s="359"/>
      <c r="R401" s="359"/>
      <c r="S401" s="359">
        <v>800</v>
      </c>
      <c r="T401" s="359">
        <v>76</v>
      </c>
      <c r="U401" s="359">
        <v>400</v>
      </c>
      <c r="V401" s="359"/>
      <c r="W401" s="359"/>
      <c r="X401" s="359"/>
      <c r="Y401" s="359">
        <v>47</v>
      </c>
      <c r="Z401" s="359"/>
      <c r="AA401" s="210"/>
      <c r="AB401" s="248"/>
      <c r="AC401" s="359"/>
      <c r="AD401" s="359"/>
      <c r="AE401" s="359"/>
      <c r="AF401" s="359"/>
      <c r="AG401" s="153"/>
      <c r="AH401" s="346">
        <v>439.49895936819098</v>
      </c>
      <c r="AI401" s="24"/>
      <c r="AJ401" s="24"/>
      <c r="AK401" s="24"/>
      <c r="AL401" s="24"/>
      <c r="AM401" s="359"/>
      <c r="AN401" s="24">
        <f t="shared" si="74"/>
        <v>0</v>
      </c>
      <c r="AO401" s="54">
        <f t="shared" si="75"/>
        <v>0</v>
      </c>
      <c r="AP401" s="261">
        <f t="shared" si="76"/>
        <v>0</v>
      </c>
      <c r="AQ401" s="338"/>
      <c r="AR401" s="45"/>
      <c r="AS401" s="359"/>
      <c r="AT401" s="359"/>
    </row>
    <row r="402" spans="1:46" ht="12">
      <c r="A402" s="359" t="s">
        <v>543</v>
      </c>
      <c r="B402" s="359" t="str">
        <f t="shared" si="67"/>
        <v>MgO</v>
      </c>
      <c r="C402" s="141">
        <f t="shared" si="68"/>
        <v>0</v>
      </c>
      <c r="D402" s="277">
        <f t="shared" si="69"/>
        <v>415.59116753246502</v>
      </c>
      <c r="E402" s="20">
        <f t="shared" si="70"/>
        <v>0</v>
      </c>
      <c r="F402" s="20">
        <f t="shared" si="71"/>
        <v>0</v>
      </c>
      <c r="G402" s="277">
        <f t="shared" si="72"/>
        <v>0</v>
      </c>
      <c r="H402" s="3">
        <f t="shared" si="66"/>
        <v>0</v>
      </c>
      <c r="I402" s="277">
        <f t="shared" si="73"/>
        <v>0</v>
      </c>
      <c r="J402" s="359"/>
      <c r="K402" s="359" t="s">
        <v>517</v>
      </c>
      <c r="L402" s="359"/>
      <c r="M402" s="338" t="s">
        <v>141</v>
      </c>
      <c r="N402" s="89">
        <v>41114</v>
      </c>
      <c r="O402" s="359">
        <v>151</v>
      </c>
      <c r="P402" s="359" t="s">
        <v>46</v>
      </c>
      <c r="Q402" s="359"/>
      <c r="R402" s="359"/>
      <c r="S402" s="359">
        <v>800</v>
      </c>
      <c r="T402" s="359">
        <v>76</v>
      </c>
      <c r="U402" s="359">
        <v>400</v>
      </c>
      <c r="V402" s="359"/>
      <c r="W402" s="359"/>
      <c r="X402" s="359"/>
      <c r="Y402" s="359">
        <v>47</v>
      </c>
      <c r="Z402" s="359"/>
      <c r="AA402" s="210"/>
      <c r="AB402" s="248"/>
      <c r="AC402" s="359"/>
      <c r="AD402" s="359"/>
      <c r="AE402" s="359"/>
      <c r="AF402" s="359"/>
      <c r="AG402" s="153"/>
      <c r="AH402" s="346">
        <v>415.59116753246502</v>
      </c>
      <c r="AI402" s="24"/>
      <c r="AJ402" s="24"/>
      <c r="AK402" s="24"/>
      <c r="AL402" s="24"/>
      <c r="AM402" s="359"/>
      <c r="AN402" s="24">
        <f t="shared" si="74"/>
        <v>0</v>
      </c>
      <c r="AO402" s="54">
        <f t="shared" si="75"/>
        <v>0</v>
      </c>
      <c r="AP402" s="261">
        <f t="shared" si="76"/>
        <v>0</v>
      </c>
      <c r="AQ402" s="338"/>
      <c r="AR402" s="45"/>
      <c r="AS402" s="359"/>
      <c r="AT402" s="359"/>
    </row>
    <row r="403" spans="1:46" ht="24">
      <c r="A403" s="359" t="s">
        <v>544</v>
      </c>
      <c r="B403" s="359" t="str">
        <f t="shared" si="67"/>
        <v>MgO</v>
      </c>
      <c r="C403" s="141">
        <f t="shared" si="68"/>
        <v>0</v>
      </c>
      <c r="D403" s="277">
        <f t="shared" si="69"/>
        <v>432.83808204082499</v>
      </c>
      <c r="E403" s="20">
        <f t="shared" si="70"/>
        <v>10.5</v>
      </c>
      <c r="F403" s="20">
        <f t="shared" si="71"/>
        <v>1.532636755</v>
      </c>
      <c r="G403" s="277">
        <f t="shared" si="72"/>
        <v>0</v>
      </c>
      <c r="H403" s="3">
        <f t="shared" si="66"/>
        <v>0.72799999999999998</v>
      </c>
      <c r="I403" s="277">
        <f t="shared" si="73"/>
        <v>0</v>
      </c>
      <c r="J403" s="359" t="s">
        <v>545</v>
      </c>
      <c r="K403" s="359" t="s">
        <v>546</v>
      </c>
      <c r="L403" s="359"/>
      <c r="M403" s="338"/>
      <c r="N403" s="89">
        <v>41114</v>
      </c>
      <c r="O403" s="359">
        <v>151</v>
      </c>
      <c r="P403" s="359" t="s">
        <v>46</v>
      </c>
      <c r="Q403" s="359"/>
      <c r="R403" s="359"/>
      <c r="S403" s="359">
        <v>800</v>
      </c>
      <c r="T403" s="359">
        <v>76</v>
      </c>
      <c r="U403" s="359">
        <v>400</v>
      </c>
      <c r="V403" s="359"/>
      <c r="W403" s="359"/>
      <c r="X403" s="359"/>
      <c r="Y403" s="359">
        <v>47</v>
      </c>
      <c r="Z403" s="359"/>
      <c r="AA403" s="210"/>
      <c r="AB403" s="248"/>
      <c r="AC403" s="359"/>
      <c r="AD403" s="359"/>
      <c r="AE403" s="359"/>
      <c r="AF403" s="359"/>
      <c r="AG403" s="153"/>
      <c r="AH403" s="346">
        <v>432.83808204082499</v>
      </c>
      <c r="AI403" s="24"/>
      <c r="AJ403" s="24">
        <v>10.5</v>
      </c>
      <c r="AK403" s="24">
        <v>1.532636755</v>
      </c>
      <c r="AL403" s="24">
        <v>0.72799999999999998</v>
      </c>
      <c r="AM403" s="359" t="s">
        <v>156</v>
      </c>
      <c r="AN403" s="24">
        <f t="shared" si="74"/>
        <v>0</v>
      </c>
      <c r="AO403" s="54">
        <f t="shared" si="75"/>
        <v>0</v>
      </c>
      <c r="AP403" s="261">
        <f t="shared" si="76"/>
        <v>0</v>
      </c>
      <c r="AQ403" s="338"/>
      <c r="AR403" s="45"/>
      <c r="AS403" s="359"/>
      <c r="AT403" s="359"/>
    </row>
    <row r="404" spans="1:46" ht="12">
      <c r="A404" s="359" t="s">
        <v>547</v>
      </c>
      <c r="B404" s="359" t="str">
        <f t="shared" si="67"/>
        <v>MgO</v>
      </c>
      <c r="C404" s="141">
        <f t="shared" si="68"/>
        <v>0</v>
      </c>
      <c r="D404" s="277">
        <f t="shared" si="69"/>
        <v>411.90389615481598</v>
      </c>
      <c r="E404" s="20">
        <f t="shared" si="70"/>
        <v>0</v>
      </c>
      <c r="F404" s="20">
        <f t="shared" si="71"/>
        <v>0</v>
      </c>
      <c r="G404" s="277">
        <f t="shared" si="72"/>
        <v>0</v>
      </c>
      <c r="H404" s="3">
        <f t="shared" si="66"/>
        <v>0</v>
      </c>
      <c r="I404" s="277">
        <f t="shared" si="73"/>
        <v>0</v>
      </c>
      <c r="J404" s="359"/>
      <c r="K404" s="359" t="s">
        <v>517</v>
      </c>
      <c r="L404" s="359"/>
      <c r="M404" s="338" t="s">
        <v>141</v>
      </c>
      <c r="N404" s="89">
        <v>41114</v>
      </c>
      <c r="O404" s="359">
        <v>151</v>
      </c>
      <c r="P404" s="359" t="s">
        <v>46</v>
      </c>
      <c r="Q404" s="359"/>
      <c r="R404" s="359"/>
      <c r="S404" s="359">
        <v>800</v>
      </c>
      <c r="T404" s="359">
        <v>76</v>
      </c>
      <c r="U404" s="359">
        <v>400</v>
      </c>
      <c r="V404" s="359"/>
      <c r="W404" s="359"/>
      <c r="X404" s="359"/>
      <c r="Y404" s="359">
        <v>47</v>
      </c>
      <c r="Z404" s="359"/>
      <c r="AA404" s="210"/>
      <c r="AB404" s="248"/>
      <c r="AC404" s="359"/>
      <c r="AD404" s="359"/>
      <c r="AE404" s="359"/>
      <c r="AF404" s="359"/>
      <c r="AG404" s="153"/>
      <c r="AH404" s="346">
        <v>411.90389615481598</v>
      </c>
      <c r="AI404" s="24"/>
      <c r="AJ404" s="24"/>
      <c r="AK404" s="24"/>
      <c r="AL404" s="24"/>
      <c r="AM404" s="359"/>
      <c r="AN404" s="24">
        <f t="shared" si="74"/>
        <v>0</v>
      </c>
      <c r="AO404" s="54">
        <f t="shared" si="75"/>
        <v>0</v>
      </c>
      <c r="AP404" s="261">
        <f t="shared" si="76"/>
        <v>0</v>
      </c>
      <c r="AQ404" s="338"/>
      <c r="AR404" s="45"/>
      <c r="AS404" s="359"/>
      <c r="AT404" s="359"/>
    </row>
    <row r="405" spans="1:46" ht="12">
      <c r="A405" s="359" t="s">
        <v>548</v>
      </c>
      <c r="B405" s="359" t="str">
        <f t="shared" si="67"/>
        <v>SiNx</v>
      </c>
      <c r="C405" s="141">
        <f t="shared" si="68"/>
        <v>0</v>
      </c>
      <c r="D405" s="277">
        <f t="shared" si="69"/>
        <v>0</v>
      </c>
      <c r="E405" s="20">
        <f t="shared" si="70"/>
        <v>0</v>
      </c>
      <c r="F405" s="20">
        <f t="shared" si="71"/>
        <v>0</v>
      </c>
      <c r="G405" s="277">
        <f t="shared" si="72"/>
        <v>0</v>
      </c>
      <c r="H405" s="3">
        <f t="shared" si="66"/>
        <v>0</v>
      </c>
      <c r="I405" s="277">
        <f t="shared" si="73"/>
        <v>0</v>
      </c>
      <c r="J405" s="359"/>
      <c r="K405" s="359" t="s">
        <v>549</v>
      </c>
      <c r="L405" s="359"/>
      <c r="M405" s="338" t="s">
        <v>505</v>
      </c>
      <c r="N405" s="89">
        <v>41115</v>
      </c>
      <c r="O405" s="359">
        <v>152</v>
      </c>
      <c r="P405" s="359" t="s">
        <v>187</v>
      </c>
      <c r="Q405" s="359"/>
      <c r="R405" s="359"/>
      <c r="S405" s="359">
        <v>20</v>
      </c>
      <c r="T405" s="359">
        <v>116</v>
      </c>
      <c r="U405" s="359">
        <v>400</v>
      </c>
      <c r="V405" s="359"/>
      <c r="W405" s="359"/>
      <c r="X405" s="359"/>
      <c r="Y405" s="359">
        <v>47</v>
      </c>
      <c r="Z405" s="359"/>
      <c r="AA405" s="210"/>
      <c r="AB405" s="248"/>
      <c r="AC405" s="359"/>
      <c r="AD405" s="359"/>
      <c r="AE405" s="359"/>
      <c r="AF405" s="359"/>
      <c r="AG405" s="153"/>
      <c r="AH405" s="346"/>
      <c r="AI405" s="24"/>
      <c r="AJ405" s="24"/>
      <c r="AK405" s="24"/>
      <c r="AL405" s="24"/>
      <c r="AM405" s="359"/>
      <c r="AN405" s="24">
        <f t="shared" si="74"/>
        <v>0</v>
      </c>
      <c r="AO405" s="54">
        <f t="shared" si="75"/>
        <v>0</v>
      </c>
      <c r="AP405" s="261">
        <f t="shared" si="76"/>
        <v>0</v>
      </c>
      <c r="AQ405" s="338"/>
      <c r="AR405" s="45"/>
      <c r="AS405" s="359"/>
      <c r="AT405" s="359"/>
    </row>
    <row r="406" spans="1:46" ht="12">
      <c r="A406" s="359" t="s">
        <v>550</v>
      </c>
      <c r="B406" s="359" t="str">
        <f t="shared" si="67"/>
        <v>Glass</v>
      </c>
      <c r="C406" s="141">
        <f t="shared" si="68"/>
        <v>0</v>
      </c>
      <c r="D406" s="277">
        <f t="shared" si="69"/>
        <v>433.194914754791</v>
      </c>
      <c r="E406" s="20">
        <f t="shared" si="70"/>
        <v>9.0500000000000007</v>
      </c>
      <c r="F406" s="20">
        <f t="shared" si="71"/>
        <v>0</v>
      </c>
      <c r="G406" s="277">
        <f t="shared" si="72"/>
        <v>0</v>
      </c>
      <c r="H406" s="3">
        <f t="shared" si="66"/>
        <v>0.79094219390077392</v>
      </c>
      <c r="I406" s="277">
        <f t="shared" si="73"/>
        <v>0</v>
      </c>
      <c r="J406" s="359"/>
      <c r="K406" s="359" t="s">
        <v>551</v>
      </c>
      <c r="L406" s="359"/>
      <c r="M406" s="338" t="s">
        <v>505</v>
      </c>
      <c r="N406" s="89">
        <v>41115</v>
      </c>
      <c r="O406" s="359">
        <v>152</v>
      </c>
      <c r="P406" s="359" t="s">
        <v>290</v>
      </c>
      <c r="Q406" s="359"/>
      <c r="R406" s="359"/>
      <c r="S406" s="359">
        <v>20</v>
      </c>
      <c r="T406" s="359">
        <v>116</v>
      </c>
      <c r="U406" s="359">
        <v>400</v>
      </c>
      <c r="V406" s="359"/>
      <c r="W406" s="359"/>
      <c r="X406" s="359"/>
      <c r="Y406" s="359">
        <v>47</v>
      </c>
      <c r="Z406" s="359"/>
      <c r="AA406" s="210"/>
      <c r="AB406" s="248"/>
      <c r="AC406" s="359"/>
      <c r="AD406" s="359"/>
      <c r="AE406" s="359"/>
      <c r="AF406" s="359"/>
      <c r="AG406" s="153"/>
      <c r="AH406" s="346">
        <v>433.194914754791</v>
      </c>
      <c r="AI406" s="24"/>
      <c r="AJ406" s="24">
        <v>9.0500000000000007</v>
      </c>
      <c r="AK406" s="24"/>
      <c r="AL406" s="24">
        <f>173.77/219.7</f>
        <v>0.79094219390077392</v>
      </c>
      <c r="AM406" s="359" t="s">
        <v>156</v>
      </c>
      <c r="AN406" s="24">
        <f t="shared" si="74"/>
        <v>0</v>
      </c>
      <c r="AO406" s="54">
        <f t="shared" si="75"/>
        <v>0</v>
      </c>
      <c r="AP406" s="261">
        <f t="shared" si="76"/>
        <v>0</v>
      </c>
      <c r="AQ406" s="338"/>
      <c r="AR406" s="45"/>
      <c r="AS406" s="359"/>
      <c r="AT406" s="359"/>
    </row>
    <row r="407" spans="1:46" ht="12">
      <c r="A407" s="359" t="s">
        <v>552</v>
      </c>
      <c r="B407" s="359" t="str">
        <f t="shared" si="67"/>
        <v>SiNx</v>
      </c>
      <c r="C407" s="141">
        <f t="shared" si="68"/>
        <v>0</v>
      </c>
      <c r="D407" s="277">
        <f t="shared" si="69"/>
        <v>0</v>
      </c>
      <c r="E407" s="20">
        <f t="shared" si="70"/>
        <v>0</v>
      </c>
      <c r="F407" s="20">
        <f t="shared" si="71"/>
        <v>0</v>
      </c>
      <c r="G407" s="277">
        <f t="shared" si="72"/>
        <v>0</v>
      </c>
      <c r="H407" s="3">
        <f t="shared" si="66"/>
        <v>0</v>
      </c>
      <c r="I407" s="277">
        <f t="shared" si="73"/>
        <v>0</v>
      </c>
      <c r="J407" s="359"/>
      <c r="K407" s="359" t="s">
        <v>549</v>
      </c>
      <c r="L407" s="359"/>
      <c r="M407" s="338" t="s">
        <v>505</v>
      </c>
      <c r="N407" s="89">
        <v>41115</v>
      </c>
      <c r="O407" s="359">
        <v>152</v>
      </c>
      <c r="P407" s="359" t="s">
        <v>187</v>
      </c>
      <c r="Q407" s="359"/>
      <c r="R407" s="359"/>
      <c r="S407" s="359">
        <v>20</v>
      </c>
      <c r="T407" s="359">
        <v>116</v>
      </c>
      <c r="U407" s="359">
        <v>400</v>
      </c>
      <c r="V407" s="359"/>
      <c r="W407" s="359"/>
      <c r="X407" s="359"/>
      <c r="Y407" s="359">
        <v>47</v>
      </c>
      <c r="Z407" s="359"/>
      <c r="AA407" s="210"/>
      <c r="AB407" s="248"/>
      <c r="AC407" s="359"/>
      <c r="AD407" s="359"/>
      <c r="AE407" s="359"/>
      <c r="AF407" s="359"/>
      <c r="AG407" s="153"/>
      <c r="AH407" s="346"/>
      <c r="AI407" s="24"/>
      <c r="AJ407" s="24"/>
      <c r="AK407" s="24"/>
      <c r="AL407" s="24"/>
      <c r="AM407" s="359"/>
      <c r="AN407" s="24">
        <f t="shared" si="74"/>
        <v>0</v>
      </c>
      <c r="AO407" s="54">
        <f t="shared" si="75"/>
        <v>0</v>
      </c>
      <c r="AP407" s="261">
        <f t="shared" si="76"/>
        <v>0</v>
      </c>
      <c r="AQ407" s="338"/>
      <c r="AR407" s="45"/>
      <c r="AS407" s="359"/>
      <c r="AT407" s="359"/>
    </row>
    <row r="408" spans="1:46" ht="12">
      <c r="A408" s="359" t="s">
        <v>553</v>
      </c>
      <c r="B408" s="359" t="str">
        <f t="shared" si="67"/>
        <v>Glass</v>
      </c>
      <c r="C408" s="141">
        <f t="shared" si="68"/>
        <v>7.9</v>
      </c>
      <c r="D408" s="277">
        <f t="shared" si="69"/>
        <v>0</v>
      </c>
      <c r="E408" s="20">
        <f t="shared" si="70"/>
        <v>0</v>
      </c>
      <c r="F408" s="20">
        <f t="shared" si="71"/>
        <v>0</v>
      </c>
      <c r="G408" s="277">
        <f t="shared" si="72"/>
        <v>0</v>
      </c>
      <c r="H408" s="3">
        <f t="shared" si="66"/>
        <v>0</v>
      </c>
      <c r="I408" s="277">
        <f t="shared" si="73"/>
        <v>0</v>
      </c>
      <c r="J408" s="359"/>
      <c r="K408" s="359" t="s">
        <v>551</v>
      </c>
      <c r="L408" s="359"/>
      <c r="M408" s="338" t="s">
        <v>505</v>
      </c>
      <c r="N408" s="89">
        <v>41115</v>
      </c>
      <c r="O408" s="359">
        <v>152</v>
      </c>
      <c r="P408" s="359" t="s">
        <v>290</v>
      </c>
      <c r="Q408" s="359"/>
      <c r="R408" s="359"/>
      <c r="S408" s="359">
        <v>20</v>
      </c>
      <c r="T408" s="359">
        <v>116</v>
      </c>
      <c r="U408" s="359">
        <v>400</v>
      </c>
      <c r="V408" s="359"/>
      <c r="W408" s="359"/>
      <c r="X408" s="359"/>
      <c r="Y408" s="359">
        <v>47</v>
      </c>
      <c r="Z408" s="359"/>
      <c r="AA408" s="210"/>
      <c r="AB408" s="248">
        <v>0.30509999999999998</v>
      </c>
      <c r="AC408" s="359">
        <v>0.43140000000000001</v>
      </c>
      <c r="AD408" s="359">
        <v>0.26350000000000001</v>
      </c>
      <c r="AE408" s="359"/>
      <c r="AF408" s="359">
        <v>7.9</v>
      </c>
      <c r="AG408" s="153"/>
      <c r="AH408" s="346"/>
      <c r="AI408" s="24"/>
      <c r="AJ408" s="24"/>
      <c r="AK408" s="24"/>
      <c r="AL408" s="24"/>
      <c r="AM408" s="359"/>
      <c r="AN408" s="24">
        <f t="shared" si="74"/>
        <v>0</v>
      </c>
      <c r="AO408" s="54">
        <f t="shared" si="75"/>
        <v>0</v>
      </c>
      <c r="AP408" s="261">
        <f t="shared" si="76"/>
        <v>4.0862068965517242</v>
      </c>
      <c r="AQ408" s="338"/>
      <c r="AR408" s="45"/>
      <c r="AS408" s="359"/>
      <c r="AT408" s="359"/>
    </row>
    <row r="409" spans="1:46" ht="12">
      <c r="A409" s="359" t="s">
        <v>554</v>
      </c>
      <c r="B409" s="359" t="str">
        <f t="shared" si="67"/>
        <v>Glass</v>
      </c>
      <c r="C409" s="141">
        <f t="shared" si="68"/>
        <v>0</v>
      </c>
      <c r="D409" s="277">
        <f t="shared" si="69"/>
        <v>0</v>
      </c>
      <c r="E409" s="20">
        <f t="shared" si="70"/>
        <v>0</v>
      </c>
      <c r="F409" s="20">
        <f t="shared" si="71"/>
        <v>0</v>
      </c>
      <c r="G409" s="277">
        <f t="shared" si="72"/>
        <v>0</v>
      </c>
      <c r="H409" s="3">
        <f t="shared" si="66"/>
        <v>0</v>
      </c>
      <c r="I409" s="277">
        <f t="shared" si="73"/>
        <v>0</v>
      </c>
      <c r="J409" s="359"/>
      <c r="K409" s="359" t="s">
        <v>555</v>
      </c>
      <c r="L409" s="359"/>
      <c r="M409" s="338" t="s">
        <v>505</v>
      </c>
      <c r="N409" s="89">
        <v>41115</v>
      </c>
      <c r="O409" s="359">
        <v>153</v>
      </c>
      <c r="P409" s="359" t="s">
        <v>290</v>
      </c>
      <c r="Q409" s="359"/>
      <c r="R409" s="359"/>
      <c r="S409" s="359">
        <v>20</v>
      </c>
      <c r="T409" s="359">
        <v>116</v>
      </c>
      <c r="U409" s="359">
        <v>400</v>
      </c>
      <c r="V409" s="359"/>
      <c r="W409" s="359"/>
      <c r="X409" s="359"/>
      <c r="Y409" s="359">
        <v>47</v>
      </c>
      <c r="Z409" s="359"/>
      <c r="AA409" s="210"/>
      <c r="AB409" s="248"/>
      <c r="AC409" s="359"/>
      <c r="AD409" s="359"/>
      <c r="AE409" s="359"/>
      <c r="AF409" s="359"/>
      <c r="AG409" s="153"/>
      <c r="AH409" s="346"/>
      <c r="AI409" s="24"/>
      <c r="AJ409" s="24"/>
      <c r="AK409" s="24"/>
      <c r="AL409" s="24"/>
      <c r="AM409" s="359"/>
      <c r="AN409" s="24">
        <f t="shared" si="74"/>
        <v>0</v>
      </c>
      <c r="AO409" s="54">
        <f t="shared" si="75"/>
        <v>0</v>
      </c>
      <c r="AP409" s="261">
        <f t="shared" si="76"/>
        <v>0</v>
      </c>
      <c r="AQ409" s="338"/>
      <c r="AR409" s="45"/>
      <c r="AS409" s="359"/>
      <c r="AT409" s="359"/>
    </row>
    <row r="410" spans="1:46" ht="12">
      <c r="A410" s="67" t="s">
        <v>556</v>
      </c>
      <c r="B410" s="359" t="str">
        <f t="shared" si="67"/>
        <v>Glass</v>
      </c>
      <c r="C410" s="141">
        <f t="shared" si="68"/>
        <v>0</v>
      </c>
      <c r="D410" s="277">
        <f t="shared" si="69"/>
        <v>374.67434966435798</v>
      </c>
      <c r="E410" s="20">
        <f t="shared" si="70"/>
        <v>9</v>
      </c>
      <c r="F410" s="20">
        <f t="shared" si="71"/>
        <v>1.161495038</v>
      </c>
      <c r="G410" s="277">
        <f t="shared" si="72"/>
        <v>0</v>
      </c>
      <c r="H410" s="3">
        <f t="shared" si="66"/>
        <v>0.81449765463074075</v>
      </c>
      <c r="I410" s="277">
        <f t="shared" si="73"/>
        <v>0</v>
      </c>
      <c r="J410" s="67"/>
      <c r="K410" s="67" t="s">
        <v>555</v>
      </c>
      <c r="L410" s="67"/>
      <c r="M410" s="371" t="s">
        <v>505</v>
      </c>
      <c r="N410" s="309">
        <v>41115</v>
      </c>
      <c r="O410" s="67">
        <v>153</v>
      </c>
      <c r="P410" s="67" t="s">
        <v>290</v>
      </c>
      <c r="Q410" s="67"/>
      <c r="R410" s="67"/>
      <c r="S410" s="67">
        <v>20</v>
      </c>
      <c r="T410" s="67">
        <v>116</v>
      </c>
      <c r="U410" s="67">
        <v>400</v>
      </c>
      <c r="V410" s="67"/>
      <c r="W410" s="67"/>
      <c r="X410" s="67"/>
      <c r="Y410" s="359">
        <v>47</v>
      </c>
      <c r="Z410" s="359"/>
      <c r="AA410" s="210"/>
      <c r="AB410" s="182"/>
      <c r="AC410" s="67"/>
      <c r="AD410" s="67"/>
      <c r="AE410" s="67"/>
      <c r="AF410" s="67"/>
      <c r="AG410" s="315"/>
      <c r="AH410" s="66">
        <v>374.67434966435798</v>
      </c>
      <c r="AI410" s="216"/>
      <c r="AJ410" s="216">
        <v>9</v>
      </c>
      <c r="AK410" s="24">
        <v>1.161495038</v>
      </c>
      <c r="AL410" s="216">
        <f>149.33/183.34</f>
        <v>0.81449765463074075</v>
      </c>
      <c r="AM410" s="67" t="s">
        <v>156</v>
      </c>
      <c r="AN410" s="24">
        <f t="shared" si="74"/>
        <v>0</v>
      </c>
      <c r="AO410" s="54">
        <f t="shared" si="75"/>
        <v>0</v>
      </c>
      <c r="AP410" s="261">
        <f t="shared" si="76"/>
        <v>0</v>
      </c>
      <c r="AQ410" s="371"/>
      <c r="AR410" s="41"/>
      <c r="AS410" s="67"/>
      <c r="AT410" s="67"/>
    </row>
    <row r="411" spans="1:46" ht="12">
      <c r="A411" s="359" t="s">
        <v>557</v>
      </c>
      <c r="B411" s="359" t="str">
        <f t="shared" si="67"/>
        <v>Glass</v>
      </c>
      <c r="C411" s="141">
        <f t="shared" si="68"/>
        <v>8.1999999999999993</v>
      </c>
      <c r="D411" s="277">
        <f t="shared" si="69"/>
        <v>0</v>
      </c>
      <c r="E411" s="20">
        <f t="shared" si="70"/>
        <v>0</v>
      </c>
      <c r="F411" s="20">
        <f t="shared" si="71"/>
        <v>0</v>
      </c>
      <c r="G411" s="277">
        <f t="shared" si="72"/>
        <v>0</v>
      </c>
      <c r="H411" s="3">
        <f t="shared" si="66"/>
        <v>0</v>
      </c>
      <c r="I411" s="277">
        <f t="shared" si="73"/>
        <v>0</v>
      </c>
      <c r="J411" s="359"/>
      <c r="K411" s="359" t="s">
        <v>555</v>
      </c>
      <c r="L411" s="359"/>
      <c r="M411" s="338" t="s">
        <v>505</v>
      </c>
      <c r="N411" s="89">
        <v>41115</v>
      </c>
      <c r="O411" s="359">
        <v>153</v>
      </c>
      <c r="P411" s="359" t="s">
        <v>290</v>
      </c>
      <c r="Q411" s="359"/>
      <c r="R411" s="359"/>
      <c r="S411" s="359">
        <v>20</v>
      </c>
      <c r="T411" s="359">
        <v>116</v>
      </c>
      <c r="U411" s="359">
        <v>400</v>
      </c>
      <c r="V411" s="359"/>
      <c r="W411" s="359"/>
      <c r="X411" s="359"/>
      <c r="Y411" s="359">
        <v>47</v>
      </c>
      <c r="Z411" s="359"/>
      <c r="AA411" s="210"/>
      <c r="AB411" s="248">
        <v>0.2999</v>
      </c>
      <c r="AC411" s="359">
        <v>0.42020000000000002</v>
      </c>
      <c r="AD411" s="359">
        <v>0.27989999999999998</v>
      </c>
      <c r="AE411" s="359"/>
      <c r="AF411" s="359">
        <v>8.1999999999999993</v>
      </c>
      <c r="AG411" s="153"/>
      <c r="AH411" s="346"/>
      <c r="AI411" s="24"/>
      <c r="AJ411" s="24"/>
      <c r="AK411" s="24"/>
      <c r="AL411" s="24"/>
      <c r="AM411" s="359"/>
      <c r="AN411" s="24">
        <f t="shared" si="74"/>
        <v>0</v>
      </c>
      <c r="AO411" s="54">
        <f t="shared" si="75"/>
        <v>0</v>
      </c>
      <c r="AP411" s="261">
        <f t="shared" si="76"/>
        <v>4.2413793103448265</v>
      </c>
      <c r="AQ411" s="338"/>
      <c r="AR411" s="45"/>
      <c r="AS411" s="359"/>
      <c r="AT411" s="359"/>
    </row>
    <row r="412" spans="1:46" ht="12">
      <c r="A412" s="359" t="s">
        <v>558</v>
      </c>
      <c r="B412" s="359" t="str">
        <f t="shared" si="67"/>
        <v>Glass</v>
      </c>
      <c r="C412" s="141">
        <f t="shared" si="68"/>
        <v>0</v>
      </c>
      <c r="D412" s="277">
        <f t="shared" si="69"/>
        <v>0</v>
      </c>
      <c r="E412" s="20">
        <f t="shared" si="70"/>
        <v>0</v>
      </c>
      <c r="F412" s="20">
        <f t="shared" si="71"/>
        <v>0</v>
      </c>
      <c r="G412" s="277">
        <f t="shared" si="72"/>
        <v>0</v>
      </c>
      <c r="H412" s="3">
        <f t="shared" si="66"/>
        <v>0</v>
      </c>
      <c r="I412" s="277">
        <f t="shared" si="73"/>
        <v>0</v>
      </c>
      <c r="J412" s="359"/>
      <c r="K412" s="359" t="s">
        <v>555</v>
      </c>
      <c r="L412" s="359"/>
      <c r="M412" s="338" t="s">
        <v>505</v>
      </c>
      <c r="N412" s="89">
        <v>41115</v>
      </c>
      <c r="O412" s="359">
        <v>153</v>
      </c>
      <c r="P412" s="359" t="s">
        <v>290</v>
      </c>
      <c r="Q412" s="359"/>
      <c r="R412" s="359"/>
      <c r="S412" s="359">
        <v>20</v>
      </c>
      <c r="T412" s="359">
        <v>116</v>
      </c>
      <c r="U412" s="359">
        <v>400</v>
      </c>
      <c r="V412" s="359"/>
      <c r="W412" s="359"/>
      <c r="X412" s="359"/>
      <c r="Y412" s="359">
        <v>47</v>
      </c>
      <c r="Z412" s="359"/>
      <c r="AA412" s="210"/>
      <c r="AB412" s="248"/>
      <c r="AC412" s="359"/>
      <c r="AD412" s="359"/>
      <c r="AE412" s="359"/>
      <c r="AF412" s="359"/>
      <c r="AG412" s="153"/>
      <c r="AH412" s="346"/>
      <c r="AI412" s="24"/>
      <c r="AJ412" s="24"/>
      <c r="AK412" s="24"/>
      <c r="AL412" s="24"/>
      <c r="AM412" s="359"/>
      <c r="AN412" s="24">
        <f t="shared" si="74"/>
        <v>0</v>
      </c>
      <c r="AO412" s="54">
        <f t="shared" si="75"/>
        <v>0</v>
      </c>
      <c r="AP412" s="261">
        <f t="shared" si="76"/>
        <v>0</v>
      </c>
      <c r="AQ412" s="338"/>
      <c r="AR412" s="45"/>
      <c r="AS412" s="359"/>
      <c r="AT412" s="359"/>
    </row>
    <row r="413" spans="1:46" ht="12">
      <c r="A413" s="359" t="s">
        <v>559</v>
      </c>
      <c r="B413" s="359" t="str">
        <f t="shared" si="67"/>
        <v>SiNx</v>
      </c>
      <c r="C413" s="141">
        <f t="shared" si="68"/>
        <v>0</v>
      </c>
      <c r="D413" s="277">
        <f t="shared" si="69"/>
        <v>0</v>
      </c>
      <c r="E413" s="20">
        <f t="shared" si="70"/>
        <v>0</v>
      </c>
      <c r="F413" s="20">
        <f t="shared" si="71"/>
        <v>0</v>
      </c>
      <c r="G413" s="277">
        <f t="shared" si="72"/>
        <v>0</v>
      </c>
      <c r="H413" s="3">
        <f t="shared" si="66"/>
        <v>0</v>
      </c>
      <c r="I413" s="277">
        <f t="shared" si="73"/>
        <v>0</v>
      </c>
      <c r="J413" s="359"/>
      <c r="K413" s="359"/>
      <c r="L413" s="359"/>
      <c r="M413" s="338" t="s">
        <v>135</v>
      </c>
      <c r="N413" s="89">
        <v>41117</v>
      </c>
      <c r="O413" s="359">
        <v>154</v>
      </c>
      <c r="P413" s="359" t="s">
        <v>187</v>
      </c>
      <c r="Q413" s="359"/>
      <c r="R413" s="359"/>
      <c r="S413" s="359">
        <v>20</v>
      </c>
      <c r="T413" s="359">
        <v>68</v>
      </c>
      <c r="U413" s="359">
        <v>400</v>
      </c>
      <c r="V413" s="359"/>
      <c r="W413" s="359"/>
      <c r="X413" s="359"/>
      <c r="Y413" s="359">
        <v>47</v>
      </c>
      <c r="Z413" s="359"/>
      <c r="AA413" s="210"/>
      <c r="AB413" s="248"/>
      <c r="AC413" s="359"/>
      <c r="AD413" s="359"/>
      <c r="AE413" s="359"/>
      <c r="AF413" s="359"/>
      <c r="AG413" s="153"/>
      <c r="AH413" s="346"/>
      <c r="AI413" s="24"/>
      <c r="AJ413" s="24"/>
      <c r="AK413" s="24"/>
      <c r="AL413" s="24"/>
      <c r="AM413" s="359"/>
      <c r="AN413" s="24">
        <f t="shared" si="74"/>
        <v>0</v>
      </c>
      <c r="AO413" s="54">
        <f t="shared" si="75"/>
        <v>0</v>
      </c>
      <c r="AP413" s="261">
        <f t="shared" si="76"/>
        <v>0</v>
      </c>
      <c r="AQ413" s="338"/>
      <c r="AR413" s="45"/>
      <c r="AS413" s="359"/>
      <c r="AT413" s="359"/>
    </row>
    <row r="414" spans="1:46" ht="12">
      <c r="A414" s="359" t="s">
        <v>560</v>
      </c>
      <c r="B414" s="359" t="str">
        <f t="shared" si="67"/>
        <v>SiNx</v>
      </c>
      <c r="C414" s="141">
        <f t="shared" si="68"/>
        <v>0</v>
      </c>
      <c r="D414" s="277">
        <f t="shared" si="69"/>
        <v>0</v>
      </c>
      <c r="E414" s="20">
        <f t="shared" si="70"/>
        <v>0</v>
      </c>
      <c r="F414" s="20">
        <f t="shared" si="71"/>
        <v>0</v>
      </c>
      <c r="G414" s="277">
        <f t="shared" si="72"/>
        <v>0</v>
      </c>
      <c r="H414" s="3">
        <f t="shared" si="66"/>
        <v>0</v>
      </c>
      <c r="I414" s="277">
        <f t="shared" si="73"/>
        <v>0</v>
      </c>
      <c r="J414" s="359"/>
      <c r="K414" s="359"/>
      <c r="L414" s="359"/>
      <c r="M414" s="338" t="s">
        <v>135</v>
      </c>
      <c r="N414" s="89">
        <v>41117</v>
      </c>
      <c r="O414" s="359">
        <v>154</v>
      </c>
      <c r="P414" s="359" t="s">
        <v>187</v>
      </c>
      <c r="Q414" s="359"/>
      <c r="R414" s="359"/>
      <c r="S414" s="359">
        <v>20</v>
      </c>
      <c r="T414" s="359">
        <v>68</v>
      </c>
      <c r="U414" s="359">
        <v>400</v>
      </c>
      <c r="V414" s="359"/>
      <c r="W414" s="359"/>
      <c r="X414" s="359"/>
      <c r="Y414" s="359">
        <v>47</v>
      </c>
      <c r="Z414" s="359"/>
      <c r="AA414" s="210"/>
      <c r="AB414" s="248"/>
      <c r="AC414" s="359"/>
      <c r="AD414" s="359"/>
      <c r="AE414" s="359"/>
      <c r="AF414" s="359"/>
      <c r="AG414" s="153"/>
      <c r="AH414" s="346"/>
      <c r="AI414" s="24"/>
      <c r="AJ414" s="24"/>
      <c r="AK414" s="24"/>
      <c r="AL414" s="24"/>
      <c r="AM414" s="359"/>
      <c r="AN414" s="24">
        <f t="shared" si="74"/>
        <v>0</v>
      </c>
      <c r="AO414" s="54">
        <f t="shared" si="75"/>
        <v>0</v>
      </c>
      <c r="AP414" s="261">
        <f t="shared" si="76"/>
        <v>0</v>
      </c>
      <c r="AQ414" s="338"/>
      <c r="AR414" s="45"/>
      <c r="AS414" s="359"/>
      <c r="AT414" s="359"/>
    </row>
    <row r="415" spans="1:46" ht="12">
      <c r="A415" s="359" t="s">
        <v>561</v>
      </c>
      <c r="B415" s="359" t="str">
        <f t="shared" si="67"/>
        <v>SiNx</v>
      </c>
      <c r="C415" s="141">
        <f t="shared" si="68"/>
        <v>0</v>
      </c>
      <c r="D415" s="277">
        <f t="shared" si="69"/>
        <v>0</v>
      </c>
      <c r="E415" s="20">
        <f t="shared" si="70"/>
        <v>0</v>
      </c>
      <c r="F415" s="20">
        <f t="shared" si="71"/>
        <v>0</v>
      </c>
      <c r="G415" s="277">
        <f t="shared" si="72"/>
        <v>0</v>
      </c>
      <c r="H415" s="3">
        <f t="shared" si="66"/>
        <v>0</v>
      </c>
      <c r="I415" s="277">
        <f t="shared" si="73"/>
        <v>0</v>
      </c>
      <c r="J415" s="359"/>
      <c r="K415" s="359"/>
      <c r="L415" s="359"/>
      <c r="M415" s="338" t="s">
        <v>135</v>
      </c>
      <c r="N415" s="89">
        <v>41117</v>
      </c>
      <c r="O415" s="359">
        <v>154</v>
      </c>
      <c r="P415" s="359" t="s">
        <v>187</v>
      </c>
      <c r="Q415" s="359"/>
      <c r="R415" s="359"/>
      <c r="S415" s="359">
        <v>20</v>
      </c>
      <c r="T415" s="359">
        <v>68</v>
      </c>
      <c r="U415" s="359">
        <v>400</v>
      </c>
      <c r="V415" s="359"/>
      <c r="W415" s="359"/>
      <c r="X415" s="359"/>
      <c r="Y415" s="359">
        <v>47</v>
      </c>
      <c r="Z415" s="359"/>
      <c r="AA415" s="210"/>
      <c r="AB415" s="248"/>
      <c r="AC415" s="359"/>
      <c r="AD415" s="359"/>
      <c r="AE415" s="359"/>
      <c r="AF415" s="359"/>
      <c r="AG415" s="153"/>
      <c r="AH415" s="346"/>
      <c r="AI415" s="24"/>
      <c r="AJ415" s="24"/>
      <c r="AK415" s="24"/>
      <c r="AL415" s="24"/>
      <c r="AM415" s="359"/>
      <c r="AN415" s="24">
        <f t="shared" si="74"/>
        <v>0</v>
      </c>
      <c r="AO415" s="54">
        <f t="shared" si="75"/>
        <v>0</v>
      </c>
      <c r="AP415" s="261">
        <f t="shared" si="76"/>
        <v>0</v>
      </c>
      <c r="AQ415" s="338"/>
      <c r="AR415" s="45"/>
      <c r="AS415" s="359"/>
      <c r="AT415" s="359"/>
    </row>
    <row r="416" spans="1:46" ht="12">
      <c r="A416" s="359" t="s">
        <v>562</v>
      </c>
      <c r="B416" s="359" t="str">
        <f t="shared" si="67"/>
        <v>SiNx</v>
      </c>
      <c r="C416" s="141">
        <f t="shared" si="68"/>
        <v>0</v>
      </c>
      <c r="D416" s="277">
        <f t="shared" si="69"/>
        <v>0</v>
      </c>
      <c r="E416" s="20">
        <f t="shared" si="70"/>
        <v>0</v>
      </c>
      <c r="F416" s="20">
        <f t="shared" si="71"/>
        <v>0</v>
      </c>
      <c r="G416" s="277">
        <f t="shared" si="72"/>
        <v>0</v>
      </c>
      <c r="H416" s="3">
        <f t="shared" ref="H416:H479" si="77">AL416</f>
        <v>0</v>
      </c>
      <c r="I416" s="277">
        <f t="shared" si="73"/>
        <v>0</v>
      </c>
      <c r="J416" s="359"/>
      <c r="K416" s="359"/>
      <c r="L416" s="359"/>
      <c r="M416" s="338" t="s">
        <v>135</v>
      </c>
      <c r="N416" s="89">
        <v>41117</v>
      </c>
      <c r="O416" s="359">
        <v>154</v>
      </c>
      <c r="P416" s="359" t="s">
        <v>187</v>
      </c>
      <c r="Q416" s="359"/>
      <c r="R416" s="359"/>
      <c r="S416" s="359">
        <v>20</v>
      </c>
      <c r="T416" s="359">
        <v>68</v>
      </c>
      <c r="U416" s="359">
        <v>400</v>
      </c>
      <c r="V416" s="359"/>
      <c r="W416" s="359"/>
      <c r="X416" s="359"/>
      <c r="Y416" s="359">
        <v>47</v>
      </c>
      <c r="Z416" s="359"/>
      <c r="AA416" s="210"/>
      <c r="AB416" s="248"/>
      <c r="AC416" s="359"/>
      <c r="AD416" s="359"/>
      <c r="AE416" s="359"/>
      <c r="AF416" s="359"/>
      <c r="AG416" s="153"/>
      <c r="AH416" s="346"/>
      <c r="AI416" s="24"/>
      <c r="AJ416" s="24"/>
      <c r="AK416" s="24"/>
      <c r="AL416" s="24"/>
      <c r="AM416" s="359"/>
      <c r="AN416" s="24">
        <f t="shared" si="74"/>
        <v>0</v>
      </c>
      <c r="AO416" s="54">
        <f t="shared" si="75"/>
        <v>0</v>
      </c>
      <c r="AP416" s="261">
        <f t="shared" si="76"/>
        <v>0</v>
      </c>
      <c r="AQ416" s="338"/>
      <c r="AR416" s="45"/>
      <c r="AS416" s="359"/>
      <c r="AT416" s="359"/>
    </row>
    <row r="417" spans="1:46" ht="12">
      <c r="A417" s="359" t="s">
        <v>563</v>
      </c>
      <c r="B417" s="359" t="str">
        <f t="shared" si="67"/>
        <v>SiNx</v>
      </c>
      <c r="C417" s="141">
        <f t="shared" si="68"/>
        <v>0</v>
      </c>
      <c r="D417" s="277">
        <f t="shared" si="69"/>
        <v>386.44982922523798</v>
      </c>
      <c r="E417" s="20">
        <f t="shared" si="70"/>
        <v>8.4</v>
      </c>
      <c r="F417" s="20">
        <f t="shared" si="71"/>
        <v>1.1451666920000001</v>
      </c>
      <c r="G417" s="277">
        <f t="shared" si="72"/>
        <v>0</v>
      </c>
      <c r="H417" s="3">
        <f t="shared" si="77"/>
        <v>0.80698226072607271</v>
      </c>
      <c r="I417" s="277">
        <f t="shared" si="73"/>
        <v>0</v>
      </c>
      <c r="J417" s="359"/>
      <c r="K417" s="359" t="s">
        <v>53</v>
      </c>
      <c r="L417" s="359"/>
      <c r="M417" s="338" t="s">
        <v>564</v>
      </c>
      <c r="N417" s="89">
        <v>41120</v>
      </c>
      <c r="O417" s="359">
        <v>155</v>
      </c>
      <c r="P417" s="359" t="s">
        <v>187</v>
      </c>
      <c r="Q417" s="359"/>
      <c r="R417" s="359"/>
      <c r="S417" s="359">
        <v>20</v>
      </c>
      <c r="T417" s="359">
        <v>120</v>
      </c>
      <c r="U417" s="359">
        <v>400</v>
      </c>
      <c r="V417" s="359"/>
      <c r="W417" s="359"/>
      <c r="X417" s="359"/>
      <c r="Y417" s="359">
        <v>47</v>
      </c>
      <c r="Z417" s="359"/>
      <c r="AA417" s="210"/>
      <c r="AB417" s="248"/>
      <c r="AC417" s="359"/>
      <c r="AD417" s="359"/>
      <c r="AE417" s="359"/>
      <c r="AF417" s="359"/>
      <c r="AG417" s="153"/>
      <c r="AH417" s="346">
        <v>386.44982922523798</v>
      </c>
      <c r="AI417" s="24"/>
      <c r="AJ417" s="24">
        <v>8.4</v>
      </c>
      <c r="AK417" s="24">
        <v>1.1451666920000001</v>
      </c>
      <c r="AL417" s="24">
        <f>156.49/193.92</f>
        <v>0.80698226072607271</v>
      </c>
      <c r="AM417" s="359" t="s">
        <v>156</v>
      </c>
      <c r="AN417" s="24">
        <f t="shared" si="74"/>
        <v>0</v>
      </c>
      <c r="AO417" s="54">
        <f t="shared" si="75"/>
        <v>0</v>
      </c>
      <c r="AP417" s="261">
        <f t="shared" si="76"/>
        <v>0</v>
      </c>
      <c r="AQ417" s="338"/>
      <c r="AR417" s="45"/>
      <c r="AS417" s="359"/>
      <c r="AT417" s="359"/>
    </row>
    <row r="418" spans="1:46" ht="12">
      <c r="A418" s="359" t="s">
        <v>565</v>
      </c>
      <c r="B418" s="359" t="str">
        <f t="shared" si="67"/>
        <v>SiNx</v>
      </c>
      <c r="C418" s="141">
        <f t="shared" si="68"/>
        <v>0</v>
      </c>
      <c r="D418" s="277">
        <f t="shared" si="69"/>
        <v>384.07094446546398</v>
      </c>
      <c r="E418" s="20">
        <f t="shared" si="70"/>
        <v>0</v>
      </c>
      <c r="F418" s="20">
        <f t="shared" si="71"/>
        <v>0</v>
      </c>
      <c r="G418" s="277">
        <f t="shared" si="72"/>
        <v>0</v>
      </c>
      <c r="H418" s="3">
        <f t="shared" si="77"/>
        <v>0</v>
      </c>
      <c r="I418" s="277">
        <f t="shared" si="73"/>
        <v>0</v>
      </c>
      <c r="J418" s="359"/>
      <c r="K418" s="359" t="s">
        <v>186</v>
      </c>
      <c r="L418" s="359"/>
      <c r="M418" s="338" t="s">
        <v>138</v>
      </c>
      <c r="N418" s="89">
        <v>41120</v>
      </c>
      <c r="O418" s="359">
        <v>155</v>
      </c>
      <c r="P418" s="359" t="s">
        <v>187</v>
      </c>
      <c r="Q418" s="359"/>
      <c r="R418" s="359"/>
      <c r="S418" s="359">
        <v>20</v>
      </c>
      <c r="T418" s="359">
        <v>120</v>
      </c>
      <c r="U418" s="359">
        <v>400</v>
      </c>
      <c r="V418" s="359"/>
      <c r="W418" s="359"/>
      <c r="X418" s="359"/>
      <c r="Y418" s="359">
        <v>47</v>
      </c>
      <c r="Z418" s="359"/>
      <c r="AA418" s="210"/>
      <c r="AB418" s="248"/>
      <c r="AC418" s="359"/>
      <c r="AD418" s="359"/>
      <c r="AE418" s="359"/>
      <c r="AF418" s="359"/>
      <c r="AG418" s="153"/>
      <c r="AH418" s="346">
        <v>384.07094446546398</v>
      </c>
      <c r="AI418" s="24"/>
      <c r="AJ418" s="24"/>
      <c r="AK418" s="24"/>
      <c r="AL418" s="24"/>
      <c r="AM418" s="359"/>
      <c r="AN418" s="24">
        <f t="shared" si="74"/>
        <v>0</v>
      </c>
      <c r="AO418" s="54">
        <f t="shared" si="75"/>
        <v>0</v>
      </c>
      <c r="AP418" s="261">
        <f t="shared" si="76"/>
        <v>0</v>
      </c>
      <c r="AQ418" s="338"/>
      <c r="AR418" s="45"/>
      <c r="AS418" s="359"/>
      <c r="AT418" s="359"/>
    </row>
    <row r="419" spans="1:46" ht="12">
      <c r="A419" s="359" t="s">
        <v>566</v>
      </c>
      <c r="B419" s="359" t="str">
        <f t="shared" si="67"/>
        <v>SiNx</v>
      </c>
      <c r="C419" s="141">
        <f t="shared" si="68"/>
        <v>0</v>
      </c>
      <c r="D419" s="277">
        <f t="shared" si="69"/>
        <v>384.54672141741901</v>
      </c>
      <c r="E419" s="20">
        <f t="shared" si="70"/>
        <v>0</v>
      </c>
      <c r="F419" s="20">
        <f t="shared" si="71"/>
        <v>0</v>
      </c>
      <c r="G419" s="277">
        <f t="shared" si="72"/>
        <v>0</v>
      </c>
      <c r="H419" s="3">
        <f t="shared" si="77"/>
        <v>0</v>
      </c>
      <c r="I419" s="277">
        <f t="shared" si="73"/>
        <v>0</v>
      </c>
      <c r="J419" s="359"/>
      <c r="K419" s="359" t="s">
        <v>186</v>
      </c>
      <c r="L419" s="359"/>
      <c r="M419" s="338" t="s">
        <v>138</v>
      </c>
      <c r="N419" s="89">
        <v>41120</v>
      </c>
      <c r="O419" s="359">
        <v>155</v>
      </c>
      <c r="P419" s="359" t="s">
        <v>187</v>
      </c>
      <c r="Q419" s="359"/>
      <c r="R419" s="359"/>
      <c r="S419" s="359">
        <v>20</v>
      </c>
      <c r="T419" s="359">
        <v>120</v>
      </c>
      <c r="U419" s="359">
        <v>400</v>
      </c>
      <c r="V419" s="359"/>
      <c r="W419" s="359"/>
      <c r="X419" s="359"/>
      <c r="Y419" s="359">
        <v>47</v>
      </c>
      <c r="Z419" s="359"/>
      <c r="AA419" s="210"/>
      <c r="AB419" s="248"/>
      <c r="AC419" s="359"/>
      <c r="AD419" s="359"/>
      <c r="AE419" s="359"/>
      <c r="AF419" s="359"/>
      <c r="AG419" s="153"/>
      <c r="AH419" s="346">
        <v>384.54672141741901</v>
      </c>
      <c r="AI419" s="24"/>
      <c r="AJ419" s="24"/>
      <c r="AK419" s="24"/>
      <c r="AL419" s="24"/>
      <c r="AM419" s="359"/>
      <c r="AN419" s="24">
        <f t="shared" si="74"/>
        <v>0</v>
      </c>
      <c r="AO419" s="54">
        <f t="shared" si="75"/>
        <v>0</v>
      </c>
      <c r="AP419" s="261">
        <f t="shared" si="76"/>
        <v>0</v>
      </c>
      <c r="AQ419" s="338"/>
      <c r="AR419" s="45"/>
      <c r="AS419" s="359"/>
      <c r="AT419" s="359"/>
    </row>
    <row r="420" spans="1:46" ht="12">
      <c r="A420" s="359" t="s">
        <v>567</v>
      </c>
      <c r="B420" s="359" t="str">
        <f t="shared" si="67"/>
        <v>Glass</v>
      </c>
      <c r="C420" s="141">
        <f t="shared" si="68"/>
        <v>8.1999999999999993</v>
      </c>
      <c r="D420" s="277">
        <f t="shared" si="69"/>
        <v>393.22965079059298</v>
      </c>
      <c r="E420" s="20">
        <f t="shared" si="70"/>
        <v>0</v>
      </c>
      <c r="F420" s="20">
        <f t="shared" si="71"/>
        <v>0</v>
      </c>
      <c r="G420" s="277">
        <f t="shared" si="72"/>
        <v>322.44831364828622</v>
      </c>
      <c r="H420" s="3">
        <f t="shared" si="77"/>
        <v>0</v>
      </c>
      <c r="I420" s="277">
        <f t="shared" si="73"/>
        <v>0</v>
      </c>
      <c r="J420" s="359"/>
      <c r="K420" s="359" t="s">
        <v>186</v>
      </c>
      <c r="L420" s="359"/>
      <c r="M420" s="338" t="s">
        <v>138</v>
      </c>
      <c r="N420" s="89">
        <v>41120</v>
      </c>
      <c r="O420" s="359">
        <v>155</v>
      </c>
      <c r="P420" s="359" t="s">
        <v>290</v>
      </c>
      <c r="Q420" s="359"/>
      <c r="R420" s="359"/>
      <c r="S420" s="359">
        <v>20</v>
      </c>
      <c r="T420" s="359">
        <v>120</v>
      </c>
      <c r="U420" s="359">
        <v>400</v>
      </c>
      <c r="V420" s="359"/>
      <c r="W420" s="359"/>
      <c r="X420" s="359"/>
      <c r="Y420" s="359">
        <v>47</v>
      </c>
      <c r="Z420" s="359"/>
      <c r="AA420" s="210"/>
      <c r="AB420" s="248">
        <v>0.32940000000000003</v>
      </c>
      <c r="AC420" s="359">
        <v>0.41949999999999998</v>
      </c>
      <c r="AD420" s="359">
        <v>0.25109999999999999</v>
      </c>
      <c r="AE420" s="359"/>
      <c r="AF420" s="359">
        <v>8.1999999999999993</v>
      </c>
      <c r="AG420" s="153"/>
      <c r="AH420" s="346">
        <v>393.22965079059298</v>
      </c>
      <c r="AI420" s="24"/>
      <c r="AJ420" s="24"/>
      <c r="AK420" s="24"/>
      <c r="AL420" s="24"/>
      <c r="AM420" s="359"/>
      <c r="AN420" s="24">
        <f t="shared" si="74"/>
        <v>322.44831364828622</v>
      </c>
      <c r="AO420" s="54">
        <f t="shared" si="75"/>
        <v>0</v>
      </c>
      <c r="AP420" s="261">
        <f t="shared" si="76"/>
        <v>4.0999999999999996</v>
      </c>
      <c r="AQ420" s="338"/>
      <c r="AR420" s="45"/>
      <c r="AS420" s="359"/>
      <c r="AT420" s="359"/>
    </row>
    <row r="421" spans="1:46" ht="12">
      <c r="A421" s="359" t="s">
        <v>568</v>
      </c>
      <c r="B421" s="359" t="str">
        <f t="shared" si="67"/>
        <v>SiNx</v>
      </c>
      <c r="C421" s="141">
        <f t="shared" si="68"/>
        <v>0</v>
      </c>
      <c r="D421" s="277">
        <f t="shared" si="69"/>
        <v>356.11904853812302</v>
      </c>
      <c r="E421" s="20">
        <f t="shared" si="70"/>
        <v>0</v>
      </c>
      <c r="F421" s="20">
        <f t="shared" si="71"/>
        <v>0</v>
      </c>
      <c r="G421" s="277">
        <f t="shared" si="72"/>
        <v>0</v>
      </c>
      <c r="H421" s="3">
        <f t="shared" si="77"/>
        <v>0</v>
      </c>
      <c r="I421" s="277">
        <f t="shared" si="73"/>
        <v>0</v>
      </c>
      <c r="J421" s="359"/>
      <c r="K421" s="359" t="s">
        <v>186</v>
      </c>
      <c r="L421" s="359"/>
      <c r="M421" s="338" t="s">
        <v>138</v>
      </c>
      <c r="N421" s="89">
        <v>41120</v>
      </c>
      <c r="O421" s="359">
        <v>156</v>
      </c>
      <c r="P421" s="359" t="s">
        <v>187</v>
      </c>
      <c r="Q421" s="359"/>
      <c r="R421" s="359"/>
      <c r="S421" s="359">
        <v>20</v>
      </c>
      <c r="T421" s="359">
        <v>124</v>
      </c>
      <c r="U421" s="359">
        <v>400</v>
      </c>
      <c r="V421" s="359"/>
      <c r="W421" s="359"/>
      <c r="X421" s="359"/>
      <c r="Y421" s="359">
        <v>47</v>
      </c>
      <c r="Z421" s="359"/>
      <c r="AA421" s="210"/>
      <c r="AB421" s="248"/>
      <c r="AC421" s="359"/>
      <c r="AD421" s="359"/>
      <c r="AE421" s="359"/>
      <c r="AF421" s="359"/>
      <c r="AG421" s="153"/>
      <c r="AH421" s="346">
        <v>356.11904853812302</v>
      </c>
      <c r="AI421" s="24"/>
      <c r="AJ421" s="24"/>
      <c r="AK421" s="24"/>
      <c r="AL421" s="24"/>
      <c r="AM421" s="359"/>
      <c r="AN421" s="24">
        <f t="shared" si="74"/>
        <v>0</v>
      </c>
      <c r="AO421" s="54">
        <f t="shared" si="75"/>
        <v>0</v>
      </c>
      <c r="AP421" s="261">
        <f t="shared" si="76"/>
        <v>0</v>
      </c>
      <c r="AQ421" s="338"/>
      <c r="AR421" s="45"/>
      <c r="AS421" s="359"/>
      <c r="AT421" s="359"/>
    </row>
    <row r="422" spans="1:46" ht="12">
      <c r="A422" s="359" t="s">
        <v>569</v>
      </c>
      <c r="B422" s="359" t="str">
        <f t="shared" si="67"/>
        <v>SiNx</v>
      </c>
      <c r="C422" s="141">
        <f t="shared" si="68"/>
        <v>0</v>
      </c>
      <c r="D422" s="277">
        <f t="shared" si="69"/>
        <v>354.81066192024701</v>
      </c>
      <c r="E422" s="20">
        <f t="shared" si="70"/>
        <v>0</v>
      </c>
      <c r="F422" s="20">
        <f t="shared" si="71"/>
        <v>0</v>
      </c>
      <c r="G422" s="277">
        <f t="shared" si="72"/>
        <v>0</v>
      </c>
      <c r="H422" s="3">
        <f t="shared" si="77"/>
        <v>0</v>
      </c>
      <c r="I422" s="277">
        <f t="shared" si="73"/>
        <v>0</v>
      </c>
      <c r="J422" s="359"/>
      <c r="K422" s="359" t="s">
        <v>186</v>
      </c>
      <c r="L422" s="359"/>
      <c r="M422" s="338" t="s">
        <v>138</v>
      </c>
      <c r="N422" s="89">
        <v>41120</v>
      </c>
      <c r="O422" s="359">
        <v>156</v>
      </c>
      <c r="P422" s="359" t="s">
        <v>187</v>
      </c>
      <c r="Q422" s="359"/>
      <c r="R422" s="359"/>
      <c r="S422" s="359">
        <v>20</v>
      </c>
      <c r="T422" s="359">
        <v>124</v>
      </c>
      <c r="U422" s="359">
        <v>400</v>
      </c>
      <c r="V422" s="359"/>
      <c r="W422" s="359"/>
      <c r="X422" s="359"/>
      <c r="Y422" s="359">
        <v>47</v>
      </c>
      <c r="Z422" s="359"/>
      <c r="AA422" s="210"/>
      <c r="AB422" s="248"/>
      <c r="AC422" s="359"/>
      <c r="AD422" s="359"/>
      <c r="AE422" s="359"/>
      <c r="AF422" s="359"/>
      <c r="AG422" s="153"/>
      <c r="AH422" s="346">
        <v>354.81066192024701</v>
      </c>
      <c r="AI422" s="24"/>
      <c r="AJ422" s="24"/>
      <c r="AK422" s="24"/>
      <c r="AL422" s="24"/>
      <c r="AM422" s="359"/>
      <c r="AN422" s="24">
        <f t="shared" si="74"/>
        <v>0</v>
      </c>
      <c r="AO422" s="54">
        <f t="shared" si="75"/>
        <v>0</v>
      </c>
      <c r="AP422" s="261">
        <f t="shared" si="76"/>
        <v>0</v>
      </c>
      <c r="AQ422" s="338"/>
      <c r="AR422" s="45"/>
      <c r="AS422" s="359"/>
      <c r="AT422" s="359"/>
    </row>
    <row r="423" spans="1:46" ht="12">
      <c r="A423" s="359" t="s">
        <v>570</v>
      </c>
      <c r="B423" s="359" t="str">
        <f t="shared" si="67"/>
        <v>SiNx</v>
      </c>
      <c r="C423" s="141">
        <f t="shared" si="68"/>
        <v>0</v>
      </c>
      <c r="D423" s="277">
        <f t="shared" si="69"/>
        <v>355.76221582415701</v>
      </c>
      <c r="E423" s="20">
        <f t="shared" si="70"/>
        <v>8.4</v>
      </c>
      <c r="F423" s="20">
        <f t="shared" si="71"/>
        <v>1.060831638</v>
      </c>
      <c r="G423" s="277">
        <f t="shared" si="72"/>
        <v>0</v>
      </c>
      <c r="H423" s="3">
        <f t="shared" si="77"/>
        <v>0.81038512911843286</v>
      </c>
      <c r="I423" s="277">
        <f t="shared" si="73"/>
        <v>0</v>
      </c>
      <c r="J423" s="359"/>
      <c r="K423" s="359" t="s">
        <v>53</v>
      </c>
      <c r="L423" s="359"/>
      <c r="M423" s="338" t="s">
        <v>564</v>
      </c>
      <c r="N423" s="89">
        <v>41120</v>
      </c>
      <c r="O423" s="359">
        <v>156</v>
      </c>
      <c r="P423" s="359" t="s">
        <v>187</v>
      </c>
      <c r="Q423" s="359"/>
      <c r="R423" s="359"/>
      <c r="S423" s="359">
        <v>20</v>
      </c>
      <c r="T423" s="359">
        <v>124</v>
      </c>
      <c r="U423" s="359">
        <v>400</v>
      </c>
      <c r="V423" s="359"/>
      <c r="W423" s="359"/>
      <c r="X423" s="359"/>
      <c r="Y423" s="359">
        <v>47</v>
      </c>
      <c r="Z423" s="359"/>
      <c r="AA423" s="210"/>
      <c r="AB423" s="248"/>
      <c r="AC423" s="359"/>
      <c r="AD423" s="359"/>
      <c r="AE423" s="359"/>
      <c r="AF423" s="359"/>
      <c r="AG423" s="153"/>
      <c r="AH423" s="346">
        <v>355.76221582415701</v>
      </c>
      <c r="AI423" s="24"/>
      <c r="AJ423" s="24">
        <v>8.4</v>
      </c>
      <c r="AK423" s="24">
        <v>1.060831638</v>
      </c>
      <c r="AL423" s="24">
        <f>145.61/179.68</f>
        <v>0.81038512911843286</v>
      </c>
      <c r="AM423" s="359" t="s">
        <v>156</v>
      </c>
      <c r="AN423" s="24">
        <f t="shared" si="74"/>
        <v>0</v>
      </c>
      <c r="AO423" s="54">
        <f t="shared" si="75"/>
        <v>0</v>
      </c>
      <c r="AP423" s="261">
        <f t="shared" si="76"/>
        <v>0</v>
      </c>
      <c r="AQ423" s="338"/>
      <c r="AR423" s="45"/>
      <c r="AS423" s="359"/>
      <c r="AT423" s="359"/>
    </row>
    <row r="424" spans="1:46" ht="12">
      <c r="A424" s="359" t="s">
        <v>571</v>
      </c>
      <c r="B424" s="359" t="str">
        <f t="shared" si="67"/>
        <v>Glass</v>
      </c>
      <c r="C424" s="141">
        <f t="shared" si="68"/>
        <v>8.1</v>
      </c>
      <c r="D424" s="277">
        <f t="shared" si="69"/>
        <v>358.260044821919</v>
      </c>
      <c r="E424" s="20">
        <f t="shared" si="70"/>
        <v>0</v>
      </c>
      <c r="F424" s="20">
        <f t="shared" si="71"/>
        <v>0</v>
      </c>
      <c r="G424" s="277">
        <f t="shared" si="72"/>
        <v>290.19063630575437</v>
      </c>
      <c r="H424" s="3">
        <f t="shared" si="77"/>
        <v>0</v>
      </c>
      <c r="I424" s="277">
        <f t="shared" si="73"/>
        <v>0</v>
      </c>
      <c r="J424" s="359"/>
      <c r="K424" s="359" t="s">
        <v>186</v>
      </c>
      <c r="L424" s="359"/>
      <c r="M424" s="338" t="s">
        <v>138</v>
      </c>
      <c r="N424" s="89">
        <v>41120</v>
      </c>
      <c r="O424" s="359">
        <v>156</v>
      </c>
      <c r="P424" s="359" t="s">
        <v>290</v>
      </c>
      <c r="Q424" s="359"/>
      <c r="R424" s="359"/>
      <c r="S424" s="359">
        <v>20</v>
      </c>
      <c r="T424" s="359">
        <v>124</v>
      </c>
      <c r="U424" s="359">
        <v>400</v>
      </c>
      <c r="V424" s="359"/>
      <c r="W424" s="359"/>
      <c r="X424" s="359"/>
      <c r="Y424" s="359">
        <v>47</v>
      </c>
      <c r="Z424" s="359"/>
      <c r="AA424" s="210"/>
      <c r="AB424" s="248">
        <v>0.1017</v>
      </c>
      <c r="AC424" s="359">
        <v>0.42280000000000001</v>
      </c>
      <c r="AD424" s="359">
        <v>0.47549999999999998</v>
      </c>
      <c r="AE424" s="359"/>
      <c r="AF424" s="359">
        <v>8.1</v>
      </c>
      <c r="AG424" s="153"/>
      <c r="AH424" s="346">
        <v>358.260044821919</v>
      </c>
      <c r="AI424" s="24"/>
      <c r="AJ424" s="24"/>
      <c r="AK424" s="24"/>
      <c r="AL424" s="24"/>
      <c r="AM424" s="359"/>
      <c r="AN424" s="24">
        <f t="shared" si="74"/>
        <v>290.19063630575437</v>
      </c>
      <c r="AO424" s="54">
        <f t="shared" si="75"/>
        <v>0</v>
      </c>
      <c r="AP424" s="261">
        <f t="shared" si="76"/>
        <v>3.9193548387096775</v>
      </c>
      <c r="AQ424" s="338"/>
      <c r="AR424" s="45"/>
      <c r="AS424" s="359"/>
      <c r="AT424" s="359"/>
    </row>
    <row r="425" spans="1:46" ht="24">
      <c r="A425" s="359" t="s">
        <v>572</v>
      </c>
      <c r="B425" s="359" t="str">
        <f t="shared" si="67"/>
        <v>SiNx</v>
      </c>
      <c r="C425" s="141">
        <f t="shared" si="68"/>
        <v>0</v>
      </c>
      <c r="D425" s="277">
        <f t="shared" si="69"/>
        <v>150.58000000000001</v>
      </c>
      <c r="E425" s="20">
        <f t="shared" si="70"/>
        <v>11.06</v>
      </c>
      <c r="F425" s="20">
        <f t="shared" si="71"/>
        <v>0.52535215400000002</v>
      </c>
      <c r="G425" s="277">
        <f t="shared" si="72"/>
        <v>0</v>
      </c>
      <c r="H425" s="3">
        <f t="shared" si="77"/>
        <v>0</v>
      </c>
      <c r="I425" s="277">
        <f t="shared" si="73"/>
        <v>0</v>
      </c>
      <c r="J425" s="359" t="s">
        <v>573</v>
      </c>
      <c r="K425" s="359" t="s">
        <v>574</v>
      </c>
      <c r="L425" s="359"/>
      <c r="M425" s="338" t="s">
        <v>575</v>
      </c>
      <c r="N425" s="89">
        <v>41123</v>
      </c>
      <c r="O425" s="359">
        <v>157</v>
      </c>
      <c r="P425" s="359" t="s">
        <v>187</v>
      </c>
      <c r="Q425" s="359"/>
      <c r="R425" s="359"/>
      <c r="S425" s="359">
        <v>20</v>
      </c>
      <c r="T425" s="359">
        <v>600</v>
      </c>
      <c r="U425" s="359">
        <v>400</v>
      </c>
      <c r="V425" s="359"/>
      <c r="W425" s="359"/>
      <c r="X425" s="359"/>
      <c r="Y425" s="359">
        <v>47</v>
      </c>
      <c r="Z425" s="359"/>
      <c r="AA425" s="210"/>
      <c r="AB425" s="248"/>
      <c r="AC425" s="359"/>
      <c r="AD425" s="359"/>
      <c r="AE425" s="359"/>
      <c r="AF425" s="359"/>
      <c r="AG425" s="153"/>
      <c r="AH425" s="346">
        <v>150.58000000000001</v>
      </c>
      <c r="AI425" s="24"/>
      <c r="AJ425" s="24">
        <v>11.06</v>
      </c>
      <c r="AK425" s="24">
        <v>0.52535215400000002</v>
      </c>
      <c r="AL425" s="24"/>
      <c r="AM425" s="359" t="s">
        <v>156</v>
      </c>
      <c r="AN425" s="24">
        <f t="shared" si="74"/>
        <v>0</v>
      </c>
      <c r="AO425" s="54">
        <f t="shared" si="75"/>
        <v>0</v>
      </c>
      <c r="AP425" s="261">
        <f t="shared" si="76"/>
        <v>0</v>
      </c>
      <c r="AQ425" s="338"/>
      <c r="AR425" s="45"/>
      <c r="AS425" s="359"/>
      <c r="AT425" s="359"/>
    </row>
    <row r="426" spans="1:46" ht="24">
      <c r="A426" s="359" t="s">
        <v>576</v>
      </c>
      <c r="B426" s="359" t="str">
        <f t="shared" si="67"/>
        <v>SiNx</v>
      </c>
      <c r="C426" s="141">
        <f t="shared" si="68"/>
        <v>0</v>
      </c>
      <c r="D426" s="277">
        <f t="shared" si="69"/>
        <v>155.22</v>
      </c>
      <c r="E426" s="20">
        <f t="shared" si="70"/>
        <v>11.11</v>
      </c>
      <c r="F426" s="20">
        <f t="shared" si="71"/>
        <v>0.52348747900000003</v>
      </c>
      <c r="G426" s="277">
        <f t="shared" si="72"/>
        <v>0</v>
      </c>
      <c r="H426" s="3">
        <f t="shared" si="77"/>
        <v>0</v>
      </c>
      <c r="I426" s="277">
        <f t="shared" si="73"/>
        <v>0</v>
      </c>
      <c r="J426" s="359"/>
      <c r="K426" s="359" t="s">
        <v>574</v>
      </c>
      <c r="L426" s="359"/>
      <c r="M426" s="338" t="s">
        <v>575</v>
      </c>
      <c r="N426" s="89">
        <v>41123</v>
      </c>
      <c r="O426" s="359">
        <v>157</v>
      </c>
      <c r="P426" s="359" t="s">
        <v>187</v>
      </c>
      <c r="Q426" s="359"/>
      <c r="R426" s="359"/>
      <c r="S426" s="359">
        <v>20</v>
      </c>
      <c r="T426" s="359">
        <v>600</v>
      </c>
      <c r="U426" s="359">
        <v>400</v>
      </c>
      <c r="V426" s="359"/>
      <c r="W426" s="359"/>
      <c r="X426" s="359"/>
      <c r="Y426" s="359">
        <v>47</v>
      </c>
      <c r="Z426" s="359"/>
      <c r="AA426" s="210"/>
      <c r="AB426" s="248"/>
      <c r="AC426" s="359"/>
      <c r="AD426" s="359"/>
      <c r="AE426" s="359"/>
      <c r="AF426" s="359"/>
      <c r="AG426" s="153"/>
      <c r="AH426" s="346">
        <v>155.22</v>
      </c>
      <c r="AI426" s="24"/>
      <c r="AJ426" s="24">
        <v>11.11</v>
      </c>
      <c r="AK426" s="24">
        <v>0.52348747900000003</v>
      </c>
      <c r="AL426" s="24"/>
      <c r="AM426" s="359" t="s">
        <v>156</v>
      </c>
      <c r="AN426" s="24">
        <f t="shared" si="74"/>
        <v>0</v>
      </c>
      <c r="AO426" s="54">
        <f t="shared" si="75"/>
        <v>0</v>
      </c>
      <c r="AP426" s="261">
        <f t="shared" si="76"/>
        <v>0</v>
      </c>
      <c r="AQ426" s="338"/>
      <c r="AR426" s="45"/>
      <c r="AS426" s="359"/>
      <c r="AT426" s="359"/>
    </row>
    <row r="427" spans="1:46" ht="24">
      <c r="A427" s="359" t="s">
        <v>577</v>
      </c>
      <c r="B427" s="359" t="str">
        <f t="shared" si="67"/>
        <v>SiNx</v>
      </c>
      <c r="C427" s="141">
        <f t="shared" si="68"/>
        <v>0</v>
      </c>
      <c r="D427" s="277">
        <f t="shared" si="69"/>
        <v>157</v>
      </c>
      <c r="E427" s="20">
        <f t="shared" si="70"/>
        <v>11.07</v>
      </c>
      <c r="F427" s="20">
        <f t="shared" si="71"/>
        <v>0.52570376699999999</v>
      </c>
      <c r="G427" s="277">
        <f t="shared" si="72"/>
        <v>0</v>
      </c>
      <c r="H427" s="3">
        <f t="shared" si="77"/>
        <v>0</v>
      </c>
      <c r="I427" s="277">
        <f t="shared" si="73"/>
        <v>0</v>
      </c>
      <c r="J427" s="359"/>
      <c r="K427" s="359" t="s">
        <v>574</v>
      </c>
      <c r="L427" s="359"/>
      <c r="M427" s="338" t="s">
        <v>575</v>
      </c>
      <c r="N427" s="89">
        <v>41123</v>
      </c>
      <c r="O427" s="359">
        <v>157</v>
      </c>
      <c r="P427" s="359" t="s">
        <v>187</v>
      </c>
      <c r="Q427" s="359"/>
      <c r="R427" s="359"/>
      <c r="S427" s="359">
        <v>20</v>
      </c>
      <c r="T427" s="359">
        <v>600</v>
      </c>
      <c r="U427" s="359">
        <v>400</v>
      </c>
      <c r="V427" s="359"/>
      <c r="W427" s="359"/>
      <c r="X427" s="359"/>
      <c r="Y427" s="359">
        <v>47</v>
      </c>
      <c r="Z427" s="359"/>
      <c r="AA427" s="210"/>
      <c r="AB427" s="248"/>
      <c r="AC427" s="359"/>
      <c r="AD427" s="359"/>
      <c r="AE427" s="359"/>
      <c r="AF427" s="359"/>
      <c r="AG427" s="153"/>
      <c r="AH427" s="346">
        <v>157</v>
      </c>
      <c r="AI427" s="24"/>
      <c r="AJ427" s="24">
        <v>11.07</v>
      </c>
      <c r="AK427" s="24">
        <v>0.52570376699999999</v>
      </c>
      <c r="AL427" s="24"/>
      <c r="AM427" s="359" t="s">
        <v>156</v>
      </c>
      <c r="AN427" s="24">
        <f t="shared" si="74"/>
        <v>0</v>
      </c>
      <c r="AO427" s="54">
        <f t="shared" si="75"/>
        <v>0</v>
      </c>
      <c r="AP427" s="261">
        <f t="shared" si="76"/>
        <v>0</v>
      </c>
      <c r="AQ427" s="338"/>
      <c r="AR427" s="45"/>
      <c r="AS427" s="359"/>
      <c r="AT427" s="359"/>
    </row>
    <row r="428" spans="1:46" ht="48">
      <c r="A428" s="359" t="s">
        <v>578</v>
      </c>
      <c r="B428" s="359" t="str">
        <f t="shared" si="67"/>
        <v>Glass</v>
      </c>
      <c r="C428" s="141">
        <f t="shared" si="68"/>
        <v>0</v>
      </c>
      <c r="D428" s="277">
        <f t="shared" si="69"/>
        <v>157.72</v>
      </c>
      <c r="E428" s="20">
        <f t="shared" si="70"/>
        <v>11.14</v>
      </c>
      <c r="F428" s="20">
        <f t="shared" si="71"/>
        <v>0.51059936100000003</v>
      </c>
      <c r="G428" s="277">
        <f t="shared" si="72"/>
        <v>0</v>
      </c>
      <c r="H428" s="3">
        <f t="shared" si="77"/>
        <v>0</v>
      </c>
      <c r="I428" s="277">
        <f t="shared" si="73"/>
        <v>0</v>
      </c>
      <c r="J428" s="359"/>
      <c r="K428" s="359" t="s">
        <v>574</v>
      </c>
      <c r="L428" s="359"/>
      <c r="M428" s="338" t="s">
        <v>575</v>
      </c>
      <c r="N428" s="89">
        <v>41123</v>
      </c>
      <c r="O428" s="359">
        <v>157</v>
      </c>
      <c r="P428" s="359" t="s">
        <v>290</v>
      </c>
      <c r="Q428" s="359"/>
      <c r="R428" s="359"/>
      <c r="S428" s="359">
        <v>20</v>
      </c>
      <c r="T428" s="359">
        <v>600</v>
      </c>
      <c r="U428" s="359">
        <v>400</v>
      </c>
      <c r="V428" s="359"/>
      <c r="W428" s="359"/>
      <c r="X428" s="359"/>
      <c r="Y428" s="359">
        <v>47</v>
      </c>
      <c r="Z428" s="359"/>
      <c r="AA428" s="210"/>
      <c r="AB428" s="248">
        <v>0.53259999999999996</v>
      </c>
      <c r="AC428" s="359">
        <v>9.5799999999999996E-2</v>
      </c>
      <c r="AD428" s="359">
        <v>0.37159999999999999</v>
      </c>
      <c r="AE428" s="359" t="s">
        <v>579</v>
      </c>
      <c r="AF428" s="359"/>
      <c r="AG428" s="153"/>
      <c r="AH428" s="346">
        <v>157.72</v>
      </c>
      <c r="AI428" s="24"/>
      <c r="AJ428" s="24">
        <v>11.14</v>
      </c>
      <c r="AK428" s="24">
        <v>0.51059936100000003</v>
      </c>
      <c r="AL428" s="24"/>
      <c r="AM428" s="359" t="s">
        <v>156</v>
      </c>
      <c r="AN428" s="24">
        <f t="shared" si="74"/>
        <v>0</v>
      </c>
      <c r="AO428" s="54">
        <f t="shared" si="75"/>
        <v>0</v>
      </c>
      <c r="AP428" s="261">
        <f t="shared" si="76"/>
        <v>0</v>
      </c>
      <c r="AQ428" s="338"/>
      <c r="AR428" s="45"/>
      <c r="AS428" s="359"/>
      <c r="AT428" s="359"/>
    </row>
    <row r="429" spans="1:46" ht="12">
      <c r="A429" s="359" t="s">
        <v>580</v>
      </c>
      <c r="B429" s="359" t="str">
        <f t="shared" si="67"/>
        <v>SiNx</v>
      </c>
      <c r="C429" s="141">
        <f t="shared" si="68"/>
        <v>0</v>
      </c>
      <c r="D429" s="277">
        <f t="shared" si="69"/>
        <v>43.53</v>
      </c>
      <c r="E429" s="20">
        <f t="shared" si="70"/>
        <v>11.1</v>
      </c>
      <c r="F429" s="20">
        <f t="shared" si="71"/>
        <v>0.18777673</v>
      </c>
      <c r="G429" s="277">
        <f t="shared" si="72"/>
        <v>0</v>
      </c>
      <c r="H429" s="3">
        <f t="shared" si="77"/>
        <v>0.898507462686567</v>
      </c>
      <c r="I429" s="277">
        <f t="shared" si="73"/>
        <v>0</v>
      </c>
      <c r="J429" s="359"/>
      <c r="K429" s="359" t="s">
        <v>581</v>
      </c>
      <c r="L429" s="359"/>
      <c r="M429" s="338" t="s">
        <v>582</v>
      </c>
      <c r="N429" s="89">
        <v>41127</v>
      </c>
      <c r="O429" s="359">
        <v>165</v>
      </c>
      <c r="P429" s="359" t="s">
        <v>187</v>
      </c>
      <c r="Q429" s="359"/>
      <c r="R429" s="359"/>
      <c r="S429" s="359">
        <v>20</v>
      </c>
      <c r="T429" s="359">
        <v>700</v>
      </c>
      <c r="U429" s="359">
        <v>400</v>
      </c>
      <c r="V429" s="359"/>
      <c r="W429" s="359"/>
      <c r="X429" s="359"/>
      <c r="Y429" s="359">
        <v>47</v>
      </c>
      <c r="Z429" s="359"/>
      <c r="AA429" s="210"/>
      <c r="AB429" s="248"/>
      <c r="AC429" s="359"/>
      <c r="AD429" s="359"/>
      <c r="AE429" s="359"/>
      <c r="AF429" s="359"/>
      <c r="AG429" s="153"/>
      <c r="AH429" s="346">
        <v>43.53</v>
      </c>
      <c r="AI429" s="24"/>
      <c r="AJ429" s="24">
        <v>11.1</v>
      </c>
      <c r="AK429" s="24">
        <v>0.18777673</v>
      </c>
      <c r="AL429" s="24">
        <f>18.06/20.1</f>
        <v>0.898507462686567</v>
      </c>
      <c r="AM429" s="359" t="s">
        <v>156</v>
      </c>
      <c r="AN429" s="24">
        <f t="shared" si="74"/>
        <v>0</v>
      </c>
      <c r="AO429" s="54">
        <f t="shared" si="75"/>
        <v>0</v>
      </c>
      <c r="AP429" s="261">
        <f t="shared" si="76"/>
        <v>0</v>
      </c>
      <c r="AQ429" s="338"/>
      <c r="AR429" s="45"/>
      <c r="AS429" s="359"/>
      <c r="AT429" s="359"/>
    </row>
    <row r="430" spans="1:46" ht="12">
      <c r="A430" s="359" t="s">
        <v>583</v>
      </c>
      <c r="B430" s="359" t="str">
        <f t="shared" si="67"/>
        <v>SiNx</v>
      </c>
      <c r="C430" s="141">
        <f t="shared" si="68"/>
        <v>0</v>
      </c>
      <c r="D430" s="277">
        <f t="shared" si="69"/>
        <v>44.6</v>
      </c>
      <c r="E430" s="20">
        <f t="shared" si="70"/>
        <v>0</v>
      </c>
      <c r="F430" s="20">
        <f t="shared" si="71"/>
        <v>0</v>
      </c>
      <c r="G430" s="277">
        <f t="shared" si="72"/>
        <v>0</v>
      </c>
      <c r="H430" s="3">
        <f t="shared" si="77"/>
        <v>0</v>
      </c>
      <c r="I430" s="277">
        <f t="shared" si="73"/>
        <v>0</v>
      </c>
      <c r="J430" s="359"/>
      <c r="K430" s="359" t="s">
        <v>581</v>
      </c>
      <c r="L430" s="359"/>
      <c r="M430" s="338" t="s">
        <v>582</v>
      </c>
      <c r="N430" s="89">
        <v>41127</v>
      </c>
      <c r="O430" s="359">
        <v>165</v>
      </c>
      <c r="P430" s="359" t="s">
        <v>187</v>
      </c>
      <c r="Q430" s="359"/>
      <c r="R430" s="359"/>
      <c r="S430" s="359">
        <v>20</v>
      </c>
      <c r="T430" s="359">
        <v>700</v>
      </c>
      <c r="U430" s="359">
        <v>400</v>
      </c>
      <c r="V430" s="359"/>
      <c r="W430" s="359"/>
      <c r="X430" s="359"/>
      <c r="Y430" s="359">
        <v>47</v>
      </c>
      <c r="Z430" s="359"/>
      <c r="AA430" s="210"/>
      <c r="AB430" s="248"/>
      <c r="AC430" s="359"/>
      <c r="AD430" s="359"/>
      <c r="AE430" s="359"/>
      <c r="AF430" s="359"/>
      <c r="AG430" s="153"/>
      <c r="AH430" s="346">
        <v>44.6</v>
      </c>
      <c r="AI430" s="24"/>
      <c r="AJ430" s="24"/>
      <c r="AK430" s="24"/>
      <c r="AL430" s="24"/>
      <c r="AM430" s="359"/>
      <c r="AN430" s="24">
        <f t="shared" si="74"/>
        <v>0</v>
      </c>
      <c r="AO430" s="54">
        <f t="shared" si="75"/>
        <v>0</v>
      </c>
      <c r="AP430" s="261">
        <f t="shared" si="76"/>
        <v>0</v>
      </c>
      <c r="AQ430" s="338"/>
      <c r="AR430" s="45"/>
      <c r="AS430" s="359"/>
      <c r="AT430" s="359"/>
    </row>
    <row r="431" spans="1:46" ht="12">
      <c r="A431" s="359" t="s">
        <v>584</v>
      </c>
      <c r="B431" s="359" t="str">
        <f t="shared" si="67"/>
        <v>SiNx</v>
      </c>
      <c r="C431" s="141">
        <f t="shared" si="68"/>
        <v>0</v>
      </c>
      <c r="D431" s="277">
        <f t="shared" si="69"/>
        <v>43.89</v>
      </c>
      <c r="E431" s="20">
        <f t="shared" si="70"/>
        <v>0</v>
      </c>
      <c r="F431" s="20">
        <f t="shared" si="71"/>
        <v>0</v>
      </c>
      <c r="G431" s="277">
        <f t="shared" si="72"/>
        <v>0</v>
      </c>
      <c r="H431" s="3">
        <f t="shared" si="77"/>
        <v>0</v>
      </c>
      <c r="I431" s="277">
        <f t="shared" si="73"/>
        <v>0</v>
      </c>
      <c r="J431" s="359"/>
      <c r="K431" s="359" t="s">
        <v>581</v>
      </c>
      <c r="L431" s="359"/>
      <c r="M431" s="338" t="s">
        <v>582</v>
      </c>
      <c r="N431" s="89">
        <v>41127</v>
      </c>
      <c r="O431" s="359">
        <v>165</v>
      </c>
      <c r="P431" s="359" t="s">
        <v>187</v>
      </c>
      <c r="Q431" s="359"/>
      <c r="R431" s="359"/>
      <c r="S431" s="359">
        <v>20</v>
      </c>
      <c r="T431" s="359">
        <v>700</v>
      </c>
      <c r="U431" s="359">
        <v>400</v>
      </c>
      <c r="V431" s="359"/>
      <c r="W431" s="359"/>
      <c r="X431" s="359"/>
      <c r="Y431" s="359">
        <v>47</v>
      </c>
      <c r="Z431" s="359"/>
      <c r="AA431" s="210"/>
      <c r="AB431" s="248"/>
      <c r="AC431" s="359"/>
      <c r="AD431" s="359"/>
      <c r="AE431" s="359"/>
      <c r="AF431" s="359"/>
      <c r="AG431" s="153"/>
      <c r="AH431" s="346">
        <v>43.89</v>
      </c>
      <c r="AI431" s="24"/>
      <c r="AJ431" s="24"/>
      <c r="AK431" s="24"/>
      <c r="AL431" s="24"/>
      <c r="AM431" s="359"/>
      <c r="AN431" s="24">
        <f t="shared" si="74"/>
        <v>0</v>
      </c>
      <c r="AO431" s="54">
        <f t="shared" si="75"/>
        <v>0</v>
      </c>
      <c r="AP431" s="261">
        <f t="shared" si="76"/>
        <v>0</v>
      </c>
      <c r="AQ431" s="338"/>
      <c r="AR431" s="45"/>
      <c r="AS431" s="359"/>
      <c r="AT431" s="359"/>
    </row>
    <row r="432" spans="1:46" ht="12">
      <c r="A432" s="359" t="s">
        <v>585</v>
      </c>
      <c r="B432" s="359" t="str">
        <f t="shared" si="67"/>
        <v>Glass</v>
      </c>
      <c r="C432" s="141">
        <f t="shared" si="68"/>
        <v>0</v>
      </c>
      <c r="D432" s="277">
        <f t="shared" si="69"/>
        <v>43.53</v>
      </c>
      <c r="E432" s="20">
        <f t="shared" si="70"/>
        <v>0</v>
      </c>
      <c r="F432" s="20">
        <f t="shared" si="71"/>
        <v>0</v>
      </c>
      <c r="G432" s="277">
        <f t="shared" si="72"/>
        <v>0</v>
      </c>
      <c r="H432" s="3">
        <f t="shared" si="77"/>
        <v>0</v>
      </c>
      <c r="I432" s="277">
        <f t="shared" si="73"/>
        <v>0</v>
      </c>
      <c r="J432" s="359"/>
      <c r="K432" s="359" t="s">
        <v>581</v>
      </c>
      <c r="L432" s="359"/>
      <c r="M432" s="338" t="s">
        <v>582</v>
      </c>
      <c r="N432" s="89">
        <v>41127</v>
      </c>
      <c r="O432" s="359">
        <v>165</v>
      </c>
      <c r="P432" s="359" t="s">
        <v>290</v>
      </c>
      <c r="Q432" s="359"/>
      <c r="R432" s="359"/>
      <c r="S432" s="359">
        <v>20</v>
      </c>
      <c r="T432" s="359">
        <v>700</v>
      </c>
      <c r="U432" s="359">
        <v>400</v>
      </c>
      <c r="V432" s="359"/>
      <c r="W432" s="359"/>
      <c r="X432" s="359"/>
      <c r="Y432" s="359">
        <v>47</v>
      </c>
      <c r="Z432" s="359"/>
      <c r="AA432" s="210"/>
      <c r="AB432" s="248"/>
      <c r="AC432" s="359"/>
      <c r="AD432" s="359"/>
      <c r="AE432" s="359"/>
      <c r="AF432" s="359"/>
      <c r="AG432" s="153"/>
      <c r="AH432" s="346">
        <v>43.53</v>
      </c>
      <c r="AI432" s="24"/>
      <c r="AJ432" s="24"/>
      <c r="AK432" s="24"/>
      <c r="AL432" s="24"/>
      <c r="AM432" s="359"/>
      <c r="AN432" s="24">
        <f t="shared" si="74"/>
        <v>0</v>
      </c>
      <c r="AO432" s="54">
        <f t="shared" si="75"/>
        <v>0</v>
      </c>
      <c r="AP432" s="261">
        <f t="shared" si="76"/>
        <v>0</v>
      </c>
      <c r="AQ432" s="338"/>
      <c r="AR432" s="45"/>
      <c r="AS432" s="359"/>
      <c r="AT432" s="359"/>
    </row>
    <row r="433" spans="1:46" ht="12">
      <c r="A433" s="359" t="s">
        <v>586</v>
      </c>
      <c r="B433" s="359" t="str">
        <f t="shared" si="67"/>
        <v>SiNx</v>
      </c>
      <c r="C433" s="141">
        <f t="shared" si="68"/>
        <v>0</v>
      </c>
      <c r="D433" s="277">
        <f t="shared" si="69"/>
        <v>29.26</v>
      </c>
      <c r="E433" s="20">
        <f t="shared" si="70"/>
        <v>11.9</v>
      </c>
      <c r="F433" s="20">
        <f t="shared" si="71"/>
        <v>0.206955637</v>
      </c>
      <c r="G433" s="277">
        <f t="shared" si="72"/>
        <v>0</v>
      </c>
      <c r="H433" s="3">
        <f t="shared" si="77"/>
        <v>0.91863303498779492</v>
      </c>
      <c r="I433" s="277">
        <f t="shared" si="73"/>
        <v>0</v>
      </c>
      <c r="J433" s="359"/>
      <c r="K433" s="359" t="s">
        <v>574</v>
      </c>
      <c r="L433" s="359"/>
      <c r="M433" s="338" t="s">
        <v>582</v>
      </c>
      <c r="N433" s="89">
        <v>41127</v>
      </c>
      <c r="O433" s="359">
        <v>166</v>
      </c>
      <c r="P433" s="359" t="s">
        <v>187</v>
      </c>
      <c r="Q433" s="359"/>
      <c r="R433" s="359"/>
      <c r="S433" s="359">
        <v>20</v>
      </c>
      <c r="T433" s="359">
        <v>500</v>
      </c>
      <c r="U433" s="359"/>
      <c r="V433" s="359"/>
      <c r="W433" s="359"/>
      <c r="X433" s="359"/>
      <c r="Y433" s="359">
        <v>47</v>
      </c>
      <c r="Z433" s="359"/>
      <c r="AA433" s="210"/>
      <c r="AB433" s="248"/>
      <c r="AC433" s="359"/>
      <c r="AD433" s="359"/>
      <c r="AE433" s="359"/>
      <c r="AF433" s="359"/>
      <c r="AG433" s="153"/>
      <c r="AH433" s="346">
        <v>29.26</v>
      </c>
      <c r="AI433" s="24"/>
      <c r="AJ433" s="24">
        <v>11.9</v>
      </c>
      <c r="AK433" s="24">
        <v>0.206955637</v>
      </c>
      <c r="AL433" s="24">
        <f>11.29/12.29</f>
        <v>0.91863303498779492</v>
      </c>
      <c r="AM433" s="359" t="s">
        <v>156</v>
      </c>
      <c r="AN433" s="24">
        <f t="shared" si="74"/>
        <v>0</v>
      </c>
      <c r="AO433" s="54">
        <f t="shared" si="75"/>
        <v>0</v>
      </c>
      <c r="AP433" s="261">
        <f t="shared" si="76"/>
        <v>0</v>
      </c>
      <c r="AQ433" s="338"/>
      <c r="AR433" s="45"/>
      <c r="AS433" s="359"/>
      <c r="AT433" s="359"/>
    </row>
    <row r="434" spans="1:46" ht="12">
      <c r="A434" s="359" t="s">
        <v>587</v>
      </c>
      <c r="B434" s="359" t="str">
        <f t="shared" si="67"/>
        <v>SiNx</v>
      </c>
      <c r="C434" s="141">
        <f t="shared" si="68"/>
        <v>0</v>
      </c>
      <c r="D434" s="277">
        <f t="shared" si="69"/>
        <v>29.26</v>
      </c>
      <c r="E434" s="20">
        <f t="shared" si="70"/>
        <v>0</v>
      </c>
      <c r="F434" s="20">
        <f t="shared" si="71"/>
        <v>0</v>
      </c>
      <c r="G434" s="277">
        <f t="shared" si="72"/>
        <v>0</v>
      </c>
      <c r="H434" s="3">
        <f t="shared" si="77"/>
        <v>0</v>
      </c>
      <c r="I434" s="277">
        <f t="shared" si="73"/>
        <v>0</v>
      </c>
      <c r="J434" s="359"/>
      <c r="K434" s="359" t="s">
        <v>574</v>
      </c>
      <c r="L434" s="359"/>
      <c r="M434" s="338" t="s">
        <v>582</v>
      </c>
      <c r="N434" s="89">
        <v>41127</v>
      </c>
      <c r="O434" s="359">
        <v>166</v>
      </c>
      <c r="P434" s="359" t="s">
        <v>187</v>
      </c>
      <c r="Q434" s="359"/>
      <c r="R434" s="359"/>
      <c r="S434" s="359">
        <v>20</v>
      </c>
      <c r="T434" s="359">
        <v>500</v>
      </c>
      <c r="U434" s="359"/>
      <c r="V434" s="359"/>
      <c r="W434" s="359"/>
      <c r="X434" s="359"/>
      <c r="Y434" s="359">
        <v>47</v>
      </c>
      <c r="Z434" s="359"/>
      <c r="AA434" s="210"/>
      <c r="AB434" s="248"/>
      <c r="AC434" s="359"/>
      <c r="AD434" s="359"/>
      <c r="AE434" s="359"/>
      <c r="AF434" s="359"/>
      <c r="AG434" s="153"/>
      <c r="AH434" s="346">
        <v>29.26</v>
      </c>
      <c r="AI434" s="24"/>
      <c r="AJ434" s="24"/>
      <c r="AK434" s="24"/>
      <c r="AL434" s="24"/>
      <c r="AM434" s="359"/>
      <c r="AN434" s="24">
        <f t="shared" si="74"/>
        <v>0</v>
      </c>
      <c r="AO434" s="54">
        <f t="shared" si="75"/>
        <v>0</v>
      </c>
      <c r="AP434" s="261">
        <f t="shared" si="76"/>
        <v>0</v>
      </c>
      <c r="AQ434" s="338"/>
      <c r="AR434" s="45"/>
      <c r="AS434" s="359"/>
      <c r="AT434" s="359"/>
    </row>
    <row r="435" spans="1:46" ht="12">
      <c r="A435" s="359" t="s">
        <v>588</v>
      </c>
      <c r="B435" s="359" t="str">
        <f t="shared" si="67"/>
        <v>SiNx</v>
      </c>
      <c r="C435" s="141">
        <f t="shared" si="68"/>
        <v>0</v>
      </c>
      <c r="D435" s="277">
        <f t="shared" si="69"/>
        <v>29.26</v>
      </c>
      <c r="E435" s="20">
        <f t="shared" si="70"/>
        <v>0</v>
      </c>
      <c r="F435" s="20">
        <f t="shared" si="71"/>
        <v>0</v>
      </c>
      <c r="G435" s="277">
        <f t="shared" si="72"/>
        <v>0</v>
      </c>
      <c r="H435" s="3">
        <f t="shared" si="77"/>
        <v>0</v>
      </c>
      <c r="I435" s="277">
        <f t="shared" si="73"/>
        <v>0</v>
      </c>
      <c r="J435" s="359"/>
      <c r="K435" s="359" t="s">
        <v>574</v>
      </c>
      <c r="L435" s="359"/>
      <c r="M435" s="338" t="s">
        <v>582</v>
      </c>
      <c r="N435" s="89">
        <v>41127</v>
      </c>
      <c r="O435" s="359">
        <v>166</v>
      </c>
      <c r="P435" s="359" t="s">
        <v>187</v>
      </c>
      <c r="Q435" s="359"/>
      <c r="R435" s="359"/>
      <c r="S435" s="359">
        <v>20</v>
      </c>
      <c r="T435" s="359">
        <v>500</v>
      </c>
      <c r="U435" s="359"/>
      <c r="V435" s="359"/>
      <c r="W435" s="359"/>
      <c r="X435" s="359"/>
      <c r="Y435" s="359">
        <v>47</v>
      </c>
      <c r="Z435" s="359"/>
      <c r="AA435" s="210"/>
      <c r="AB435" s="248"/>
      <c r="AC435" s="359"/>
      <c r="AD435" s="359"/>
      <c r="AE435" s="359"/>
      <c r="AF435" s="359"/>
      <c r="AG435" s="153"/>
      <c r="AH435" s="346">
        <v>29.26</v>
      </c>
      <c r="AI435" s="24"/>
      <c r="AJ435" s="24"/>
      <c r="AK435" s="24"/>
      <c r="AL435" s="24"/>
      <c r="AM435" s="359"/>
      <c r="AN435" s="24">
        <f t="shared" si="74"/>
        <v>0</v>
      </c>
      <c r="AO435" s="54">
        <f t="shared" si="75"/>
        <v>0</v>
      </c>
      <c r="AP435" s="261">
        <f t="shared" si="76"/>
        <v>0</v>
      </c>
      <c r="AQ435" s="338"/>
      <c r="AR435" s="45"/>
      <c r="AS435" s="359"/>
      <c r="AT435" s="359"/>
    </row>
    <row r="436" spans="1:46" ht="12">
      <c r="A436" s="359" t="s">
        <v>589</v>
      </c>
      <c r="B436" s="359" t="str">
        <f t="shared" si="67"/>
        <v>Glass</v>
      </c>
      <c r="C436" s="141">
        <f t="shared" si="68"/>
        <v>0</v>
      </c>
      <c r="D436" s="277">
        <f t="shared" si="69"/>
        <v>29.26</v>
      </c>
      <c r="E436" s="20">
        <f t="shared" si="70"/>
        <v>0</v>
      </c>
      <c r="F436" s="20">
        <f t="shared" si="71"/>
        <v>0</v>
      </c>
      <c r="G436" s="277">
        <f t="shared" si="72"/>
        <v>0</v>
      </c>
      <c r="H436" s="3">
        <f t="shared" si="77"/>
        <v>0</v>
      </c>
      <c r="I436" s="277">
        <f t="shared" si="73"/>
        <v>0</v>
      </c>
      <c r="J436" s="359"/>
      <c r="K436" s="359" t="s">
        <v>574</v>
      </c>
      <c r="L436" s="359"/>
      <c r="M436" s="338" t="s">
        <v>582</v>
      </c>
      <c r="N436" s="89">
        <v>41127</v>
      </c>
      <c r="O436" s="359">
        <v>166</v>
      </c>
      <c r="P436" s="359" t="s">
        <v>290</v>
      </c>
      <c r="Q436" s="359"/>
      <c r="R436" s="359"/>
      <c r="S436" s="359">
        <v>20</v>
      </c>
      <c r="T436" s="359">
        <v>500</v>
      </c>
      <c r="U436" s="359"/>
      <c r="V436" s="359"/>
      <c r="W436" s="359"/>
      <c r="X436" s="359"/>
      <c r="Y436" s="359">
        <v>47</v>
      </c>
      <c r="Z436" s="359"/>
      <c r="AA436" s="210"/>
      <c r="AB436" s="248"/>
      <c r="AC436" s="359"/>
      <c r="AD436" s="359"/>
      <c r="AE436" s="359"/>
      <c r="AF436" s="359"/>
      <c r="AG436" s="153"/>
      <c r="AH436" s="346">
        <v>29.26</v>
      </c>
      <c r="AI436" s="24"/>
      <c r="AJ436" s="24"/>
      <c r="AK436" s="24"/>
      <c r="AL436" s="24"/>
      <c r="AM436" s="359"/>
      <c r="AN436" s="24">
        <f t="shared" si="74"/>
        <v>0</v>
      </c>
      <c r="AO436" s="54">
        <f t="shared" si="75"/>
        <v>0</v>
      </c>
      <c r="AP436" s="261">
        <f t="shared" si="76"/>
        <v>0</v>
      </c>
      <c r="AQ436" s="338"/>
      <c r="AR436" s="45"/>
      <c r="AS436" s="359"/>
      <c r="AT436" s="359"/>
    </row>
    <row r="437" spans="1:46" ht="12">
      <c r="A437" s="359" t="s">
        <v>590</v>
      </c>
      <c r="B437" s="359" t="str">
        <f t="shared" si="67"/>
        <v>Sinx</v>
      </c>
      <c r="C437" s="141">
        <f t="shared" si="68"/>
        <v>0</v>
      </c>
      <c r="D437" s="277">
        <f t="shared" si="69"/>
        <v>417.49</v>
      </c>
      <c r="E437" s="20">
        <f t="shared" si="70"/>
        <v>0</v>
      </c>
      <c r="F437" s="20">
        <f t="shared" si="71"/>
        <v>0</v>
      </c>
      <c r="G437" s="277">
        <f t="shared" si="72"/>
        <v>0</v>
      </c>
      <c r="H437" s="3">
        <f t="shared" si="77"/>
        <v>0</v>
      </c>
      <c r="I437" s="277">
        <f t="shared" si="73"/>
        <v>0</v>
      </c>
      <c r="J437" s="359"/>
      <c r="K437" s="359" t="s">
        <v>574</v>
      </c>
      <c r="L437" s="359"/>
      <c r="M437" s="338" t="s">
        <v>582</v>
      </c>
      <c r="N437" s="89">
        <v>41129</v>
      </c>
      <c r="O437" s="359">
        <v>167</v>
      </c>
      <c r="P437" s="359" t="s">
        <v>591</v>
      </c>
      <c r="Q437" s="359"/>
      <c r="R437" s="359"/>
      <c r="S437" s="359">
        <v>20</v>
      </c>
      <c r="T437" s="359">
        <v>124</v>
      </c>
      <c r="U437" s="359"/>
      <c r="V437" s="359"/>
      <c r="W437" s="359"/>
      <c r="X437" s="359"/>
      <c r="Y437" s="359">
        <v>47</v>
      </c>
      <c r="Z437" s="359"/>
      <c r="AA437" s="210"/>
      <c r="AB437" s="248"/>
      <c r="AC437" s="359"/>
      <c r="AD437" s="359"/>
      <c r="AE437" s="359"/>
      <c r="AF437" s="359"/>
      <c r="AG437" s="153"/>
      <c r="AH437" s="346">
        <v>417.49</v>
      </c>
      <c r="AI437" s="24"/>
      <c r="AJ437" s="24"/>
      <c r="AK437" s="24"/>
      <c r="AL437" s="24"/>
      <c r="AM437" s="359"/>
      <c r="AN437" s="24">
        <f t="shared" si="74"/>
        <v>0</v>
      </c>
      <c r="AO437" s="54">
        <f t="shared" si="75"/>
        <v>0</v>
      </c>
      <c r="AP437" s="261">
        <f t="shared" si="76"/>
        <v>0</v>
      </c>
      <c r="AQ437" s="338"/>
      <c r="AR437" s="45"/>
      <c r="AS437" s="359"/>
      <c r="AT437" s="359"/>
    </row>
    <row r="438" spans="1:46" ht="12">
      <c r="A438" s="359" t="s">
        <v>592</v>
      </c>
      <c r="B438" s="359" t="str">
        <f t="shared" si="67"/>
        <v>Sinx</v>
      </c>
      <c r="C438" s="141">
        <f t="shared" si="68"/>
        <v>8.4</v>
      </c>
      <c r="D438" s="277">
        <f t="shared" si="69"/>
        <v>356.12</v>
      </c>
      <c r="E438" s="20">
        <f t="shared" si="70"/>
        <v>0</v>
      </c>
      <c r="F438" s="20">
        <f t="shared" si="71"/>
        <v>0</v>
      </c>
      <c r="G438" s="277">
        <f t="shared" si="72"/>
        <v>299.14080000000001</v>
      </c>
      <c r="H438" s="3">
        <f t="shared" si="77"/>
        <v>0</v>
      </c>
      <c r="I438" s="277">
        <f t="shared" si="73"/>
        <v>0</v>
      </c>
      <c r="J438" s="359"/>
      <c r="K438" s="359" t="s">
        <v>574</v>
      </c>
      <c r="L438" s="359"/>
      <c r="M438" s="338" t="s">
        <v>582</v>
      </c>
      <c r="N438" s="89">
        <v>41129</v>
      </c>
      <c r="O438" s="359">
        <v>167</v>
      </c>
      <c r="P438" s="359" t="s">
        <v>591</v>
      </c>
      <c r="Q438" s="359"/>
      <c r="R438" s="359"/>
      <c r="S438" s="359">
        <v>20</v>
      </c>
      <c r="T438" s="359">
        <v>124</v>
      </c>
      <c r="U438" s="359"/>
      <c r="V438" s="359"/>
      <c r="W438" s="359"/>
      <c r="X438" s="359"/>
      <c r="Y438" s="359">
        <v>47</v>
      </c>
      <c r="Z438" s="359"/>
      <c r="AA438" s="210"/>
      <c r="AB438" s="248">
        <v>0.33160000000000001</v>
      </c>
      <c r="AC438" s="359">
        <v>0.4153</v>
      </c>
      <c r="AD438" s="359">
        <v>0.25319999999999998</v>
      </c>
      <c r="AE438" s="359"/>
      <c r="AF438" s="359">
        <v>8.4</v>
      </c>
      <c r="AG438" s="153"/>
      <c r="AH438" s="346">
        <v>356.12</v>
      </c>
      <c r="AI438" s="24"/>
      <c r="AJ438" s="24"/>
      <c r="AK438" s="24"/>
      <c r="AL438" s="24"/>
      <c r="AM438" s="359"/>
      <c r="AN438" s="24">
        <f t="shared" si="74"/>
        <v>299.14080000000001</v>
      </c>
      <c r="AO438" s="54">
        <f t="shared" si="75"/>
        <v>0</v>
      </c>
      <c r="AP438" s="261">
        <f t="shared" si="76"/>
        <v>4.064516129032258</v>
      </c>
      <c r="AQ438" s="338"/>
      <c r="AR438" s="45"/>
      <c r="AS438" s="359"/>
      <c r="AT438" s="359"/>
    </row>
    <row r="439" spans="1:46" ht="12">
      <c r="A439" s="359" t="s">
        <v>593</v>
      </c>
      <c r="B439" s="359" t="str">
        <f t="shared" si="67"/>
        <v>Sinx</v>
      </c>
      <c r="C439" s="141">
        <f t="shared" si="68"/>
        <v>0</v>
      </c>
      <c r="D439" s="277">
        <f t="shared" si="69"/>
        <v>358.97</v>
      </c>
      <c r="E439" s="20">
        <f t="shared" si="70"/>
        <v>8.6</v>
      </c>
      <c r="F439" s="20">
        <f t="shared" si="71"/>
        <v>1.1225473589999999</v>
      </c>
      <c r="G439" s="277">
        <f t="shared" si="72"/>
        <v>0</v>
      </c>
      <c r="H439" s="3">
        <f t="shared" si="77"/>
        <v>0</v>
      </c>
      <c r="I439" s="277">
        <f t="shared" si="73"/>
        <v>0</v>
      </c>
      <c r="J439" s="359"/>
      <c r="K439" s="359" t="s">
        <v>574</v>
      </c>
      <c r="L439" s="359"/>
      <c r="M439" s="338" t="s">
        <v>582</v>
      </c>
      <c r="N439" s="89">
        <v>41129</v>
      </c>
      <c r="O439" s="359">
        <v>167</v>
      </c>
      <c r="P439" s="359" t="s">
        <v>591</v>
      </c>
      <c r="Q439" s="359"/>
      <c r="R439" s="359"/>
      <c r="S439" s="359">
        <v>20</v>
      </c>
      <c r="T439" s="359">
        <v>124</v>
      </c>
      <c r="U439" s="359"/>
      <c r="V439" s="359"/>
      <c r="W439" s="359"/>
      <c r="X439" s="359"/>
      <c r="Y439" s="359">
        <v>47</v>
      </c>
      <c r="Z439" s="359"/>
      <c r="AA439" s="210"/>
      <c r="AB439" s="248"/>
      <c r="AC439" s="359"/>
      <c r="AD439" s="359"/>
      <c r="AE439" s="359"/>
      <c r="AF439" s="359"/>
      <c r="AG439" s="153"/>
      <c r="AH439" s="346">
        <v>358.97</v>
      </c>
      <c r="AI439" s="24"/>
      <c r="AJ439" s="24">
        <v>8.6</v>
      </c>
      <c r="AK439" s="24">
        <v>1.1225473589999999</v>
      </c>
      <c r="AL439" s="24"/>
      <c r="AM439" s="359"/>
      <c r="AN439" s="24">
        <f t="shared" si="74"/>
        <v>0</v>
      </c>
      <c r="AO439" s="54">
        <f t="shared" si="75"/>
        <v>0</v>
      </c>
      <c r="AP439" s="261">
        <f t="shared" si="76"/>
        <v>0</v>
      </c>
      <c r="AQ439" s="338"/>
      <c r="AR439" s="45"/>
      <c r="AS439" s="359"/>
      <c r="AT439" s="359"/>
    </row>
    <row r="440" spans="1:46" ht="12">
      <c r="A440" s="359" t="s">
        <v>594</v>
      </c>
      <c r="B440" s="359" t="str">
        <f t="shared" si="67"/>
        <v>Glass</v>
      </c>
      <c r="C440" s="141">
        <f t="shared" si="68"/>
        <v>0</v>
      </c>
      <c r="D440" s="277">
        <f t="shared" si="69"/>
        <v>357.99</v>
      </c>
      <c r="E440" s="20">
        <f t="shared" si="70"/>
        <v>0</v>
      </c>
      <c r="F440" s="20">
        <f t="shared" si="71"/>
        <v>0</v>
      </c>
      <c r="G440" s="277">
        <f t="shared" si="72"/>
        <v>0</v>
      </c>
      <c r="H440" s="3">
        <f t="shared" si="77"/>
        <v>0</v>
      </c>
      <c r="I440" s="277">
        <f t="shared" si="73"/>
        <v>0</v>
      </c>
      <c r="J440" s="359"/>
      <c r="K440" s="359" t="s">
        <v>574</v>
      </c>
      <c r="L440" s="359"/>
      <c r="M440" s="338" t="s">
        <v>582</v>
      </c>
      <c r="N440" s="89">
        <v>41129</v>
      </c>
      <c r="O440" s="359">
        <v>167</v>
      </c>
      <c r="P440" s="359" t="s">
        <v>290</v>
      </c>
      <c r="Q440" s="359"/>
      <c r="R440" s="359"/>
      <c r="S440" s="359">
        <v>20</v>
      </c>
      <c r="T440" s="359">
        <v>124</v>
      </c>
      <c r="U440" s="359"/>
      <c r="V440" s="359"/>
      <c r="W440" s="359"/>
      <c r="X440" s="359"/>
      <c r="Y440" s="359">
        <v>47</v>
      </c>
      <c r="Z440" s="359"/>
      <c r="AA440" s="210"/>
      <c r="AB440" s="248"/>
      <c r="AC440" s="359"/>
      <c r="AD440" s="359"/>
      <c r="AE440" s="359"/>
      <c r="AF440" s="359"/>
      <c r="AG440" s="153"/>
      <c r="AH440" s="346">
        <v>357.99</v>
      </c>
      <c r="AI440" s="24"/>
      <c r="AJ440" s="24"/>
      <c r="AK440" s="24"/>
      <c r="AL440" s="24"/>
      <c r="AM440" s="359"/>
      <c r="AN440" s="24">
        <f t="shared" si="74"/>
        <v>0</v>
      </c>
      <c r="AO440" s="54">
        <f t="shared" si="75"/>
        <v>0</v>
      </c>
      <c r="AP440" s="261">
        <f t="shared" si="76"/>
        <v>0</v>
      </c>
      <c r="AQ440" s="338"/>
      <c r="AR440" s="45"/>
      <c r="AS440" s="359"/>
      <c r="AT440" s="359"/>
    </row>
    <row r="441" spans="1:46" ht="12">
      <c r="A441" s="359" t="s">
        <v>595</v>
      </c>
      <c r="B441" s="359" t="str">
        <f t="shared" si="67"/>
        <v>Sinx</v>
      </c>
      <c r="C441" s="141">
        <f t="shared" si="68"/>
        <v>0</v>
      </c>
      <c r="D441" s="277">
        <f t="shared" si="69"/>
        <v>1056.22</v>
      </c>
      <c r="E441" s="20">
        <f t="shared" si="70"/>
        <v>5</v>
      </c>
      <c r="F441" s="20">
        <f t="shared" si="71"/>
        <v>0</v>
      </c>
      <c r="G441" s="277">
        <f t="shared" si="72"/>
        <v>0</v>
      </c>
      <c r="H441" s="3">
        <f t="shared" si="77"/>
        <v>0</v>
      </c>
      <c r="I441" s="277">
        <f t="shared" si="73"/>
        <v>0</v>
      </c>
      <c r="J441" s="359"/>
      <c r="K441" s="359" t="s">
        <v>574</v>
      </c>
      <c r="L441" s="359"/>
      <c r="M441" s="338" t="s">
        <v>582</v>
      </c>
      <c r="N441" s="89">
        <v>41129</v>
      </c>
      <c r="O441" s="359">
        <v>168</v>
      </c>
      <c r="P441" s="359" t="s">
        <v>591</v>
      </c>
      <c r="Q441" s="359"/>
      <c r="R441" s="359"/>
      <c r="S441" s="359">
        <v>20</v>
      </c>
      <c r="T441" s="359">
        <v>60</v>
      </c>
      <c r="U441" s="359"/>
      <c r="V441" s="359"/>
      <c r="W441" s="359"/>
      <c r="X441" s="359"/>
      <c r="Y441" s="359">
        <v>47</v>
      </c>
      <c r="Z441" s="359"/>
      <c r="AA441" s="210"/>
      <c r="AB441" s="248"/>
      <c r="AC441" s="359"/>
      <c r="AD441" s="359"/>
      <c r="AE441" s="359"/>
      <c r="AF441" s="359"/>
      <c r="AG441" s="153"/>
      <c r="AH441" s="346">
        <v>1056.22</v>
      </c>
      <c r="AI441" s="24"/>
      <c r="AJ441" s="24">
        <v>5</v>
      </c>
      <c r="AK441" s="24"/>
      <c r="AL441" s="24"/>
      <c r="AM441" s="359"/>
      <c r="AN441" s="24">
        <f t="shared" si="74"/>
        <v>0</v>
      </c>
      <c r="AO441" s="54">
        <f t="shared" si="75"/>
        <v>0</v>
      </c>
      <c r="AP441" s="261">
        <f t="shared" si="76"/>
        <v>0</v>
      </c>
      <c r="AQ441" s="338"/>
      <c r="AR441" s="45"/>
      <c r="AS441" s="359"/>
      <c r="AT441" s="359"/>
    </row>
    <row r="442" spans="1:46" ht="12">
      <c r="A442" s="359" t="s">
        <v>596</v>
      </c>
      <c r="B442" s="359" t="str">
        <f t="shared" si="67"/>
        <v>Sinx</v>
      </c>
      <c r="C442" s="141">
        <f t="shared" si="68"/>
        <v>0</v>
      </c>
      <c r="D442" s="277">
        <f t="shared" si="69"/>
        <v>1034.9100000000001</v>
      </c>
      <c r="E442" s="20">
        <f t="shared" si="70"/>
        <v>0</v>
      </c>
      <c r="F442" s="20">
        <f t="shared" si="71"/>
        <v>0</v>
      </c>
      <c r="G442" s="277">
        <f t="shared" si="72"/>
        <v>0</v>
      </c>
      <c r="H442" s="3">
        <f t="shared" si="77"/>
        <v>0</v>
      </c>
      <c r="I442" s="277">
        <f t="shared" si="73"/>
        <v>0</v>
      </c>
      <c r="J442" s="359"/>
      <c r="K442" s="359" t="s">
        <v>574</v>
      </c>
      <c r="L442" s="359"/>
      <c r="M442" s="338" t="s">
        <v>582</v>
      </c>
      <c r="N442" s="89">
        <v>41129</v>
      </c>
      <c r="O442" s="359">
        <v>168</v>
      </c>
      <c r="P442" s="359" t="s">
        <v>591</v>
      </c>
      <c r="Q442" s="359"/>
      <c r="R442" s="359"/>
      <c r="S442" s="359">
        <v>20</v>
      </c>
      <c r="T442" s="359">
        <v>60</v>
      </c>
      <c r="U442" s="359"/>
      <c r="V442" s="359"/>
      <c r="W442" s="359"/>
      <c r="X442" s="359"/>
      <c r="Y442" s="359">
        <v>47</v>
      </c>
      <c r="Z442" s="359"/>
      <c r="AA442" s="210"/>
      <c r="AB442" s="248"/>
      <c r="AC442" s="359"/>
      <c r="AD442" s="359"/>
      <c r="AE442" s="359"/>
      <c r="AF442" s="359"/>
      <c r="AG442" s="153"/>
      <c r="AH442" s="346">
        <v>1034.9100000000001</v>
      </c>
      <c r="AI442" s="24"/>
      <c r="AJ442" s="24"/>
      <c r="AK442" s="24"/>
      <c r="AL442" s="24"/>
      <c r="AM442" s="359"/>
      <c r="AN442" s="24">
        <f t="shared" si="74"/>
        <v>0</v>
      </c>
      <c r="AO442" s="54">
        <f t="shared" si="75"/>
        <v>0</v>
      </c>
      <c r="AP442" s="261">
        <f t="shared" si="76"/>
        <v>0</v>
      </c>
      <c r="AQ442" s="338"/>
      <c r="AR442" s="45"/>
      <c r="AS442" s="359"/>
      <c r="AT442" s="359"/>
    </row>
    <row r="443" spans="1:46" ht="12">
      <c r="A443" s="359" t="s">
        <v>597</v>
      </c>
      <c r="B443" s="359" t="str">
        <f t="shared" si="67"/>
        <v>Sinx</v>
      </c>
      <c r="C443" s="141">
        <f t="shared" si="68"/>
        <v>0</v>
      </c>
      <c r="D443" s="277">
        <f t="shared" si="69"/>
        <v>1052.6600000000001</v>
      </c>
      <c r="E443" s="20">
        <f t="shared" si="70"/>
        <v>0</v>
      </c>
      <c r="F443" s="20">
        <f t="shared" si="71"/>
        <v>0</v>
      </c>
      <c r="G443" s="277">
        <f t="shared" si="72"/>
        <v>0</v>
      </c>
      <c r="H443" s="3">
        <f t="shared" si="77"/>
        <v>0</v>
      </c>
      <c r="I443" s="277">
        <f t="shared" si="73"/>
        <v>0</v>
      </c>
      <c r="J443" s="359"/>
      <c r="K443" s="359" t="s">
        <v>574</v>
      </c>
      <c r="L443" s="359"/>
      <c r="M443" s="338" t="s">
        <v>582</v>
      </c>
      <c r="N443" s="89">
        <v>41129</v>
      </c>
      <c r="O443" s="359">
        <v>168</v>
      </c>
      <c r="P443" s="359" t="s">
        <v>591</v>
      </c>
      <c r="Q443" s="359"/>
      <c r="R443" s="359"/>
      <c r="S443" s="359">
        <v>20</v>
      </c>
      <c r="T443" s="359">
        <v>60</v>
      </c>
      <c r="U443" s="359"/>
      <c r="V443" s="359"/>
      <c r="W443" s="359"/>
      <c r="X443" s="359"/>
      <c r="Y443" s="359">
        <v>47</v>
      </c>
      <c r="Z443" s="359"/>
      <c r="AA443" s="210"/>
      <c r="AB443" s="248"/>
      <c r="AC443" s="359"/>
      <c r="AD443" s="359"/>
      <c r="AE443" s="359"/>
      <c r="AF443" s="359"/>
      <c r="AG443" s="153"/>
      <c r="AH443" s="346">
        <v>1052.6600000000001</v>
      </c>
      <c r="AI443" s="24"/>
      <c r="AJ443" s="24"/>
      <c r="AK443" s="24"/>
      <c r="AL443" s="24"/>
      <c r="AM443" s="359"/>
      <c r="AN443" s="24">
        <f t="shared" si="74"/>
        <v>0</v>
      </c>
      <c r="AO443" s="54">
        <f t="shared" si="75"/>
        <v>0</v>
      </c>
      <c r="AP443" s="261">
        <f t="shared" si="76"/>
        <v>0</v>
      </c>
      <c r="AQ443" s="338"/>
      <c r="AR443" s="45"/>
      <c r="AS443" s="359"/>
      <c r="AT443" s="359"/>
    </row>
    <row r="444" spans="1:46" ht="12">
      <c r="A444" s="359" t="s">
        <v>598</v>
      </c>
      <c r="B444" s="359" t="str">
        <f t="shared" si="67"/>
        <v>Glass</v>
      </c>
      <c r="C444" s="141">
        <f t="shared" si="68"/>
        <v>3.7</v>
      </c>
      <c r="D444" s="277">
        <f t="shared" si="69"/>
        <v>1234.6400000000001</v>
      </c>
      <c r="E444" s="20">
        <f t="shared" si="70"/>
        <v>0</v>
      </c>
      <c r="F444" s="20">
        <f t="shared" si="71"/>
        <v>0</v>
      </c>
      <c r="G444" s="277">
        <f t="shared" si="72"/>
        <v>456.81680000000006</v>
      </c>
      <c r="H444" s="3">
        <f t="shared" si="77"/>
        <v>0</v>
      </c>
      <c r="I444" s="277">
        <f t="shared" si="73"/>
        <v>0</v>
      </c>
      <c r="J444" s="359"/>
      <c r="K444" s="359" t="s">
        <v>574</v>
      </c>
      <c r="L444" s="359"/>
      <c r="M444" s="338" t="s">
        <v>582</v>
      </c>
      <c r="N444" s="89">
        <v>41129</v>
      </c>
      <c r="O444" s="359">
        <v>168</v>
      </c>
      <c r="P444" s="359" t="s">
        <v>290</v>
      </c>
      <c r="Q444" s="359"/>
      <c r="R444" s="359"/>
      <c r="S444" s="359">
        <v>20</v>
      </c>
      <c r="T444" s="359">
        <v>60</v>
      </c>
      <c r="U444" s="359"/>
      <c r="V444" s="359"/>
      <c r="W444" s="359"/>
      <c r="X444" s="359"/>
      <c r="Y444" s="359">
        <v>47</v>
      </c>
      <c r="Z444" s="359"/>
      <c r="AA444" s="210"/>
      <c r="AB444" s="248">
        <v>0.20749999999999999</v>
      </c>
      <c r="AC444" s="359">
        <v>0.60570000000000002</v>
      </c>
      <c r="AD444" s="359">
        <v>0.18679999999999999</v>
      </c>
      <c r="AE444" s="359"/>
      <c r="AF444" s="359">
        <v>3.7</v>
      </c>
      <c r="AG444" s="153"/>
      <c r="AH444" s="346">
        <v>1234.6400000000001</v>
      </c>
      <c r="AI444" s="24"/>
      <c r="AJ444" s="24"/>
      <c r="AK444" s="24"/>
      <c r="AL444" s="24"/>
      <c r="AM444" s="359"/>
      <c r="AN444" s="24">
        <f t="shared" si="74"/>
        <v>456.81680000000006</v>
      </c>
      <c r="AO444" s="54">
        <f t="shared" si="75"/>
        <v>0</v>
      </c>
      <c r="AP444" s="261">
        <f t="shared" si="76"/>
        <v>3.7</v>
      </c>
      <c r="AQ444" s="338"/>
      <c r="AR444" s="45"/>
      <c r="AS444" s="359"/>
      <c r="AT444" s="359"/>
    </row>
    <row r="445" spans="1:46" ht="12">
      <c r="A445" s="359" t="s">
        <v>599</v>
      </c>
      <c r="B445" s="359" t="str">
        <f t="shared" si="67"/>
        <v>Sinx</v>
      </c>
      <c r="C445" s="141">
        <f t="shared" si="68"/>
        <v>0</v>
      </c>
      <c r="D445" s="277">
        <f t="shared" si="69"/>
        <v>624.46</v>
      </c>
      <c r="E445" s="20">
        <f t="shared" si="70"/>
        <v>7.1</v>
      </c>
      <c r="F445" s="20">
        <f t="shared" si="71"/>
        <v>0</v>
      </c>
      <c r="G445" s="277">
        <f t="shared" si="72"/>
        <v>0</v>
      </c>
      <c r="H445" s="3">
        <f t="shared" si="77"/>
        <v>0.77979336857280157</v>
      </c>
      <c r="I445" s="277">
        <f t="shared" si="73"/>
        <v>0</v>
      </c>
      <c r="J445" s="359"/>
      <c r="K445" s="359" t="s">
        <v>574</v>
      </c>
      <c r="L445" s="359"/>
      <c r="M445" s="338" t="s">
        <v>582</v>
      </c>
      <c r="N445" s="89">
        <v>41129</v>
      </c>
      <c r="O445" s="359">
        <v>169</v>
      </c>
      <c r="P445" s="359" t="s">
        <v>591</v>
      </c>
      <c r="Q445" s="359"/>
      <c r="R445" s="359"/>
      <c r="S445" s="359">
        <v>20</v>
      </c>
      <c r="T445" s="359">
        <v>88</v>
      </c>
      <c r="U445" s="359"/>
      <c r="V445" s="359"/>
      <c r="W445" s="359"/>
      <c r="X445" s="359"/>
      <c r="Y445" s="359">
        <v>47</v>
      </c>
      <c r="Z445" s="359"/>
      <c r="AA445" s="210"/>
      <c r="AB445" s="248"/>
      <c r="AC445" s="359"/>
      <c r="AD445" s="359"/>
      <c r="AE445" s="359"/>
      <c r="AF445" s="359"/>
      <c r="AG445" s="153"/>
      <c r="AH445" s="346">
        <v>624.46</v>
      </c>
      <c r="AI445" s="24"/>
      <c r="AJ445" s="24">
        <v>7.1</v>
      </c>
      <c r="AK445" s="24"/>
      <c r="AL445" s="24">
        <f>259.64/332.96</f>
        <v>0.77979336857280157</v>
      </c>
      <c r="AM445" s="359" t="s">
        <v>156</v>
      </c>
      <c r="AN445" s="24">
        <f t="shared" si="74"/>
        <v>0</v>
      </c>
      <c r="AO445" s="54">
        <f t="shared" si="75"/>
        <v>0</v>
      </c>
      <c r="AP445" s="261">
        <f t="shared" si="76"/>
        <v>0</v>
      </c>
      <c r="AQ445" s="338"/>
      <c r="AR445" s="45"/>
      <c r="AS445" s="359"/>
      <c r="AT445" s="359"/>
    </row>
    <row r="446" spans="1:46" ht="12">
      <c r="A446" s="359" t="s">
        <v>600</v>
      </c>
      <c r="B446" s="359" t="str">
        <f t="shared" si="67"/>
        <v>Sinx</v>
      </c>
      <c r="C446" s="141">
        <f t="shared" si="68"/>
        <v>0</v>
      </c>
      <c r="D446" s="277">
        <f t="shared" si="69"/>
        <v>631.59</v>
      </c>
      <c r="E446" s="20">
        <f t="shared" si="70"/>
        <v>0</v>
      </c>
      <c r="F446" s="20">
        <f t="shared" si="71"/>
        <v>0</v>
      </c>
      <c r="G446" s="277">
        <f t="shared" si="72"/>
        <v>0</v>
      </c>
      <c r="H446" s="3">
        <f t="shared" si="77"/>
        <v>0</v>
      </c>
      <c r="I446" s="277">
        <f t="shared" si="73"/>
        <v>0</v>
      </c>
      <c r="J446" s="359"/>
      <c r="K446" s="359" t="s">
        <v>574</v>
      </c>
      <c r="L446" s="359"/>
      <c r="M446" s="338" t="s">
        <v>582</v>
      </c>
      <c r="N446" s="89">
        <v>41129</v>
      </c>
      <c r="O446" s="359">
        <v>169</v>
      </c>
      <c r="P446" s="359" t="s">
        <v>591</v>
      </c>
      <c r="Q446" s="359"/>
      <c r="R446" s="359"/>
      <c r="S446" s="359">
        <v>20</v>
      </c>
      <c r="T446" s="359">
        <v>88</v>
      </c>
      <c r="U446" s="359"/>
      <c r="V446" s="359"/>
      <c r="W446" s="359"/>
      <c r="X446" s="359"/>
      <c r="Y446" s="359">
        <v>47</v>
      </c>
      <c r="Z446" s="359"/>
      <c r="AA446" s="210"/>
      <c r="AB446" s="248"/>
      <c r="AC446" s="359"/>
      <c r="AD446" s="359"/>
      <c r="AE446" s="359"/>
      <c r="AF446" s="359"/>
      <c r="AG446" s="153"/>
      <c r="AH446" s="346">
        <v>631.59</v>
      </c>
      <c r="AI446" s="24"/>
      <c r="AJ446" s="24"/>
      <c r="AK446" s="24"/>
      <c r="AL446" s="24"/>
      <c r="AM446" s="359"/>
      <c r="AN446" s="24">
        <f t="shared" si="74"/>
        <v>0</v>
      </c>
      <c r="AO446" s="54">
        <f t="shared" si="75"/>
        <v>0</v>
      </c>
      <c r="AP446" s="261">
        <f t="shared" si="76"/>
        <v>0</v>
      </c>
      <c r="AQ446" s="338"/>
      <c r="AR446" s="45"/>
      <c r="AS446" s="359"/>
      <c r="AT446" s="359"/>
    </row>
    <row r="447" spans="1:46" ht="12">
      <c r="A447" s="359" t="s">
        <v>601</v>
      </c>
      <c r="B447" s="359" t="str">
        <f t="shared" si="67"/>
        <v>Sinx</v>
      </c>
      <c r="C447" s="141">
        <f t="shared" si="68"/>
        <v>0</v>
      </c>
      <c r="D447" s="277">
        <f t="shared" si="69"/>
        <v>169.85</v>
      </c>
      <c r="E447" s="20">
        <f t="shared" si="70"/>
        <v>0</v>
      </c>
      <c r="F447" s="20">
        <f t="shared" si="71"/>
        <v>0</v>
      </c>
      <c r="G447" s="277">
        <f t="shared" si="72"/>
        <v>0</v>
      </c>
      <c r="H447" s="3">
        <f t="shared" si="77"/>
        <v>0</v>
      </c>
      <c r="I447" s="277">
        <f t="shared" si="73"/>
        <v>0</v>
      </c>
      <c r="J447" s="359"/>
      <c r="K447" s="359" t="s">
        <v>574</v>
      </c>
      <c r="L447" s="359"/>
      <c r="M447" s="338" t="s">
        <v>582</v>
      </c>
      <c r="N447" s="89">
        <v>41129</v>
      </c>
      <c r="O447" s="359">
        <v>169</v>
      </c>
      <c r="P447" s="359" t="s">
        <v>591</v>
      </c>
      <c r="Q447" s="359"/>
      <c r="R447" s="359"/>
      <c r="S447" s="359">
        <v>20</v>
      </c>
      <c r="T447" s="359">
        <v>88</v>
      </c>
      <c r="U447" s="359"/>
      <c r="V447" s="359"/>
      <c r="W447" s="359"/>
      <c r="X447" s="359"/>
      <c r="Y447" s="359">
        <v>47</v>
      </c>
      <c r="Z447" s="359"/>
      <c r="AA447" s="210"/>
      <c r="AB447" s="248"/>
      <c r="AC447" s="359"/>
      <c r="AD447" s="359"/>
      <c r="AE447" s="359"/>
      <c r="AF447" s="359"/>
      <c r="AG447" s="153"/>
      <c r="AH447" s="346">
        <v>169.85</v>
      </c>
      <c r="AI447" s="24"/>
      <c r="AJ447" s="24"/>
      <c r="AK447" s="24"/>
      <c r="AL447" s="24"/>
      <c r="AM447" s="359"/>
      <c r="AN447" s="24">
        <f t="shared" si="74"/>
        <v>0</v>
      </c>
      <c r="AO447" s="54">
        <f t="shared" si="75"/>
        <v>0</v>
      </c>
      <c r="AP447" s="261">
        <f t="shared" si="76"/>
        <v>0</v>
      </c>
      <c r="AQ447" s="338"/>
      <c r="AR447" s="45"/>
      <c r="AS447" s="359"/>
      <c r="AT447" s="359"/>
    </row>
    <row r="448" spans="1:46" ht="12">
      <c r="A448" s="359" t="s">
        <v>602</v>
      </c>
      <c r="B448" s="359" t="str">
        <f t="shared" si="67"/>
        <v>Glass</v>
      </c>
      <c r="C448" s="141">
        <f t="shared" si="68"/>
        <v>5.7</v>
      </c>
      <c r="D448" s="277">
        <f t="shared" si="69"/>
        <v>171.28</v>
      </c>
      <c r="E448" s="20">
        <f t="shared" si="70"/>
        <v>0</v>
      </c>
      <c r="F448" s="20">
        <f t="shared" si="71"/>
        <v>0</v>
      </c>
      <c r="G448" s="277">
        <f t="shared" si="72"/>
        <v>97.629600000000011</v>
      </c>
      <c r="H448" s="3">
        <f t="shared" si="77"/>
        <v>0</v>
      </c>
      <c r="I448" s="277">
        <f t="shared" si="73"/>
        <v>0</v>
      </c>
      <c r="J448" s="359"/>
      <c r="K448" s="359" t="s">
        <v>574</v>
      </c>
      <c r="L448" s="359"/>
      <c r="M448" s="338" t="s">
        <v>582</v>
      </c>
      <c r="N448" s="89">
        <v>41129</v>
      </c>
      <c r="O448" s="359">
        <v>169</v>
      </c>
      <c r="P448" s="359" t="s">
        <v>290</v>
      </c>
      <c r="Q448" s="359"/>
      <c r="R448" s="359"/>
      <c r="S448" s="359">
        <v>20</v>
      </c>
      <c r="T448" s="359">
        <v>88</v>
      </c>
      <c r="U448" s="359"/>
      <c r="V448" s="359"/>
      <c r="W448" s="359"/>
      <c r="X448" s="359"/>
      <c r="Y448" s="359">
        <v>47</v>
      </c>
      <c r="Z448" s="359"/>
      <c r="AA448" s="210"/>
      <c r="AB448" s="248">
        <v>0.17460000000000001</v>
      </c>
      <c r="AC448" s="359">
        <v>0.5111</v>
      </c>
      <c r="AD448" s="359">
        <v>0.31430000000000002</v>
      </c>
      <c r="AE448" s="359"/>
      <c r="AF448" s="359">
        <v>5.7</v>
      </c>
      <c r="AG448" s="153"/>
      <c r="AH448" s="346">
        <v>171.28</v>
      </c>
      <c r="AI448" s="24"/>
      <c r="AJ448" s="24"/>
      <c r="AK448" s="24"/>
      <c r="AL448" s="24"/>
      <c r="AM448" s="359"/>
      <c r="AN448" s="24">
        <f t="shared" si="74"/>
        <v>97.629600000000011</v>
      </c>
      <c r="AO448" s="54">
        <f t="shared" si="75"/>
        <v>0</v>
      </c>
      <c r="AP448" s="261">
        <f t="shared" si="76"/>
        <v>3.8863636363636362</v>
      </c>
      <c r="AQ448" s="338"/>
      <c r="AR448" s="45"/>
      <c r="AS448" s="359"/>
      <c r="AT448" s="359"/>
    </row>
    <row r="449" spans="1:46" ht="12">
      <c r="A449" s="359" t="s">
        <v>603</v>
      </c>
      <c r="B449" s="359" t="str">
        <f t="shared" si="67"/>
        <v>Sinx</v>
      </c>
      <c r="C449" s="141">
        <f t="shared" si="68"/>
        <v>0</v>
      </c>
      <c r="D449" s="277">
        <f t="shared" si="69"/>
        <v>169.14</v>
      </c>
      <c r="E449" s="20">
        <f t="shared" si="70"/>
        <v>9.9</v>
      </c>
      <c r="F449" s="20">
        <f t="shared" si="71"/>
        <v>0</v>
      </c>
      <c r="G449" s="277">
        <f t="shared" si="72"/>
        <v>0</v>
      </c>
      <c r="H449" s="3">
        <f t="shared" si="77"/>
        <v>0.82884848484848483</v>
      </c>
      <c r="I449" s="277">
        <f t="shared" si="73"/>
        <v>0</v>
      </c>
      <c r="J449" s="359"/>
      <c r="K449" s="359" t="s">
        <v>604</v>
      </c>
      <c r="L449" s="359"/>
      <c r="M449" s="338" t="s">
        <v>582</v>
      </c>
      <c r="N449" s="89">
        <v>41129</v>
      </c>
      <c r="O449" s="359">
        <v>170</v>
      </c>
      <c r="P449" s="359" t="s">
        <v>591</v>
      </c>
      <c r="Q449" s="359"/>
      <c r="R449" s="359"/>
      <c r="S449" s="359">
        <v>20</v>
      </c>
      <c r="T449" s="359">
        <v>248</v>
      </c>
      <c r="U449" s="359"/>
      <c r="V449" s="359"/>
      <c r="W449" s="359"/>
      <c r="X449" s="359"/>
      <c r="Y449" s="359">
        <v>47</v>
      </c>
      <c r="Z449" s="359"/>
      <c r="AA449" s="210"/>
      <c r="AB449" s="248"/>
      <c r="AC449" s="359"/>
      <c r="AD449" s="359"/>
      <c r="AE449" s="359"/>
      <c r="AF449" s="359"/>
      <c r="AG449" s="153"/>
      <c r="AH449" s="346">
        <v>169.14</v>
      </c>
      <c r="AI449" s="24"/>
      <c r="AJ449" s="24">
        <v>9.9</v>
      </c>
      <c r="AK449" s="24"/>
      <c r="AL449" s="24">
        <f>68.38/82.5</f>
        <v>0.82884848484848483</v>
      </c>
      <c r="AM449" s="359" t="s">
        <v>156</v>
      </c>
      <c r="AN449" s="24">
        <f t="shared" si="74"/>
        <v>0</v>
      </c>
      <c r="AO449" s="54">
        <f t="shared" si="75"/>
        <v>0</v>
      </c>
      <c r="AP449" s="261">
        <f t="shared" si="76"/>
        <v>0</v>
      </c>
      <c r="AQ449" s="338"/>
      <c r="AR449" s="45"/>
      <c r="AS449" s="359"/>
      <c r="AT449" s="359"/>
    </row>
    <row r="450" spans="1:46" ht="12">
      <c r="A450" s="359" t="s">
        <v>605</v>
      </c>
      <c r="B450" s="359" t="str">
        <f t="shared" si="67"/>
        <v>Sinx</v>
      </c>
      <c r="C450" s="141">
        <f t="shared" si="68"/>
        <v>0</v>
      </c>
      <c r="D450" s="277">
        <f t="shared" si="69"/>
        <v>168.07</v>
      </c>
      <c r="E450" s="20">
        <f t="shared" si="70"/>
        <v>0</v>
      </c>
      <c r="F450" s="20">
        <f t="shared" si="71"/>
        <v>0</v>
      </c>
      <c r="G450" s="277">
        <f t="shared" si="72"/>
        <v>0</v>
      </c>
      <c r="H450" s="3">
        <f t="shared" si="77"/>
        <v>0</v>
      </c>
      <c r="I450" s="277">
        <f t="shared" si="73"/>
        <v>0</v>
      </c>
      <c r="J450" s="359"/>
      <c r="K450" s="359" t="s">
        <v>604</v>
      </c>
      <c r="L450" s="359"/>
      <c r="M450" s="338" t="s">
        <v>582</v>
      </c>
      <c r="N450" s="89">
        <v>41129</v>
      </c>
      <c r="O450" s="359">
        <v>170</v>
      </c>
      <c r="P450" s="359" t="s">
        <v>591</v>
      </c>
      <c r="Q450" s="359"/>
      <c r="R450" s="359"/>
      <c r="S450" s="359">
        <v>20</v>
      </c>
      <c r="T450" s="359">
        <v>248</v>
      </c>
      <c r="U450" s="359"/>
      <c r="V450" s="359"/>
      <c r="W450" s="359"/>
      <c r="X450" s="359"/>
      <c r="Y450" s="359">
        <v>47</v>
      </c>
      <c r="Z450" s="359"/>
      <c r="AA450" s="210"/>
      <c r="AB450" s="248"/>
      <c r="AC450" s="359"/>
      <c r="AD450" s="359"/>
      <c r="AE450" s="359"/>
      <c r="AF450" s="359"/>
      <c r="AG450" s="153"/>
      <c r="AH450" s="346">
        <v>168.07</v>
      </c>
      <c r="AI450" s="24"/>
      <c r="AJ450" s="24"/>
      <c r="AK450" s="24"/>
      <c r="AL450" s="24"/>
      <c r="AM450" s="359"/>
      <c r="AN450" s="24">
        <f t="shared" si="74"/>
        <v>0</v>
      </c>
      <c r="AO450" s="54">
        <f t="shared" si="75"/>
        <v>0</v>
      </c>
      <c r="AP450" s="261">
        <f t="shared" si="76"/>
        <v>0</v>
      </c>
      <c r="AQ450" s="338"/>
      <c r="AR450" s="45"/>
      <c r="AS450" s="359"/>
      <c r="AT450" s="359"/>
    </row>
    <row r="451" spans="1:46" ht="12">
      <c r="A451" s="359" t="s">
        <v>606</v>
      </c>
      <c r="B451" s="359" t="str">
        <f t="shared" ref="B451:B514" si="78">P451</f>
        <v>Sinx</v>
      </c>
      <c r="C451" s="141">
        <f t="shared" ref="C451:C514" si="79">AF451</f>
        <v>0</v>
      </c>
      <c r="D451" s="277">
        <f t="shared" ref="D451:D514" si="80">AH451</f>
        <v>0</v>
      </c>
      <c r="E451" s="20">
        <f t="shared" ref="E451:E514" si="81">AJ451</f>
        <v>0</v>
      </c>
      <c r="F451" s="20">
        <f t="shared" ref="F451:F514" si="82">AK451</f>
        <v>0</v>
      </c>
      <c r="G451" s="277">
        <f t="shared" ref="G451:G514" si="83">AN451</f>
        <v>0</v>
      </c>
      <c r="H451" s="3">
        <f t="shared" si="77"/>
        <v>0</v>
      </c>
      <c r="I451" s="277">
        <f t="shared" ref="I451:I514" si="84">AO451</f>
        <v>0</v>
      </c>
      <c r="J451" s="359"/>
      <c r="K451" s="359" t="s">
        <v>574</v>
      </c>
      <c r="L451" s="359"/>
      <c r="M451" s="338" t="s">
        <v>582</v>
      </c>
      <c r="N451" s="89">
        <v>41129</v>
      </c>
      <c r="O451" s="359">
        <v>170</v>
      </c>
      <c r="P451" s="359" t="s">
        <v>591</v>
      </c>
      <c r="Q451" s="359"/>
      <c r="R451" s="359"/>
      <c r="S451" s="359">
        <v>20</v>
      </c>
      <c r="T451" s="359">
        <v>248</v>
      </c>
      <c r="U451" s="359"/>
      <c r="V451" s="359"/>
      <c r="W451" s="359"/>
      <c r="X451" s="359"/>
      <c r="Y451" s="359">
        <v>47</v>
      </c>
      <c r="Z451" s="359"/>
      <c r="AA451" s="210"/>
      <c r="AB451" s="248"/>
      <c r="AC451" s="359"/>
      <c r="AD451" s="359"/>
      <c r="AE451" s="359"/>
      <c r="AF451" s="359"/>
      <c r="AG451" s="153"/>
      <c r="AH451" s="346"/>
      <c r="AI451" s="24"/>
      <c r="AJ451" s="24"/>
      <c r="AK451" s="24"/>
      <c r="AL451" s="24"/>
      <c r="AM451" s="359"/>
      <c r="AN451" s="24">
        <f t="shared" ref="AN451:AN514" si="85">((AH451*AF451)/10)</f>
        <v>0</v>
      </c>
      <c r="AO451" s="54">
        <f t="shared" ref="AO451:AO514" si="86">(AF451*AH451)*AJ451</f>
        <v>0</v>
      </c>
      <c r="AP451" s="261">
        <f t="shared" ref="AP451:AP514" si="87">(AF451/T451)*60</f>
        <v>0</v>
      </c>
      <c r="AQ451" s="338"/>
      <c r="AR451" s="45"/>
      <c r="AS451" s="359"/>
      <c r="AT451" s="359"/>
    </row>
    <row r="452" spans="1:46" ht="12">
      <c r="A452" s="359" t="s">
        <v>607</v>
      </c>
      <c r="B452" s="359" t="str">
        <f t="shared" si="78"/>
        <v>Glass</v>
      </c>
      <c r="C452" s="141">
        <f t="shared" si="79"/>
        <v>16</v>
      </c>
      <c r="D452" s="277">
        <f t="shared" si="80"/>
        <v>0</v>
      </c>
      <c r="E452" s="20">
        <f t="shared" si="81"/>
        <v>0</v>
      </c>
      <c r="F452" s="20">
        <f t="shared" si="82"/>
        <v>0</v>
      </c>
      <c r="G452" s="277">
        <f t="shared" si="83"/>
        <v>0</v>
      </c>
      <c r="H452" s="3">
        <f t="shared" si="77"/>
        <v>0</v>
      </c>
      <c r="I452" s="277">
        <f t="shared" si="84"/>
        <v>0</v>
      </c>
      <c r="J452" s="359"/>
      <c r="K452" s="359" t="s">
        <v>574</v>
      </c>
      <c r="L452" s="359"/>
      <c r="M452" s="338" t="s">
        <v>582</v>
      </c>
      <c r="N452" s="89">
        <v>41129</v>
      </c>
      <c r="O452" s="359">
        <v>170</v>
      </c>
      <c r="P452" s="359" t="s">
        <v>290</v>
      </c>
      <c r="Q452" s="359"/>
      <c r="R452" s="359"/>
      <c r="S452" s="359">
        <v>20</v>
      </c>
      <c r="T452" s="359">
        <v>248</v>
      </c>
      <c r="U452" s="359"/>
      <c r="V452" s="359"/>
      <c r="W452" s="359"/>
      <c r="X452" s="359"/>
      <c r="Y452" s="359">
        <v>47</v>
      </c>
      <c r="Z452" s="359"/>
      <c r="AA452" s="210"/>
      <c r="AB452" s="248">
        <v>0.57120000000000004</v>
      </c>
      <c r="AC452" s="359">
        <v>0.24279999999999999</v>
      </c>
      <c r="AD452" s="359">
        <v>0.186</v>
      </c>
      <c r="AE452" s="359"/>
      <c r="AF452" s="359">
        <v>16</v>
      </c>
      <c r="AG452" s="153"/>
      <c r="AH452" s="346"/>
      <c r="AI452" s="24"/>
      <c r="AJ452" s="24"/>
      <c r="AK452" s="24"/>
      <c r="AL452" s="24"/>
      <c r="AM452" s="359"/>
      <c r="AN452" s="24">
        <f t="shared" si="85"/>
        <v>0</v>
      </c>
      <c r="AO452" s="54">
        <f t="shared" si="86"/>
        <v>0</v>
      </c>
      <c r="AP452" s="261">
        <f t="shared" si="87"/>
        <v>3.870967741935484</v>
      </c>
      <c r="AQ452" s="338"/>
      <c r="AR452" s="45"/>
      <c r="AS452" s="359"/>
      <c r="AT452" s="359"/>
    </row>
    <row r="453" spans="1:46" ht="12">
      <c r="A453" s="359" t="s">
        <v>608</v>
      </c>
      <c r="B453" s="359" t="str">
        <f t="shared" si="78"/>
        <v>MgO</v>
      </c>
      <c r="C453" s="141">
        <f t="shared" si="79"/>
        <v>0</v>
      </c>
      <c r="D453" s="277">
        <f t="shared" si="80"/>
        <v>634.69000000000005</v>
      </c>
      <c r="E453" s="20">
        <f t="shared" si="81"/>
        <v>6.5</v>
      </c>
      <c r="F453" s="20">
        <f t="shared" si="82"/>
        <v>0</v>
      </c>
      <c r="G453" s="277">
        <f t="shared" si="83"/>
        <v>0</v>
      </c>
      <c r="H453" s="3">
        <f t="shared" si="77"/>
        <v>0.41023809523809529</v>
      </c>
      <c r="I453" s="277">
        <f t="shared" si="84"/>
        <v>0</v>
      </c>
      <c r="J453" s="359"/>
      <c r="K453" s="359" t="s">
        <v>609</v>
      </c>
      <c r="L453" s="359"/>
      <c r="M453" s="338" t="s">
        <v>564</v>
      </c>
      <c r="N453" s="89">
        <v>41130</v>
      </c>
      <c r="O453" s="359">
        <v>171</v>
      </c>
      <c r="P453" s="359" t="s">
        <v>46</v>
      </c>
      <c r="Q453" s="359"/>
      <c r="R453" s="359"/>
      <c r="S453" s="359">
        <v>800</v>
      </c>
      <c r="T453" s="359">
        <v>88</v>
      </c>
      <c r="U453" s="359"/>
      <c r="V453" s="359"/>
      <c r="W453" s="359"/>
      <c r="X453" s="359"/>
      <c r="Y453" s="359">
        <v>47</v>
      </c>
      <c r="Z453" s="359"/>
      <c r="AA453" s="210"/>
      <c r="AB453" s="248"/>
      <c r="AC453" s="359"/>
      <c r="AD453" s="359"/>
      <c r="AE453" s="359"/>
      <c r="AF453" s="359"/>
      <c r="AG453" s="307"/>
      <c r="AH453" s="38">
        <v>634.69000000000005</v>
      </c>
      <c r="AI453" s="8"/>
      <c r="AJ453" s="24">
        <v>6.5</v>
      </c>
      <c r="AK453" s="24"/>
      <c r="AL453" s="24">
        <f>344.6/840</f>
        <v>0.41023809523809529</v>
      </c>
      <c r="AM453" s="359" t="s">
        <v>156</v>
      </c>
      <c r="AN453" s="24">
        <f t="shared" si="85"/>
        <v>0</v>
      </c>
      <c r="AO453" s="54">
        <f t="shared" si="86"/>
        <v>0</v>
      </c>
      <c r="AP453" s="261">
        <f t="shared" si="87"/>
        <v>0</v>
      </c>
      <c r="AQ453" s="338"/>
      <c r="AR453" s="45"/>
      <c r="AS453" s="359"/>
      <c r="AT453" s="359"/>
    </row>
    <row r="454" spans="1:46" ht="12">
      <c r="A454" s="359" t="s">
        <v>610</v>
      </c>
      <c r="B454" s="359" t="str">
        <f t="shared" si="78"/>
        <v>MgO</v>
      </c>
      <c r="C454" s="141">
        <f t="shared" si="79"/>
        <v>0</v>
      </c>
      <c r="D454" s="277">
        <f t="shared" si="80"/>
        <v>611.97</v>
      </c>
      <c r="E454" s="20">
        <f t="shared" si="81"/>
        <v>6.5</v>
      </c>
      <c r="F454" s="20">
        <f t="shared" si="82"/>
        <v>0</v>
      </c>
      <c r="G454" s="277">
        <f t="shared" si="83"/>
        <v>0</v>
      </c>
      <c r="H454" s="3">
        <f t="shared" si="77"/>
        <v>1.0830965909090908</v>
      </c>
      <c r="I454" s="277">
        <f t="shared" si="84"/>
        <v>0</v>
      </c>
      <c r="J454" s="359"/>
      <c r="K454" s="359" t="s">
        <v>609</v>
      </c>
      <c r="L454" s="359"/>
      <c r="M454" s="338" t="s">
        <v>564</v>
      </c>
      <c r="N454" s="89">
        <v>41130</v>
      </c>
      <c r="O454" s="359">
        <v>171</v>
      </c>
      <c r="P454" s="359" t="s">
        <v>46</v>
      </c>
      <c r="Q454" s="359"/>
      <c r="R454" s="359"/>
      <c r="S454" s="359">
        <v>800</v>
      </c>
      <c r="T454" s="359">
        <v>88</v>
      </c>
      <c r="U454" s="359"/>
      <c r="V454" s="359"/>
      <c r="W454" s="359"/>
      <c r="X454" s="359"/>
      <c r="Y454" s="359">
        <v>47</v>
      </c>
      <c r="Z454" s="359"/>
      <c r="AA454" s="210"/>
      <c r="AB454" s="248"/>
      <c r="AC454" s="359"/>
      <c r="AD454" s="359"/>
      <c r="AE454" s="359"/>
      <c r="AF454" s="359"/>
      <c r="AG454" s="307"/>
      <c r="AH454" s="38">
        <v>611.97</v>
      </c>
      <c r="AI454" s="8"/>
      <c r="AJ454" s="24">
        <v>6.5</v>
      </c>
      <c r="AK454" s="24"/>
      <c r="AL454" s="24">
        <f>762.5/704</f>
        <v>1.0830965909090908</v>
      </c>
      <c r="AM454" s="359" t="s">
        <v>156</v>
      </c>
      <c r="AN454" s="24">
        <f t="shared" si="85"/>
        <v>0</v>
      </c>
      <c r="AO454" s="54">
        <f t="shared" si="86"/>
        <v>0</v>
      </c>
      <c r="AP454" s="261">
        <f t="shared" si="87"/>
        <v>0</v>
      </c>
      <c r="AQ454" s="338"/>
      <c r="AR454" s="45"/>
      <c r="AS454" s="359"/>
      <c r="AT454" s="359"/>
    </row>
    <row r="455" spans="1:46" ht="12">
      <c r="A455" s="359" t="s">
        <v>611</v>
      </c>
      <c r="B455" s="359" t="str">
        <f t="shared" si="78"/>
        <v>MgO</v>
      </c>
      <c r="C455" s="141">
        <f t="shared" si="79"/>
        <v>0</v>
      </c>
      <c r="D455" s="277">
        <f t="shared" si="80"/>
        <v>613.04</v>
      </c>
      <c r="E455" s="20">
        <f t="shared" si="81"/>
        <v>6.9</v>
      </c>
      <c r="F455" s="20">
        <f t="shared" si="82"/>
        <v>0</v>
      </c>
      <c r="G455" s="277">
        <f t="shared" si="83"/>
        <v>0</v>
      </c>
      <c r="H455" s="3">
        <f t="shared" si="77"/>
        <v>0.47281105990783412</v>
      </c>
      <c r="I455" s="277">
        <f t="shared" si="84"/>
        <v>0</v>
      </c>
      <c r="J455" s="359"/>
      <c r="K455" s="359" t="s">
        <v>609</v>
      </c>
      <c r="L455" s="359"/>
      <c r="M455" s="338" t="s">
        <v>564</v>
      </c>
      <c r="N455" s="89">
        <v>41130</v>
      </c>
      <c r="O455" s="359">
        <v>171</v>
      </c>
      <c r="P455" s="359" t="s">
        <v>46</v>
      </c>
      <c r="Q455" s="359"/>
      <c r="R455" s="359"/>
      <c r="S455" s="359">
        <v>800</v>
      </c>
      <c r="T455" s="359">
        <v>88</v>
      </c>
      <c r="U455" s="359"/>
      <c r="V455" s="359"/>
      <c r="W455" s="359"/>
      <c r="X455" s="359"/>
      <c r="Y455" s="359">
        <v>47</v>
      </c>
      <c r="Z455" s="359"/>
      <c r="AA455" s="210"/>
      <c r="AB455" s="248"/>
      <c r="AC455" s="359"/>
      <c r="AD455" s="359"/>
      <c r="AE455" s="359"/>
      <c r="AF455" s="359"/>
      <c r="AG455" s="307"/>
      <c r="AH455" s="38">
        <v>613.04</v>
      </c>
      <c r="AI455" s="8"/>
      <c r="AJ455" s="24">
        <v>6.9</v>
      </c>
      <c r="AK455" s="24"/>
      <c r="AL455" s="24">
        <f>256.5/542.5</f>
        <v>0.47281105990783412</v>
      </c>
      <c r="AM455" s="359" t="s">
        <v>156</v>
      </c>
      <c r="AN455" s="24">
        <f t="shared" si="85"/>
        <v>0</v>
      </c>
      <c r="AO455" s="54">
        <f t="shared" si="86"/>
        <v>0</v>
      </c>
      <c r="AP455" s="261">
        <f t="shared" si="87"/>
        <v>0</v>
      </c>
      <c r="AQ455" s="338"/>
      <c r="AR455" s="45"/>
      <c r="AS455" s="359"/>
      <c r="AT455" s="359"/>
    </row>
    <row r="456" spans="1:46" ht="12">
      <c r="A456" s="359" t="s">
        <v>612</v>
      </c>
      <c r="B456" s="359" t="str">
        <f t="shared" si="78"/>
        <v>MgO</v>
      </c>
      <c r="C456" s="141">
        <f t="shared" si="79"/>
        <v>0</v>
      </c>
      <c r="D456" s="277">
        <f t="shared" si="80"/>
        <v>628.74</v>
      </c>
      <c r="E456" s="20">
        <f t="shared" si="81"/>
        <v>6.7</v>
      </c>
      <c r="F456" s="20">
        <f t="shared" si="82"/>
        <v>0</v>
      </c>
      <c r="G456" s="277">
        <f t="shared" si="83"/>
        <v>0</v>
      </c>
      <c r="H456" s="3">
        <f t="shared" si="77"/>
        <v>0.45644659522986519</v>
      </c>
      <c r="I456" s="277">
        <f t="shared" si="84"/>
        <v>0</v>
      </c>
      <c r="J456" s="359"/>
      <c r="K456" s="359" t="s">
        <v>609</v>
      </c>
      <c r="L456" s="359"/>
      <c r="M456" s="338" t="s">
        <v>564</v>
      </c>
      <c r="N456" s="89">
        <v>41130</v>
      </c>
      <c r="O456" s="359">
        <v>171</v>
      </c>
      <c r="P456" s="359" t="s">
        <v>46</v>
      </c>
      <c r="Q456" s="359"/>
      <c r="R456" s="359"/>
      <c r="S456" s="359">
        <v>800</v>
      </c>
      <c r="T456" s="359">
        <v>88</v>
      </c>
      <c r="U456" s="359"/>
      <c r="V456" s="359"/>
      <c r="W456" s="359"/>
      <c r="X456" s="359"/>
      <c r="Y456" s="359">
        <v>47</v>
      </c>
      <c r="Z456" s="359"/>
      <c r="AA456" s="210"/>
      <c r="AB456" s="248"/>
      <c r="AC456" s="359"/>
      <c r="AD456" s="359"/>
      <c r="AE456" s="359"/>
      <c r="AF456" s="359"/>
      <c r="AG456" s="307"/>
      <c r="AH456" s="38">
        <v>628.74</v>
      </c>
      <c r="AI456" s="8"/>
      <c r="AJ456" s="24">
        <v>6.7</v>
      </c>
      <c r="AK456" s="24"/>
      <c r="AL456" s="24">
        <f>264.1/578.6</f>
        <v>0.45644659522986519</v>
      </c>
      <c r="AM456" s="359" t="s">
        <v>156</v>
      </c>
      <c r="AN456" s="24">
        <f t="shared" si="85"/>
        <v>0</v>
      </c>
      <c r="AO456" s="54">
        <f t="shared" si="86"/>
        <v>0</v>
      </c>
      <c r="AP456" s="261">
        <f t="shared" si="87"/>
        <v>0</v>
      </c>
      <c r="AQ456" s="338"/>
      <c r="AR456" s="45"/>
      <c r="AS456" s="359"/>
      <c r="AT456" s="359"/>
    </row>
    <row r="457" spans="1:46" ht="12">
      <c r="A457" s="359" t="s">
        <v>613</v>
      </c>
      <c r="B457" s="359" t="str">
        <f t="shared" si="78"/>
        <v>SiNx</v>
      </c>
      <c r="C457" s="141">
        <f t="shared" si="79"/>
        <v>0</v>
      </c>
      <c r="D457" s="277">
        <f t="shared" si="80"/>
        <v>0</v>
      </c>
      <c r="E457" s="20">
        <f t="shared" si="81"/>
        <v>0</v>
      </c>
      <c r="F457" s="20">
        <f t="shared" si="82"/>
        <v>0</v>
      </c>
      <c r="G457" s="277">
        <f t="shared" si="83"/>
        <v>0</v>
      </c>
      <c r="H457" s="3">
        <f t="shared" si="77"/>
        <v>0</v>
      </c>
      <c r="I457" s="277">
        <f t="shared" si="84"/>
        <v>0</v>
      </c>
      <c r="J457" s="359"/>
      <c r="K457" s="359" t="s">
        <v>614</v>
      </c>
      <c r="L457" s="359"/>
      <c r="M457" s="338" t="s">
        <v>582</v>
      </c>
      <c r="N457" s="89">
        <v>41130</v>
      </c>
      <c r="O457" s="359">
        <v>172</v>
      </c>
      <c r="P457" s="359" t="s">
        <v>187</v>
      </c>
      <c r="Q457" s="359"/>
      <c r="R457" s="359"/>
      <c r="S457" s="359">
        <v>20</v>
      </c>
      <c r="T457" s="359">
        <v>124</v>
      </c>
      <c r="U457" s="359"/>
      <c r="V457" s="359"/>
      <c r="W457" s="359"/>
      <c r="X457" s="359"/>
      <c r="Y457" s="359">
        <v>47</v>
      </c>
      <c r="Z457" s="359"/>
      <c r="AA457" s="210"/>
      <c r="AB457" s="248"/>
      <c r="AC457" s="359"/>
      <c r="AD457" s="359"/>
      <c r="AE457" s="359"/>
      <c r="AF457" s="359"/>
      <c r="AG457" s="153"/>
      <c r="AH457" s="346"/>
      <c r="AI457" s="24"/>
      <c r="AJ457" s="24"/>
      <c r="AK457" s="24"/>
      <c r="AL457" s="24"/>
      <c r="AM457" s="359"/>
      <c r="AN457" s="24">
        <f t="shared" si="85"/>
        <v>0</v>
      </c>
      <c r="AO457" s="54">
        <f t="shared" si="86"/>
        <v>0</v>
      </c>
      <c r="AP457" s="261">
        <f t="shared" si="87"/>
        <v>0</v>
      </c>
      <c r="AQ457" s="338"/>
      <c r="AR457" s="45"/>
      <c r="AS457" s="359"/>
      <c r="AT457" s="359"/>
    </row>
    <row r="458" spans="1:46" ht="12">
      <c r="A458" s="359" t="s">
        <v>615</v>
      </c>
      <c r="B458" s="359" t="str">
        <f t="shared" si="78"/>
        <v>Sinx</v>
      </c>
      <c r="C458" s="141">
        <f t="shared" si="79"/>
        <v>0</v>
      </c>
      <c r="D458" s="277">
        <f t="shared" si="80"/>
        <v>0</v>
      </c>
      <c r="E458" s="20">
        <f t="shared" si="81"/>
        <v>0</v>
      </c>
      <c r="F458" s="20">
        <f t="shared" si="82"/>
        <v>0</v>
      </c>
      <c r="G458" s="277">
        <f t="shared" si="83"/>
        <v>0</v>
      </c>
      <c r="H458" s="3">
        <f t="shared" si="77"/>
        <v>0</v>
      </c>
      <c r="I458" s="277">
        <f t="shared" si="84"/>
        <v>0</v>
      </c>
      <c r="J458" s="359"/>
      <c r="K458" s="359" t="s">
        <v>614</v>
      </c>
      <c r="L458" s="359"/>
      <c r="M458" s="338" t="s">
        <v>582</v>
      </c>
      <c r="N458" s="89">
        <v>41130</v>
      </c>
      <c r="O458" s="359">
        <v>172</v>
      </c>
      <c r="P458" s="359" t="s">
        <v>591</v>
      </c>
      <c r="Q458" s="359"/>
      <c r="R458" s="359"/>
      <c r="S458" s="359">
        <v>20</v>
      </c>
      <c r="T458" s="359">
        <v>124</v>
      </c>
      <c r="U458" s="359"/>
      <c r="V458" s="359"/>
      <c r="W458" s="359"/>
      <c r="X458" s="359"/>
      <c r="Y458" s="359">
        <v>47</v>
      </c>
      <c r="Z458" s="359"/>
      <c r="AA458" s="210"/>
      <c r="AB458" s="248"/>
      <c r="AC458" s="359"/>
      <c r="AD458" s="359"/>
      <c r="AE458" s="359"/>
      <c r="AF458" s="359"/>
      <c r="AG458" s="153"/>
      <c r="AH458" s="346"/>
      <c r="AI458" s="24"/>
      <c r="AJ458" s="24"/>
      <c r="AK458" s="24"/>
      <c r="AL458" s="24"/>
      <c r="AM458" s="359"/>
      <c r="AN458" s="24">
        <f t="shared" si="85"/>
        <v>0</v>
      </c>
      <c r="AO458" s="54">
        <f t="shared" si="86"/>
        <v>0</v>
      </c>
      <c r="AP458" s="261">
        <f t="shared" si="87"/>
        <v>0</v>
      </c>
      <c r="AQ458" s="338"/>
      <c r="AR458" s="45"/>
      <c r="AS458" s="359"/>
      <c r="AT458" s="359"/>
    </row>
    <row r="459" spans="1:46" ht="12">
      <c r="A459" s="359" t="s">
        <v>616</v>
      </c>
      <c r="B459" s="359" t="str">
        <f t="shared" si="78"/>
        <v>Glass</v>
      </c>
      <c r="C459" s="141">
        <f t="shared" si="79"/>
        <v>0</v>
      </c>
      <c r="D459" s="277">
        <f t="shared" si="80"/>
        <v>412.02201599999995</v>
      </c>
      <c r="E459" s="20">
        <f t="shared" si="81"/>
        <v>0</v>
      </c>
      <c r="F459" s="20">
        <f t="shared" si="82"/>
        <v>1.270830656</v>
      </c>
      <c r="G459" s="277">
        <f t="shared" si="83"/>
        <v>0</v>
      </c>
      <c r="H459" s="3">
        <f t="shared" si="77"/>
        <v>0</v>
      </c>
      <c r="I459" s="277">
        <f t="shared" si="84"/>
        <v>0</v>
      </c>
      <c r="J459" s="359"/>
      <c r="K459" s="359" t="s">
        <v>614</v>
      </c>
      <c r="L459" s="359"/>
      <c r="M459" s="338" t="s">
        <v>582</v>
      </c>
      <c r="N459" s="89">
        <v>41130</v>
      </c>
      <c r="O459" s="359">
        <v>172</v>
      </c>
      <c r="P459" s="359" t="s">
        <v>290</v>
      </c>
      <c r="Q459" s="359"/>
      <c r="R459" s="359"/>
      <c r="S459" s="359">
        <v>20</v>
      </c>
      <c r="T459" s="359">
        <v>124</v>
      </c>
      <c r="U459" s="359"/>
      <c r="V459" s="359"/>
      <c r="W459" s="359"/>
      <c r="X459" s="359"/>
      <c r="Y459" s="359">
        <v>47</v>
      </c>
      <c r="Z459" s="359"/>
      <c r="AA459" s="210"/>
      <c r="AB459" s="248"/>
      <c r="AC459" s="359"/>
      <c r="AD459" s="359"/>
      <c r="AE459" s="359"/>
      <c r="AF459" s="359"/>
      <c r="AG459" s="153"/>
      <c r="AH459" s="346">
        <f>AVERAGE(114.4, 118.1, 113.9)*3.56832</f>
        <v>412.02201599999995</v>
      </c>
      <c r="AI459" s="24"/>
      <c r="AJ459" s="24"/>
      <c r="AK459" s="24">
        <v>1.270830656</v>
      </c>
      <c r="AL459" s="24"/>
      <c r="AM459" s="359"/>
      <c r="AN459" s="24">
        <f t="shared" si="85"/>
        <v>0</v>
      </c>
      <c r="AO459" s="54">
        <f t="shared" si="86"/>
        <v>0</v>
      </c>
      <c r="AP459" s="261">
        <f t="shared" si="87"/>
        <v>0</v>
      </c>
      <c r="AQ459" s="338"/>
      <c r="AR459" s="45"/>
      <c r="AS459" s="359"/>
      <c r="AT459" s="359"/>
    </row>
    <row r="460" spans="1:46" ht="12">
      <c r="A460" s="359" t="s">
        <v>617</v>
      </c>
      <c r="B460" s="359" t="str">
        <f t="shared" si="78"/>
        <v>MgO</v>
      </c>
      <c r="C460" s="141">
        <f t="shared" si="79"/>
        <v>0</v>
      </c>
      <c r="D460" s="277">
        <f t="shared" si="80"/>
        <v>392.75387383863801</v>
      </c>
      <c r="E460" s="20">
        <f t="shared" si="81"/>
        <v>8.6</v>
      </c>
      <c r="F460" s="20">
        <f t="shared" si="82"/>
        <v>0</v>
      </c>
      <c r="G460" s="277">
        <f t="shared" si="83"/>
        <v>0</v>
      </c>
      <c r="H460" s="3">
        <f t="shared" si="77"/>
        <v>0.80500000000000005</v>
      </c>
      <c r="I460" s="277">
        <f t="shared" si="84"/>
        <v>0</v>
      </c>
      <c r="J460" s="359"/>
      <c r="K460" s="359" t="s">
        <v>489</v>
      </c>
      <c r="L460" s="359"/>
      <c r="M460" s="338" t="s">
        <v>141</v>
      </c>
      <c r="N460" s="89">
        <v>41093</v>
      </c>
      <c r="O460" s="359">
        <v>138</v>
      </c>
      <c r="P460" s="359" t="s">
        <v>46</v>
      </c>
      <c r="Q460" s="359"/>
      <c r="R460" s="359"/>
      <c r="S460" s="359">
        <v>800</v>
      </c>
      <c r="T460" s="359">
        <v>72</v>
      </c>
      <c r="U460" s="359">
        <v>400</v>
      </c>
      <c r="V460" s="359"/>
      <c r="W460" s="359"/>
      <c r="X460" s="359"/>
      <c r="Y460" s="359">
        <v>47</v>
      </c>
      <c r="Z460" s="359"/>
      <c r="AA460" s="210"/>
      <c r="AB460" s="248"/>
      <c r="AC460" s="359"/>
      <c r="AD460" s="359"/>
      <c r="AE460" s="359"/>
      <c r="AF460" s="359"/>
      <c r="AG460" s="153"/>
      <c r="AH460" s="346">
        <v>392.75387383863801</v>
      </c>
      <c r="AI460" s="24"/>
      <c r="AJ460" s="24">
        <v>8.6</v>
      </c>
      <c r="AK460" s="24"/>
      <c r="AL460" s="24">
        <v>0.80500000000000005</v>
      </c>
      <c r="AM460" s="359" t="s">
        <v>618</v>
      </c>
      <c r="AN460" s="24">
        <f t="shared" si="85"/>
        <v>0</v>
      </c>
      <c r="AO460" s="54">
        <f t="shared" si="86"/>
        <v>0</v>
      </c>
      <c r="AP460" s="261">
        <f t="shared" si="87"/>
        <v>0</v>
      </c>
      <c r="AQ460" s="338"/>
      <c r="AR460" s="45"/>
      <c r="AS460" s="359"/>
      <c r="AT460" s="359"/>
    </row>
    <row r="461" spans="1:46" ht="12">
      <c r="A461" s="359" t="s">
        <v>619</v>
      </c>
      <c r="B461" s="359" t="str">
        <f t="shared" si="78"/>
        <v>Glass</v>
      </c>
      <c r="C461" s="141">
        <f t="shared" si="79"/>
        <v>7.9</v>
      </c>
      <c r="D461" s="277">
        <f t="shared" si="80"/>
        <v>425.58163200000001</v>
      </c>
      <c r="E461" s="20">
        <f t="shared" si="81"/>
        <v>0</v>
      </c>
      <c r="F461" s="20">
        <f t="shared" si="82"/>
        <v>0</v>
      </c>
      <c r="G461" s="277">
        <f t="shared" si="83"/>
        <v>336.20948928000001</v>
      </c>
      <c r="H461" s="3">
        <f t="shared" si="77"/>
        <v>0</v>
      </c>
      <c r="I461" s="277">
        <f t="shared" si="84"/>
        <v>0</v>
      </c>
      <c r="J461" s="359"/>
      <c r="K461" s="359" t="s">
        <v>614</v>
      </c>
      <c r="L461" s="359"/>
      <c r="M461" s="338" t="s">
        <v>582</v>
      </c>
      <c r="N461" s="89">
        <v>41130</v>
      </c>
      <c r="O461" s="359">
        <v>172</v>
      </c>
      <c r="P461" s="359" t="s">
        <v>290</v>
      </c>
      <c r="Q461" s="359"/>
      <c r="R461" s="359"/>
      <c r="S461" s="359">
        <v>20</v>
      </c>
      <c r="T461" s="359">
        <v>124</v>
      </c>
      <c r="U461" s="359"/>
      <c r="V461" s="359"/>
      <c r="W461" s="359"/>
      <c r="X461" s="359"/>
      <c r="Y461" s="359">
        <v>47</v>
      </c>
      <c r="Z461" s="359"/>
      <c r="AA461" s="210"/>
      <c r="AB461" s="248">
        <v>0.27400000000000002</v>
      </c>
      <c r="AC461" s="359">
        <v>0.43109999999999998</v>
      </c>
      <c r="AD461" s="359">
        <v>0.2949</v>
      </c>
      <c r="AE461" s="359"/>
      <c r="AF461" s="359">
        <v>7.9</v>
      </c>
      <c r="AG461" s="153"/>
      <c r="AH461" s="346">
        <f>AVERAGE(118.5, 120.6, 118.7)*3.56832</f>
        <v>425.58163200000001</v>
      </c>
      <c r="AI461" s="24"/>
      <c r="AJ461" s="24"/>
      <c r="AK461" s="24"/>
      <c r="AL461" s="24"/>
      <c r="AM461" s="359"/>
      <c r="AN461" s="24">
        <f t="shared" si="85"/>
        <v>336.20948928000001</v>
      </c>
      <c r="AO461" s="54">
        <f t="shared" si="86"/>
        <v>0</v>
      </c>
      <c r="AP461" s="261">
        <f t="shared" si="87"/>
        <v>3.82258064516129</v>
      </c>
      <c r="AQ461" s="338"/>
      <c r="AR461" s="45"/>
      <c r="AS461" s="359"/>
      <c r="AT461" s="359"/>
    </row>
    <row r="462" spans="1:46" ht="12">
      <c r="A462" s="359" t="s">
        <v>620</v>
      </c>
      <c r="B462" s="359" t="str">
        <f t="shared" si="78"/>
        <v>Al2O3</v>
      </c>
      <c r="C462" s="141">
        <f t="shared" si="79"/>
        <v>0</v>
      </c>
      <c r="D462" s="277">
        <f t="shared" si="80"/>
        <v>233.26</v>
      </c>
      <c r="E462" s="20">
        <f t="shared" si="81"/>
        <v>12.9</v>
      </c>
      <c r="F462" s="20">
        <f t="shared" si="82"/>
        <v>0.83942416900000005</v>
      </c>
      <c r="G462" s="277">
        <f t="shared" si="83"/>
        <v>0</v>
      </c>
      <c r="H462" s="3">
        <f t="shared" si="77"/>
        <v>0</v>
      </c>
      <c r="I462" s="277">
        <f t="shared" si="84"/>
        <v>0</v>
      </c>
      <c r="J462" s="359"/>
      <c r="K462" s="359" t="s">
        <v>621</v>
      </c>
      <c r="L462" s="359"/>
      <c r="M462" s="338" t="s">
        <v>582</v>
      </c>
      <c r="N462" s="89">
        <v>41135</v>
      </c>
      <c r="O462" s="359">
        <v>173</v>
      </c>
      <c r="P462" s="359" t="s">
        <v>622</v>
      </c>
      <c r="Q462" s="359"/>
      <c r="R462" s="359"/>
      <c r="S462" s="359">
        <v>800</v>
      </c>
      <c r="T462" s="359">
        <v>140</v>
      </c>
      <c r="U462" s="359"/>
      <c r="V462" s="359"/>
      <c r="W462" s="359"/>
      <c r="X462" s="359"/>
      <c r="Y462" s="359">
        <v>47</v>
      </c>
      <c r="Z462" s="359"/>
      <c r="AA462" s="210"/>
      <c r="AB462" s="248"/>
      <c r="AC462" s="359"/>
      <c r="AD462" s="359"/>
      <c r="AE462" s="359"/>
      <c r="AF462" s="359"/>
      <c r="AG462" s="153"/>
      <c r="AH462" s="346">
        <v>233.26</v>
      </c>
      <c r="AI462" s="24"/>
      <c r="AJ462" s="24">
        <v>12.9</v>
      </c>
      <c r="AK462" s="24">
        <v>0.83942416900000005</v>
      </c>
      <c r="AL462" s="24"/>
      <c r="AM462" s="359"/>
      <c r="AN462" s="24">
        <f t="shared" si="85"/>
        <v>0</v>
      </c>
      <c r="AO462" s="54">
        <f t="shared" si="86"/>
        <v>0</v>
      </c>
      <c r="AP462" s="261">
        <f t="shared" si="87"/>
        <v>0</v>
      </c>
      <c r="AQ462" s="338"/>
      <c r="AR462" s="45"/>
      <c r="AS462" s="359"/>
      <c r="AT462" s="359"/>
    </row>
    <row r="463" spans="1:46" ht="12">
      <c r="A463" s="359" t="s">
        <v>623</v>
      </c>
      <c r="B463" s="359" t="str">
        <f t="shared" si="78"/>
        <v>Al2O3</v>
      </c>
      <c r="C463" s="141">
        <f t="shared" si="79"/>
        <v>7.3</v>
      </c>
      <c r="D463" s="277">
        <f t="shared" si="80"/>
        <v>240.51</v>
      </c>
      <c r="E463" s="20">
        <f t="shared" si="81"/>
        <v>12.6</v>
      </c>
      <c r="F463" s="20">
        <f t="shared" si="82"/>
        <v>0.87111993899999995</v>
      </c>
      <c r="G463" s="277">
        <f t="shared" si="83"/>
        <v>175.57229999999998</v>
      </c>
      <c r="H463" s="3">
        <f t="shared" si="77"/>
        <v>0</v>
      </c>
      <c r="I463" s="277">
        <f t="shared" si="84"/>
        <v>22122.109799999998</v>
      </c>
      <c r="J463" s="359"/>
      <c r="K463" s="359" t="s">
        <v>624</v>
      </c>
      <c r="L463" s="359"/>
      <c r="M463" s="338" t="s">
        <v>582</v>
      </c>
      <c r="N463" s="89">
        <v>41135</v>
      </c>
      <c r="O463" s="359">
        <v>173</v>
      </c>
      <c r="P463" s="359" t="s">
        <v>622</v>
      </c>
      <c r="Q463" s="359"/>
      <c r="R463" s="359"/>
      <c r="S463" s="359">
        <v>800</v>
      </c>
      <c r="T463" s="359">
        <v>140</v>
      </c>
      <c r="U463" s="359"/>
      <c r="V463" s="359"/>
      <c r="W463" s="359"/>
      <c r="X463" s="359"/>
      <c r="Y463" s="359">
        <v>47</v>
      </c>
      <c r="Z463" s="359"/>
      <c r="AA463" s="210"/>
      <c r="AB463" s="248">
        <v>0.24110000000000001</v>
      </c>
      <c r="AC463" s="359">
        <v>0.44950000000000001</v>
      </c>
      <c r="AD463" s="359">
        <v>0.30940000000000001</v>
      </c>
      <c r="AE463" s="359"/>
      <c r="AF463" s="359">
        <v>7.3</v>
      </c>
      <c r="AG463" s="153"/>
      <c r="AH463" s="346">
        <v>240.51</v>
      </c>
      <c r="AI463" s="24"/>
      <c r="AJ463" s="24">
        <v>12.6</v>
      </c>
      <c r="AK463" s="24">
        <v>0.87111993899999995</v>
      </c>
      <c r="AL463" s="24"/>
      <c r="AM463" s="359"/>
      <c r="AN463" s="24">
        <f t="shared" si="85"/>
        <v>175.57229999999998</v>
      </c>
      <c r="AO463" s="54">
        <f t="shared" si="86"/>
        <v>22122.109799999998</v>
      </c>
      <c r="AP463" s="261">
        <f t="shared" si="87"/>
        <v>3.1285714285714286</v>
      </c>
      <c r="AQ463" s="338"/>
      <c r="AR463" s="45"/>
      <c r="AS463" s="359"/>
      <c r="AT463" s="359"/>
    </row>
    <row r="464" spans="1:46" ht="12">
      <c r="A464" s="359" t="s">
        <v>625</v>
      </c>
      <c r="B464" s="359" t="str">
        <f t="shared" si="78"/>
        <v>MgO</v>
      </c>
      <c r="C464" s="141">
        <f t="shared" si="79"/>
        <v>0</v>
      </c>
      <c r="D464" s="277">
        <f t="shared" si="80"/>
        <v>438.9</v>
      </c>
      <c r="E464" s="20">
        <f t="shared" si="81"/>
        <v>10.9</v>
      </c>
      <c r="F464" s="20">
        <f t="shared" si="82"/>
        <v>1.7175773670000001</v>
      </c>
      <c r="G464" s="277">
        <f t="shared" si="83"/>
        <v>0</v>
      </c>
      <c r="H464" s="3">
        <f t="shared" si="77"/>
        <v>0.55215617715617715</v>
      </c>
      <c r="I464" s="277">
        <f t="shared" si="84"/>
        <v>0</v>
      </c>
      <c r="J464" s="359"/>
      <c r="K464" s="359" t="s">
        <v>626</v>
      </c>
      <c r="L464" s="359"/>
      <c r="M464" s="338" t="s">
        <v>582</v>
      </c>
      <c r="N464" s="89">
        <v>41135</v>
      </c>
      <c r="O464" s="359">
        <v>173</v>
      </c>
      <c r="P464" s="359" t="s">
        <v>46</v>
      </c>
      <c r="Q464" s="359"/>
      <c r="R464" s="359"/>
      <c r="S464" s="359">
        <v>800</v>
      </c>
      <c r="T464" s="359">
        <v>140</v>
      </c>
      <c r="U464" s="359"/>
      <c r="V464" s="359"/>
      <c r="W464" s="359"/>
      <c r="X464" s="359"/>
      <c r="Y464" s="359">
        <v>47</v>
      </c>
      <c r="Z464" s="359"/>
      <c r="AA464" s="210"/>
      <c r="AB464" s="248"/>
      <c r="AC464" s="359"/>
      <c r="AD464" s="359"/>
      <c r="AE464" s="359"/>
      <c r="AF464" s="359"/>
      <c r="AG464" s="153"/>
      <c r="AH464" s="346">
        <v>438.9</v>
      </c>
      <c r="AI464" s="24"/>
      <c r="AJ464" s="24">
        <v>10.9</v>
      </c>
      <c r="AK464" s="24">
        <v>1.7175773670000001</v>
      </c>
      <c r="AL464" s="24">
        <f>189.5/343.2</f>
        <v>0.55215617715617715</v>
      </c>
      <c r="AM464" s="359" t="s">
        <v>156</v>
      </c>
      <c r="AN464" s="24">
        <f t="shared" si="85"/>
        <v>0</v>
      </c>
      <c r="AO464" s="54">
        <f t="shared" si="86"/>
        <v>0</v>
      </c>
      <c r="AP464" s="261">
        <f t="shared" si="87"/>
        <v>0</v>
      </c>
      <c r="AQ464" s="338"/>
      <c r="AR464" s="45"/>
      <c r="AS464" s="359"/>
      <c r="AT464" s="359"/>
    </row>
    <row r="465" spans="1:46" ht="12">
      <c r="A465" s="359" t="s">
        <v>627</v>
      </c>
      <c r="B465" s="359" t="str">
        <f t="shared" si="78"/>
        <v>MgO</v>
      </c>
      <c r="C465" s="141">
        <f t="shared" si="79"/>
        <v>6.5</v>
      </c>
      <c r="D465" s="277">
        <f t="shared" si="80"/>
        <v>494.21</v>
      </c>
      <c r="E465" s="20">
        <f t="shared" si="81"/>
        <v>10.5</v>
      </c>
      <c r="F465" s="20">
        <f t="shared" si="82"/>
        <v>1.78043503</v>
      </c>
      <c r="G465" s="277">
        <f t="shared" si="83"/>
        <v>321.23649999999998</v>
      </c>
      <c r="H465" s="3">
        <f t="shared" si="77"/>
        <v>0.50727496917385939</v>
      </c>
      <c r="I465" s="277">
        <f t="shared" si="84"/>
        <v>33729.832499999997</v>
      </c>
      <c r="J465" s="359"/>
      <c r="K465" s="359" t="s">
        <v>628</v>
      </c>
      <c r="L465" s="359"/>
      <c r="M465" s="338" t="s">
        <v>582</v>
      </c>
      <c r="N465" s="89">
        <v>41135</v>
      </c>
      <c r="O465" s="359">
        <v>173</v>
      </c>
      <c r="P465" s="359" t="s">
        <v>46</v>
      </c>
      <c r="Q465" s="359"/>
      <c r="R465" s="359"/>
      <c r="S465" s="359">
        <v>800</v>
      </c>
      <c r="T465" s="359">
        <v>140</v>
      </c>
      <c r="U465" s="359"/>
      <c r="V465" s="359"/>
      <c r="W465" s="359"/>
      <c r="X465" s="359"/>
      <c r="Y465" s="359">
        <v>47</v>
      </c>
      <c r="Z465" s="359"/>
      <c r="AA465" s="210"/>
      <c r="AB465" s="248">
        <v>0.2203</v>
      </c>
      <c r="AC465" s="359">
        <v>0.48130000000000001</v>
      </c>
      <c r="AD465" s="359">
        <v>0.2984</v>
      </c>
      <c r="AE465" s="359"/>
      <c r="AF465" s="359">
        <v>6.5</v>
      </c>
      <c r="AG465" s="153"/>
      <c r="AH465" s="346">
        <v>494.21</v>
      </c>
      <c r="AI465" s="24"/>
      <c r="AJ465" s="24">
        <v>10.5</v>
      </c>
      <c r="AK465" s="24">
        <v>1.78043503</v>
      </c>
      <c r="AL465" s="24">
        <f>205.7/405.5</f>
        <v>0.50727496917385939</v>
      </c>
      <c r="AM465" s="359" t="s">
        <v>156</v>
      </c>
      <c r="AN465" s="24">
        <f t="shared" si="85"/>
        <v>321.23649999999998</v>
      </c>
      <c r="AO465" s="54">
        <f t="shared" si="86"/>
        <v>33729.832499999997</v>
      </c>
      <c r="AP465" s="261">
        <f t="shared" si="87"/>
        <v>2.7857142857142856</v>
      </c>
      <c r="AQ465" s="338"/>
      <c r="AR465" s="45"/>
      <c r="AS465" s="359"/>
      <c r="AT465" s="359"/>
    </row>
    <row r="466" spans="1:46" ht="12">
      <c r="A466" s="359" t="s">
        <v>629</v>
      </c>
      <c r="B466" s="359" t="str">
        <f t="shared" si="78"/>
        <v>MgO</v>
      </c>
      <c r="C466" s="141">
        <f t="shared" si="79"/>
        <v>0</v>
      </c>
      <c r="D466" s="277">
        <f t="shared" si="80"/>
        <v>779.08320000000003</v>
      </c>
      <c r="E466" s="20">
        <f t="shared" si="81"/>
        <v>8.5</v>
      </c>
      <c r="F466" s="20">
        <f t="shared" si="82"/>
        <v>2.2563877030000001</v>
      </c>
      <c r="G466" s="277">
        <f t="shared" si="83"/>
        <v>0</v>
      </c>
      <c r="H466" s="3">
        <f t="shared" si="77"/>
        <v>0.54</v>
      </c>
      <c r="I466" s="277">
        <f t="shared" si="84"/>
        <v>0</v>
      </c>
      <c r="J466" s="359"/>
      <c r="K466" s="359"/>
      <c r="L466" s="359"/>
      <c r="M466" s="338" t="s">
        <v>505</v>
      </c>
      <c r="N466" s="89">
        <v>41136</v>
      </c>
      <c r="O466" s="359">
        <v>174</v>
      </c>
      <c r="P466" s="359" t="s">
        <v>46</v>
      </c>
      <c r="Q466" s="359"/>
      <c r="R466" s="359"/>
      <c r="S466" s="359">
        <v>800</v>
      </c>
      <c r="T466" s="359">
        <v>68</v>
      </c>
      <c r="U466" s="359"/>
      <c r="V466" s="359"/>
      <c r="W466" s="359"/>
      <c r="X466" s="359"/>
      <c r="Y466" s="359">
        <v>47</v>
      </c>
      <c r="Z466" s="359"/>
      <c r="AA466" s="210"/>
      <c r="AB466" s="248"/>
      <c r="AC466" s="359"/>
      <c r="AD466" s="359"/>
      <c r="AE466" s="359"/>
      <c r="AF466" s="359"/>
      <c r="AG466" s="153"/>
      <c r="AH466" s="346">
        <f>AVERAGE(218, 220, 217)*3.56832</f>
        <v>779.08320000000003</v>
      </c>
      <c r="AI466" s="24"/>
      <c r="AJ466" s="24">
        <v>8.5</v>
      </c>
      <c r="AK466" s="24">
        <v>2.2563877030000001</v>
      </c>
      <c r="AL466" s="24">
        <v>0.54</v>
      </c>
      <c r="AM466" s="359"/>
      <c r="AN466" s="24">
        <f t="shared" si="85"/>
        <v>0</v>
      </c>
      <c r="AO466" s="54">
        <f t="shared" si="86"/>
        <v>0</v>
      </c>
      <c r="AP466" s="261">
        <f t="shared" si="87"/>
        <v>0</v>
      </c>
      <c r="AQ466" s="338"/>
      <c r="AR466" s="45"/>
      <c r="AS466" s="359"/>
      <c r="AT466" s="359"/>
    </row>
    <row r="467" spans="1:46" ht="12">
      <c r="A467" s="359" t="s">
        <v>630</v>
      </c>
      <c r="B467" s="359" t="str">
        <f t="shared" si="78"/>
        <v>MgO</v>
      </c>
      <c r="C467" s="141">
        <f t="shared" si="79"/>
        <v>2.7</v>
      </c>
      <c r="D467" s="277">
        <f t="shared" si="80"/>
        <v>812.38751999999999</v>
      </c>
      <c r="E467" s="20">
        <f t="shared" si="81"/>
        <v>0</v>
      </c>
      <c r="F467" s="20">
        <f t="shared" si="82"/>
        <v>0</v>
      </c>
      <c r="G467" s="277">
        <f t="shared" si="83"/>
        <v>219.3446304</v>
      </c>
      <c r="H467" s="3">
        <f t="shared" si="77"/>
        <v>0</v>
      </c>
      <c r="I467" s="277">
        <f t="shared" si="84"/>
        <v>0</v>
      </c>
      <c r="J467" s="359"/>
      <c r="K467" s="359"/>
      <c r="L467" s="359"/>
      <c r="M467" s="338" t="s">
        <v>505</v>
      </c>
      <c r="N467" s="89">
        <v>41136</v>
      </c>
      <c r="O467" s="359">
        <v>174</v>
      </c>
      <c r="P467" s="359" t="s">
        <v>46</v>
      </c>
      <c r="Q467" s="359"/>
      <c r="R467" s="359"/>
      <c r="S467" s="359">
        <v>800</v>
      </c>
      <c r="T467" s="359">
        <v>68</v>
      </c>
      <c r="U467" s="359"/>
      <c r="V467" s="359"/>
      <c r="W467" s="359"/>
      <c r="X467" s="359"/>
      <c r="Y467" s="359">
        <v>47</v>
      </c>
      <c r="Z467" s="359"/>
      <c r="AA467" s="210"/>
      <c r="AB467" s="248">
        <v>0.15529999999999999</v>
      </c>
      <c r="AC467" s="359">
        <v>0.6673</v>
      </c>
      <c r="AD467" s="359">
        <v>0.17730000000000001</v>
      </c>
      <c r="AE467" s="359"/>
      <c r="AF467" s="359">
        <v>2.7</v>
      </c>
      <c r="AG467" s="153"/>
      <c r="AH467" s="346">
        <f>AVERAGE(225, 231, 227)*3.56832</f>
        <v>812.38751999999999</v>
      </c>
      <c r="AI467" s="24"/>
      <c r="AJ467" s="24"/>
      <c r="AK467" s="24"/>
      <c r="AL467" s="24"/>
      <c r="AM467" s="359"/>
      <c r="AN467" s="24">
        <f t="shared" si="85"/>
        <v>219.3446304</v>
      </c>
      <c r="AO467" s="54">
        <f t="shared" si="86"/>
        <v>0</v>
      </c>
      <c r="AP467" s="261">
        <f t="shared" si="87"/>
        <v>2.382352941176471</v>
      </c>
      <c r="AQ467" s="338"/>
      <c r="AR467" s="45"/>
      <c r="AS467" s="359"/>
      <c r="AT467" s="359"/>
    </row>
    <row r="468" spans="1:46" ht="12">
      <c r="A468" s="359" t="s">
        <v>631</v>
      </c>
      <c r="B468" s="359" t="str">
        <f t="shared" si="78"/>
        <v>MgO</v>
      </c>
      <c r="C468" s="141">
        <f t="shared" si="79"/>
        <v>0</v>
      </c>
      <c r="D468" s="277">
        <f t="shared" si="80"/>
        <v>708.90623999999991</v>
      </c>
      <c r="E468" s="20">
        <f t="shared" si="81"/>
        <v>0</v>
      </c>
      <c r="F468" s="20">
        <f t="shared" si="82"/>
        <v>0</v>
      </c>
      <c r="G468" s="277">
        <f t="shared" si="83"/>
        <v>0</v>
      </c>
      <c r="H468" s="3">
        <f t="shared" si="77"/>
        <v>0</v>
      </c>
      <c r="I468" s="277">
        <f t="shared" si="84"/>
        <v>0</v>
      </c>
      <c r="J468" s="359"/>
      <c r="K468" s="359"/>
      <c r="L468" s="359"/>
      <c r="M468" s="338" t="s">
        <v>505</v>
      </c>
      <c r="N468" s="89">
        <v>41136</v>
      </c>
      <c r="O468" s="359">
        <v>174</v>
      </c>
      <c r="P468" s="359" t="s">
        <v>46</v>
      </c>
      <c r="Q468" s="359"/>
      <c r="R468" s="359"/>
      <c r="S468" s="359">
        <v>800</v>
      </c>
      <c r="T468" s="359">
        <v>68</v>
      </c>
      <c r="U468" s="359"/>
      <c r="V468" s="359"/>
      <c r="W468" s="359"/>
      <c r="X468" s="359"/>
      <c r="Y468" s="359">
        <v>47</v>
      </c>
      <c r="Z468" s="359"/>
      <c r="AA468" s="210"/>
      <c r="AB468" s="248"/>
      <c r="AC468" s="359"/>
      <c r="AD468" s="359"/>
      <c r="AE468" s="359"/>
      <c r="AF468" s="359"/>
      <c r="AG468" s="153"/>
      <c r="AH468" s="346">
        <f>AVERAGE(199, 200, 197)*3.56832</f>
        <v>708.90623999999991</v>
      </c>
      <c r="AI468" s="24"/>
      <c r="AJ468" s="24"/>
      <c r="AK468" s="24"/>
      <c r="AL468" s="24"/>
      <c r="AM468" s="359"/>
      <c r="AN468" s="24">
        <f t="shared" si="85"/>
        <v>0</v>
      </c>
      <c r="AO468" s="54">
        <f t="shared" si="86"/>
        <v>0</v>
      </c>
      <c r="AP468" s="261">
        <f t="shared" si="87"/>
        <v>0</v>
      </c>
      <c r="AQ468" s="338"/>
      <c r="AR468" s="45"/>
      <c r="AS468" s="359"/>
      <c r="AT468" s="359"/>
    </row>
    <row r="469" spans="1:46" ht="12">
      <c r="A469" s="359" t="s">
        <v>632</v>
      </c>
      <c r="B469" s="359" t="str">
        <f t="shared" si="78"/>
        <v>MgO</v>
      </c>
      <c r="C469" s="141">
        <f t="shared" si="79"/>
        <v>0</v>
      </c>
      <c r="D469" s="277">
        <f t="shared" si="80"/>
        <v>685.11743999999999</v>
      </c>
      <c r="E469" s="20">
        <f t="shared" si="81"/>
        <v>0</v>
      </c>
      <c r="F469" s="20">
        <f t="shared" si="82"/>
        <v>0</v>
      </c>
      <c r="G469" s="277">
        <f t="shared" si="83"/>
        <v>0</v>
      </c>
      <c r="H469" s="3">
        <f t="shared" si="77"/>
        <v>0</v>
      </c>
      <c r="I469" s="277">
        <f t="shared" si="84"/>
        <v>0</v>
      </c>
      <c r="J469" s="359"/>
      <c r="K469" s="359"/>
      <c r="L469" s="359"/>
      <c r="M469" s="338" t="s">
        <v>505</v>
      </c>
      <c r="N469" s="89">
        <v>41136</v>
      </c>
      <c r="O469" s="359">
        <v>174</v>
      </c>
      <c r="P469" s="359" t="s">
        <v>46</v>
      </c>
      <c r="Q469" s="359"/>
      <c r="R469" s="359"/>
      <c r="S469" s="359">
        <v>800</v>
      </c>
      <c r="T469" s="359">
        <v>68</v>
      </c>
      <c r="U469" s="359"/>
      <c r="V469" s="359"/>
      <c r="W469" s="359"/>
      <c r="X469" s="359"/>
      <c r="Y469" s="359">
        <v>47</v>
      </c>
      <c r="Z469" s="359"/>
      <c r="AA469" s="210"/>
      <c r="AB469" s="248"/>
      <c r="AC469" s="359"/>
      <c r="AD469" s="359"/>
      <c r="AE469" s="359"/>
      <c r="AF469" s="359"/>
      <c r="AG469" s="153"/>
      <c r="AH469" s="346">
        <f>AVERAGE(192, 192, 192)*3.56832</f>
        <v>685.11743999999999</v>
      </c>
      <c r="AI469" s="24"/>
      <c r="AJ469" s="24"/>
      <c r="AK469" s="24"/>
      <c r="AL469" s="24"/>
      <c r="AM469" s="359"/>
      <c r="AN469" s="24">
        <f t="shared" si="85"/>
        <v>0</v>
      </c>
      <c r="AO469" s="54">
        <f t="shared" si="86"/>
        <v>0</v>
      </c>
      <c r="AP469" s="261">
        <f t="shared" si="87"/>
        <v>0</v>
      </c>
      <c r="AQ469" s="338"/>
      <c r="AR469" s="45"/>
      <c r="AS469" s="359"/>
      <c r="AT469" s="359"/>
    </row>
    <row r="470" spans="1:46" ht="12">
      <c r="A470" s="359" t="s">
        <v>633</v>
      </c>
      <c r="B470" s="359" t="str">
        <f t="shared" si="78"/>
        <v>Al2O3</v>
      </c>
      <c r="C470" s="141">
        <f t="shared" si="79"/>
        <v>0</v>
      </c>
      <c r="D470" s="277">
        <f t="shared" si="80"/>
        <v>217.67</v>
      </c>
      <c r="E470" s="20">
        <f t="shared" si="81"/>
        <v>12.2</v>
      </c>
      <c r="F470" s="20">
        <f t="shared" si="82"/>
        <v>0.75490402599999995</v>
      </c>
      <c r="G470" s="277">
        <f t="shared" si="83"/>
        <v>0</v>
      </c>
      <c r="H470" s="3">
        <f t="shared" si="77"/>
        <v>0.8941048034934499</v>
      </c>
      <c r="I470" s="277">
        <f t="shared" si="84"/>
        <v>0</v>
      </c>
      <c r="J470" s="359"/>
      <c r="K470" s="359" t="s">
        <v>634</v>
      </c>
      <c r="L470" s="359"/>
      <c r="M470" s="338" t="s">
        <v>582</v>
      </c>
      <c r="N470" s="89">
        <v>41137</v>
      </c>
      <c r="O470" s="359">
        <v>175</v>
      </c>
      <c r="P470" s="359" t="s">
        <v>622</v>
      </c>
      <c r="Q470" s="359"/>
      <c r="R470" s="359"/>
      <c r="S470" s="359">
        <v>800</v>
      </c>
      <c r="T470" s="359">
        <v>140</v>
      </c>
      <c r="U470" s="359"/>
      <c r="V470" s="359"/>
      <c r="W470" s="359"/>
      <c r="X470" s="359"/>
      <c r="Y470" s="359">
        <v>47</v>
      </c>
      <c r="Z470" s="359"/>
      <c r="AA470" s="210"/>
      <c r="AB470" s="248"/>
      <c r="AC470" s="359"/>
      <c r="AD470" s="359"/>
      <c r="AE470" s="359"/>
      <c r="AF470" s="359"/>
      <c r="AG470" s="153"/>
      <c r="AH470" s="346">
        <v>217.67</v>
      </c>
      <c r="AI470" s="24"/>
      <c r="AJ470" s="24">
        <v>12.2</v>
      </c>
      <c r="AK470" s="24">
        <v>0.75490402599999995</v>
      </c>
      <c r="AL470" s="24">
        <f>81.9/91.6</f>
        <v>0.8941048034934499</v>
      </c>
      <c r="AM470" s="359" t="s">
        <v>156</v>
      </c>
      <c r="AN470" s="24">
        <f t="shared" si="85"/>
        <v>0</v>
      </c>
      <c r="AO470" s="54">
        <f t="shared" si="86"/>
        <v>0</v>
      </c>
      <c r="AP470" s="261">
        <f t="shared" si="87"/>
        <v>0</v>
      </c>
      <c r="AQ470" s="338"/>
      <c r="AR470" s="45"/>
      <c r="AS470" s="359"/>
      <c r="AT470" s="359"/>
    </row>
    <row r="471" spans="1:46" ht="12">
      <c r="A471" s="359" t="s">
        <v>635</v>
      </c>
      <c r="B471" s="359" t="str">
        <f t="shared" si="78"/>
        <v>Al2O3</v>
      </c>
      <c r="C471" s="141">
        <f t="shared" si="79"/>
        <v>7.5</v>
      </c>
      <c r="D471" s="277">
        <f t="shared" si="80"/>
        <v>224.8</v>
      </c>
      <c r="E471" s="20">
        <f t="shared" si="81"/>
        <v>12.6</v>
      </c>
      <c r="F471" s="20">
        <f t="shared" si="82"/>
        <v>0.78461145200000004</v>
      </c>
      <c r="G471" s="277">
        <f t="shared" si="83"/>
        <v>168.6</v>
      </c>
      <c r="H471" s="3">
        <f t="shared" si="77"/>
        <v>0.87577639751552794</v>
      </c>
      <c r="I471" s="277">
        <f t="shared" si="84"/>
        <v>21243.599999999999</v>
      </c>
      <c r="J471" s="359" t="s">
        <v>636</v>
      </c>
      <c r="K471" s="359" t="s">
        <v>637</v>
      </c>
      <c r="L471" s="359"/>
      <c r="M471" s="338" t="s">
        <v>582</v>
      </c>
      <c r="N471" s="89">
        <v>41137</v>
      </c>
      <c r="O471" s="359">
        <v>175</v>
      </c>
      <c r="P471" s="359" t="s">
        <v>622</v>
      </c>
      <c r="Q471" s="359"/>
      <c r="R471" s="359"/>
      <c r="S471" s="359">
        <v>800</v>
      </c>
      <c r="T471" s="359">
        <v>140</v>
      </c>
      <c r="U471" s="359"/>
      <c r="V471" s="359"/>
      <c r="W471" s="359"/>
      <c r="X471" s="359"/>
      <c r="Y471" s="359">
        <v>47</v>
      </c>
      <c r="Z471" s="359"/>
      <c r="AA471" s="210"/>
      <c r="AB471" s="248">
        <v>0.24160000000000001</v>
      </c>
      <c r="AC471" s="359">
        <v>0.44579999999999997</v>
      </c>
      <c r="AD471" s="359">
        <v>0.31259999999999999</v>
      </c>
      <c r="AE471" s="359"/>
      <c r="AF471" s="359">
        <v>7.5</v>
      </c>
      <c r="AG471" s="153"/>
      <c r="AH471" s="346">
        <v>224.8</v>
      </c>
      <c r="AI471" s="24"/>
      <c r="AJ471" s="24">
        <v>12.6</v>
      </c>
      <c r="AK471" s="24">
        <v>0.78461145200000004</v>
      </c>
      <c r="AL471" s="24">
        <f>84.6/96.6</f>
        <v>0.87577639751552794</v>
      </c>
      <c r="AM471" s="359" t="s">
        <v>156</v>
      </c>
      <c r="AN471" s="24">
        <f t="shared" si="85"/>
        <v>168.6</v>
      </c>
      <c r="AO471" s="54">
        <f t="shared" si="86"/>
        <v>21243.599999999999</v>
      </c>
      <c r="AP471" s="261">
        <f t="shared" si="87"/>
        <v>3.214285714285714</v>
      </c>
      <c r="AQ471" s="338"/>
      <c r="AR471" s="45"/>
      <c r="AS471" s="359"/>
      <c r="AT471" s="359"/>
    </row>
    <row r="472" spans="1:46" ht="12">
      <c r="A472" s="359" t="s">
        <v>638</v>
      </c>
      <c r="B472" s="359" t="str">
        <f t="shared" si="78"/>
        <v>MgO</v>
      </c>
      <c r="C472" s="141">
        <f t="shared" si="79"/>
        <v>0</v>
      </c>
      <c r="D472" s="277">
        <f t="shared" si="80"/>
        <v>200.54</v>
      </c>
      <c r="E472" s="20">
        <f t="shared" si="81"/>
        <v>12.7</v>
      </c>
      <c r="F472" s="20">
        <f t="shared" si="82"/>
        <v>0.80622340299999995</v>
      </c>
      <c r="G472" s="277">
        <f t="shared" si="83"/>
        <v>0</v>
      </c>
      <c r="H472" s="3">
        <f t="shared" si="77"/>
        <v>0.74904580152671763</v>
      </c>
      <c r="I472" s="277">
        <f t="shared" si="84"/>
        <v>0</v>
      </c>
      <c r="J472" s="359"/>
      <c r="K472" s="359" t="s">
        <v>637</v>
      </c>
      <c r="L472" s="359"/>
      <c r="M472" s="338" t="s">
        <v>582</v>
      </c>
      <c r="N472" s="89">
        <v>41137</v>
      </c>
      <c r="O472" s="359">
        <v>175</v>
      </c>
      <c r="P472" s="359" t="s">
        <v>46</v>
      </c>
      <c r="Q472" s="359"/>
      <c r="R472" s="359"/>
      <c r="S472" s="359">
        <v>800</v>
      </c>
      <c r="T472" s="359">
        <v>140</v>
      </c>
      <c r="U472" s="359"/>
      <c r="V472" s="359"/>
      <c r="W472" s="359"/>
      <c r="X472" s="359"/>
      <c r="Y472" s="359">
        <v>47</v>
      </c>
      <c r="Z472" s="359"/>
      <c r="AA472" s="210"/>
      <c r="AB472" s="248"/>
      <c r="AC472" s="359"/>
      <c r="AD472" s="359"/>
      <c r="AE472" s="359"/>
      <c r="AF472" s="359"/>
      <c r="AG472" s="153"/>
      <c r="AH472" s="346">
        <v>200.54</v>
      </c>
      <c r="AI472" s="24"/>
      <c r="AJ472" s="24">
        <v>12.7</v>
      </c>
      <c r="AK472" s="24">
        <v>0.80622340299999995</v>
      </c>
      <c r="AL472" s="24">
        <f>78.5/104.8</f>
        <v>0.74904580152671763</v>
      </c>
      <c r="AM472" s="359" t="s">
        <v>156</v>
      </c>
      <c r="AN472" s="24">
        <f t="shared" si="85"/>
        <v>0</v>
      </c>
      <c r="AO472" s="54">
        <f t="shared" si="86"/>
        <v>0</v>
      </c>
      <c r="AP472" s="261">
        <f t="shared" si="87"/>
        <v>0</v>
      </c>
      <c r="AQ472" s="338"/>
      <c r="AR472" s="45"/>
      <c r="AS472" s="359"/>
      <c r="AT472" s="359"/>
    </row>
    <row r="473" spans="1:46" ht="12">
      <c r="A473" s="359" t="s">
        <v>639</v>
      </c>
      <c r="B473" s="359" t="str">
        <f t="shared" si="78"/>
        <v>MgO</v>
      </c>
      <c r="C473" s="141">
        <f t="shared" si="79"/>
        <v>6.3</v>
      </c>
      <c r="D473" s="277">
        <f t="shared" si="80"/>
        <v>206.96</v>
      </c>
      <c r="E473" s="20">
        <f t="shared" si="81"/>
        <v>12.7</v>
      </c>
      <c r="F473" s="20">
        <f t="shared" si="82"/>
        <v>0.84696822800000005</v>
      </c>
      <c r="G473" s="277">
        <f t="shared" si="83"/>
        <v>130.38479999999998</v>
      </c>
      <c r="H473" s="3">
        <f t="shared" si="77"/>
        <v>0.74747474747474751</v>
      </c>
      <c r="I473" s="277">
        <f t="shared" si="84"/>
        <v>16558.869599999998</v>
      </c>
      <c r="J473" s="359" t="s">
        <v>636</v>
      </c>
      <c r="K473" s="359" t="s">
        <v>634</v>
      </c>
      <c r="L473" s="359"/>
      <c r="M473" s="338" t="s">
        <v>582</v>
      </c>
      <c r="N473" s="89">
        <v>41137</v>
      </c>
      <c r="O473" s="359">
        <v>175</v>
      </c>
      <c r="P473" s="359" t="s">
        <v>46</v>
      </c>
      <c r="Q473" s="359"/>
      <c r="R473" s="359"/>
      <c r="S473" s="359">
        <v>800</v>
      </c>
      <c r="T473" s="359">
        <v>140</v>
      </c>
      <c r="U473" s="359"/>
      <c r="V473" s="359"/>
      <c r="W473" s="359"/>
      <c r="X473" s="359"/>
      <c r="Y473" s="359">
        <v>47</v>
      </c>
      <c r="Z473" s="359"/>
      <c r="AA473" s="210"/>
      <c r="AB473" s="248">
        <v>0.22109999999999999</v>
      </c>
      <c r="AC473" s="359">
        <v>0.48930000000000001</v>
      </c>
      <c r="AD473" s="359">
        <v>0.28960000000000002</v>
      </c>
      <c r="AE473" s="359"/>
      <c r="AF473" s="359">
        <v>6.3</v>
      </c>
      <c r="AG473" s="153"/>
      <c r="AH473" s="346">
        <v>206.96</v>
      </c>
      <c r="AI473" s="24"/>
      <c r="AJ473" s="24">
        <v>12.7</v>
      </c>
      <c r="AK473" s="24">
        <v>0.84696822800000005</v>
      </c>
      <c r="AL473" s="24">
        <f>81.4/108.9</f>
        <v>0.74747474747474751</v>
      </c>
      <c r="AM473" s="359" t="s">
        <v>156</v>
      </c>
      <c r="AN473" s="24">
        <f t="shared" si="85"/>
        <v>130.38479999999998</v>
      </c>
      <c r="AO473" s="54">
        <f t="shared" si="86"/>
        <v>16558.869599999998</v>
      </c>
      <c r="AP473" s="261">
        <f t="shared" si="87"/>
        <v>2.6999999999999997</v>
      </c>
      <c r="AQ473" s="338"/>
      <c r="AR473" s="45"/>
      <c r="AS473" s="359"/>
      <c r="AT473" s="359"/>
    </row>
    <row r="474" spans="1:46" ht="24">
      <c r="A474" s="359" t="s">
        <v>640</v>
      </c>
      <c r="B474" s="359" t="str">
        <f t="shared" si="78"/>
        <v>SiNx</v>
      </c>
      <c r="C474" s="141">
        <f t="shared" si="79"/>
        <v>0</v>
      </c>
      <c r="D474" s="277">
        <f t="shared" si="80"/>
        <v>356.06</v>
      </c>
      <c r="E474" s="20">
        <f t="shared" si="81"/>
        <v>8.9</v>
      </c>
      <c r="F474" s="20">
        <f t="shared" si="82"/>
        <v>1.054327743</v>
      </c>
      <c r="G474" s="277">
        <f t="shared" si="83"/>
        <v>0</v>
      </c>
      <c r="H474" s="3">
        <f t="shared" si="77"/>
        <v>0.83365155131264923</v>
      </c>
      <c r="I474" s="277">
        <f t="shared" si="84"/>
        <v>0</v>
      </c>
      <c r="J474" s="359"/>
      <c r="K474" s="359" t="s">
        <v>641</v>
      </c>
      <c r="L474" s="359"/>
      <c r="M474" s="338" t="s">
        <v>642</v>
      </c>
      <c r="N474" s="89">
        <v>41138</v>
      </c>
      <c r="O474" s="359">
        <v>176</v>
      </c>
      <c r="P474" s="359" t="s">
        <v>187</v>
      </c>
      <c r="Q474" s="359"/>
      <c r="R474" s="359"/>
      <c r="S474" s="359">
        <v>20</v>
      </c>
      <c r="T474" s="359">
        <v>124</v>
      </c>
      <c r="U474" s="359"/>
      <c r="V474" s="359"/>
      <c r="W474" s="359"/>
      <c r="X474" s="359"/>
      <c r="Y474" s="359">
        <v>47</v>
      </c>
      <c r="Z474" s="359"/>
      <c r="AA474" s="210"/>
      <c r="AB474" s="248"/>
      <c r="AC474" s="359"/>
      <c r="AD474" s="359"/>
      <c r="AE474" s="359"/>
      <c r="AF474" s="359"/>
      <c r="AG474" s="153"/>
      <c r="AH474" s="346">
        <v>356.06</v>
      </c>
      <c r="AI474" s="24"/>
      <c r="AJ474" s="24">
        <v>8.9</v>
      </c>
      <c r="AK474" s="24">
        <v>1.054327743</v>
      </c>
      <c r="AL474" s="24">
        <f>139.72/167.6</f>
        <v>0.83365155131264923</v>
      </c>
      <c r="AM474" s="359" t="s">
        <v>156</v>
      </c>
      <c r="AN474" s="24">
        <f t="shared" si="85"/>
        <v>0</v>
      </c>
      <c r="AO474" s="54">
        <f t="shared" si="86"/>
        <v>0</v>
      </c>
      <c r="AP474" s="261">
        <f t="shared" si="87"/>
        <v>0</v>
      </c>
      <c r="AQ474" s="338"/>
      <c r="AR474" s="45"/>
      <c r="AS474" s="359"/>
      <c r="AT474" s="359"/>
    </row>
    <row r="475" spans="1:46" ht="24">
      <c r="A475" s="359" t="s">
        <v>643</v>
      </c>
      <c r="B475" s="359" t="str">
        <f t="shared" si="78"/>
        <v>SiNx</v>
      </c>
      <c r="C475" s="141">
        <f t="shared" si="79"/>
        <v>0</v>
      </c>
      <c r="D475" s="277">
        <f t="shared" si="80"/>
        <v>364.92</v>
      </c>
      <c r="E475" s="20">
        <f t="shared" si="81"/>
        <v>8.8000000000000007</v>
      </c>
      <c r="F475" s="20">
        <f t="shared" si="82"/>
        <v>1.039852212</v>
      </c>
      <c r="G475" s="277">
        <f t="shared" si="83"/>
        <v>0</v>
      </c>
      <c r="H475" s="3">
        <f t="shared" si="77"/>
        <v>0.81629374641422825</v>
      </c>
      <c r="I475" s="277">
        <f t="shared" si="84"/>
        <v>0</v>
      </c>
      <c r="J475" s="359"/>
      <c r="K475" s="359" t="s">
        <v>641</v>
      </c>
      <c r="L475" s="359"/>
      <c r="M475" s="338" t="s">
        <v>642</v>
      </c>
      <c r="N475" s="89">
        <v>41138</v>
      </c>
      <c r="O475" s="359">
        <v>176</v>
      </c>
      <c r="P475" s="359" t="s">
        <v>187</v>
      </c>
      <c r="Q475" s="359"/>
      <c r="R475" s="359"/>
      <c r="S475" s="359">
        <v>20</v>
      </c>
      <c r="T475" s="359">
        <v>124</v>
      </c>
      <c r="U475" s="359"/>
      <c r="V475" s="359"/>
      <c r="W475" s="359"/>
      <c r="X475" s="359"/>
      <c r="Y475" s="359">
        <v>47</v>
      </c>
      <c r="Z475" s="359"/>
      <c r="AA475" s="210"/>
      <c r="AB475" s="248"/>
      <c r="AC475" s="359"/>
      <c r="AD475" s="359"/>
      <c r="AE475" s="359"/>
      <c r="AF475" s="359"/>
      <c r="AG475" s="153"/>
      <c r="AH475" s="346">
        <v>364.92</v>
      </c>
      <c r="AI475" s="24"/>
      <c r="AJ475" s="24">
        <v>8.8000000000000007</v>
      </c>
      <c r="AK475" s="24">
        <v>1.039852212</v>
      </c>
      <c r="AL475" s="24">
        <f>142.28/174.3</f>
        <v>0.81629374641422825</v>
      </c>
      <c r="AM475" s="359" t="s">
        <v>156</v>
      </c>
      <c r="AN475" s="24">
        <f t="shared" si="85"/>
        <v>0</v>
      </c>
      <c r="AO475" s="54">
        <f t="shared" si="86"/>
        <v>0</v>
      </c>
      <c r="AP475" s="261">
        <f t="shared" si="87"/>
        <v>0</v>
      </c>
      <c r="AQ475" s="338"/>
      <c r="AR475" s="45"/>
      <c r="AS475" s="359"/>
      <c r="AT475" s="359"/>
    </row>
    <row r="476" spans="1:46" ht="24">
      <c r="A476" s="359" t="s">
        <v>644</v>
      </c>
      <c r="B476" s="359" t="str">
        <f t="shared" si="78"/>
        <v>SiNx</v>
      </c>
      <c r="C476" s="141">
        <f t="shared" si="79"/>
        <v>0</v>
      </c>
      <c r="D476" s="277">
        <f t="shared" si="80"/>
        <v>366.94</v>
      </c>
      <c r="E476" s="20">
        <f t="shared" si="81"/>
        <v>8.5299999999999994</v>
      </c>
      <c r="F476" s="20">
        <f t="shared" si="82"/>
        <v>0.975860124</v>
      </c>
      <c r="G476" s="277">
        <f t="shared" si="83"/>
        <v>0</v>
      </c>
      <c r="H476" s="3">
        <f t="shared" si="77"/>
        <v>0.82231814734877207</v>
      </c>
      <c r="I476" s="277">
        <f t="shared" si="84"/>
        <v>0</v>
      </c>
      <c r="J476" s="359"/>
      <c r="K476" s="359" t="s">
        <v>641</v>
      </c>
      <c r="L476" s="359"/>
      <c r="M476" s="338" t="s">
        <v>642</v>
      </c>
      <c r="N476" s="89">
        <v>41138</v>
      </c>
      <c r="O476" s="359">
        <v>176</v>
      </c>
      <c r="P476" s="359" t="s">
        <v>187</v>
      </c>
      <c r="Q476" s="359"/>
      <c r="R476" s="359"/>
      <c r="S476" s="359">
        <v>20</v>
      </c>
      <c r="T476" s="359">
        <v>124</v>
      </c>
      <c r="U476" s="359"/>
      <c r="V476" s="359"/>
      <c r="W476" s="359"/>
      <c r="X476" s="359"/>
      <c r="Y476" s="359">
        <v>47</v>
      </c>
      <c r="Z476" s="359"/>
      <c r="AA476" s="210"/>
      <c r="AB476" s="248"/>
      <c r="AC476" s="359"/>
      <c r="AD476" s="359"/>
      <c r="AE476" s="359"/>
      <c r="AF476" s="359"/>
      <c r="AG476" s="153"/>
      <c r="AH476" s="346">
        <v>366.94</v>
      </c>
      <c r="AI476" s="24"/>
      <c r="AJ476" s="24">
        <v>8.5299999999999994</v>
      </c>
      <c r="AK476" s="24">
        <v>0.975860124</v>
      </c>
      <c r="AL476" s="24">
        <f>140.97/171.43</f>
        <v>0.82231814734877207</v>
      </c>
      <c r="AM476" s="359" t="s">
        <v>156</v>
      </c>
      <c r="AN476" s="24">
        <f t="shared" si="85"/>
        <v>0</v>
      </c>
      <c r="AO476" s="54">
        <f t="shared" si="86"/>
        <v>0</v>
      </c>
      <c r="AP476" s="261">
        <f t="shared" si="87"/>
        <v>0</v>
      </c>
      <c r="AQ476" s="338"/>
      <c r="AR476" s="45"/>
      <c r="AS476" s="359"/>
      <c r="AT476" s="359"/>
    </row>
    <row r="477" spans="1:46" ht="24">
      <c r="A477" s="359" t="s">
        <v>645</v>
      </c>
      <c r="B477" s="359" t="str">
        <f t="shared" si="78"/>
        <v>Glass</v>
      </c>
      <c r="C477" s="141">
        <f t="shared" si="79"/>
        <v>7.7</v>
      </c>
      <c r="D477" s="277">
        <f t="shared" si="80"/>
        <v>348.74</v>
      </c>
      <c r="E477" s="20">
        <f t="shared" si="81"/>
        <v>0</v>
      </c>
      <c r="F477" s="20">
        <f t="shared" si="82"/>
        <v>0</v>
      </c>
      <c r="G477" s="277">
        <f t="shared" si="83"/>
        <v>268.52980000000002</v>
      </c>
      <c r="H477" s="3">
        <f t="shared" si="77"/>
        <v>0</v>
      </c>
      <c r="I477" s="277">
        <f t="shared" si="84"/>
        <v>0</v>
      </c>
      <c r="J477" s="359"/>
      <c r="K477" s="359" t="s">
        <v>641</v>
      </c>
      <c r="L477" s="359"/>
      <c r="M477" s="338" t="s">
        <v>642</v>
      </c>
      <c r="N477" s="89">
        <v>41138</v>
      </c>
      <c r="O477" s="359">
        <v>176</v>
      </c>
      <c r="P477" s="359" t="s">
        <v>290</v>
      </c>
      <c r="Q477" s="359"/>
      <c r="R477" s="359"/>
      <c r="S477" s="359">
        <v>20</v>
      </c>
      <c r="T477" s="359">
        <v>124</v>
      </c>
      <c r="U477" s="359"/>
      <c r="V477" s="359"/>
      <c r="W477" s="359"/>
      <c r="X477" s="359"/>
      <c r="Y477" s="359">
        <v>47</v>
      </c>
      <c r="Z477" s="359"/>
      <c r="AA477" s="210"/>
      <c r="AB477" s="248">
        <v>9.6600000000000005E-2</v>
      </c>
      <c r="AC477" s="359">
        <v>0.43840000000000001</v>
      </c>
      <c r="AD477" s="359">
        <v>0.46500000000000002</v>
      </c>
      <c r="AE477" s="359"/>
      <c r="AF477" s="359">
        <v>7.7</v>
      </c>
      <c r="AG477" s="153"/>
      <c r="AH477" s="346">
        <v>348.74</v>
      </c>
      <c r="AI477" s="24"/>
      <c r="AJ477" s="24"/>
      <c r="AK477" s="24"/>
      <c r="AL477" s="24"/>
      <c r="AM477" s="359" t="s">
        <v>156</v>
      </c>
      <c r="AN477" s="24">
        <f t="shared" si="85"/>
        <v>268.52980000000002</v>
      </c>
      <c r="AO477" s="54">
        <f t="shared" si="86"/>
        <v>0</v>
      </c>
      <c r="AP477" s="261">
        <f t="shared" si="87"/>
        <v>3.725806451612903</v>
      </c>
      <c r="AQ477" s="338"/>
      <c r="AR477" s="45"/>
      <c r="AS477" s="359"/>
      <c r="AT477" s="359"/>
    </row>
    <row r="478" spans="1:46" ht="24">
      <c r="A478" s="359" t="s">
        <v>646</v>
      </c>
      <c r="B478" s="359" t="str">
        <f t="shared" si="78"/>
        <v>MgO</v>
      </c>
      <c r="C478" s="141">
        <f t="shared" si="79"/>
        <v>0</v>
      </c>
      <c r="D478" s="277">
        <f t="shared" si="80"/>
        <v>480.41481599999997</v>
      </c>
      <c r="E478" s="20">
        <f t="shared" si="81"/>
        <v>0</v>
      </c>
      <c r="F478" s="20">
        <f t="shared" si="82"/>
        <v>0</v>
      </c>
      <c r="G478" s="277">
        <f t="shared" si="83"/>
        <v>0</v>
      </c>
      <c r="H478" s="3">
        <f t="shared" si="77"/>
        <v>0</v>
      </c>
      <c r="I478" s="277">
        <f t="shared" si="84"/>
        <v>0</v>
      </c>
      <c r="J478" s="359"/>
      <c r="K478" s="359" t="s">
        <v>647</v>
      </c>
      <c r="L478" s="359"/>
      <c r="M478" s="338" t="s">
        <v>642</v>
      </c>
      <c r="N478" s="89">
        <v>41141</v>
      </c>
      <c r="O478" s="359">
        <v>177</v>
      </c>
      <c r="P478" s="359" t="s">
        <v>46</v>
      </c>
      <c r="Q478" s="359"/>
      <c r="R478" s="359"/>
      <c r="S478" s="359">
        <v>800</v>
      </c>
      <c r="T478" s="359">
        <v>80</v>
      </c>
      <c r="U478" s="359"/>
      <c r="V478" s="359"/>
      <c r="W478" s="359"/>
      <c r="X478" s="359"/>
      <c r="Y478" s="359">
        <v>47</v>
      </c>
      <c r="Z478" s="359"/>
      <c r="AA478" s="210"/>
      <c r="AB478" s="248"/>
      <c r="AC478" s="359"/>
      <c r="AD478" s="359"/>
      <c r="AE478" s="359"/>
      <c r="AF478" s="359"/>
      <c r="AG478" s="153"/>
      <c r="AH478" s="346">
        <f>AVERAGE(132.5, 139.4, 132)*3.56832</f>
        <v>480.41481599999997</v>
      </c>
      <c r="AI478" s="24"/>
      <c r="AJ478" s="24"/>
      <c r="AK478" s="24"/>
      <c r="AL478" s="24"/>
      <c r="AM478" s="359"/>
      <c r="AN478" s="24">
        <f t="shared" si="85"/>
        <v>0</v>
      </c>
      <c r="AO478" s="54">
        <f t="shared" si="86"/>
        <v>0</v>
      </c>
      <c r="AP478" s="261">
        <f t="shared" si="87"/>
        <v>0</v>
      </c>
      <c r="AQ478" s="338"/>
      <c r="AR478" s="45"/>
      <c r="AS478" s="359"/>
      <c r="AT478" s="359"/>
    </row>
    <row r="479" spans="1:46" ht="24">
      <c r="A479" s="359" t="s">
        <v>648</v>
      </c>
      <c r="B479" s="359" t="str">
        <f t="shared" si="78"/>
        <v>MgO</v>
      </c>
      <c r="C479" s="141">
        <f t="shared" si="79"/>
        <v>0</v>
      </c>
      <c r="D479" s="277">
        <f t="shared" si="80"/>
        <v>481.36636800000002</v>
      </c>
      <c r="E479" s="20">
        <f t="shared" si="81"/>
        <v>0</v>
      </c>
      <c r="F479" s="20">
        <f t="shared" si="82"/>
        <v>0</v>
      </c>
      <c r="G479" s="277">
        <f t="shared" si="83"/>
        <v>0</v>
      </c>
      <c r="H479" s="3">
        <f t="shared" si="77"/>
        <v>0</v>
      </c>
      <c r="I479" s="277">
        <f t="shared" si="84"/>
        <v>0</v>
      </c>
      <c r="J479" s="359"/>
      <c r="K479" s="359" t="s">
        <v>647</v>
      </c>
      <c r="L479" s="359"/>
      <c r="M479" s="338" t="s">
        <v>642</v>
      </c>
      <c r="N479" s="89">
        <v>41141</v>
      </c>
      <c r="O479" s="359">
        <v>177</v>
      </c>
      <c r="P479" s="359" t="s">
        <v>46</v>
      </c>
      <c r="Q479" s="359"/>
      <c r="R479" s="359"/>
      <c r="S479" s="359">
        <v>800</v>
      </c>
      <c r="T479" s="359">
        <v>80</v>
      </c>
      <c r="U479" s="359"/>
      <c r="V479" s="359"/>
      <c r="W479" s="359"/>
      <c r="X479" s="359"/>
      <c r="Y479" s="359">
        <v>47</v>
      </c>
      <c r="Z479" s="359"/>
      <c r="AA479" s="210"/>
      <c r="AB479" s="248"/>
      <c r="AC479" s="359"/>
      <c r="AD479" s="359"/>
      <c r="AE479" s="359"/>
      <c r="AF479" s="359"/>
      <c r="AG479" s="153"/>
      <c r="AH479" s="346">
        <f>AVERAGE(134.7, 134, 136)*3.56832</f>
        <v>481.36636800000002</v>
      </c>
      <c r="AI479" s="24"/>
      <c r="AJ479" s="24"/>
      <c r="AK479" s="24"/>
      <c r="AL479" s="24"/>
      <c r="AM479" s="359"/>
      <c r="AN479" s="24">
        <f t="shared" si="85"/>
        <v>0</v>
      </c>
      <c r="AO479" s="54">
        <f t="shared" si="86"/>
        <v>0</v>
      </c>
      <c r="AP479" s="261">
        <f t="shared" si="87"/>
        <v>0</v>
      </c>
      <c r="AQ479" s="338"/>
      <c r="AR479" s="45"/>
      <c r="AS479" s="359"/>
      <c r="AT479" s="359"/>
    </row>
    <row r="480" spans="1:46" ht="24">
      <c r="A480" s="359" t="s">
        <v>649</v>
      </c>
      <c r="B480" s="359" t="str">
        <f t="shared" si="78"/>
        <v>MgO</v>
      </c>
      <c r="C480" s="141">
        <f t="shared" si="79"/>
        <v>0</v>
      </c>
      <c r="D480" s="277">
        <f t="shared" si="80"/>
        <v>0</v>
      </c>
      <c r="E480" s="20">
        <f t="shared" si="81"/>
        <v>0</v>
      </c>
      <c r="F480" s="20">
        <f t="shared" si="82"/>
        <v>0</v>
      </c>
      <c r="G480" s="277">
        <f t="shared" si="83"/>
        <v>0</v>
      </c>
      <c r="H480" s="3">
        <f t="shared" ref="H480:H543" si="88">AL480</f>
        <v>0</v>
      </c>
      <c r="I480" s="277">
        <f t="shared" si="84"/>
        <v>0</v>
      </c>
      <c r="J480" s="359"/>
      <c r="K480" s="359" t="s">
        <v>647</v>
      </c>
      <c r="L480" s="359"/>
      <c r="M480" s="338" t="s">
        <v>642</v>
      </c>
      <c r="N480" s="89">
        <v>41141</v>
      </c>
      <c r="O480" s="359">
        <v>177</v>
      </c>
      <c r="P480" s="359" t="s">
        <v>46</v>
      </c>
      <c r="Q480" s="359"/>
      <c r="R480" s="359"/>
      <c r="S480" s="359">
        <v>800</v>
      </c>
      <c r="T480" s="359">
        <v>80</v>
      </c>
      <c r="U480" s="359"/>
      <c r="V480" s="359"/>
      <c r="W480" s="359"/>
      <c r="X480" s="359"/>
      <c r="Y480" s="359">
        <v>47</v>
      </c>
      <c r="Z480" s="359"/>
      <c r="AA480" s="210"/>
      <c r="AB480" s="248"/>
      <c r="AC480" s="359"/>
      <c r="AD480" s="359"/>
      <c r="AE480" s="359"/>
      <c r="AF480" s="359"/>
      <c r="AG480" s="153"/>
      <c r="AH480" s="346"/>
      <c r="AI480" s="24"/>
      <c r="AJ480" s="24"/>
      <c r="AK480" s="24"/>
      <c r="AL480" s="24"/>
      <c r="AM480" s="359"/>
      <c r="AN480" s="24">
        <f t="shared" si="85"/>
        <v>0</v>
      </c>
      <c r="AO480" s="54">
        <f t="shared" si="86"/>
        <v>0</v>
      </c>
      <c r="AP480" s="261">
        <f t="shared" si="87"/>
        <v>0</v>
      </c>
      <c r="AQ480" s="338"/>
      <c r="AR480" s="45"/>
      <c r="AS480" s="359"/>
      <c r="AT480" s="359"/>
    </row>
    <row r="481" spans="1:46" ht="24">
      <c r="A481" s="359" t="s">
        <v>650</v>
      </c>
      <c r="B481" s="359" t="str">
        <f t="shared" si="78"/>
        <v>MgO</v>
      </c>
      <c r="C481" s="141">
        <f t="shared" si="79"/>
        <v>3.1</v>
      </c>
      <c r="D481" s="277">
        <f t="shared" si="80"/>
        <v>0</v>
      </c>
      <c r="E481" s="20">
        <f t="shared" si="81"/>
        <v>10.55</v>
      </c>
      <c r="F481" s="20">
        <f t="shared" si="82"/>
        <v>1.66072847</v>
      </c>
      <c r="G481" s="277">
        <f t="shared" si="83"/>
        <v>0</v>
      </c>
      <c r="H481" s="3">
        <f t="shared" si="88"/>
        <v>0.66933123170457109</v>
      </c>
      <c r="I481" s="277">
        <f t="shared" si="84"/>
        <v>0</v>
      </c>
      <c r="J481" s="359"/>
      <c r="K481" s="359" t="s">
        <v>647</v>
      </c>
      <c r="L481" s="359"/>
      <c r="M481" s="338" t="s">
        <v>642</v>
      </c>
      <c r="N481" s="89">
        <v>41141</v>
      </c>
      <c r="O481" s="359">
        <v>177</v>
      </c>
      <c r="P481" s="359" t="s">
        <v>46</v>
      </c>
      <c r="Q481" s="359"/>
      <c r="R481" s="359"/>
      <c r="S481" s="359">
        <v>800</v>
      </c>
      <c r="T481" s="359">
        <v>80</v>
      </c>
      <c r="U481" s="359"/>
      <c r="V481" s="359"/>
      <c r="W481" s="359"/>
      <c r="X481" s="359"/>
      <c r="Y481" s="359">
        <v>47</v>
      </c>
      <c r="Z481" s="359"/>
      <c r="AA481" s="210"/>
      <c r="AB481" s="248">
        <v>0.15429999999999999</v>
      </c>
      <c r="AC481" s="359">
        <v>0.6391</v>
      </c>
      <c r="AD481" s="359">
        <v>0.20649999999999999</v>
      </c>
      <c r="AE481" s="359"/>
      <c r="AF481" s="359">
        <v>3.1</v>
      </c>
      <c r="AG481" s="153"/>
      <c r="AH481" s="346"/>
      <c r="AI481" s="24"/>
      <c r="AJ481" s="24">
        <v>10.55</v>
      </c>
      <c r="AK481" s="24">
        <v>1.66072847</v>
      </c>
      <c r="AL481" s="24">
        <f>178.35/266.46</f>
        <v>0.66933123170457109</v>
      </c>
      <c r="AM481" s="359" t="s">
        <v>156</v>
      </c>
      <c r="AN481" s="24">
        <f t="shared" si="85"/>
        <v>0</v>
      </c>
      <c r="AO481" s="54">
        <f t="shared" si="86"/>
        <v>0</v>
      </c>
      <c r="AP481" s="261">
        <f t="shared" si="87"/>
        <v>2.3250000000000002</v>
      </c>
      <c r="AQ481" s="338"/>
      <c r="AR481" s="45"/>
      <c r="AS481" s="359"/>
      <c r="AT481" s="359"/>
    </row>
    <row r="482" spans="1:46" ht="24">
      <c r="A482" s="359" t="s">
        <v>651</v>
      </c>
      <c r="B482" s="359" t="str">
        <f t="shared" si="78"/>
        <v>Al2O3</v>
      </c>
      <c r="C482" s="141">
        <f t="shared" si="79"/>
        <v>0</v>
      </c>
      <c r="D482" s="277">
        <f t="shared" si="80"/>
        <v>564.15139199999999</v>
      </c>
      <c r="E482" s="20">
        <f t="shared" si="81"/>
        <v>0</v>
      </c>
      <c r="F482" s="20">
        <f t="shared" si="82"/>
        <v>0</v>
      </c>
      <c r="G482" s="277">
        <f t="shared" si="83"/>
        <v>0</v>
      </c>
      <c r="H482" s="3">
        <f t="shared" si="88"/>
        <v>0</v>
      </c>
      <c r="I482" s="277">
        <f t="shared" si="84"/>
        <v>0</v>
      </c>
      <c r="J482" s="359"/>
      <c r="K482" s="359" t="s">
        <v>652</v>
      </c>
      <c r="L482" s="359"/>
      <c r="M482" s="338" t="s">
        <v>582</v>
      </c>
      <c r="N482" s="89">
        <v>41145</v>
      </c>
      <c r="O482" s="359">
        <v>180</v>
      </c>
      <c r="P482" s="359" t="s">
        <v>622</v>
      </c>
      <c r="Q482" s="359"/>
      <c r="R482" s="359"/>
      <c r="S482" s="359">
        <v>800</v>
      </c>
      <c r="T482" s="359">
        <v>100</v>
      </c>
      <c r="U482" s="359"/>
      <c r="V482" s="359"/>
      <c r="W482" s="359"/>
      <c r="X482" s="359"/>
      <c r="Y482" s="359">
        <v>47</v>
      </c>
      <c r="Z482" s="359"/>
      <c r="AA482" s="210"/>
      <c r="AB482" s="248"/>
      <c r="AC482" s="359"/>
      <c r="AD482" s="359"/>
      <c r="AE482" s="359"/>
      <c r="AF482" s="359"/>
      <c r="AG482" s="153"/>
      <c r="AH482" s="346">
        <f>AVERAGE(158.5, 156.1, 159.7)*3.56832</f>
        <v>564.15139199999999</v>
      </c>
      <c r="AI482" s="24"/>
      <c r="AJ482" s="24"/>
      <c r="AK482" s="24"/>
      <c r="AL482" s="24"/>
      <c r="AM482" s="359"/>
      <c r="AN482" s="24">
        <f t="shared" si="85"/>
        <v>0</v>
      </c>
      <c r="AO482" s="54">
        <f t="shared" si="86"/>
        <v>0</v>
      </c>
      <c r="AP482" s="261">
        <f t="shared" si="87"/>
        <v>0</v>
      </c>
      <c r="AQ482" s="338"/>
      <c r="AR482" s="45"/>
      <c r="AS482" s="359"/>
      <c r="AT482" s="359"/>
    </row>
    <row r="483" spans="1:46" ht="12">
      <c r="A483" s="359" t="s">
        <v>653</v>
      </c>
      <c r="B483" s="359" t="str">
        <f t="shared" si="78"/>
        <v>Al2O3</v>
      </c>
      <c r="C483" s="141">
        <f t="shared" si="79"/>
        <v>0</v>
      </c>
      <c r="D483" s="277">
        <f t="shared" si="80"/>
        <v>567.36288000000002</v>
      </c>
      <c r="E483" s="20">
        <f t="shared" si="81"/>
        <v>7.8</v>
      </c>
      <c r="F483" s="20">
        <f t="shared" si="82"/>
        <v>1.733663132</v>
      </c>
      <c r="G483" s="277">
        <f t="shared" si="83"/>
        <v>0</v>
      </c>
      <c r="H483" s="3">
        <f t="shared" si="88"/>
        <v>0.51800000000000002</v>
      </c>
      <c r="I483" s="277">
        <f t="shared" si="84"/>
        <v>0</v>
      </c>
      <c r="J483" s="359"/>
      <c r="K483" s="359" t="s">
        <v>654</v>
      </c>
      <c r="L483" s="359"/>
      <c r="M483" s="338" t="s">
        <v>582</v>
      </c>
      <c r="N483" s="89">
        <v>41145</v>
      </c>
      <c r="O483" s="359">
        <v>180</v>
      </c>
      <c r="P483" s="359" t="s">
        <v>622</v>
      </c>
      <c r="Q483" s="359"/>
      <c r="R483" s="359"/>
      <c r="S483" s="359">
        <v>800</v>
      </c>
      <c r="T483" s="359">
        <v>100</v>
      </c>
      <c r="U483" s="359"/>
      <c r="V483" s="359"/>
      <c r="W483" s="359"/>
      <c r="X483" s="359"/>
      <c r="Y483" s="359">
        <v>47</v>
      </c>
      <c r="Z483" s="359"/>
      <c r="AA483" s="210"/>
      <c r="AB483" s="248"/>
      <c r="AC483" s="359"/>
      <c r="AD483" s="359"/>
      <c r="AE483" s="359"/>
      <c r="AF483" s="359"/>
      <c r="AG483" s="153"/>
      <c r="AH483" s="346">
        <f>AVERAGE(159.8, 157.2, 160)*3.56832</f>
        <v>567.36288000000002</v>
      </c>
      <c r="AI483" s="24"/>
      <c r="AJ483" s="24">
        <v>7.8</v>
      </c>
      <c r="AK483" s="24">
        <v>1.733663132</v>
      </c>
      <c r="AL483" s="24">
        <v>0.51800000000000002</v>
      </c>
      <c r="AM483" s="359"/>
      <c r="AN483" s="24">
        <f t="shared" si="85"/>
        <v>0</v>
      </c>
      <c r="AO483" s="54">
        <f t="shared" si="86"/>
        <v>0</v>
      </c>
      <c r="AP483" s="261">
        <f t="shared" si="87"/>
        <v>0</v>
      </c>
      <c r="AQ483" s="338"/>
      <c r="AR483" s="45"/>
      <c r="AS483" s="359"/>
      <c r="AT483" s="359"/>
    </row>
    <row r="484" spans="1:46" ht="12">
      <c r="A484" s="359" t="s">
        <v>655</v>
      </c>
      <c r="B484" s="359" t="str">
        <f t="shared" si="78"/>
        <v>MgO</v>
      </c>
      <c r="C484" s="141">
        <f t="shared" si="79"/>
        <v>0</v>
      </c>
      <c r="D484" s="277">
        <f t="shared" si="80"/>
        <v>573.31007999999997</v>
      </c>
      <c r="E484" s="20">
        <f t="shared" si="81"/>
        <v>0</v>
      </c>
      <c r="F484" s="20">
        <f t="shared" si="82"/>
        <v>0</v>
      </c>
      <c r="G484" s="277">
        <f t="shared" si="83"/>
        <v>0</v>
      </c>
      <c r="H484" s="3">
        <f t="shared" si="88"/>
        <v>0</v>
      </c>
      <c r="I484" s="277">
        <f t="shared" si="84"/>
        <v>0</v>
      </c>
      <c r="J484" s="359"/>
      <c r="K484" s="359" t="s">
        <v>654</v>
      </c>
      <c r="L484" s="359"/>
      <c r="M484" s="338" t="s">
        <v>582</v>
      </c>
      <c r="N484" s="89">
        <v>41145</v>
      </c>
      <c r="O484" s="359">
        <v>180</v>
      </c>
      <c r="P484" s="359" t="s">
        <v>46</v>
      </c>
      <c r="Q484" s="359"/>
      <c r="R484" s="359"/>
      <c r="S484" s="359">
        <v>800</v>
      </c>
      <c r="T484" s="359">
        <v>100</v>
      </c>
      <c r="U484" s="359"/>
      <c r="V484" s="359"/>
      <c r="W484" s="359"/>
      <c r="X484" s="359"/>
      <c r="Y484" s="359">
        <v>47</v>
      </c>
      <c r="Z484" s="359"/>
      <c r="AA484" s="210"/>
      <c r="AB484" s="248"/>
      <c r="AC484" s="359"/>
      <c r="AD484" s="359"/>
      <c r="AE484" s="359"/>
      <c r="AF484" s="359"/>
      <c r="AG484" s="153"/>
      <c r="AH484" s="346">
        <f>AVERAGE(160.2, 160.7, 161.1)*3.56832</f>
        <v>573.31007999999997</v>
      </c>
      <c r="AI484" s="24"/>
      <c r="AJ484" s="24"/>
      <c r="AK484" s="24"/>
      <c r="AL484" s="24"/>
      <c r="AM484" s="359"/>
      <c r="AN484" s="24">
        <f t="shared" si="85"/>
        <v>0</v>
      </c>
      <c r="AO484" s="54">
        <f t="shared" si="86"/>
        <v>0</v>
      </c>
      <c r="AP484" s="261">
        <f t="shared" si="87"/>
        <v>0</v>
      </c>
      <c r="AQ484" s="338"/>
      <c r="AR484" s="45"/>
      <c r="AS484" s="359"/>
      <c r="AT484" s="359"/>
    </row>
    <row r="485" spans="1:46" ht="12">
      <c r="A485" s="359" t="s">
        <v>656</v>
      </c>
      <c r="B485" s="359" t="str">
        <f t="shared" si="78"/>
        <v>MgO</v>
      </c>
      <c r="C485" s="141">
        <f t="shared" si="79"/>
        <v>0</v>
      </c>
      <c r="D485" s="277">
        <f t="shared" si="80"/>
        <v>582.78991680000001</v>
      </c>
      <c r="E485" s="20">
        <f t="shared" si="81"/>
        <v>6.5</v>
      </c>
      <c r="F485" s="20">
        <f t="shared" si="82"/>
        <v>1.6597409569999999</v>
      </c>
      <c r="G485" s="277">
        <f t="shared" si="83"/>
        <v>0</v>
      </c>
      <c r="H485" s="3">
        <f t="shared" si="88"/>
        <v>0.374</v>
      </c>
      <c r="I485" s="277">
        <f t="shared" si="84"/>
        <v>0</v>
      </c>
      <c r="J485" s="359"/>
      <c r="K485" s="359" t="s">
        <v>654</v>
      </c>
      <c r="L485" s="359"/>
      <c r="M485" s="338" t="s">
        <v>582</v>
      </c>
      <c r="N485" s="89">
        <v>41145</v>
      </c>
      <c r="O485" s="359">
        <v>180</v>
      </c>
      <c r="P485" s="359" t="s">
        <v>46</v>
      </c>
      <c r="Q485" s="359"/>
      <c r="R485" s="359"/>
      <c r="S485" s="359">
        <v>800</v>
      </c>
      <c r="T485" s="359">
        <v>100</v>
      </c>
      <c r="U485" s="359"/>
      <c r="V485" s="359"/>
      <c r="W485" s="359"/>
      <c r="X485" s="359"/>
      <c r="Y485" s="359">
        <v>47</v>
      </c>
      <c r="Z485" s="359"/>
      <c r="AA485" s="210"/>
      <c r="AB485" s="248"/>
      <c r="AC485" s="359"/>
      <c r="AD485" s="359"/>
      <c r="AE485" s="359"/>
      <c r="AF485" s="359"/>
      <c r="AG485" s="153"/>
      <c r="AH485" s="346">
        <f>AVERAGE(164.07, 162.5, 163.4)*3.56832</f>
        <v>582.78991680000001</v>
      </c>
      <c r="AI485" s="24"/>
      <c r="AJ485" s="24">
        <v>6.5</v>
      </c>
      <c r="AK485" s="24">
        <v>1.6597409569999999</v>
      </c>
      <c r="AL485" s="24">
        <v>0.374</v>
      </c>
      <c r="AM485" s="359"/>
      <c r="AN485" s="24">
        <f t="shared" si="85"/>
        <v>0</v>
      </c>
      <c r="AO485" s="54">
        <f t="shared" si="86"/>
        <v>0</v>
      </c>
      <c r="AP485" s="261">
        <f t="shared" si="87"/>
        <v>0</v>
      </c>
      <c r="AQ485" s="338"/>
      <c r="AR485" s="45"/>
      <c r="AS485" s="359"/>
      <c r="AT485" s="359"/>
    </row>
    <row r="486" spans="1:46" ht="12">
      <c r="A486" s="359" t="s">
        <v>657</v>
      </c>
      <c r="B486" s="359" t="str">
        <f t="shared" si="78"/>
        <v>Sinx</v>
      </c>
      <c r="C486" s="141">
        <f t="shared" si="79"/>
        <v>0</v>
      </c>
      <c r="D486" s="277">
        <f t="shared" si="80"/>
        <v>443.83953600000001</v>
      </c>
      <c r="E486" s="20">
        <f t="shared" si="81"/>
        <v>0</v>
      </c>
      <c r="F486" s="20">
        <f t="shared" si="82"/>
        <v>0</v>
      </c>
      <c r="G486" s="277">
        <f t="shared" si="83"/>
        <v>0</v>
      </c>
      <c r="H486" s="3">
        <f t="shared" si="88"/>
        <v>0</v>
      </c>
      <c r="I486" s="277">
        <f t="shared" si="84"/>
        <v>0</v>
      </c>
      <c r="J486" s="359"/>
      <c r="K486" s="359" t="s">
        <v>658</v>
      </c>
      <c r="L486" s="359"/>
      <c r="M486" s="338" t="s">
        <v>582</v>
      </c>
      <c r="N486" s="89">
        <v>41148</v>
      </c>
      <c r="O486" s="359">
        <v>181</v>
      </c>
      <c r="P486" s="359" t="s">
        <v>591</v>
      </c>
      <c r="Q486" s="359"/>
      <c r="R486" s="359"/>
      <c r="S486" s="359" t="s">
        <v>659</v>
      </c>
      <c r="T486" s="359">
        <v>120</v>
      </c>
      <c r="U486" s="359"/>
      <c r="V486" s="359"/>
      <c r="W486" s="359"/>
      <c r="X486" s="359"/>
      <c r="Y486" s="359">
        <v>47</v>
      </c>
      <c r="Z486" s="359"/>
      <c r="AA486" s="210"/>
      <c r="AB486" s="248"/>
      <c r="AC486" s="359"/>
      <c r="AD486" s="359"/>
      <c r="AE486" s="359"/>
      <c r="AF486" s="359"/>
      <c r="AG486" s="153"/>
      <c r="AH486" s="346">
        <f>AVERAGE(124.9, 124.2, 124.05)*3.56832</f>
        <v>443.83953600000001</v>
      </c>
      <c r="AI486" s="24"/>
      <c r="AJ486" s="24"/>
      <c r="AK486" s="24"/>
      <c r="AL486" s="24"/>
      <c r="AM486" s="359"/>
      <c r="AN486" s="24">
        <f t="shared" si="85"/>
        <v>0</v>
      </c>
      <c r="AO486" s="54">
        <f t="shared" si="86"/>
        <v>0</v>
      </c>
      <c r="AP486" s="261">
        <f t="shared" si="87"/>
        <v>0</v>
      </c>
      <c r="AQ486" s="338"/>
      <c r="AR486" s="45"/>
      <c r="AS486" s="359"/>
      <c r="AT486" s="359"/>
    </row>
    <row r="487" spans="1:46" ht="12">
      <c r="A487" s="359" t="s">
        <v>660</v>
      </c>
      <c r="B487" s="359" t="str">
        <f t="shared" si="78"/>
        <v>SInx</v>
      </c>
      <c r="C487" s="141">
        <f t="shared" si="79"/>
        <v>0</v>
      </c>
      <c r="D487" s="277">
        <f t="shared" si="80"/>
        <v>0</v>
      </c>
      <c r="E487" s="20">
        <f t="shared" si="81"/>
        <v>0</v>
      </c>
      <c r="F487" s="20">
        <f t="shared" si="82"/>
        <v>0</v>
      </c>
      <c r="G487" s="277">
        <f t="shared" si="83"/>
        <v>0</v>
      </c>
      <c r="H487" s="3">
        <f t="shared" si="88"/>
        <v>0</v>
      </c>
      <c r="I487" s="277">
        <f t="shared" si="84"/>
        <v>0</v>
      </c>
      <c r="J487" s="359"/>
      <c r="K487" s="359" t="s">
        <v>661</v>
      </c>
      <c r="L487" s="359"/>
      <c r="M487" s="338" t="s">
        <v>582</v>
      </c>
      <c r="N487" s="89">
        <v>41148</v>
      </c>
      <c r="O487" s="359">
        <v>181</v>
      </c>
      <c r="P487" s="359" t="s">
        <v>662</v>
      </c>
      <c r="Q487" s="359"/>
      <c r="R487" s="359"/>
      <c r="S487" s="359" t="s">
        <v>659</v>
      </c>
      <c r="T487" s="359">
        <v>120</v>
      </c>
      <c r="U487" s="359"/>
      <c r="V487" s="359"/>
      <c r="W487" s="359"/>
      <c r="X487" s="359"/>
      <c r="Y487" s="359">
        <v>47</v>
      </c>
      <c r="Z487" s="359"/>
      <c r="AA487" s="210"/>
      <c r="AB487" s="248"/>
      <c r="AC487" s="359"/>
      <c r="AD487" s="359"/>
      <c r="AE487" s="359"/>
      <c r="AF487" s="359"/>
      <c r="AG487" s="153"/>
      <c r="AH487" s="346"/>
      <c r="AI487" s="24"/>
      <c r="AJ487" s="24"/>
      <c r="AK487" s="24"/>
      <c r="AL487" s="24"/>
      <c r="AM487" s="359"/>
      <c r="AN487" s="24">
        <f t="shared" si="85"/>
        <v>0</v>
      </c>
      <c r="AO487" s="54">
        <f t="shared" si="86"/>
        <v>0</v>
      </c>
      <c r="AP487" s="261">
        <f t="shared" si="87"/>
        <v>0</v>
      </c>
      <c r="AQ487" s="338"/>
      <c r="AR487" s="45"/>
      <c r="AS487" s="359"/>
      <c r="AT487" s="359"/>
    </row>
    <row r="488" spans="1:46" ht="12">
      <c r="A488" s="359" t="s">
        <v>663</v>
      </c>
      <c r="B488" s="359" t="str">
        <f t="shared" si="78"/>
        <v>Sinx</v>
      </c>
      <c r="C488" s="141">
        <f t="shared" si="79"/>
        <v>0</v>
      </c>
      <c r="D488" s="277">
        <f t="shared" si="80"/>
        <v>440.925408</v>
      </c>
      <c r="E488" s="20">
        <f t="shared" si="81"/>
        <v>0</v>
      </c>
      <c r="F488" s="20">
        <f t="shared" si="82"/>
        <v>0</v>
      </c>
      <c r="G488" s="277">
        <f t="shared" si="83"/>
        <v>0</v>
      </c>
      <c r="H488" s="3">
        <f t="shared" si="88"/>
        <v>0</v>
      </c>
      <c r="I488" s="277">
        <f t="shared" si="84"/>
        <v>0</v>
      </c>
      <c r="J488" s="359"/>
      <c r="K488" s="359" t="s">
        <v>654</v>
      </c>
      <c r="L488" s="359"/>
      <c r="M488" s="338" t="s">
        <v>582</v>
      </c>
      <c r="N488" s="89">
        <v>41148</v>
      </c>
      <c r="O488" s="359">
        <v>181</v>
      </c>
      <c r="P488" s="359" t="s">
        <v>591</v>
      </c>
      <c r="Q488" s="359"/>
      <c r="R488" s="359"/>
      <c r="S488" s="359" t="s">
        <v>659</v>
      </c>
      <c r="T488" s="359">
        <v>120</v>
      </c>
      <c r="U488" s="359"/>
      <c r="V488" s="359"/>
      <c r="W488" s="359"/>
      <c r="X488" s="359"/>
      <c r="Y488" s="359">
        <v>47</v>
      </c>
      <c r="Z488" s="359"/>
      <c r="AA488" s="210"/>
      <c r="AB488" s="248"/>
      <c r="AC488" s="359"/>
      <c r="AD488" s="359"/>
      <c r="AE488" s="359"/>
      <c r="AF488" s="359"/>
      <c r="AG488" s="153"/>
      <c r="AH488" s="346">
        <f>AVERAGE(123.8, 123.4, 123.5)*3.56832</f>
        <v>440.925408</v>
      </c>
      <c r="AI488" s="24"/>
      <c r="AJ488" s="24"/>
      <c r="AK488" s="24"/>
      <c r="AL488" s="24"/>
      <c r="AM488" s="359"/>
      <c r="AN488" s="24">
        <f t="shared" si="85"/>
        <v>0</v>
      </c>
      <c r="AO488" s="54">
        <f t="shared" si="86"/>
        <v>0</v>
      </c>
      <c r="AP488" s="261">
        <f t="shared" si="87"/>
        <v>0</v>
      </c>
      <c r="AQ488" s="338"/>
      <c r="AR488" s="45"/>
      <c r="AS488" s="359"/>
      <c r="AT488" s="359"/>
    </row>
    <row r="489" spans="1:46" ht="12">
      <c r="A489" s="359" t="s">
        <v>664</v>
      </c>
      <c r="B489" s="359" t="str">
        <f t="shared" si="78"/>
        <v>Glass</v>
      </c>
      <c r="C489" s="141">
        <f t="shared" si="79"/>
        <v>7.7</v>
      </c>
      <c r="D489" s="277">
        <f t="shared" si="80"/>
        <v>447.94310399999995</v>
      </c>
      <c r="E489" s="20">
        <f t="shared" si="81"/>
        <v>0</v>
      </c>
      <c r="F489" s="20">
        <f t="shared" si="82"/>
        <v>0</v>
      </c>
      <c r="G489" s="277">
        <f t="shared" si="83"/>
        <v>344.91619007999998</v>
      </c>
      <c r="H489" s="3">
        <f t="shared" si="88"/>
        <v>0</v>
      </c>
      <c r="I489" s="277">
        <f t="shared" si="84"/>
        <v>0</v>
      </c>
      <c r="J489" s="359"/>
      <c r="K489" s="359" t="s">
        <v>654</v>
      </c>
      <c r="L489" s="359"/>
      <c r="M489" s="338" t="s">
        <v>582</v>
      </c>
      <c r="N489" s="89">
        <v>41148</v>
      </c>
      <c r="O489" s="359">
        <v>181</v>
      </c>
      <c r="P489" s="359" t="s">
        <v>290</v>
      </c>
      <c r="Q489" s="359"/>
      <c r="R489" s="359"/>
      <c r="S489" s="359" t="s">
        <v>659</v>
      </c>
      <c r="T489" s="359">
        <v>120</v>
      </c>
      <c r="U489" s="359"/>
      <c r="V489" s="359"/>
      <c r="W489" s="359"/>
      <c r="X489" s="359"/>
      <c r="Y489" s="359">
        <v>47</v>
      </c>
      <c r="Z489" s="359"/>
      <c r="AA489" s="210"/>
      <c r="AB489" s="248">
        <v>0.32050000000000001</v>
      </c>
      <c r="AC489" s="359">
        <v>0.43509999999999999</v>
      </c>
      <c r="AD489" s="359">
        <v>0.24429999999999999</v>
      </c>
      <c r="AE489" s="359"/>
      <c r="AF489" s="359">
        <v>7.7</v>
      </c>
      <c r="AG489" s="153"/>
      <c r="AH489" s="346">
        <f>AVERAGE(125.6, 125.3, 125.7)*3.56832</f>
        <v>447.94310399999995</v>
      </c>
      <c r="AI489" s="24"/>
      <c r="AJ489" s="24"/>
      <c r="AK489" s="24"/>
      <c r="AL489" s="24"/>
      <c r="AM489" s="359"/>
      <c r="AN489" s="24">
        <f t="shared" si="85"/>
        <v>344.91619007999998</v>
      </c>
      <c r="AO489" s="54">
        <f t="shared" si="86"/>
        <v>0</v>
      </c>
      <c r="AP489" s="261">
        <f t="shared" si="87"/>
        <v>3.8499999999999996</v>
      </c>
      <c r="AQ489" s="338"/>
      <c r="AR489" s="45"/>
      <c r="AS489" s="359"/>
      <c r="AT489" s="359"/>
    </row>
    <row r="490" spans="1:46" ht="12">
      <c r="A490" s="359" t="s">
        <v>665</v>
      </c>
      <c r="B490" s="359" t="str">
        <f t="shared" si="78"/>
        <v>MgO</v>
      </c>
      <c r="C490" s="141">
        <f t="shared" si="79"/>
        <v>0</v>
      </c>
      <c r="D490" s="277">
        <f t="shared" si="80"/>
        <v>1015.7817600000001</v>
      </c>
      <c r="E490" s="20">
        <f t="shared" si="81"/>
        <v>0</v>
      </c>
      <c r="F490" s="20">
        <f t="shared" si="82"/>
        <v>0</v>
      </c>
      <c r="G490" s="277">
        <f t="shared" si="83"/>
        <v>0</v>
      </c>
      <c r="H490" s="3">
        <f t="shared" si="88"/>
        <v>0</v>
      </c>
      <c r="I490" s="277">
        <f t="shared" si="84"/>
        <v>0</v>
      </c>
      <c r="J490" s="359"/>
      <c r="K490" s="359" t="s">
        <v>666</v>
      </c>
      <c r="L490" s="359"/>
      <c r="M490" s="338" t="s">
        <v>582</v>
      </c>
      <c r="N490" s="89">
        <v>41148</v>
      </c>
      <c r="O490" s="134">
        <v>182</v>
      </c>
      <c r="P490" s="359" t="s">
        <v>46</v>
      </c>
      <c r="Q490" s="359"/>
      <c r="R490" s="359"/>
      <c r="S490" s="359">
        <v>800</v>
      </c>
      <c r="T490" s="359">
        <v>60</v>
      </c>
      <c r="U490" s="359"/>
      <c r="V490" s="359"/>
      <c r="W490" s="359"/>
      <c r="X490" s="359"/>
      <c r="Y490" s="359">
        <v>47</v>
      </c>
      <c r="Z490" s="359"/>
      <c r="AA490" s="210"/>
      <c r="AB490" s="248"/>
      <c r="AC490" s="359"/>
      <c r="AD490" s="359"/>
      <c r="AE490" s="359"/>
      <c r="AF490" s="359"/>
      <c r="AG490" s="153"/>
      <c r="AH490" s="346">
        <f>AVERAGE(284, 285, 285)*3.56832</f>
        <v>1015.7817600000001</v>
      </c>
      <c r="AI490" s="24"/>
      <c r="AJ490" s="24"/>
      <c r="AK490" s="24"/>
      <c r="AL490" s="24"/>
      <c r="AM490" s="359"/>
      <c r="AN490" s="24">
        <f t="shared" si="85"/>
        <v>0</v>
      </c>
      <c r="AO490" s="54">
        <f t="shared" si="86"/>
        <v>0</v>
      </c>
      <c r="AP490" s="261">
        <f t="shared" si="87"/>
        <v>0</v>
      </c>
      <c r="AQ490" s="338"/>
      <c r="AR490" s="45"/>
      <c r="AS490" s="359"/>
      <c r="AT490" s="359"/>
    </row>
    <row r="491" spans="1:46" ht="12">
      <c r="A491" s="359" t="s">
        <v>667</v>
      </c>
      <c r="B491" s="359" t="str">
        <f t="shared" si="78"/>
        <v>MgO</v>
      </c>
      <c r="C491" s="141">
        <f t="shared" si="79"/>
        <v>0</v>
      </c>
      <c r="D491" s="277">
        <f t="shared" si="80"/>
        <v>987.23520000000008</v>
      </c>
      <c r="E491" s="20">
        <f t="shared" si="81"/>
        <v>0</v>
      </c>
      <c r="F491" s="20">
        <f t="shared" si="82"/>
        <v>0</v>
      </c>
      <c r="G491" s="277">
        <f t="shared" si="83"/>
        <v>0</v>
      </c>
      <c r="H491" s="3">
        <f t="shared" si="88"/>
        <v>0</v>
      </c>
      <c r="I491" s="277">
        <f t="shared" si="84"/>
        <v>0</v>
      </c>
      <c r="J491" s="359"/>
      <c r="K491" s="359" t="s">
        <v>654</v>
      </c>
      <c r="L491" s="359"/>
      <c r="M491" s="338" t="s">
        <v>582</v>
      </c>
      <c r="N491" s="89">
        <v>41148</v>
      </c>
      <c r="O491" s="134">
        <v>182</v>
      </c>
      <c r="P491" s="359" t="s">
        <v>46</v>
      </c>
      <c r="Q491" s="359"/>
      <c r="R491" s="359"/>
      <c r="S491" s="359">
        <v>800</v>
      </c>
      <c r="T491" s="359">
        <v>60</v>
      </c>
      <c r="U491" s="359"/>
      <c r="V491" s="359"/>
      <c r="W491" s="359"/>
      <c r="X491" s="359"/>
      <c r="Y491" s="359">
        <v>47</v>
      </c>
      <c r="Z491" s="359"/>
      <c r="AA491" s="210"/>
      <c r="AB491" s="248"/>
      <c r="AC491" s="359"/>
      <c r="AD491" s="359"/>
      <c r="AE491" s="359"/>
      <c r="AF491" s="359"/>
      <c r="AG491" s="153"/>
      <c r="AH491" s="346">
        <f>AVERAGE(275, 276, 279)*3.56832</f>
        <v>987.23520000000008</v>
      </c>
      <c r="AI491" s="24"/>
      <c r="AJ491" s="24"/>
      <c r="AK491" s="24"/>
      <c r="AL491" s="24"/>
      <c r="AM491" s="359"/>
      <c r="AN491" s="24">
        <f t="shared" si="85"/>
        <v>0</v>
      </c>
      <c r="AO491" s="54">
        <f t="shared" si="86"/>
        <v>0</v>
      </c>
      <c r="AP491" s="261">
        <f t="shared" si="87"/>
        <v>0</v>
      </c>
      <c r="AQ491" s="338"/>
      <c r="AR491" s="45"/>
      <c r="AS491" s="359"/>
      <c r="AT491" s="359"/>
    </row>
    <row r="492" spans="1:46" ht="12">
      <c r="A492" s="359" t="s">
        <v>668</v>
      </c>
      <c r="B492" s="359" t="str">
        <f t="shared" si="78"/>
        <v>MgO</v>
      </c>
      <c r="C492" s="141">
        <f t="shared" si="79"/>
        <v>0</v>
      </c>
      <c r="D492" s="277">
        <f t="shared" si="80"/>
        <v>1480.3770239999999</v>
      </c>
      <c r="E492" s="20">
        <f t="shared" si="81"/>
        <v>0</v>
      </c>
      <c r="F492" s="20">
        <f t="shared" si="82"/>
        <v>0</v>
      </c>
      <c r="G492" s="277">
        <f t="shared" si="83"/>
        <v>0</v>
      </c>
      <c r="H492" s="3">
        <f t="shared" si="88"/>
        <v>0</v>
      </c>
      <c r="I492" s="277">
        <f t="shared" si="84"/>
        <v>0</v>
      </c>
      <c r="J492" s="359"/>
      <c r="K492" s="359" t="s">
        <v>654</v>
      </c>
      <c r="L492" s="359"/>
      <c r="M492" s="338" t="s">
        <v>582</v>
      </c>
      <c r="N492" s="89">
        <v>41148</v>
      </c>
      <c r="O492" s="134">
        <v>182</v>
      </c>
      <c r="P492" s="359" t="s">
        <v>46</v>
      </c>
      <c r="Q492" s="359"/>
      <c r="R492" s="359"/>
      <c r="S492" s="359">
        <v>800</v>
      </c>
      <c r="T492" s="359">
        <v>60</v>
      </c>
      <c r="U492" s="359"/>
      <c r="V492" s="359"/>
      <c r="W492" s="359"/>
      <c r="X492" s="359"/>
      <c r="Y492" s="359">
        <v>47</v>
      </c>
      <c r="Z492" s="359"/>
      <c r="AA492" s="210"/>
      <c r="AB492" s="248"/>
      <c r="AC492" s="359"/>
      <c r="AD492" s="359"/>
      <c r="AE492" s="359"/>
      <c r="AF492" s="359"/>
      <c r="AG492" s="153"/>
      <c r="AH492" s="346">
        <f>3.56832*AVERAGE(416, 415.6, 413)</f>
        <v>1480.3770239999999</v>
      </c>
      <c r="AI492" s="24"/>
      <c r="AJ492" s="24"/>
      <c r="AK492" s="24"/>
      <c r="AL492" s="24"/>
      <c r="AM492" s="359"/>
      <c r="AN492" s="24">
        <f t="shared" si="85"/>
        <v>0</v>
      </c>
      <c r="AO492" s="54">
        <f t="shared" si="86"/>
        <v>0</v>
      </c>
      <c r="AP492" s="261">
        <f t="shared" si="87"/>
        <v>0</v>
      </c>
      <c r="AQ492" s="338"/>
      <c r="AR492" s="45"/>
      <c r="AS492" s="359"/>
      <c r="AT492" s="359"/>
    </row>
    <row r="493" spans="1:46" ht="12">
      <c r="A493" s="359" t="s">
        <v>669</v>
      </c>
      <c r="B493" s="359" t="str">
        <f t="shared" si="78"/>
        <v>MgO</v>
      </c>
      <c r="C493" s="141">
        <f t="shared" si="79"/>
        <v>0</v>
      </c>
      <c r="D493" s="277">
        <f t="shared" si="80"/>
        <v>974.22272639999994</v>
      </c>
      <c r="E493" s="20">
        <f t="shared" si="81"/>
        <v>6.4</v>
      </c>
      <c r="F493" s="20">
        <f t="shared" si="82"/>
        <v>2.1393721889999999</v>
      </c>
      <c r="G493" s="277">
        <f t="shared" si="83"/>
        <v>0</v>
      </c>
      <c r="H493" s="3">
        <f t="shared" si="88"/>
        <v>0.46300000000000002</v>
      </c>
      <c r="I493" s="277">
        <f t="shared" si="84"/>
        <v>0</v>
      </c>
      <c r="J493" s="359"/>
      <c r="K493" s="359" t="s">
        <v>654</v>
      </c>
      <c r="L493" s="359"/>
      <c r="M493" s="338" t="s">
        <v>582</v>
      </c>
      <c r="N493" s="89">
        <v>41148</v>
      </c>
      <c r="O493" s="134">
        <v>182</v>
      </c>
      <c r="P493" s="359" t="s">
        <v>46</v>
      </c>
      <c r="Q493" s="359"/>
      <c r="R493" s="359"/>
      <c r="S493" s="359">
        <v>800</v>
      </c>
      <c r="T493" s="359">
        <v>60</v>
      </c>
      <c r="U493" s="359"/>
      <c r="V493" s="359"/>
      <c r="W493" s="359"/>
      <c r="X493" s="359"/>
      <c r="Y493" s="359">
        <v>47</v>
      </c>
      <c r="Z493" s="359"/>
      <c r="AA493" s="210"/>
      <c r="AB493" s="248"/>
      <c r="AC493" s="359"/>
      <c r="AD493" s="359"/>
      <c r="AE493" s="359"/>
      <c r="AF493" s="359"/>
      <c r="AG493" s="153"/>
      <c r="AH493" s="346">
        <f>3.56832*AVERAGE(272.76, 271.3, 275)</f>
        <v>974.22272639999994</v>
      </c>
      <c r="AI493" s="24"/>
      <c r="AJ493" s="24">
        <v>6.4</v>
      </c>
      <c r="AK493" s="24">
        <v>2.1393721889999999</v>
      </c>
      <c r="AL493" s="24">
        <v>0.46300000000000002</v>
      </c>
      <c r="AM493" s="359"/>
      <c r="AN493" s="24">
        <f t="shared" si="85"/>
        <v>0</v>
      </c>
      <c r="AO493" s="54">
        <f t="shared" si="86"/>
        <v>0</v>
      </c>
      <c r="AP493" s="261">
        <f t="shared" si="87"/>
        <v>0</v>
      </c>
      <c r="AQ493" s="338"/>
      <c r="AR493" s="45"/>
      <c r="AS493" s="359"/>
      <c r="AT493" s="359"/>
    </row>
    <row r="494" spans="1:46" ht="12">
      <c r="A494" s="359" t="s">
        <v>670</v>
      </c>
      <c r="B494" s="359" t="str">
        <f t="shared" si="78"/>
        <v>MgO</v>
      </c>
      <c r="C494" s="141">
        <f t="shared" si="79"/>
        <v>0</v>
      </c>
      <c r="D494" s="277">
        <f t="shared" si="80"/>
        <v>733.88447999999994</v>
      </c>
      <c r="E494" s="20">
        <f t="shared" si="81"/>
        <v>0</v>
      </c>
      <c r="F494" s="20">
        <f t="shared" si="82"/>
        <v>0</v>
      </c>
      <c r="G494" s="277">
        <f t="shared" si="83"/>
        <v>0</v>
      </c>
      <c r="H494" s="3">
        <f t="shared" si="88"/>
        <v>0</v>
      </c>
      <c r="I494" s="277">
        <f t="shared" si="84"/>
        <v>0</v>
      </c>
      <c r="J494" s="359"/>
      <c r="K494" s="359" t="s">
        <v>666</v>
      </c>
      <c r="L494" s="359"/>
      <c r="M494" s="338" t="s">
        <v>582</v>
      </c>
      <c r="N494" s="89">
        <v>41148</v>
      </c>
      <c r="O494" s="359">
        <v>183</v>
      </c>
      <c r="P494" s="359" t="s">
        <v>46</v>
      </c>
      <c r="Q494" s="359"/>
      <c r="R494" s="359"/>
      <c r="S494" s="359">
        <v>800</v>
      </c>
      <c r="T494" s="359">
        <v>68</v>
      </c>
      <c r="U494" s="359"/>
      <c r="V494" s="359"/>
      <c r="W494" s="359"/>
      <c r="X494" s="359"/>
      <c r="Y494" s="359">
        <v>47</v>
      </c>
      <c r="Z494" s="359"/>
      <c r="AA494" s="210"/>
      <c r="AB494" s="248"/>
      <c r="AC494" s="359"/>
      <c r="AD494" s="359"/>
      <c r="AE494" s="359"/>
      <c r="AF494" s="359"/>
      <c r="AG494" s="153"/>
      <c r="AH494" s="346">
        <f>AVERAGE(209.3, 204.4, 203.3)*3.56832</f>
        <v>733.88447999999994</v>
      </c>
      <c r="AI494" s="24"/>
      <c r="AJ494" s="24"/>
      <c r="AK494" s="24"/>
      <c r="AL494" s="24"/>
      <c r="AM494" s="359"/>
      <c r="AN494" s="24">
        <f t="shared" si="85"/>
        <v>0</v>
      </c>
      <c r="AO494" s="54">
        <f t="shared" si="86"/>
        <v>0</v>
      </c>
      <c r="AP494" s="261">
        <f t="shared" si="87"/>
        <v>0</v>
      </c>
      <c r="AQ494" s="338"/>
      <c r="AR494" s="45"/>
      <c r="AS494" s="359"/>
      <c r="AT494" s="359"/>
    </row>
    <row r="495" spans="1:46" ht="12">
      <c r="A495" s="359" t="s">
        <v>671</v>
      </c>
      <c r="B495" s="359" t="str">
        <f t="shared" si="78"/>
        <v>MgO</v>
      </c>
      <c r="C495" s="141">
        <f t="shared" si="79"/>
        <v>0</v>
      </c>
      <c r="D495" s="277">
        <f t="shared" si="80"/>
        <v>723.06057599999997</v>
      </c>
      <c r="E495" s="20">
        <f t="shared" si="81"/>
        <v>0</v>
      </c>
      <c r="F495" s="20">
        <f t="shared" si="82"/>
        <v>0</v>
      </c>
      <c r="G495" s="277">
        <f t="shared" si="83"/>
        <v>0</v>
      </c>
      <c r="H495" s="3">
        <f t="shared" si="88"/>
        <v>0</v>
      </c>
      <c r="I495" s="277">
        <f t="shared" si="84"/>
        <v>0</v>
      </c>
      <c r="J495" s="359"/>
      <c r="K495" s="359" t="s">
        <v>654</v>
      </c>
      <c r="L495" s="359"/>
      <c r="M495" s="338" t="s">
        <v>582</v>
      </c>
      <c r="N495" s="89">
        <v>41148</v>
      </c>
      <c r="O495" s="359">
        <v>183</v>
      </c>
      <c r="P495" s="359" t="s">
        <v>46</v>
      </c>
      <c r="Q495" s="359"/>
      <c r="R495" s="359"/>
      <c r="S495" s="359">
        <v>800</v>
      </c>
      <c r="T495" s="359">
        <v>68</v>
      </c>
      <c r="U495" s="359"/>
      <c r="V495" s="359"/>
      <c r="W495" s="359"/>
      <c r="X495" s="359"/>
      <c r="Y495" s="359">
        <v>47</v>
      </c>
      <c r="Z495" s="359"/>
      <c r="AA495" s="210"/>
      <c r="AB495" s="248"/>
      <c r="AC495" s="359"/>
      <c r="AD495" s="359"/>
      <c r="AE495" s="359"/>
      <c r="AF495" s="359"/>
      <c r="AG495" s="153"/>
      <c r="AH495" s="346">
        <f>AVERAGE(205.1, 201.4, 201.4)*3.56832</f>
        <v>723.06057599999997</v>
      </c>
      <c r="AI495" s="24"/>
      <c r="AJ495" s="24"/>
      <c r="AK495" s="24"/>
      <c r="AL495" s="24"/>
      <c r="AM495" s="359"/>
      <c r="AN495" s="24">
        <f t="shared" si="85"/>
        <v>0</v>
      </c>
      <c r="AO495" s="54">
        <f t="shared" si="86"/>
        <v>0</v>
      </c>
      <c r="AP495" s="261">
        <f t="shared" si="87"/>
        <v>0</v>
      </c>
      <c r="AQ495" s="338"/>
      <c r="AR495" s="45"/>
      <c r="AS495" s="359"/>
      <c r="AT495" s="359"/>
    </row>
    <row r="496" spans="1:46" ht="12">
      <c r="A496" s="359" t="s">
        <v>672</v>
      </c>
      <c r="B496" s="359" t="str">
        <f t="shared" si="78"/>
        <v>MgO</v>
      </c>
      <c r="C496" s="141">
        <f t="shared" si="79"/>
        <v>0</v>
      </c>
      <c r="D496" s="277">
        <f t="shared" si="80"/>
        <v>712.95033599999988</v>
      </c>
      <c r="E496" s="20">
        <f t="shared" si="81"/>
        <v>0</v>
      </c>
      <c r="F496" s="20">
        <f t="shared" si="82"/>
        <v>0</v>
      </c>
      <c r="G496" s="277">
        <f t="shared" si="83"/>
        <v>0</v>
      </c>
      <c r="H496" s="3">
        <f t="shared" si="88"/>
        <v>0</v>
      </c>
      <c r="I496" s="277">
        <f t="shared" si="84"/>
        <v>0</v>
      </c>
      <c r="J496" s="359"/>
      <c r="K496" s="359" t="s">
        <v>654</v>
      </c>
      <c r="L496" s="359"/>
      <c r="M496" s="338" t="s">
        <v>582</v>
      </c>
      <c r="N496" s="89">
        <v>41148</v>
      </c>
      <c r="O496" s="359">
        <v>183</v>
      </c>
      <c r="P496" s="359" t="s">
        <v>46</v>
      </c>
      <c r="Q496" s="359"/>
      <c r="R496" s="359"/>
      <c r="S496" s="359">
        <v>800</v>
      </c>
      <c r="T496" s="359">
        <v>68</v>
      </c>
      <c r="U496" s="359"/>
      <c r="V496" s="359"/>
      <c r="W496" s="359"/>
      <c r="X496" s="359"/>
      <c r="Y496" s="359">
        <v>47</v>
      </c>
      <c r="Z496" s="359"/>
      <c r="AA496" s="210"/>
      <c r="AB496" s="248"/>
      <c r="AC496" s="359"/>
      <c r="AD496" s="359"/>
      <c r="AE496" s="134"/>
      <c r="AF496" s="359"/>
      <c r="AG496" s="153"/>
      <c r="AH496" s="346">
        <f>AVERAGE(200.5, 199.5, 199.4)*3.56832</f>
        <v>712.95033599999988</v>
      </c>
      <c r="AI496" s="24"/>
      <c r="AJ496" s="24"/>
      <c r="AK496" s="24"/>
      <c r="AL496" s="24"/>
      <c r="AM496" s="359"/>
      <c r="AN496" s="24">
        <f t="shared" si="85"/>
        <v>0</v>
      </c>
      <c r="AO496" s="54">
        <f t="shared" si="86"/>
        <v>0</v>
      </c>
      <c r="AP496" s="261">
        <f t="shared" si="87"/>
        <v>0</v>
      </c>
      <c r="AQ496" s="338"/>
      <c r="AR496" s="45"/>
      <c r="AS496" s="359"/>
      <c r="AT496" s="359"/>
    </row>
    <row r="497" spans="1:46" ht="12">
      <c r="A497" s="359" t="s">
        <v>673</v>
      </c>
      <c r="B497" s="359" t="str">
        <f t="shared" si="78"/>
        <v>MgO</v>
      </c>
      <c r="C497" s="141">
        <f t="shared" si="79"/>
        <v>0</v>
      </c>
      <c r="D497" s="277">
        <f t="shared" si="80"/>
        <v>733.17081599999995</v>
      </c>
      <c r="E497" s="20">
        <f t="shared" si="81"/>
        <v>7.3</v>
      </c>
      <c r="F497" s="20">
        <f t="shared" si="82"/>
        <v>1.9274103849999999</v>
      </c>
      <c r="G497" s="277">
        <f t="shared" si="83"/>
        <v>0</v>
      </c>
      <c r="H497" s="3">
        <f t="shared" si="88"/>
        <v>0.56000000000000005</v>
      </c>
      <c r="I497" s="277">
        <f t="shared" si="84"/>
        <v>0</v>
      </c>
      <c r="J497" s="359"/>
      <c r="K497" s="359" t="s">
        <v>654</v>
      </c>
      <c r="L497" s="359"/>
      <c r="M497" s="338" t="s">
        <v>582</v>
      </c>
      <c r="N497" s="89">
        <v>41148</v>
      </c>
      <c r="O497" s="359">
        <v>183</v>
      </c>
      <c r="P497" s="359" t="s">
        <v>46</v>
      </c>
      <c r="Q497" s="359"/>
      <c r="R497" s="359"/>
      <c r="S497" s="359">
        <v>800</v>
      </c>
      <c r="T497" s="359">
        <v>68</v>
      </c>
      <c r="U497" s="359"/>
      <c r="V497" s="359"/>
      <c r="W497" s="359"/>
      <c r="X497" s="359"/>
      <c r="Y497" s="359">
        <v>47</v>
      </c>
      <c r="Z497" s="359"/>
      <c r="AA497" s="210"/>
      <c r="AB497" s="248"/>
      <c r="AC497" s="359"/>
      <c r="AD497" s="359"/>
      <c r="AE497" s="359"/>
      <c r="AF497" s="359"/>
      <c r="AG497" s="153"/>
      <c r="AH497" s="346">
        <f>AVERAGE(206.6, 205.2, 204.6)*3.56832</f>
        <v>733.17081599999995</v>
      </c>
      <c r="AI497" s="24"/>
      <c r="AJ497" s="24">
        <v>7.3</v>
      </c>
      <c r="AK497" s="24">
        <v>1.9274103849999999</v>
      </c>
      <c r="AL497" s="24">
        <v>0.56000000000000005</v>
      </c>
      <c r="AM497" s="359"/>
      <c r="AN497" s="24">
        <f t="shared" si="85"/>
        <v>0</v>
      </c>
      <c r="AO497" s="54">
        <f t="shared" si="86"/>
        <v>0</v>
      </c>
      <c r="AP497" s="261">
        <f t="shared" si="87"/>
        <v>0</v>
      </c>
      <c r="AQ497" s="338"/>
      <c r="AR497" s="45"/>
      <c r="AS497" s="359"/>
      <c r="AT497" s="359"/>
    </row>
    <row r="498" spans="1:46" ht="12">
      <c r="A498" s="359" t="s">
        <v>674</v>
      </c>
      <c r="B498" s="359" t="str">
        <f t="shared" si="78"/>
        <v>SiNx</v>
      </c>
      <c r="C498" s="141">
        <f t="shared" si="79"/>
        <v>0</v>
      </c>
      <c r="D498" s="277">
        <f t="shared" si="80"/>
        <v>172.82563200000001</v>
      </c>
      <c r="E498" s="20">
        <f t="shared" si="81"/>
        <v>0</v>
      </c>
      <c r="F498" s="20">
        <f t="shared" si="82"/>
        <v>0</v>
      </c>
      <c r="G498" s="277">
        <f t="shared" si="83"/>
        <v>0</v>
      </c>
      <c r="H498" s="3">
        <f t="shared" si="88"/>
        <v>0</v>
      </c>
      <c r="I498" s="277">
        <f t="shared" si="84"/>
        <v>0</v>
      </c>
      <c r="J498" s="359"/>
      <c r="K498" s="359" t="s">
        <v>675</v>
      </c>
      <c r="L498" s="359"/>
      <c r="M498" s="338" t="s">
        <v>582</v>
      </c>
      <c r="N498" s="89">
        <v>41152</v>
      </c>
      <c r="O498" s="359">
        <v>184</v>
      </c>
      <c r="P498" s="359" t="s">
        <v>187</v>
      </c>
      <c r="Q498" s="359"/>
      <c r="R498" s="359"/>
      <c r="S498" s="359" t="s">
        <v>659</v>
      </c>
      <c r="T498" s="359">
        <v>124</v>
      </c>
      <c r="U498" s="359"/>
      <c r="V498" s="359"/>
      <c r="W498" s="359"/>
      <c r="X498" s="359"/>
      <c r="Y498" s="359">
        <v>47</v>
      </c>
      <c r="Z498" s="359"/>
      <c r="AA498" s="210"/>
      <c r="AB498" s="248"/>
      <c r="AC498" s="359"/>
      <c r="AD498" s="359"/>
      <c r="AE498" s="359"/>
      <c r="AF498" s="359"/>
      <c r="AG498" s="153"/>
      <c r="AH498" s="346">
        <f>AVERAGE(48.1, 47.8, 49.4)*3.56832</f>
        <v>172.82563200000001</v>
      </c>
      <c r="AI498" s="24"/>
      <c r="AJ498" s="24"/>
      <c r="AK498" s="24"/>
      <c r="AL498" s="24"/>
      <c r="AM498" s="359"/>
      <c r="AN498" s="24">
        <f t="shared" si="85"/>
        <v>0</v>
      </c>
      <c r="AO498" s="54">
        <f t="shared" si="86"/>
        <v>0</v>
      </c>
      <c r="AP498" s="261">
        <f t="shared" si="87"/>
        <v>0</v>
      </c>
      <c r="AQ498" s="338"/>
      <c r="AR498" s="45"/>
      <c r="AS498" s="359"/>
      <c r="AT498" s="359"/>
    </row>
    <row r="499" spans="1:46" ht="12">
      <c r="A499" s="359" t="s">
        <v>676</v>
      </c>
      <c r="B499" s="359" t="str">
        <f t="shared" si="78"/>
        <v>SiNx</v>
      </c>
      <c r="C499" s="141">
        <f t="shared" si="79"/>
        <v>0</v>
      </c>
      <c r="D499" s="277">
        <f t="shared" si="80"/>
        <v>172.11196800000002</v>
      </c>
      <c r="E499" s="20">
        <f t="shared" si="81"/>
        <v>0</v>
      </c>
      <c r="F499" s="20">
        <f t="shared" si="82"/>
        <v>0</v>
      </c>
      <c r="G499" s="277">
        <f t="shared" si="83"/>
        <v>0</v>
      </c>
      <c r="H499" s="3">
        <f t="shared" si="88"/>
        <v>0</v>
      </c>
      <c r="I499" s="277">
        <f t="shared" si="84"/>
        <v>0</v>
      </c>
      <c r="J499" s="359"/>
      <c r="K499" s="359" t="s">
        <v>654</v>
      </c>
      <c r="L499" s="359"/>
      <c r="M499" s="338" t="s">
        <v>582</v>
      </c>
      <c r="N499" s="89">
        <v>41152</v>
      </c>
      <c r="O499" s="359">
        <v>184</v>
      </c>
      <c r="P499" s="359" t="s">
        <v>187</v>
      </c>
      <c r="Q499" s="359"/>
      <c r="R499" s="359"/>
      <c r="S499" s="359" t="s">
        <v>659</v>
      </c>
      <c r="T499" s="359">
        <v>124</v>
      </c>
      <c r="U499" s="359"/>
      <c r="V499" s="359"/>
      <c r="W499" s="359"/>
      <c r="X499" s="359"/>
      <c r="Y499" s="359">
        <v>47</v>
      </c>
      <c r="Z499" s="359"/>
      <c r="AA499" s="210"/>
      <c r="AB499" s="248"/>
      <c r="AC499" s="359"/>
      <c r="AD499" s="359"/>
      <c r="AE499" s="359"/>
      <c r="AF499" s="359"/>
      <c r="AG499" s="153"/>
      <c r="AH499" s="346">
        <f>AVERAGE(48.2, 48.1, 48.4)*3.56832</f>
        <v>172.11196800000002</v>
      </c>
      <c r="AI499" s="24"/>
      <c r="AJ499" s="24"/>
      <c r="AK499" s="24"/>
      <c r="AL499" s="24"/>
      <c r="AM499" s="359"/>
      <c r="AN499" s="24">
        <f t="shared" si="85"/>
        <v>0</v>
      </c>
      <c r="AO499" s="54">
        <f t="shared" si="86"/>
        <v>0</v>
      </c>
      <c r="AP499" s="261">
        <f t="shared" si="87"/>
        <v>0</v>
      </c>
      <c r="AQ499" s="338"/>
      <c r="AR499" s="45"/>
      <c r="AS499" s="359"/>
      <c r="AT499" s="359"/>
    </row>
    <row r="500" spans="1:46" ht="12">
      <c r="A500" s="359" t="s">
        <v>677</v>
      </c>
      <c r="B500" s="359" t="str">
        <f t="shared" si="78"/>
        <v>SiNx</v>
      </c>
      <c r="C500" s="141">
        <f t="shared" si="79"/>
        <v>0</v>
      </c>
      <c r="D500" s="277">
        <f t="shared" si="80"/>
        <v>176.75078399999998</v>
      </c>
      <c r="E500" s="20">
        <f t="shared" si="81"/>
        <v>10.4</v>
      </c>
      <c r="F500" s="20">
        <f t="shared" si="82"/>
        <v>0</v>
      </c>
      <c r="G500" s="277">
        <f t="shared" si="83"/>
        <v>0</v>
      </c>
      <c r="H500" s="3">
        <f t="shared" si="88"/>
        <v>0.9</v>
      </c>
      <c r="I500" s="277">
        <f t="shared" si="84"/>
        <v>0</v>
      </c>
      <c r="J500" s="359"/>
      <c r="K500" s="359" t="s">
        <v>654</v>
      </c>
      <c r="L500" s="359"/>
      <c r="M500" s="338" t="s">
        <v>582</v>
      </c>
      <c r="N500" s="89">
        <v>41152</v>
      </c>
      <c r="O500" s="359">
        <v>184</v>
      </c>
      <c r="P500" s="359" t="s">
        <v>187</v>
      </c>
      <c r="Q500" s="359"/>
      <c r="R500" s="359"/>
      <c r="S500" s="359" t="s">
        <v>659</v>
      </c>
      <c r="T500" s="359">
        <v>124</v>
      </c>
      <c r="U500" s="359"/>
      <c r="V500" s="359"/>
      <c r="W500" s="359"/>
      <c r="X500" s="359"/>
      <c r="Y500" s="359">
        <v>47</v>
      </c>
      <c r="Z500" s="359"/>
      <c r="AA500" s="210"/>
      <c r="AB500" s="248"/>
      <c r="AC500" s="359"/>
      <c r="AD500" s="359"/>
      <c r="AE500" s="359"/>
      <c r="AF500" s="359"/>
      <c r="AG500" s="153"/>
      <c r="AH500" s="346">
        <f>AVERAGE(48.09, 49.41, 51.1)*3.56832</f>
        <v>176.75078399999998</v>
      </c>
      <c r="AI500" s="24"/>
      <c r="AJ500" s="24">
        <v>10.4</v>
      </c>
      <c r="AK500" s="24"/>
      <c r="AL500" s="24">
        <v>0.9</v>
      </c>
      <c r="AM500" s="359"/>
      <c r="AN500" s="24">
        <f t="shared" si="85"/>
        <v>0</v>
      </c>
      <c r="AO500" s="54">
        <f t="shared" si="86"/>
        <v>0</v>
      </c>
      <c r="AP500" s="261">
        <f t="shared" si="87"/>
        <v>0</v>
      </c>
      <c r="AQ500" s="338"/>
      <c r="AR500" s="45"/>
      <c r="AS500" s="359"/>
      <c r="AT500" s="359"/>
    </row>
    <row r="501" spans="1:46" ht="60">
      <c r="A501" s="359" t="s">
        <v>678</v>
      </c>
      <c r="B501" s="359" t="str">
        <f t="shared" si="78"/>
        <v>Glass</v>
      </c>
      <c r="C501" s="141" t="str">
        <f t="shared" si="79"/>
        <v>~14</v>
      </c>
      <c r="D501" s="277">
        <f t="shared" si="80"/>
        <v>170.32780799999998</v>
      </c>
      <c r="E501" s="20">
        <f t="shared" si="81"/>
        <v>0</v>
      </c>
      <c r="F501" s="20">
        <f t="shared" si="82"/>
        <v>0</v>
      </c>
      <c r="G501" s="277" t="e">
        <f t="shared" si="83"/>
        <v>#VALUE!</v>
      </c>
      <c r="H501" s="3">
        <f t="shared" si="88"/>
        <v>0</v>
      </c>
      <c r="I501" s="277" t="e">
        <f t="shared" si="84"/>
        <v>#VALUE!</v>
      </c>
      <c r="J501" s="359"/>
      <c r="K501" s="359" t="s">
        <v>654</v>
      </c>
      <c r="L501" s="359"/>
      <c r="M501" s="338" t="s">
        <v>582</v>
      </c>
      <c r="N501" s="89">
        <v>41152</v>
      </c>
      <c r="O501" s="359">
        <v>184</v>
      </c>
      <c r="P501" s="359" t="s">
        <v>290</v>
      </c>
      <c r="Q501" s="359"/>
      <c r="R501" s="359"/>
      <c r="S501" s="359" t="s">
        <v>659</v>
      </c>
      <c r="T501" s="359">
        <v>124</v>
      </c>
      <c r="U501" s="359"/>
      <c r="V501" s="359"/>
      <c r="W501" s="359"/>
      <c r="X501" s="359"/>
      <c r="Y501" s="359">
        <v>47</v>
      </c>
      <c r="Z501" s="359"/>
      <c r="AA501" s="210"/>
      <c r="AB501" s="248">
        <v>0.4597</v>
      </c>
      <c r="AC501" s="359">
        <v>0.28199999999999997</v>
      </c>
      <c r="AD501" s="359">
        <v>0.25829999999999997</v>
      </c>
      <c r="AE501" s="359" t="s">
        <v>679</v>
      </c>
      <c r="AF501" s="359" t="s">
        <v>680</v>
      </c>
      <c r="AG501" s="153"/>
      <c r="AH501" s="346">
        <f>AVERAGE(47.7, 47.9, 47.6)*3.56832</f>
        <v>170.32780799999998</v>
      </c>
      <c r="AI501" s="24"/>
      <c r="AJ501" s="24"/>
      <c r="AK501" s="24"/>
      <c r="AL501" s="24"/>
      <c r="AM501" s="359"/>
      <c r="AN501" s="24" t="e">
        <f t="shared" si="85"/>
        <v>#VALUE!</v>
      </c>
      <c r="AO501" s="54" t="e">
        <f t="shared" si="86"/>
        <v>#VALUE!</v>
      </c>
      <c r="AP501" s="261" t="e">
        <f t="shared" si="87"/>
        <v>#VALUE!</v>
      </c>
      <c r="AQ501" s="338"/>
      <c r="AR501" s="45"/>
      <c r="AS501" s="359"/>
      <c r="AT501" s="359"/>
    </row>
    <row r="502" spans="1:46" ht="36">
      <c r="A502" s="359" t="s">
        <v>681</v>
      </c>
      <c r="B502" s="359" t="str">
        <f t="shared" si="78"/>
        <v>SiNx</v>
      </c>
      <c r="C502" s="141">
        <f t="shared" si="79"/>
        <v>0</v>
      </c>
      <c r="D502" s="277">
        <f t="shared" si="80"/>
        <v>436.16764799999999</v>
      </c>
      <c r="E502" s="20">
        <f t="shared" si="81"/>
        <v>0</v>
      </c>
      <c r="F502" s="20">
        <f t="shared" si="82"/>
        <v>0</v>
      </c>
      <c r="G502" s="277">
        <f t="shared" si="83"/>
        <v>0</v>
      </c>
      <c r="H502" s="3">
        <f t="shared" si="88"/>
        <v>0</v>
      </c>
      <c r="I502" s="277">
        <f t="shared" si="84"/>
        <v>0</v>
      </c>
      <c r="J502" s="359"/>
      <c r="K502" s="359" t="s">
        <v>682</v>
      </c>
      <c r="L502" s="359"/>
      <c r="M502" s="338" t="s">
        <v>582</v>
      </c>
      <c r="N502" s="89">
        <v>41152</v>
      </c>
      <c r="O502" s="359">
        <v>185</v>
      </c>
      <c r="P502" s="359" t="s">
        <v>187</v>
      </c>
      <c r="Q502" s="359"/>
      <c r="R502" s="359"/>
      <c r="S502" s="359" t="s">
        <v>659</v>
      </c>
      <c r="T502" s="359">
        <v>124</v>
      </c>
      <c r="U502" s="359"/>
      <c r="V502" s="359"/>
      <c r="W502" s="359"/>
      <c r="X502" s="359"/>
      <c r="Y502" s="359">
        <v>47</v>
      </c>
      <c r="Z502" s="359"/>
      <c r="AA502" s="210"/>
      <c r="AB502" s="248"/>
      <c r="AC502" s="359"/>
      <c r="AD502" s="359"/>
      <c r="AE502" s="359"/>
      <c r="AF502" s="359"/>
      <c r="AG502" s="153"/>
      <c r="AH502" s="346">
        <f>AVERAGE(123, 122.7, 121)*3.56832</f>
        <v>436.16764799999999</v>
      </c>
      <c r="AI502" s="24"/>
      <c r="AJ502" s="24"/>
      <c r="AK502" s="24"/>
      <c r="AL502" s="24"/>
      <c r="AM502" s="359"/>
      <c r="AN502" s="24">
        <f t="shared" si="85"/>
        <v>0</v>
      </c>
      <c r="AO502" s="54">
        <f t="shared" si="86"/>
        <v>0</v>
      </c>
      <c r="AP502" s="261">
        <f t="shared" si="87"/>
        <v>0</v>
      </c>
      <c r="AQ502" s="338"/>
      <c r="AR502" s="45"/>
      <c r="AS502" s="359"/>
      <c r="AT502" s="359"/>
    </row>
    <row r="503" spans="1:46" ht="12">
      <c r="A503" s="359" t="s">
        <v>683</v>
      </c>
      <c r="B503" s="359" t="str">
        <f t="shared" si="78"/>
        <v>SiNx</v>
      </c>
      <c r="C503" s="141">
        <f t="shared" si="79"/>
        <v>0</v>
      </c>
      <c r="D503" s="277">
        <f t="shared" si="80"/>
        <v>437.83286400000003</v>
      </c>
      <c r="E503" s="20">
        <f t="shared" si="81"/>
        <v>8.1</v>
      </c>
      <c r="F503" s="20">
        <f t="shared" si="82"/>
        <v>1.314433663</v>
      </c>
      <c r="G503" s="277">
        <f t="shared" si="83"/>
        <v>0</v>
      </c>
      <c r="H503" s="3">
        <f t="shared" si="88"/>
        <v>0.79600000000000004</v>
      </c>
      <c r="I503" s="277">
        <f t="shared" si="84"/>
        <v>0</v>
      </c>
      <c r="J503" s="359"/>
      <c r="K503" s="359" t="s">
        <v>684</v>
      </c>
      <c r="L503" s="359"/>
      <c r="M503" s="338" t="s">
        <v>582</v>
      </c>
      <c r="N503" s="89">
        <v>41152</v>
      </c>
      <c r="O503" s="359">
        <v>185</v>
      </c>
      <c r="P503" s="359" t="s">
        <v>187</v>
      </c>
      <c r="Q503" s="359"/>
      <c r="R503" s="359"/>
      <c r="S503" s="359" t="s">
        <v>659</v>
      </c>
      <c r="T503" s="359">
        <v>124</v>
      </c>
      <c r="U503" s="359"/>
      <c r="V503" s="359"/>
      <c r="W503" s="359"/>
      <c r="X503" s="359"/>
      <c r="Y503" s="359">
        <v>47</v>
      </c>
      <c r="Z503" s="359"/>
      <c r="AA503" s="210"/>
      <c r="AB503" s="248"/>
      <c r="AC503" s="359"/>
      <c r="AD503" s="359"/>
      <c r="AE503" s="359"/>
      <c r="AF503" s="359"/>
      <c r="AG503" s="153"/>
      <c r="AH503" s="346">
        <f>AVERAGE(122.9, 122.6, 122.6)*3.56832</f>
        <v>437.83286400000003</v>
      </c>
      <c r="AI503" s="24"/>
      <c r="AJ503" s="24">
        <v>8.1</v>
      </c>
      <c r="AK503" s="24">
        <v>1.314433663</v>
      </c>
      <c r="AL503" s="24">
        <v>0.79600000000000004</v>
      </c>
      <c r="AM503" s="359"/>
      <c r="AN503" s="24">
        <f t="shared" si="85"/>
        <v>0</v>
      </c>
      <c r="AO503" s="54">
        <f t="shared" si="86"/>
        <v>0</v>
      </c>
      <c r="AP503" s="261">
        <f t="shared" si="87"/>
        <v>0</v>
      </c>
      <c r="AQ503" s="338"/>
      <c r="AR503" s="45"/>
      <c r="AS503" s="359"/>
      <c r="AT503" s="359"/>
    </row>
    <row r="504" spans="1:46" ht="12">
      <c r="A504" s="359" t="s">
        <v>685</v>
      </c>
      <c r="B504" s="359" t="str">
        <f t="shared" si="78"/>
        <v>Glass</v>
      </c>
      <c r="C504" s="141">
        <f t="shared" si="79"/>
        <v>0</v>
      </c>
      <c r="D504" s="277">
        <f t="shared" si="80"/>
        <v>429.14995199999998</v>
      </c>
      <c r="E504" s="20">
        <f t="shared" si="81"/>
        <v>0</v>
      </c>
      <c r="F504" s="20">
        <f t="shared" si="82"/>
        <v>0</v>
      </c>
      <c r="G504" s="277">
        <f t="shared" si="83"/>
        <v>0</v>
      </c>
      <c r="H504" s="3">
        <f t="shared" si="88"/>
        <v>0</v>
      </c>
      <c r="I504" s="277">
        <f t="shared" si="84"/>
        <v>0</v>
      </c>
      <c r="J504" s="359"/>
      <c r="K504" s="359" t="s">
        <v>684</v>
      </c>
      <c r="L504" s="359"/>
      <c r="M504" s="338" t="s">
        <v>582</v>
      </c>
      <c r="N504" s="89">
        <v>41152</v>
      </c>
      <c r="O504" s="359">
        <v>185</v>
      </c>
      <c r="P504" s="359" t="s">
        <v>290</v>
      </c>
      <c r="Q504" s="359"/>
      <c r="R504" s="359"/>
      <c r="S504" s="359" t="s">
        <v>659</v>
      </c>
      <c r="T504" s="359">
        <v>124</v>
      </c>
      <c r="U504" s="359"/>
      <c r="V504" s="359"/>
      <c r="W504" s="359"/>
      <c r="X504" s="359"/>
      <c r="Y504" s="359">
        <v>47</v>
      </c>
      <c r="Z504" s="359"/>
      <c r="AA504" s="210"/>
      <c r="AB504" s="248"/>
      <c r="AC504" s="359"/>
      <c r="AD504" s="359"/>
      <c r="AE504" s="359"/>
      <c r="AF504" s="359"/>
      <c r="AG504" s="153"/>
      <c r="AH504" s="346">
        <f>AVERAGE(120.8, 119.7, 120.3)*3.56832</f>
        <v>429.14995199999998</v>
      </c>
      <c r="AI504" s="24"/>
      <c r="AJ504" s="24"/>
      <c r="AK504" s="24"/>
      <c r="AL504" s="24"/>
      <c r="AM504" s="359"/>
      <c r="AN504" s="24">
        <f t="shared" si="85"/>
        <v>0</v>
      </c>
      <c r="AO504" s="54">
        <f t="shared" si="86"/>
        <v>0</v>
      </c>
      <c r="AP504" s="261">
        <f t="shared" si="87"/>
        <v>0</v>
      </c>
      <c r="AQ504" s="338"/>
      <c r="AR504" s="45"/>
      <c r="AS504" s="359"/>
      <c r="AT504" s="359"/>
    </row>
    <row r="505" spans="1:46" ht="12">
      <c r="A505" s="359" t="s">
        <v>686</v>
      </c>
      <c r="B505" s="359" t="str">
        <f t="shared" si="78"/>
        <v>Glass</v>
      </c>
      <c r="C505" s="141">
        <f t="shared" si="79"/>
        <v>8</v>
      </c>
      <c r="D505" s="277">
        <f t="shared" si="80"/>
        <v>425.10585600000002</v>
      </c>
      <c r="E505" s="20">
        <f t="shared" si="81"/>
        <v>0</v>
      </c>
      <c r="F505" s="20">
        <f t="shared" si="82"/>
        <v>0</v>
      </c>
      <c r="G505" s="277">
        <f t="shared" si="83"/>
        <v>340.08468479999999</v>
      </c>
      <c r="H505" s="3">
        <f t="shared" si="88"/>
        <v>0</v>
      </c>
      <c r="I505" s="277">
        <f t="shared" si="84"/>
        <v>0</v>
      </c>
      <c r="J505" s="359"/>
      <c r="K505" s="359" t="s">
        <v>684</v>
      </c>
      <c r="L505" s="359"/>
      <c r="M505" s="338" t="s">
        <v>582</v>
      </c>
      <c r="N505" s="89">
        <v>41152</v>
      </c>
      <c r="O505" s="359">
        <v>185</v>
      </c>
      <c r="P505" s="359" t="s">
        <v>290</v>
      </c>
      <c r="Q505" s="359"/>
      <c r="R505" s="359"/>
      <c r="S505" s="359" t="s">
        <v>659</v>
      </c>
      <c r="T505" s="359">
        <v>124</v>
      </c>
      <c r="U505" s="359"/>
      <c r="V505" s="359"/>
      <c r="W505" s="359"/>
      <c r="X505" s="359"/>
      <c r="Y505" s="359">
        <v>47</v>
      </c>
      <c r="Z505" s="359"/>
      <c r="AA505" s="210"/>
      <c r="AB505" s="248">
        <v>0.29010000000000002</v>
      </c>
      <c r="AC505" s="359">
        <v>0.4284</v>
      </c>
      <c r="AD505" s="359">
        <v>0.28149999999999997</v>
      </c>
      <c r="AE505" s="359"/>
      <c r="AF505" s="359">
        <v>8</v>
      </c>
      <c r="AG505" s="153"/>
      <c r="AH505" s="346">
        <f>AVERAGE(119.4, 118.7, 119.3)*3.56832</f>
        <v>425.10585600000002</v>
      </c>
      <c r="AI505" s="24"/>
      <c r="AJ505" s="24"/>
      <c r="AK505" s="24"/>
      <c r="AL505" s="24"/>
      <c r="AM505" s="359"/>
      <c r="AN505" s="24">
        <f t="shared" si="85"/>
        <v>340.08468479999999</v>
      </c>
      <c r="AO505" s="54">
        <f t="shared" si="86"/>
        <v>0</v>
      </c>
      <c r="AP505" s="261">
        <f t="shared" si="87"/>
        <v>3.870967741935484</v>
      </c>
      <c r="AQ505" s="338"/>
      <c r="AR505" s="45"/>
      <c r="AS505" s="359"/>
      <c r="AT505" s="359"/>
    </row>
    <row r="506" spans="1:46" ht="12">
      <c r="A506" s="359" t="s">
        <v>687</v>
      </c>
      <c r="B506" s="359" t="str">
        <f t="shared" si="78"/>
        <v>SiNx</v>
      </c>
      <c r="C506" s="141">
        <f t="shared" si="79"/>
        <v>0</v>
      </c>
      <c r="D506" s="277">
        <f t="shared" si="80"/>
        <v>411.30835199999996</v>
      </c>
      <c r="E506" s="20">
        <f t="shared" si="81"/>
        <v>0</v>
      </c>
      <c r="F506" s="20">
        <f t="shared" si="82"/>
        <v>0</v>
      </c>
      <c r="G506" s="277">
        <f t="shared" si="83"/>
        <v>0</v>
      </c>
      <c r="H506" s="3">
        <f t="shared" si="88"/>
        <v>0</v>
      </c>
      <c r="I506" s="277">
        <f t="shared" si="84"/>
        <v>0</v>
      </c>
      <c r="J506" s="359"/>
      <c r="K506" s="359" t="s">
        <v>688</v>
      </c>
      <c r="L506" s="359"/>
      <c r="M506" s="338" t="s">
        <v>582</v>
      </c>
      <c r="N506" s="89">
        <v>41152</v>
      </c>
      <c r="O506" s="359">
        <v>186</v>
      </c>
      <c r="P506" s="359" t="s">
        <v>187</v>
      </c>
      <c r="Q506" s="359"/>
      <c r="R506" s="359"/>
      <c r="S506" s="359" t="s">
        <v>659</v>
      </c>
      <c r="T506" s="359">
        <v>124</v>
      </c>
      <c r="U506" s="359"/>
      <c r="V506" s="359"/>
      <c r="W506" s="359"/>
      <c r="X506" s="359"/>
      <c r="Y506" s="359">
        <v>47</v>
      </c>
      <c r="Z506" s="359"/>
      <c r="AA506" s="210"/>
      <c r="AB506" s="248"/>
      <c r="AC506" s="359"/>
      <c r="AD506" s="359"/>
      <c r="AE506" s="359"/>
      <c r="AF506" s="359"/>
      <c r="AG506" s="153"/>
      <c r="AH506" s="346">
        <f>AVERAGE(115.6, 115.8, 114.4)*3.56832</f>
        <v>411.30835199999996</v>
      </c>
      <c r="AI506" s="24"/>
      <c r="AJ506" s="24"/>
      <c r="AK506" s="24"/>
      <c r="AL506" s="24"/>
      <c r="AM506" s="359"/>
      <c r="AN506" s="24">
        <f t="shared" si="85"/>
        <v>0</v>
      </c>
      <c r="AO506" s="54">
        <f t="shared" si="86"/>
        <v>0</v>
      </c>
      <c r="AP506" s="261">
        <f t="shared" si="87"/>
        <v>0</v>
      </c>
      <c r="AQ506" s="338"/>
      <c r="AR506" s="45"/>
      <c r="AS506" s="359"/>
      <c r="AT506" s="359"/>
    </row>
    <row r="507" spans="1:46" ht="12">
      <c r="A507" s="359" t="s">
        <v>689</v>
      </c>
      <c r="B507" s="359" t="str">
        <f t="shared" si="78"/>
        <v>SiNx</v>
      </c>
      <c r="C507" s="141">
        <f t="shared" si="79"/>
        <v>0</v>
      </c>
      <c r="D507" s="277">
        <f t="shared" si="80"/>
        <v>409.16736000000003</v>
      </c>
      <c r="E507" s="20">
        <f t="shared" si="81"/>
        <v>8.6</v>
      </c>
      <c r="F507" s="20">
        <f t="shared" si="82"/>
        <v>0.93272291100000004</v>
      </c>
      <c r="G507" s="277">
        <f t="shared" si="83"/>
        <v>0</v>
      </c>
      <c r="H507" s="3">
        <f t="shared" si="88"/>
        <v>0.82499999999999996</v>
      </c>
      <c r="I507" s="277">
        <f t="shared" si="84"/>
        <v>0</v>
      </c>
      <c r="J507" s="359"/>
      <c r="K507" s="359" t="s">
        <v>688</v>
      </c>
      <c r="L507" s="359"/>
      <c r="M507" s="338" t="s">
        <v>582</v>
      </c>
      <c r="N507" s="89">
        <v>41152</v>
      </c>
      <c r="O507" s="359">
        <v>186</v>
      </c>
      <c r="P507" s="359" t="s">
        <v>187</v>
      </c>
      <c r="Q507" s="359"/>
      <c r="R507" s="359"/>
      <c r="S507" s="359" t="s">
        <v>659</v>
      </c>
      <c r="T507" s="359">
        <v>124</v>
      </c>
      <c r="U507" s="359"/>
      <c r="V507" s="359"/>
      <c r="W507" s="359"/>
      <c r="X507" s="359"/>
      <c r="Y507" s="359">
        <v>47</v>
      </c>
      <c r="Z507" s="359"/>
      <c r="AA507" s="210"/>
      <c r="AB507" s="248"/>
      <c r="AC507" s="359"/>
      <c r="AD507" s="359"/>
      <c r="AE507" s="359"/>
      <c r="AF507" s="359"/>
      <c r="AG507" s="153"/>
      <c r="AH507" s="346">
        <f>AVERAGE(115, 114.6, 114.4)*3.56832</f>
        <v>409.16736000000003</v>
      </c>
      <c r="AI507" s="24"/>
      <c r="AJ507" s="24">
        <v>8.6</v>
      </c>
      <c r="AK507" s="24">
        <v>0.93272291100000004</v>
      </c>
      <c r="AL507" s="24">
        <v>0.82499999999999996</v>
      </c>
      <c r="AM507" s="359"/>
      <c r="AN507" s="24">
        <f t="shared" si="85"/>
        <v>0</v>
      </c>
      <c r="AO507" s="54">
        <f t="shared" si="86"/>
        <v>0</v>
      </c>
      <c r="AP507" s="261">
        <f t="shared" si="87"/>
        <v>0</v>
      </c>
      <c r="AQ507" s="338"/>
      <c r="AR507" s="45"/>
      <c r="AS507" s="359"/>
      <c r="AT507" s="359"/>
    </row>
    <row r="508" spans="1:46" ht="12">
      <c r="A508" s="359" t="s">
        <v>690</v>
      </c>
      <c r="B508" s="359" t="str">
        <f t="shared" si="78"/>
        <v>Glass</v>
      </c>
      <c r="C508" s="141">
        <f t="shared" si="79"/>
        <v>0</v>
      </c>
      <c r="D508" s="277">
        <f t="shared" si="80"/>
        <v>408.09686400000004</v>
      </c>
      <c r="E508" s="20">
        <f t="shared" si="81"/>
        <v>0</v>
      </c>
      <c r="F508" s="20">
        <f t="shared" si="82"/>
        <v>0</v>
      </c>
      <c r="G508" s="277">
        <f t="shared" si="83"/>
        <v>0</v>
      </c>
      <c r="H508" s="3">
        <f t="shared" si="88"/>
        <v>0</v>
      </c>
      <c r="I508" s="277">
        <f t="shared" si="84"/>
        <v>0</v>
      </c>
      <c r="J508" s="359"/>
      <c r="K508" s="359" t="s">
        <v>688</v>
      </c>
      <c r="L508" s="359"/>
      <c r="M508" s="338" t="s">
        <v>582</v>
      </c>
      <c r="N508" s="89">
        <v>41152</v>
      </c>
      <c r="O508" s="359">
        <v>186</v>
      </c>
      <c r="P508" s="359" t="s">
        <v>290</v>
      </c>
      <c r="Q508" s="359"/>
      <c r="R508" s="359"/>
      <c r="S508" s="359" t="s">
        <v>659</v>
      </c>
      <c r="T508" s="359">
        <v>124</v>
      </c>
      <c r="U508" s="359"/>
      <c r="V508" s="359"/>
      <c r="W508" s="359"/>
      <c r="X508" s="359"/>
      <c r="Y508" s="359">
        <v>47</v>
      </c>
      <c r="Z508" s="359"/>
      <c r="AA508" s="210"/>
      <c r="AB508" s="248"/>
      <c r="AC508" s="359"/>
      <c r="AD508" s="359"/>
      <c r="AE508" s="359"/>
      <c r="AF508" s="359"/>
      <c r="AG508" s="153"/>
      <c r="AH508" s="346">
        <f>AVERAGE(113.9, 113.8, 115.4)*3.56832</f>
        <v>408.09686400000004</v>
      </c>
      <c r="AI508" s="24"/>
      <c r="AJ508" s="24"/>
      <c r="AK508" s="24"/>
      <c r="AL508" s="24"/>
      <c r="AM508" s="359"/>
      <c r="AN508" s="24">
        <f t="shared" si="85"/>
        <v>0</v>
      </c>
      <c r="AO508" s="54">
        <f t="shared" si="86"/>
        <v>0</v>
      </c>
      <c r="AP508" s="261">
        <f t="shared" si="87"/>
        <v>0</v>
      </c>
      <c r="AQ508" s="338"/>
      <c r="AR508" s="45"/>
      <c r="AS508" s="359"/>
      <c r="AT508" s="359"/>
    </row>
    <row r="509" spans="1:46" ht="12">
      <c r="A509" s="359" t="s">
        <v>691</v>
      </c>
      <c r="B509" s="359" t="str">
        <f t="shared" si="78"/>
        <v>Glass</v>
      </c>
      <c r="C509" s="141">
        <f t="shared" si="79"/>
        <v>8</v>
      </c>
      <c r="D509" s="277">
        <f t="shared" si="80"/>
        <v>419.991264</v>
      </c>
      <c r="E509" s="20">
        <f t="shared" si="81"/>
        <v>0</v>
      </c>
      <c r="F509" s="20">
        <f t="shared" si="82"/>
        <v>0</v>
      </c>
      <c r="G509" s="277">
        <f t="shared" si="83"/>
        <v>335.99301120000001</v>
      </c>
      <c r="H509" s="3">
        <f t="shared" si="88"/>
        <v>0</v>
      </c>
      <c r="I509" s="277">
        <f t="shared" si="84"/>
        <v>0</v>
      </c>
      <c r="J509" s="359"/>
      <c r="K509" s="359" t="s">
        <v>688</v>
      </c>
      <c r="L509" s="359"/>
      <c r="M509" s="338" t="s">
        <v>582</v>
      </c>
      <c r="N509" s="89">
        <v>41152</v>
      </c>
      <c r="O509" s="359">
        <v>186</v>
      </c>
      <c r="P509" s="359" t="s">
        <v>290</v>
      </c>
      <c r="Q509" s="359"/>
      <c r="R509" s="359"/>
      <c r="S509" s="359" t="s">
        <v>659</v>
      </c>
      <c r="T509" s="359">
        <v>124</v>
      </c>
      <c r="U509" s="359"/>
      <c r="V509" s="359"/>
      <c r="W509" s="359"/>
      <c r="X509" s="359"/>
      <c r="Y509" s="359">
        <v>47</v>
      </c>
      <c r="Z509" s="359"/>
      <c r="AA509" s="210"/>
      <c r="AB509" s="248">
        <v>0.32200000000000001</v>
      </c>
      <c r="AC509" s="359">
        <v>0.42649999999999999</v>
      </c>
      <c r="AD509" s="359">
        <v>0.2515</v>
      </c>
      <c r="AE509" s="359"/>
      <c r="AF509" s="359">
        <v>8</v>
      </c>
      <c r="AG509" s="153"/>
      <c r="AH509" s="346">
        <f>AVERAGE(118, 117.5, 117.6)*3.56832</f>
        <v>419.991264</v>
      </c>
      <c r="AI509" s="24"/>
      <c r="AJ509" s="24"/>
      <c r="AK509" s="24"/>
      <c r="AL509" s="24"/>
      <c r="AM509" s="359"/>
      <c r="AN509" s="24">
        <f t="shared" si="85"/>
        <v>335.99301120000001</v>
      </c>
      <c r="AO509" s="54">
        <f t="shared" si="86"/>
        <v>0</v>
      </c>
      <c r="AP509" s="261">
        <f t="shared" si="87"/>
        <v>3.870967741935484</v>
      </c>
      <c r="AQ509" s="338"/>
      <c r="AR509" s="45"/>
      <c r="AS509" s="359"/>
      <c r="AT509" s="359"/>
    </row>
    <row r="510" spans="1:46" ht="12">
      <c r="A510" s="359" t="s">
        <v>692</v>
      </c>
      <c r="B510" s="359" t="str">
        <f t="shared" si="78"/>
        <v>SiNx</v>
      </c>
      <c r="C510" s="141">
        <f t="shared" si="79"/>
        <v>0</v>
      </c>
      <c r="D510" s="277">
        <f t="shared" si="80"/>
        <v>391.801536</v>
      </c>
      <c r="E510" s="20">
        <f t="shared" si="81"/>
        <v>0</v>
      </c>
      <c r="F510" s="20">
        <f t="shared" si="82"/>
        <v>0</v>
      </c>
      <c r="G510" s="277">
        <f t="shared" si="83"/>
        <v>0</v>
      </c>
      <c r="H510" s="3">
        <f t="shared" si="88"/>
        <v>0</v>
      </c>
      <c r="I510" s="277">
        <f t="shared" si="84"/>
        <v>0</v>
      </c>
      <c r="J510" s="359" t="s">
        <v>693</v>
      </c>
      <c r="K510" s="359" t="s">
        <v>694</v>
      </c>
      <c r="L510" s="359"/>
      <c r="M510" s="338" t="s">
        <v>582</v>
      </c>
      <c r="N510" s="89">
        <v>41152</v>
      </c>
      <c r="O510" s="359">
        <v>187</v>
      </c>
      <c r="P510" s="359" t="s">
        <v>187</v>
      </c>
      <c r="Q510" s="359"/>
      <c r="R510" s="359"/>
      <c r="S510" s="359" t="s">
        <v>659</v>
      </c>
      <c r="T510" s="359">
        <v>124</v>
      </c>
      <c r="U510" s="359"/>
      <c r="V510" s="359"/>
      <c r="W510" s="359"/>
      <c r="X510" s="359"/>
      <c r="Y510" s="359">
        <v>47</v>
      </c>
      <c r="Z510" s="359"/>
      <c r="AA510" s="210"/>
      <c r="AB510" s="248"/>
      <c r="AC510" s="359"/>
      <c r="AD510" s="359"/>
      <c r="AE510" s="359"/>
      <c r="AF510" s="359"/>
      <c r="AG510" s="153"/>
      <c r="AH510" s="346">
        <f>AVERAGE(109.8)*3.56832</f>
        <v>391.801536</v>
      </c>
      <c r="AI510" s="24"/>
      <c r="AJ510" s="24"/>
      <c r="AK510" s="24"/>
      <c r="AL510" s="24"/>
      <c r="AM510" s="359"/>
      <c r="AN510" s="24">
        <f t="shared" si="85"/>
        <v>0</v>
      </c>
      <c r="AO510" s="54">
        <f t="shared" si="86"/>
        <v>0</v>
      </c>
      <c r="AP510" s="261">
        <f t="shared" si="87"/>
        <v>0</v>
      </c>
      <c r="AQ510" s="338"/>
      <c r="AR510" s="45"/>
      <c r="AS510" s="359"/>
      <c r="AT510" s="359"/>
    </row>
    <row r="511" spans="1:46" ht="12">
      <c r="A511" s="359" t="s">
        <v>695</v>
      </c>
      <c r="B511" s="359" t="str">
        <f t="shared" si="78"/>
        <v>Glass</v>
      </c>
      <c r="C511" s="141">
        <f t="shared" si="79"/>
        <v>0</v>
      </c>
      <c r="D511" s="277">
        <f t="shared" si="80"/>
        <v>394.65619199999992</v>
      </c>
      <c r="E511" s="20">
        <f t="shared" si="81"/>
        <v>0</v>
      </c>
      <c r="F511" s="20">
        <f t="shared" si="82"/>
        <v>0</v>
      </c>
      <c r="G511" s="277">
        <f t="shared" si="83"/>
        <v>0</v>
      </c>
      <c r="H511" s="3">
        <f t="shared" si="88"/>
        <v>0</v>
      </c>
      <c r="I511" s="277">
        <f t="shared" si="84"/>
        <v>0</v>
      </c>
      <c r="J511" s="359"/>
      <c r="K511" s="359" t="s">
        <v>694</v>
      </c>
      <c r="L511" s="359"/>
      <c r="M511" s="338" t="s">
        <v>582</v>
      </c>
      <c r="N511" s="89">
        <v>41152</v>
      </c>
      <c r="O511" s="359">
        <v>187</v>
      </c>
      <c r="P511" s="359" t="s">
        <v>290</v>
      </c>
      <c r="Q511" s="359"/>
      <c r="R511" s="359"/>
      <c r="S511" s="359" t="s">
        <v>659</v>
      </c>
      <c r="T511" s="359">
        <v>124</v>
      </c>
      <c r="U511" s="359"/>
      <c r="V511" s="359"/>
      <c r="W511" s="359"/>
      <c r="X511" s="359"/>
      <c r="Y511" s="359">
        <v>47</v>
      </c>
      <c r="Z511" s="359"/>
      <c r="AA511" s="210"/>
      <c r="AB511" s="248"/>
      <c r="AC511" s="359"/>
      <c r="AD511" s="359"/>
      <c r="AE511" s="359"/>
      <c r="AF511" s="359"/>
      <c r="AG511" s="153"/>
      <c r="AH511" s="346">
        <f>AVERAGE(111.6, 109.8, 110.4)*3.56832</f>
        <v>394.65619199999992</v>
      </c>
      <c r="AI511" s="24"/>
      <c r="AJ511" s="24"/>
      <c r="AK511" s="24"/>
      <c r="AL511" s="24"/>
      <c r="AM511" s="359"/>
      <c r="AN511" s="24">
        <f t="shared" si="85"/>
        <v>0</v>
      </c>
      <c r="AO511" s="54">
        <f t="shared" si="86"/>
        <v>0</v>
      </c>
      <c r="AP511" s="261">
        <f t="shared" si="87"/>
        <v>0</v>
      </c>
      <c r="AQ511" s="338"/>
      <c r="AR511" s="45"/>
      <c r="AS511" s="359"/>
      <c r="AT511" s="359"/>
    </row>
    <row r="512" spans="1:46" ht="12">
      <c r="A512" s="359" t="s">
        <v>696</v>
      </c>
      <c r="B512" s="359" t="str">
        <f t="shared" si="78"/>
        <v>Glass</v>
      </c>
      <c r="C512" s="141">
        <f t="shared" si="79"/>
        <v>0</v>
      </c>
      <c r="D512" s="277">
        <f t="shared" si="80"/>
        <v>396.91612800000001</v>
      </c>
      <c r="E512" s="20">
        <f t="shared" si="81"/>
        <v>0</v>
      </c>
      <c r="F512" s="20">
        <f t="shared" si="82"/>
        <v>0</v>
      </c>
      <c r="G512" s="277">
        <f t="shared" si="83"/>
        <v>0</v>
      </c>
      <c r="H512" s="3">
        <f t="shared" si="88"/>
        <v>0</v>
      </c>
      <c r="I512" s="277">
        <f t="shared" si="84"/>
        <v>0</v>
      </c>
      <c r="J512" s="359"/>
      <c r="K512" s="359" t="s">
        <v>694</v>
      </c>
      <c r="L512" s="359"/>
      <c r="M512" s="338" t="s">
        <v>582</v>
      </c>
      <c r="N512" s="89">
        <v>41152</v>
      </c>
      <c r="O512" s="359">
        <v>187</v>
      </c>
      <c r="P512" s="359" t="s">
        <v>290</v>
      </c>
      <c r="Q512" s="359"/>
      <c r="R512" s="359"/>
      <c r="S512" s="359" t="s">
        <v>659</v>
      </c>
      <c r="T512" s="359">
        <v>124</v>
      </c>
      <c r="U512" s="359"/>
      <c r="V512" s="359"/>
      <c r="W512" s="359"/>
      <c r="X512" s="359"/>
      <c r="Y512" s="359">
        <v>47</v>
      </c>
      <c r="Z512" s="359"/>
      <c r="AA512" s="210"/>
      <c r="AB512" s="248"/>
      <c r="AC512" s="359"/>
      <c r="AD512" s="359"/>
      <c r="AE512" s="359"/>
      <c r="AF512" s="359"/>
      <c r="AG512" s="153"/>
      <c r="AH512" s="346">
        <f>AVERAGE(111.1, 112.3, 110.3)*3.56832</f>
        <v>396.91612800000001</v>
      </c>
      <c r="AI512" s="24"/>
      <c r="AJ512" s="24"/>
      <c r="AK512" s="24"/>
      <c r="AL512" s="24"/>
      <c r="AM512" s="359"/>
      <c r="AN512" s="24">
        <f t="shared" si="85"/>
        <v>0</v>
      </c>
      <c r="AO512" s="54">
        <f t="shared" si="86"/>
        <v>0</v>
      </c>
      <c r="AP512" s="261">
        <f t="shared" si="87"/>
        <v>0</v>
      </c>
      <c r="AQ512" s="338"/>
      <c r="AR512" s="45"/>
      <c r="AS512" s="359"/>
      <c r="AT512" s="359"/>
    </row>
    <row r="513" spans="1:46" ht="12">
      <c r="A513" s="359" t="s">
        <v>697</v>
      </c>
      <c r="B513" s="359" t="str">
        <f t="shared" si="78"/>
        <v>Glass</v>
      </c>
      <c r="C513" s="141">
        <f t="shared" si="79"/>
        <v>8.3000000000000007</v>
      </c>
      <c r="D513" s="277">
        <f t="shared" si="80"/>
        <v>382.52390400000002</v>
      </c>
      <c r="E513" s="20">
        <f t="shared" si="81"/>
        <v>0</v>
      </c>
      <c r="F513" s="20">
        <f t="shared" si="82"/>
        <v>0</v>
      </c>
      <c r="G513" s="277">
        <f t="shared" si="83"/>
        <v>317.49484032000004</v>
      </c>
      <c r="H513" s="3">
        <f t="shared" si="88"/>
        <v>0</v>
      </c>
      <c r="I513" s="277">
        <f t="shared" si="84"/>
        <v>0</v>
      </c>
      <c r="J513" s="359"/>
      <c r="K513" s="359" t="s">
        <v>694</v>
      </c>
      <c r="L513" s="359"/>
      <c r="M513" s="338" t="s">
        <v>582</v>
      </c>
      <c r="N513" s="89">
        <v>41152</v>
      </c>
      <c r="O513" s="359">
        <v>187</v>
      </c>
      <c r="P513" s="359" t="s">
        <v>290</v>
      </c>
      <c r="Q513" s="359"/>
      <c r="R513" s="359"/>
      <c r="S513" s="359" t="s">
        <v>659</v>
      </c>
      <c r="T513" s="359">
        <v>124</v>
      </c>
      <c r="U513" s="359"/>
      <c r="V513" s="359"/>
      <c r="W513" s="359"/>
      <c r="X513" s="359"/>
      <c r="Y513" s="359">
        <v>47</v>
      </c>
      <c r="Z513" s="359"/>
      <c r="AA513" s="210"/>
      <c r="AB513" s="248">
        <v>0.32279999999999998</v>
      </c>
      <c r="AC513" s="359">
        <v>0.41720000000000002</v>
      </c>
      <c r="AD513" s="359">
        <v>0.26</v>
      </c>
      <c r="AE513" s="359"/>
      <c r="AF513" s="359">
        <v>8.3000000000000007</v>
      </c>
      <c r="AG513" s="153"/>
      <c r="AH513" s="346">
        <f>AVERAGE(106.7, 108.1, 106.8)*3.56832</f>
        <v>382.52390400000002</v>
      </c>
      <c r="AI513" s="24"/>
      <c r="AJ513" s="24"/>
      <c r="AK513" s="24"/>
      <c r="AL513" s="24"/>
      <c r="AM513" s="359"/>
      <c r="AN513" s="24">
        <f t="shared" si="85"/>
        <v>317.49484032000004</v>
      </c>
      <c r="AO513" s="54">
        <f t="shared" si="86"/>
        <v>0</v>
      </c>
      <c r="AP513" s="261">
        <f t="shared" si="87"/>
        <v>4.0161290322580649</v>
      </c>
      <c r="AQ513" s="338"/>
      <c r="AR513" s="45"/>
      <c r="AS513" s="359"/>
      <c r="AT513" s="359"/>
    </row>
    <row r="514" spans="1:46" ht="12">
      <c r="A514" s="359" t="s">
        <v>698</v>
      </c>
      <c r="B514" s="359" t="str">
        <f t="shared" si="78"/>
        <v>SiNx</v>
      </c>
      <c r="C514" s="141">
        <f t="shared" si="79"/>
        <v>0</v>
      </c>
      <c r="D514" s="277">
        <f t="shared" si="80"/>
        <v>430.33939200000003</v>
      </c>
      <c r="E514" s="20">
        <f t="shared" si="81"/>
        <v>0</v>
      </c>
      <c r="F514" s="20">
        <f t="shared" si="82"/>
        <v>0</v>
      </c>
      <c r="G514" s="277">
        <f t="shared" si="83"/>
        <v>0</v>
      </c>
      <c r="H514" s="3">
        <f t="shared" si="88"/>
        <v>0</v>
      </c>
      <c r="I514" s="277">
        <f t="shared" si="84"/>
        <v>0</v>
      </c>
      <c r="J514" s="359"/>
      <c r="K514" s="359" t="s">
        <v>699</v>
      </c>
      <c r="L514" s="359"/>
      <c r="M514" s="338" t="s">
        <v>582</v>
      </c>
      <c r="N514" s="89">
        <v>41152</v>
      </c>
      <c r="O514" s="359">
        <v>188</v>
      </c>
      <c r="P514" s="359" t="s">
        <v>187</v>
      </c>
      <c r="Q514" s="359"/>
      <c r="R514" s="359"/>
      <c r="S514" s="359" t="s">
        <v>659</v>
      </c>
      <c r="T514" s="359">
        <v>124</v>
      </c>
      <c r="U514" s="359"/>
      <c r="V514" s="359"/>
      <c r="W514" s="359"/>
      <c r="X514" s="359"/>
      <c r="Y514" s="359">
        <v>47</v>
      </c>
      <c r="Z514" s="359"/>
      <c r="AA514" s="210"/>
      <c r="AB514" s="248"/>
      <c r="AC514" s="359"/>
      <c r="AD514" s="359"/>
      <c r="AE514" s="359"/>
      <c r="AF514" s="359"/>
      <c r="AG514" s="153"/>
      <c r="AH514" s="346">
        <f>AVERAGE(120.7, 122.6, 118.5)*3.56832</f>
        <v>430.33939200000003</v>
      </c>
      <c r="AI514" s="24"/>
      <c r="AJ514" s="24"/>
      <c r="AK514" s="24"/>
      <c r="AL514" s="24"/>
      <c r="AM514" s="359"/>
      <c r="AN514" s="24">
        <f t="shared" si="85"/>
        <v>0</v>
      </c>
      <c r="AO514" s="54">
        <f t="shared" si="86"/>
        <v>0</v>
      </c>
      <c r="AP514" s="261">
        <f t="shared" si="87"/>
        <v>0</v>
      </c>
      <c r="AQ514" s="338"/>
      <c r="AR514" s="45"/>
      <c r="AS514" s="359"/>
      <c r="AT514" s="359"/>
    </row>
    <row r="515" spans="1:46" ht="12">
      <c r="A515" s="359" t="s">
        <v>700</v>
      </c>
      <c r="B515" s="359" t="str">
        <f t="shared" ref="B515:B578" si="89">P515</f>
        <v>SiNx</v>
      </c>
      <c r="C515" s="141">
        <f t="shared" ref="C515:C578" si="90">AF515</f>
        <v>0</v>
      </c>
      <c r="D515" s="277">
        <f t="shared" ref="D515:D578" si="91">AH515</f>
        <v>445.68316799999997</v>
      </c>
      <c r="E515" s="20">
        <f t="shared" ref="E515:E578" si="92">AJ515</f>
        <v>8.5</v>
      </c>
      <c r="F515" s="20">
        <f t="shared" ref="F515:F578" si="93">AK515</f>
        <v>1.423826094</v>
      </c>
      <c r="G515" s="277">
        <f t="shared" ref="G515:G578" si="94">AN515</f>
        <v>0</v>
      </c>
      <c r="H515" s="3">
        <f t="shared" si="88"/>
        <v>0.78</v>
      </c>
      <c r="I515" s="277">
        <f t="shared" ref="I515:I578" si="95">AO515</f>
        <v>0</v>
      </c>
      <c r="J515" s="359"/>
      <c r="K515" s="359" t="s">
        <v>699</v>
      </c>
      <c r="L515" s="359"/>
      <c r="M515" s="338" t="s">
        <v>582</v>
      </c>
      <c r="N515" s="89">
        <v>41152</v>
      </c>
      <c r="O515" s="359">
        <v>188</v>
      </c>
      <c r="P515" s="359" t="s">
        <v>187</v>
      </c>
      <c r="Q515" s="359"/>
      <c r="R515" s="359"/>
      <c r="S515" s="359" t="s">
        <v>659</v>
      </c>
      <c r="T515" s="359">
        <v>124</v>
      </c>
      <c r="U515" s="359"/>
      <c r="V515" s="359"/>
      <c r="W515" s="359"/>
      <c r="X515" s="359"/>
      <c r="Y515" s="359">
        <v>47</v>
      </c>
      <c r="Z515" s="359"/>
      <c r="AA515" s="210"/>
      <c r="AB515" s="248"/>
      <c r="AC515" s="359"/>
      <c r="AD515" s="359"/>
      <c r="AE515" s="359"/>
      <c r="AF515" s="359"/>
      <c r="AG515" s="153"/>
      <c r="AH515" s="346">
        <f>AVERAGE(125, 125.4, 124.3)*3.56832</f>
        <v>445.68316799999997</v>
      </c>
      <c r="AI515" s="24"/>
      <c r="AJ515" s="24">
        <v>8.5</v>
      </c>
      <c r="AK515" s="24">
        <v>1.423826094</v>
      </c>
      <c r="AL515" s="24">
        <v>0.78</v>
      </c>
      <c r="AM515" s="359"/>
      <c r="AN515" s="24">
        <f t="shared" ref="AN515:AN578" si="96">((AH515*AF515)/10)</f>
        <v>0</v>
      </c>
      <c r="AO515" s="54">
        <f t="shared" ref="AO515:AO578" si="97">(AF515*AH515)*AJ515</f>
        <v>0</v>
      </c>
      <c r="AP515" s="261">
        <f t="shared" ref="AP515:AP578" si="98">(AF515/T515)*60</f>
        <v>0</v>
      </c>
      <c r="AQ515" s="338"/>
      <c r="AR515" s="45"/>
      <c r="AS515" s="359"/>
      <c r="AT515" s="359"/>
    </row>
    <row r="516" spans="1:46" ht="12">
      <c r="A516" s="359" t="s">
        <v>701</v>
      </c>
      <c r="B516" s="359" t="str">
        <f t="shared" si="89"/>
        <v>Glass</v>
      </c>
      <c r="C516" s="141">
        <f t="shared" si="90"/>
        <v>0</v>
      </c>
      <c r="D516" s="277">
        <f t="shared" si="91"/>
        <v>449.84620799999999</v>
      </c>
      <c r="E516" s="20">
        <f t="shared" si="92"/>
        <v>0</v>
      </c>
      <c r="F516" s="20">
        <f t="shared" si="93"/>
        <v>0</v>
      </c>
      <c r="G516" s="277">
        <f t="shared" si="94"/>
        <v>0</v>
      </c>
      <c r="H516" s="3">
        <f t="shared" si="88"/>
        <v>0</v>
      </c>
      <c r="I516" s="277">
        <f t="shared" si="95"/>
        <v>0</v>
      </c>
      <c r="J516" s="359"/>
      <c r="K516" s="359" t="s">
        <v>699</v>
      </c>
      <c r="L516" s="359"/>
      <c r="M516" s="338" t="s">
        <v>582</v>
      </c>
      <c r="N516" s="89">
        <v>41152</v>
      </c>
      <c r="O516" s="359">
        <v>188</v>
      </c>
      <c r="P516" s="359" t="s">
        <v>290</v>
      </c>
      <c r="Q516" s="359"/>
      <c r="R516" s="359"/>
      <c r="S516" s="359" t="s">
        <v>659</v>
      </c>
      <c r="T516" s="359">
        <v>124</v>
      </c>
      <c r="U516" s="359"/>
      <c r="V516" s="359"/>
      <c r="W516" s="359"/>
      <c r="X516" s="359"/>
      <c r="Y516" s="359">
        <v>47</v>
      </c>
      <c r="Z516" s="359"/>
      <c r="AA516" s="210"/>
      <c r="AB516" s="248"/>
      <c r="AC516" s="359"/>
      <c r="AD516" s="359"/>
      <c r="AE516" s="359"/>
      <c r="AF516" s="359"/>
      <c r="AG516" s="153"/>
      <c r="AH516" s="346">
        <f>AVERAGE(124.5, 124.6, 129.1)*3.56832</f>
        <v>449.84620799999999</v>
      </c>
      <c r="AI516" s="24"/>
      <c r="AJ516" s="24"/>
      <c r="AK516" s="24"/>
      <c r="AL516" s="24"/>
      <c r="AM516" s="359"/>
      <c r="AN516" s="24">
        <f t="shared" si="96"/>
        <v>0</v>
      </c>
      <c r="AO516" s="54">
        <f t="shared" si="97"/>
        <v>0</v>
      </c>
      <c r="AP516" s="261">
        <f t="shared" si="98"/>
        <v>0</v>
      </c>
      <c r="AQ516" s="338"/>
      <c r="AR516" s="45"/>
      <c r="AS516" s="359"/>
      <c r="AT516" s="359"/>
    </row>
    <row r="517" spans="1:46" ht="12">
      <c r="A517" s="359" t="s">
        <v>702</v>
      </c>
      <c r="B517" s="359" t="str">
        <f t="shared" si="89"/>
        <v>Glass</v>
      </c>
      <c r="C517" s="141">
        <f t="shared" si="90"/>
        <v>7.8</v>
      </c>
      <c r="D517" s="277">
        <f t="shared" si="91"/>
        <v>432.12355200000002</v>
      </c>
      <c r="E517" s="20">
        <f t="shared" si="92"/>
        <v>0</v>
      </c>
      <c r="F517" s="20">
        <f t="shared" si="93"/>
        <v>0</v>
      </c>
      <c r="G517" s="277">
        <f t="shared" si="94"/>
        <v>337.05637056</v>
      </c>
      <c r="H517" s="3">
        <f t="shared" si="88"/>
        <v>0</v>
      </c>
      <c r="I517" s="277">
        <f t="shared" si="95"/>
        <v>0</v>
      </c>
      <c r="J517" s="359"/>
      <c r="K517" s="359" t="s">
        <v>699</v>
      </c>
      <c r="L517" s="359"/>
      <c r="M517" s="338" t="s">
        <v>582</v>
      </c>
      <c r="N517" s="89">
        <v>41152</v>
      </c>
      <c r="O517" s="359">
        <v>188</v>
      </c>
      <c r="P517" s="359" t="s">
        <v>290</v>
      </c>
      <c r="Q517" s="359"/>
      <c r="R517" s="359"/>
      <c r="S517" s="359" t="s">
        <v>659</v>
      </c>
      <c r="T517" s="359">
        <v>124</v>
      </c>
      <c r="U517" s="359"/>
      <c r="V517" s="359"/>
      <c r="W517" s="359"/>
      <c r="X517" s="359"/>
      <c r="Y517" s="359">
        <v>47</v>
      </c>
      <c r="Z517" s="359"/>
      <c r="AA517" s="210"/>
      <c r="AB517" s="248">
        <v>0.27</v>
      </c>
      <c r="AC517" s="359">
        <v>0.43469999999999998</v>
      </c>
      <c r="AD517" s="359">
        <v>0.29530000000000001</v>
      </c>
      <c r="AE517" s="359"/>
      <c r="AF517" s="359">
        <v>7.8</v>
      </c>
      <c r="AG517" s="153"/>
      <c r="AH517" s="346">
        <f>AVERAGE(120.4, 122.2, 120.7)*3.56832</f>
        <v>432.12355200000002</v>
      </c>
      <c r="AI517" s="24"/>
      <c r="AJ517" s="24"/>
      <c r="AK517" s="24"/>
      <c r="AL517" s="24"/>
      <c r="AM517" s="359"/>
      <c r="AN517" s="24">
        <f t="shared" si="96"/>
        <v>337.05637056</v>
      </c>
      <c r="AO517" s="54">
        <f t="shared" si="97"/>
        <v>0</v>
      </c>
      <c r="AP517" s="261">
        <f t="shared" si="98"/>
        <v>3.7741935483870965</v>
      </c>
      <c r="AQ517" s="338"/>
      <c r="AR517" s="45"/>
      <c r="AS517" s="359"/>
      <c r="AT517" s="359"/>
    </row>
    <row r="518" spans="1:46" ht="12">
      <c r="A518" s="359" t="s">
        <v>703</v>
      </c>
      <c r="B518" s="359" t="str">
        <f t="shared" si="89"/>
        <v>SiNx</v>
      </c>
      <c r="C518" s="141">
        <f t="shared" si="90"/>
        <v>0</v>
      </c>
      <c r="D518" s="277">
        <f t="shared" si="91"/>
        <v>403.69593599999996</v>
      </c>
      <c r="E518" s="20">
        <f t="shared" si="92"/>
        <v>0</v>
      </c>
      <c r="F518" s="20">
        <f t="shared" si="93"/>
        <v>0</v>
      </c>
      <c r="G518" s="277">
        <f t="shared" si="94"/>
        <v>0</v>
      </c>
      <c r="H518" s="3">
        <f t="shared" si="88"/>
        <v>0</v>
      </c>
      <c r="I518" s="277">
        <f t="shared" si="95"/>
        <v>0</v>
      </c>
      <c r="J518" s="359"/>
      <c r="K518" s="359" t="s">
        <v>704</v>
      </c>
      <c r="L518" s="359"/>
      <c r="M518" s="338" t="s">
        <v>582</v>
      </c>
      <c r="N518" s="89">
        <v>41152</v>
      </c>
      <c r="O518" s="134">
        <v>189</v>
      </c>
      <c r="P518" s="359" t="s">
        <v>187</v>
      </c>
      <c r="Q518" s="359"/>
      <c r="R518" s="359"/>
      <c r="S518" s="359" t="s">
        <v>659</v>
      </c>
      <c r="T518" s="359">
        <v>124</v>
      </c>
      <c r="U518" s="359"/>
      <c r="V518" s="359"/>
      <c r="W518" s="359"/>
      <c r="X518" s="359"/>
      <c r="Y518" s="359">
        <v>47</v>
      </c>
      <c r="Z518" s="359"/>
      <c r="AA518" s="210"/>
      <c r="AB518" s="248"/>
      <c r="AC518" s="359"/>
      <c r="AD518" s="359"/>
      <c r="AE518" s="359"/>
      <c r="AF518" s="359"/>
      <c r="AG518" s="153"/>
      <c r="AH518" s="346">
        <f>AVERAGE(113.3, 112.1, 114)*3.56832</f>
        <v>403.69593599999996</v>
      </c>
      <c r="AI518" s="24"/>
      <c r="AJ518" s="24"/>
      <c r="AK518" s="24"/>
      <c r="AL518" s="24"/>
      <c r="AM518" s="359"/>
      <c r="AN518" s="24">
        <f t="shared" si="96"/>
        <v>0</v>
      </c>
      <c r="AO518" s="54">
        <f t="shared" si="97"/>
        <v>0</v>
      </c>
      <c r="AP518" s="261">
        <f t="shared" si="98"/>
        <v>0</v>
      </c>
      <c r="AQ518" s="338"/>
      <c r="AR518" s="45"/>
      <c r="AS518" s="359"/>
      <c r="AT518" s="359"/>
    </row>
    <row r="519" spans="1:46" ht="12">
      <c r="A519" s="359" t="s">
        <v>705</v>
      </c>
      <c r="B519" s="359" t="str">
        <f t="shared" si="89"/>
        <v>SiNx</v>
      </c>
      <c r="C519" s="141">
        <f t="shared" si="90"/>
        <v>0</v>
      </c>
      <c r="D519" s="277">
        <f t="shared" si="91"/>
        <v>392.15836799999994</v>
      </c>
      <c r="E519" s="20">
        <f t="shared" si="92"/>
        <v>8.4</v>
      </c>
      <c r="F519" s="20">
        <f t="shared" si="93"/>
        <v>1.1872215749999999</v>
      </c>
      <c r="G519" s="277">
        <f t="shared" si="94"/>
        <v>0</v>
      </c>
      <c r="H519" s="3">
        <f t="shared" si="88"/>
        <v>0.81799999999999995</v>
      </c>
      <c r="I519" s="277">
        <f t="shared" si="95"/>
        <v>0</v>
      </c>
      <c r="J519" s="359"/>
      <c r="K519" s="359" t="s">
        <v>704</v>
      </c>
      <c r="L519" s="359"/>
      <c r="M519" s="338" t="s">
        <v>582</v>
      </c>
      <c r="N519" s="89">
        <v>41152</v>
      </c>
      <c r="O519" s="134">
        <v>189</v>
      </c>
      <c r="P519" s="359" t="s">
        <v>187</v>
      </c>
      <c r="Q519" s="359"/>
      <c r="R519" s="359"/>
      <c r="S519" s="359" t="s">
        <v>659</v>
      </c>
      <c r="T519" s="359">
        <v>124</v>
      </c>
      <c r="U519" s="359"/>
      <c r="V519" s="359"/>
      <c r="W519" s="359"/>
      <c r="X519" s="359"/>
      <c r="Y519" s="359">
        <v>47</v>
      </c>
      <c r="Z519" s="359"/>
      <c r="AA519" s="210"/>
      <c r="AB519" s="248"/>
      <c r="AC519" s="359"/>
      <c r="AD519" s="359"/>
      <c r="AE519" s="359"/>
      <c r="AF519" s="359"/>
      <c r="AG519" s="153"/>
      <c r="AH519" s="346">
        <f>AVERAGE(109.8, 109.3, 110.6)*3.56832</f>
        <v>392.15836799999994</v>
      </c>
      <c r="AI519" s="24"/>
      <c r="AJ519" s="24">
        <v>8.4</v>
      </c>
      <c r="AK519" s="24">
        <v>1.1872215749999999</v>
      </c>
      <c r="AL519" s="24">
        <v>0.81799999999999995</v>
      </c>
      <c r="AM519" s="359"/>
      <c r="AN519" s="24">
        <f t="shared" si="96"/>
        <v>0</v>
      </c>
      <c r="AO519" s="54">
        <f t="shared" si="97"/>
        <v>0</v>
      </c>
      <c r="AP519" s="261">
        <f t="shared" si="98"/>
        <v>0</v>
      </c>
      <c r="AQ519" s="338"/>
      <c r="AR519" s="45"/>
      <c r="AS519" s="359"/>
      <c r="AT519" s="359"/>
    </row>
    <row r="520" spans="1:46" ht="12">
      <c r="A520" s="359" t="s">
        <v>706</v>
      </c>
      <c r="B520" s="359" t="str">
        <f t="shared" si="89"/>
        <v>Glass</v>
      </c>
      <c r="C520" s="141">
        <f t="shared" si="90"/>
        <v>0</v>
      </c>
      <c r="D520" s="277">
        <f t="shared" si="91"/>
        <v>383.71334400000006</v>
      </c>
      <c r="E520" s="20">
        <f t="shared" si="92"/>
        <v>0</v>
      </c>
      <c r="F520" s="20">
        <f t="shared" si="93"/>
        <v>0</v>
      </c>
      <c r="G520" s="277">
        <f t="shared" si="94"/>
        <v>0</v>
      </c>
      <c r="H520" s="3">
        <f t="shared" si="88"/>
        <v>0</v>
      </c>
      <c r="I520" s="277">
        <f t="shared" si="95"/>
        <v>0</v>
      </c>
      <c r="J520" s="359"/>
      <c r="K520" s="359" t="s">
        <v>704</v>
      </c>
      <c r="L520" s="359"/>
      <c r="M520" s="338" t="s">
        <v>582</v>
      </c>
      <c r="N520" s="89">
        <v>41152</v>
      </c>
      <c r="O520" s="134">
        <v>189</v>
      </c>
      <c r="P520" s="359" t="s">
        <v>290</v>
      </c>
      <c r="Q520" s="359"/>
      <c r="R520" s="359"/>
      <c r="S520" s="359" t="s">
        <v>659</v>
      </c>
      <c r="T520" s="359">
        <v>124</v>
      </c>
      <c r="U520" s="359"/>
      <c r="V520" s="359"/>
      <c r="W520" s="359"/>
      <c r="X520" s="359"/>
      <c r="Y520" s="359">
        <v>47</v>
      </c>
      <c r="Z520" s="359"/>
      <c r="AA520" s="210"/>
      <c r="AB520" s="248"/>
      <c r="AC520" s="359"/>
      <c r="AD520" s="359"/>
      <c r="AE520" s="359"/>
      <c r="AF520" s="359"/>
      <c r="AG520" s="153"/>
      <c r="AH520" s="346">
        <f>AVERAGE(107, 107.8, 107.8)*3.56832</f>
        <v>383.71334400000006</v>
      </c>
      <c r="AI520" s="24"/>
      <c r="AJ520" s="24"/>
      <c r="AK520" s="24"/>
      <c r="AL520" s="24"/>
      <c r="AM520" s="359"/>
      <c r="AN520" s="24">
        <f t="shared" si="96"/>
        <v>0</v>
      </c>
      <c r="AO520" s="54">
        <f t="shared" si="97"/>
        <v>0</v>
      </c>
      <c r="AP520" s="261">
        <f t="shared" si="98"/>
        <v>0</v>
      </c>
      <c r="AQ520" s="338"/>
      <c r="AR520" s="45"/>
      <c r="AS520" s="359"/>
      <c r="AT520" s="359"/>
    </row>
    <row r="521" spans="1:46" ht="12">
      <c r="A521" s="359" t="s">
        <v>707</v>
      </c>
      <c r="B521" s="359" t="str">
        <f t="shared" si="89"/>
        <v>Glass</v>
      </c>
      <c r="C521" s="141">
        <f t="shared" si="90"/>
        <v>8.5</v>
      </c>
      <c r="D521" s="277">
        <f t="shared" si="91"/>
        <v>376.45776000000001</v>
      </c>
      <c r="E521" s="20">
        <f t="shared" si="92"/>
        <v>0</v>
      </c>
      <c r="F521" s="20">
        <f t="shared" si="93"/>
        <v>0</v>
      </c>
      <c r="G521" s="277">
        <f t="shared" si="94"/>
        <v>319.98909600000002</v>
      </c>
      <c r="H521" s="3">
        <f t="shared" si="88"/>
        <v>0</v>
      </c>
      <c r="I521" s="277">
        <f t="shared" si="95"/>
        <v>0</v>
      </c>
      <c r="J521" s="359"/>
      <c r="K521" s="359" t="s">
        <v>704</v>
      </c>
      <c r="L521" s="359"/>
      <c r="M521" s="338" t="s">
        <v>582</v>
      </c>
      <c r="N521" s="89">
        <v>41152</v>
      </c>
      <c r="O521" s="134">
        <v>189</v>
      </c>
      <c r="P521" s="359" t="s">
        <v>290</v>
      </c>
      <c r="Q521" s="359"/>
      <c r="R521" s="359"/>
      <c r="S521" s="359" t="s">
        <v>659</v>
      </c>
      <c r="T521" s="359">
        <v>124</v>
      </c>
      <c r="U521" s="359"/>
      <c r="V521" s="359"/>
      <c r="W521" s="359"/>
      <c r="X521" s="359"/>
      <c r="Y521" s="359">
        <v>47</v>
      </c>
      <c r="Z521" s="359"/>
      <c r="AA521" s="210"/>
      <c r="AB521" s="248">
        <v>0.33460000000000001</v>
      </c>
      <c r="AC521" s="359">
        <v>0.41010000000000002</v>
      </c>
      <c r="AD521" s="359">
        <v>0.255</v>
      </c>
      <c r="AE521" s="359"/>
      <c r="AF521" s="359">
        <v>8.5</v>
      </c>
      <c r="AG521" s="153"/>
      <c r="AH521" s="346">
        <f>AVERAGE(105.7, 106.4, 104.4)*3.56832</f>
        <v>376.45776000000001</v>
      </c>
      <c r="AI521" s="24"/>
      <c r="AJ521" s="24"/>
      <c r="AK521" s="24"/>
      <c r="AL521" s="24"/>
      <c r="AM521" s="359"/>
      <c r="AN521" s="24">
        <f t="shared" si="96"/>
        <v>319.98909600000002</v>
      </c>
      <c r="AO521" s="54">
        <f t="shared" si="97"/>
        <v>0</v>
      </c>
      <c r="AP521" s="261">
        <f t="shared" si="98"/>
        <v>4.1129032258064511</v>
      </c>
      <c r="AQ521" s="338"/>
      <c r="AR521" s="45"/>
      <c r="AS521" s="359"/>
      <c r="AT521" s="359"/>
    </row>
    <row r="522" spans="1:46" ht="12">
      <c r="A522" s="359" t="s">
        <v>708</v>
      </c>
      <c r="B522" s="359" t="str">
        <f t="shared" si="89"/>
        <v>SiNx</v>
      </c>
      <c r="C522" s="141">
        <f t="shared" si="90"/>
        <v>0</v>
      </c>
      <c r="D522" s="277">
        <f t="shared" si="91"/>
        <v>421.77542399999999</v>
      </c>
      <c r="E522" s="20">
        <f t="shared" si="92"/>
        <v>0</v>
      </c>
      <c r="F522" s="20">
        <f t="shared" si="93"/>
        <v>0</v>
      </c>
      <c r="G522" s="277">
        <f t="shared" si="94"/>
        <v>0</v>
      </c>
      <c r="H522" s="3">
        <f t="shared" si="88"/>
        <v>0</v>
      </c>
      <c r="I522" s="277">
        <f t="shared" si="95"/>
        <v>0</v>
      </c>
      <c r="J522" s="359"/>
      <c r="K522" s="359" t="s">
        <v>709</v>
      </c>
      <c r="L522" s="359"/>
      <c r="M522" s="338" t="s">
        <v>582</v>
      </c>
      <c r="N522" s="89">
        <v>41152</v>
      </c>
      <c r="O522" s="134">
        <v>190</v>
      </c>
      <c r="P522" s="359" t="s">
        <v>187</v>
      </c>
      <c r="Q522" s="359"/>
      <c r="R522" s="359"/>
      <c r="S522" s="359" t="s">
        <v>659</v>
      </c>
      <c r="T522" s="359">
        <v>124</v>
      </c>
      <c r="U522" s="359"/>
      <c r="V522" s="359"/>
      <c r="W522" s="359"/>
      <c r="X522" s="359"/>
      <c r="Y522" s="359">
        <v>47</v>
      </c>
      <c r="Z522" s="359"/>
      <c r="AA522" s="210"/>
      <c r="AB522" s="248"/>
      <c r="AC522" s="359"/>
      <c r="AD522" s="359"/>
      <c r="AE522" s="359"/>
      <c r="AF522" s="359"/>
      <c r="AG522" s="153"/>
      <c r="AH522" s="346">
        <f>AVERAGE(117, 119.5, 118.1)*3.56832</f>
        <v>421.77542399999999</v>
      </c>
      <c r="AI522" s="24"/>
      <c r="AJ522" s="24"/>
      <c r="AK522" s="24"/>
      <c r="AL522" s="24"/>
      <c r="AM522" s="359"/>
      <c r="AN522" s="24">
        <f t="shared" si="96"/>
        <v>0</v>
      </c>
      <c r="AO522" s="54">
        <f t="shared" si="97"/>
        <v>0</v>
      </c>
      <c r="AP522" s="261">
        <f t="shared" si="98"/>
        <v>0</v>
      </c>
      <c r="AQ522" s="338"/>
      <c r="AR522" s="45"/>
      <c r="AS522" s="359"/>
      <c r="AT522" s="359"/>
    </row>
    <row r="523" spans="1:46" ht="12">
      <c r="A523" s="359" t="s">
        <v>710</v>
      </c>
      <c r="B523" s="359" t="str">
        <f t="shared" si="89"/>
        <v>SiNx</v>
      </c>
      <c r="C523" s="141">
        <f t="shared" si="90"/>
        <v>0</v>
      </c>
      <c r="D523" s="277">
        <f t="shared" si="91"/>
        <v>422.96486400000003</v>
      </c>
      <c r="E523" s="20">
        <f t="shared" si="92"/>
        <v>8.4</v>
      </c>
      <c r="F523" s="20">
        <f t="shared" si="93"/>
        <v>0</v>
      </c>
      <c r="G523" s="277">
        <f t="shared" si="94"/>
        <v>0</v>
      </c>
      <c r="H523" s="3">
        <f t="shared" si="88"/>
        <v>0.79300000000000004</v>
      </c>
      <c r="I523" s="277">
        <f t="shared" si="95"/>
        <v>0</v>
      </c>
      <c r="J523" s="359"/>
      <c r="K523" s="359" t="s">
        <v>709</v>
      </c>
      <c r="L523" s="359"/>
      <c r="M523" s="338" t="s">
        <v>582</v>
      </c>
      <c r="N523" s="89">
        <v>41152</v>
      </c>
      <c r="O523" s="134">
        <v>190</v>
      </c>
      <c r="P523" s="359" t="s">
        <v>187</v>
      </c>
      <c r="Q523" s="359"/>
      <c r="R523" s="359"/>
      <c r="S523" s="359" t="s">
        <v>659</v>
      </c>
      <c r="T523" s="359">
        <v>124</v>
      </c>
      <c r="U523" s="359"/>
      <c r="V523" s="359"/>
      <c r="W523" s="359"/>
      <c r="X523" s="359"/>
      <c r="Y523" s="359">
        <v>47</v>
      </c>
      <c r="Z523" s="359"/>
      <c r="AA523" s="210"/>
      <c r="AB523" s="248"/>
      <c r="AC523" s="359"/>
      <c r="AD523" s="359"/>
      <c r="AE523" s="359"/>
      <c r="AF523" s="359"/>
      <c r="AG523" s="153"/>
      <c r="AH523" s="346">
        <f>AVERAGE(118.2, 119.4, 118)*3.56832</f>
        <v>422.96486400000003</v>
      </c>
      <c r="AI523" s="24"/>
      <c r="AJ523" s="24">
        <v>8.4</v>
      </c>
      <c r="AK523" s="24"/>
      <c r="AL523" s="24">
        <v>0.79300000000000004</v>
      </c>
      <c r="AM523" s="359"/>
      <c r="AN523" s="24">
        <f t="shared" si="96"/>
        <v>0</v>
      </c>
      <c r="AO523" s="54">
        <f t="shared" si="97"/>
        <v>0</v>
      </c>
      <c r="AP523" s="261">
        <f t="shared" si="98"/>
        <v>0</v>
      </c>
      <c r="AQ523" s="338"/>
      <c r="AR523" s="45"/>
      <c r="AS523" s="359"/>
      <c r="AT523" s="359"/>
    </row>
    <row r="524" spans="1:46" ht="12">
      <c r="A524" s="359" t="s">
        <v>711</v>
      </c>
      <c r="B524" s="359" t="str">
        <f t="shared" si="89"/>
        <v>Glass</v>
      </c>
      <c r="C524" s="141">
        <f t="shared" si="90"/>
        <v>0</v>
      </c>
      <c r="D524" s="277">
        <f t="shared" si="91"/>
        <v>428.67417599999999</v>
      </c>
      <c r="E524" s="20">
        <f t="shared" si="92"/>
        <v>0</v>
      </c>
      <c r="F524" s="20">
        <f t="shared" si="93"/>
        <v>0</v>
      </c>
      <c r="G524" s="277">
        <f t="shared" si="94"/>
        <v>0</v>
      </c>
      <c r="H524" s="3">
        <f t="shared" si="88"/>
        <v>0</v>
      </c>
      <c r="I524" s="277">
        <f t="shared" si="95"/>
        <v>0</v>
      </c>
      <c r="J524" s="359"/>
      <c r="K524" s="359" t="s">
        <v>709</v>
      </c>
      <c r="L524" s="359"/>
      <c r="M524" s="338" t="s">
        <v>582</v>
      </c>
      <c r="N524" s="89">
        <v>41152</v>
      </c>
      <c r="O524" s="134">
        <v>190</v>
      </c>
      <c r="P524" s="359" t="s">
        <v>290</v>
      </c>
      <c r="Q524" s="359"/>
      <c r="R524" s="359"/>
      <c r="S524" s="359" t="s">
        <v>659</v>
      </c>
      <c r="T524" s="359">
        <v>124</v>
      </c>
      <c r="U524" s="359"/>
      <c r="V524" s="359"/>
      <c r="W524" s="359"/>
      <c r="X524" s="359"/>
      <c r="Y524" s="359">
        <v>47</v>
      </c>
      <c r="Z524" s="359"/>
      <c r="AA524" s="210"/>
      <c r="AB524" s="248"/>
      <c r="AC524" s="359"/>
      <c r="AD524" s="359"/>
      <c r="AE524" s="359"/>
      <c r="AF524" s="359"/>
      <c r="AG524" s="153"/>
      <c r="AH524" s="346">
        <f>AVERAGE(120.6, 120.7, 119.1)*3.56832</f>
        <v>428.67417599999999</v>
      </c>
      <c r="AI524" s="24"/>
      <c r="AJ524" s="24"/>
      <c r="AK524" s="24"/>
      <c r="AL524" s="24"/>
      <c r="AM524" s="359"/>
      <c r="AN524" s="24">
        <f t="shared" si="96"/>
        <v>0</v>
      </c>
      <c r="AO524" s="54">
        <f t="shared" si="97"/>
        <v>0</v>
      </c>
      <c r="AP524" s="261">
        <f t="shared" si="98"/>
        <v>0</v>
      </c>
      <c r="AQ524" s="338"/>
      <c r="AR524" s="45"/>
      <c r="AS524" s="359"/>
      <c r="AT524" s="359"/>
    </row>
    <row r="525" spans="1:46" ht="12">
      <c r="A525" s="359" t="s">
        <v>712</v>
      </c>
      <c r="B525" s="359" t="str">
        <f t="shared" si="89"/>
        <v>Glass</v>
      </c>
      <c r="C525" s="141">
        <f t="shared" si="90"/>
        <v>8.1</v>
      </c>
      <c r="D525" s="277">
        <f t="shared" si="91"/>
        <v>403.10121600000002</v>
      </c>
      <c r="E525" s="20">
        <f t="shared" si="92"/>
        <v>0</v>
      </c>
      <c r="F525" s="20">
        <f t="shared" si="93"/>
        <v>0</v>
      </c>
      <c r="G525" s="277">
        <f t="shared" si="94"/>
        <v>326.51198496000001</v>
      </c>
      <c r="H525" s="3">
        <f t="shared" si="88"/>
        <v>0</v>
      </c>
      <c r="I525" s="277">
        <f t="shared" si="95"/>
        <v>0</v>
      </c>
      <c r="J525" s="359"/>
      <c r="K525" s="359" t="s">
        <v>709</v>
      </c>
      <c r="L525" s="359"/>
      <c r="M525" s="338" t="s">
        <v>582</v>
      </c>
      <c r="N525" s="89">
        <v>41152</v>
      </c>
      <c r="O525" s="134">
        <v>190</v>
      </c>
      <c r="P525" s="359" t="s">
        <v>290</v>
      </c>
      <c r="Q525" s="359"/>
      <c r="R525" s="359"/>
      <c r="S525" s="359" t="s">
        <v>659</v>
      </c>
      <c r="T525" s="359">
        <v>124</v>
      </c>
      <c r="U525" s="359"/>
      <c r="V525" s="359"/>
      <c r="W525" s="359"/>
      <c r="X525" s="359"/>
      <c r="Y525" s="359">
        <v>47</v>
      </c>
      <c r="Z525" s="359"/>
      <c r="AA525" s="210"/>
      <c r="AB525" s="248">
        <v>0.3271</v>
      </c>
      <c r="AC525" s="359">
        <v>0.42459999999999998</v>
      </c>
      <c r="AD525" s="359">
        <v>0.2482</v>
      </c>
      <c r="AE525" s="359"/>
      <c r="AF525" s="359">
        <v>8.1</v>
      </c>
      <c r="AG525" s="153"/>
      <c r="AH525" s="346">
        <f>AVERAGE(113.4, 112.7, 112.8)*3.56832</f>
        <v>403.10121600000002</v>
      </c>
      <c r="AI525" s="24"/>
      <c r="AJ525" s="24"/>
      <c r="AK525" s="24"/>
      <c r="AL525" s="24"/>
      <c r="AM525" s="359"/>
      <c r="AN525" s="24">
        <f t="shared" si="96"/>
        <v>326.51198496000001</v>
      </c>
      <c r="AO525" s="54">
        <f t="shared" si="97"/>
        <v>0</v>
      </c>
      <c r="AP525" s="261">
        <f t="shared" si="98"/>
        <v>3.9193548387096775</v>
      </c>
      <c r="AQ525" s="338"/>
      <c r="AR525" s="45"/>
      <c r="AS525" s="359"/>
      <c r="AT525" s="359"/>
    </row>
    <row r="526" spans="1:46" ht="12">
      <c r="A526" s="359" t="s">
        <v>713</v>
      </c>
      <c r="B526" s="359" t="str">
        <f t="shared" si="89"/>
        <v>SiNx</v>
      </c>
      <c r="C526" s="141">
        <f t="shared" si="90"/>
        <v>0</v>
      </c>
      <c r="D526" s="277">
        <f t="shared" si="91"/>
        <v>294.74323200000003</v>
      </c>
      <c r="E526" s="20">
        <f t="shared" si="92"/>
        <v>0</v>
      </c>
      <c r="F526" s="20">
        <f t="shared" si="93"/>
        <v>0</v>
      </c>
      <c r="G526" s="277">
        <f t="shared" si="94"/>
        <v>0</v>
      </c>
      <c r="H526" s="3">
        <f t="shared" si="88"/>
        <v>0</v>
      </c>
      <c r="I526" s="277">
        <f t="shared" si="95"/>
        <v>0</v>
      </c>
      <c r="J526" s="359"/>
      <c r="K526" s="359" t="s">
        <v>714</v>
      </c>
      <c r="L526" s="359"/>
      <c r="M526" s="338" t="s">
        <v>582</v>
      </c>
      <c r="N526" s="89">
        <v>41152</v>
      </c>
      <c r="O526" s="134">
        <v>191</v>
      </c>
      <c r="P526" s="359" t="s">
        <v>187</v>
      </c>
      <c r="Q526" s="359"/>
      <c r="R526" s="359"/>
      <c r="S526" s="359" t="s">
        <v>659</v>
      </c>
      <c r="T526" s="359">
        <v>124</v>
      </c>
      <c r="U526" s="359"/>
      <c r="V526" s="359"/>
      <c r="W526" s="359"/>
      <c r="X526" s="359"/>
      <c r="Y526" s="359">
        <v>47</v>
      </c>
      <c r="Z526" s="359"/>
      <c r="AA526" s="210"/>
      <c r="AB526" s="248"/>
      <c r="AC526" s="359"/>
      <c r="AD526" s="359"/>
      <c r="AE526" s="359"/>
      <c r="AF526" s="359"/>
      <c r="AG526" s="153"/>
      <c r="AH526" s="346">
        <f>AVERAGE(82.9, 82.4, 82.5)*3.56832</f>
        <v>294.74323200000003</v>
      </c>
      <c r="AI526" s="24"/>
      <c r="AJ526" s="24"/>
      <c r="AK526" s="24"/>
      <c r="AL526" s="24"/>
      <c r="AM526" s="359"/>
      <c r="AN526" s="24">
        <f t="shared" si="96"/>
        <v>0</v>
      </c>
      <c r="AO526" s="54">
        <f t="shared" si="97"/>
        <v>0</v>
      </c>
      <c r="AP526" s="261">
        <f t="shared" si="98"/>
        <v>0</v>
      </c>
      <c r="AQ526" s="338"/>
      <c r="AR526" s="45"/>
      <c r="AS526" s="359"/>
      <c r="AT526" s="359"/>
    </row>
    <row r="527" spans="1:46" ht="12">
      <c r="A527" s="359" t="s">
        <v>715</v>
      </c>
      <c r="B527" s="359" t="str">
        <f t="shared" si="89"/>
        <v>SiNx</v>
      </c>
      <c r="C527" s="141">
        <f t="shared" si="90"/>
        <v>0</v>
      </c>
      <c r="D527" s="277">
        <f t="shared" si="91"/>
        <v>464.83315199999993</v>
      </c>
      <c r="E527" s="20">
        <f t="shared" si="92"/>
        <v>6.1</v>
      </c>
      <c r="F527" s="20">
        <f t="shared" si="93"/>
        <v>1.2711212270000001</v>
      </c>
      <c r="G527" s="277">
        <f t="shared" si="94"/>
        <v>0</v>
      </c>
      <c r="H527" s="3">
        <f t="shared" si="88"/>
        <v>0.82</v>
      </c>
      <c r="I527" s="277">
        <f t="shared" si="95"/>
        <v>0</v>
      </c>
      <c r="J527" s="359"/>
      <c r="K527" s="359" t="s">
        <v>714</v>
      </c>
      <c r="L527" s="359"/>
      <c r="M527" s="338" t="s">
        <v>582</v>
      </c>
      <c r="N527" s="89">
        <v>41152</v>
      </c>
      <c r="O527" s="134">
        <v>191</v>
      </c>
      <c r="P527" s="359" t="s">
        <v>187</v>
      </c>
      <c r="Q527" s="359"/>
      <c r="R527" s="359"/>
      <c r="S527" s="359" t="s">
        <v>659</v>
      </c>
      <c r="T527" s="359">
        <v>124</v>
      </c>
      <c r="U527" s="359"/>
      <c r="V527" s="359"/>
      <c r="W527" s="359"/>
      <c r="X527" s="359"/>
      <c r="Y527" s="359">
        <v>47</v>
      </c>
      <c r="Z527" s="359"/>
      <c r="AA527" s="210"/>
      <c r="AB527" s="248"/>
      <c r="AC527" s="359"/>
      <c r="AD527" s="359"/>
      <c r="AE527" s="359"/>
      <c r="AF527" s="359"/>
      <c r="AG527" s="153"/>
      <c r="AH527" s="346">
        <f>AVERAGE(132.3, 128.6, 129.9)*3.56832</f>
        <v>464.83315199999993</v>
      </c>
      <c r="AI527" s="24"/>
      <c r="AJ527" s="24">
        <v>6.1</v>
      </c>
      <c r="AK527" s="24">
        <v>1.2711212270000001</v>
      </c>
      <c r="AL527" s="24">
        <v>0.82</v>
      </c>
      <c r="AM527" s="359"/>
      <c r="AN527" s="24">
        <f t="shared" si="96"/>
        <v>0</v>
      </c>
      <c r="AO527" s="54">
        <f t="shared" si="97"/>
        <v>0</v>
      </c>
      <c r="AP527" s="261">
        <f t="shared" si="98"/>
        <v>0</v>
      </c>
      <c r="AQ527" s="338"/>
      <c r="AR527" s="45"/>
      <c r="AS527" s="359"/>
      <c r="AT527" s="359"/>
    </row>
    <row r="528" spans="1:46" ht="12">
      <c r="A528" s="359" t="s">
        <v>716</v>
      </c>
      <c r="B528" s="359" t="str">
        <f t="shared" si="89"/>
        <v>Glass</v>
      </c>
      <c r="C528" s="141">
        <f t="shared" si="90"/>
        <v>0</v>
      </c>
      <c r="D528" s="277">
        <f t="shared" si="91"/>
        <v>404.29065599999996</v>
      </c>
      <c r="E528" s="20">
        <f t="shared" si="92"/>
        <v>0</v>
      </c>
      <c r="F528" s="20">
        <f t="shared" si="93"/>
        <v>0</v>
      </c>
      <c r="G528" s="277">
        <f t="shared" si="94"/>
        <v>0</v>
      </c>
      <c r="H528" s="3">
        <f t="shared" si="88"/>
        <v>0</v>
      </c>
      <c r="I528" s="277">
        <f t="shared" si="95"/>
        <v>0</v>
      </c>
      <c r="J528" s="359"/>
      <c r="K528" s="359" t="s">
        <v>714</v>
      </c>
      <c r="L528" s="359"/>
      <c r="M528" s="338" t="s">
        <v>582</v>
      </c>
      <c r="N528" s="89">
        <v>41152</v>
      </c>
      <c r="O528" s="134">
        <v>191</v>
      </c>
      <c r="P528" s="359" t="s">
        <v>290</v>
      </c>
      <c r="Q528" s="359"/>
      <c r="R528" s="359"/>
      <c r="S528" s="359" t="s">
        <v>659</v>
      </c>
      <c r="T528" s="359">
        <v>124</v>
      </c>
      <c r="U528" s="359"/>
      <c r="V528" s="359"/>
      <c r="W528" s="359"/>
      <c r="X528" s="359"/>
      <c r="Y528" s="359">
        <v>47</v>
      </c>
      <c r="Z528" s="359"/>
      <c r="AA528" s="210"/>
      <c r="AB528" s="248"/>
      <c r="AC528" s="359"/>
      <c r="AD528" s="359"/>
      <c r="AE528" s="359"/>
      <c r="AF528" s="359"/>
      <c r="AG528" s="153"/>
      <c r="AH528" s="346">
        <f>AVERAGE(114.6, 112, 113.3)*3.56832</f>
        <v>404.29065599999996</v>
      </c>
      <c r="AI528" s="24"/>
      <c r="AJ528" s="24"/>
      <c r="AK528" s="24"/>
      <c r="AL528" s="24"/>
      <c r="AM528" s="359"/>
      <c r="AN528" s="24">
        <f t="shared" si="96"/>
        <v>0</v>
      </c>
      <c r="AO528" s="54">
        <f t="shared" si="97"/>
        <v>0</v>
      </c>
      <c r="AP528" s="261">
        <f t="shared" si="98"/>
        <v>0</v>
      </c>
      <c r="AQ528" s="338"/>
      <c r="AR528" s="45"/>
      <c r="AS528" s="359"/>
      <c r="AT528" s="359"/>
    </row>
    <row r="529" spans="1:46" ht="12">
      <c r="A529" s="359" t="s">
        <v>717</v>
      </c>
      <c r="B529" s="359" t="str">
        <f t="shared" si="89"/>
        <v>Glass</v>
      </c>
      <c r="C529" s="141">
        <f t="shared" si="90"/>
        <v>6.2</v>
      </c>
      <c r="D529" s="277">
        <f t="shared" si="91"/>
        <v>737.92857599999991</v>
      </c>
      <c r="E529" s="20">
        <f t="shared" si="92"/>
        <v>0</v>
      </c>
      <c r="F529" s="20">
        <f t="shared" si="93"/>
        <v>0</v>
      </c>
      <c r="G529" s="277">
        <f t="shared" si="94"/>
        <v>457.51571711999998</v>
      </c>
      <c r="H529" s="3">
        <f t="shared" si="88"/>
        <v>0</v>
      </c>
      <c r="I529" s="277">
        <f t="shared" si="95"/>
        <v>0</v>
      </c>
      <c r="J529" s="359"/>
      <c r="K529" s="359" t="s">
        <v>714</v>
      </c>
      <c r="L529" s="359"/>
      <c r="M529" s="338" t="s">
        <v>582</v>
      </c>
      <c r="N529" s="89">
        <v>41152</v>
      </c>
      <c r="O529" s="134">
        <v>191</v>
      </c>
      <c r="P529" s="359" t="s">
        <v>290</v>
      </c>
      <c r="Q529" s="359"/>
      <c r="R529" s="359"/>
      <c r="S529" s="359" t="s">
        <v>659</v>
      </c>
      <c r="T529" s="359">
        <v>124</v>
      </c>
      <c r="U529" s="359"/>
      <c r="V529" s="359"/>
      <c r="W529" s="359"/>
      <c r="X529" s="359"/>
      <c r="Y529" s="359">
        <v>47</v>
      </c>
      <c r="Z529" s="359"/>
      <c r="AA529" s="210"/>
      <c r="AB529" s="248">
        <v>0.2702</v>
      </c>
      <c r="AC529" s="359">
        <v>0.49220000000000003</v>
      </c>
      <c r="AD529" s="359">
        <v>0.23760000000000001</v>
      </c>
      <c r="AE529" s="359"/>
      <c r="AF529" s="359">
        <v>6.2</v>
      </c>
      <c r="AG529" s="153"/>
      <c r="AH529" s="346">
        <f>AVERAGE(204, 211.2, 205.2)*3.56832</f>
        <v>737.92857599999991</v>
      </c>
      <c r="AI529" s="24"/>
      <c r="AJ529" s="24"/>
      <c r="AK529" s="24"/>
      <c r="AL529" s="24"/>
      <c r="AM529" s="359"/>
      <c r="AN529" s="24">
        <f t="shared" si="96"/>
        <v>457.51571711999998</v>
      </c>
      <c r="AO529" s="54">
        <f t="shared" si="97"/>
        <v>0</v>
      </c>
      <c r="AP529" s="261">
        <f t="shared" si="98"/>
        <v>3</v>
      </c>
      <c r="AQ529" s="338"/>
      <c r="AR529" s="45"/>
      <c r="AS529" s="359"/>
      <c r="AT529" s="359"/>
    </row>
    <row r="530" spans="1:46" ht="12">
      <c r="A530" s="359" t="s">
        <v>718</v>
      </c>
      <c r="B530" s="359" t="str">
        <f t="shared" si="89"/>
        <v>MgO</v>
      </c>
      <c r="C530" s="141">
        <f t="shared" si="90"/>
        <v>0</v>
      </c>
      <c r="D530" s="277">
        <f t="shared" si="91"/>
        <v>211.95820799999998</v>
      </c>
      <c r="E530" s="20">
        <f t="shared" si="92"/>
        <v>0</v>
      </c>
      <c r="F530" s="20">
        <f t="shared" si="93"/>
        <v>0</v>
      </c>
      <c r="G530" s="277">
        <f t="shared" si="94"/>
        <v>0</v>
      </c>
      <c r="H530" s="3">
        <f t="shared" si="88"/>
        <v>0</v>
      </c>
      <c r="I530" s="277">
        <f t="shared" si="95"/>
        <v>0</v>
      </c>
      <c r="J530" s="359"/>
      <c r="K530" s="359" t="s">
        <v>719</v>
      </c>
      <c r="L530" s="359"/>
      <c r="M530" s="338" t="s">
        <v>582</v>
      </c>
      <c r="N530" s="89">
        <v>41156</v>
      </c>
      <c r="O530" s="134">
        <v>192</v>
      </c>
      <c r="P530" s="359" t="s">
        <v>46</v>
      </c>
      <c r="Q530" s="359"/>
      <c r="R530" s="359"/>
      <c r="S530" s="359">
        <v>800</v>
      </c>
      <c r="T530" s="359">
        <v>76</v>
      </c>
      <c r="U530" s="359"/>
      <c r="V530" s="359"/>
      <c r="W530" s="359"/>
      <c r="X530" s="359"/>
      <c r="Y530" s="359">
        <v>47</v>
      </c>
      <c r="Z530" s="359"/>
      <c r="AA530" s="210"/>
      <c r="AB530" s="248"/>
      <c r="AC530" s="359"/>
      <c r="AD530" s="359"/>
      <c r="AE530" s="359"/>
      <c r="AF530" s="359"/>
      <c r="AG530" s="153"/>
      <c r="AH530" s="346">
        <f>AVERAGE(59.1, 59.1, 60)*3.56832</f>
        <v>211.95820799999998</v>
      </c>
      <c r="AI530" s="24"/>
      <c r="AJ530" s="24"/>
      <c r="AK530" s="24"/>
      <c r="AL530" s="24"/>
      <c r="AM530" s="359"/>
      <c r="AN530" s="24">
        <f t="shared" si="96"/>
        <v>0</v>
      </c>
      <c r="AO530" s="54">
        <f t="shared" si="97"/>
        <v>0</v>
      </c>
      <c r="AP530" s="261">
        <f t="shared" si="98"/>
        <v>0</v>
      </c>
      <c r="AQ530" s="338"/>
      <c r="AR530" s="45"/>
      <c r="AS530" s="359"/>
      <c r="AT530" s="359"/>
    </row>
    <row r="531" spans="1:46" ht="12">
      <c r="A531" s="359" t="s">
        <v>720</v>
      </c>
      <c r="B531" s="359" t="str">
        <f t="shared" si="89"/>
        <v>MgO</v>
      </c>
      <c r="C531" s="141">
        <f t="shared" si="90"/>
        <v>0</v>
      </c>
      <c r="D531" s="277">
        <f t="shared" si="91"/>
        <v>199.588032</v>
      </c>
      <c r="E531" s="20">
        <f t="shared" si="92"/>
        <v>0</v>
      </c>
      <c r="F531" s="20">
        <f t="shared" si="93"/>
        <v>0</v>
      </c>
      <c r="G531" s="277">
        <f t="shared" si="94"/>
        <v>0</v>
      </c>
      <c r="H531" s="3">
        <f t="shared" si="88"/>
        <v>0</v>
      </c>
      <c r="I531" s="277">
        <f t="shared" si="95"/>
        <v>0</v>
      </c>
      <c r="J531" s="359"/>
      <c r="K531" s="359" t="s">
        <v>719</v>
      </c>
      <c r="L531" s="359"/>
      <c r="M531" s="338" t="s">
        <v>582</v>
      </c>
      <c r="N531" s="89">
        <v>41156</v>
      </c>
      <c r="O531" s="134">
        <v>192</v>
      </c>
      <c r="P531" s="359" t="s">
        <v>46</v>
      </c>
      <c r="Q531" s="359"/>
      <c r="R531" s="359"/>
      <c r="S531" s="359">
        <v>800</v>
      </c>
      <c r="T531" s="359">
        <v>76</v>
      </c>
      <c r="U531" s="359"/>
      <c r="V531" s="359"/>
      <c r="W531" s="359"/>
      <c r="X531" s="359"/>
      <c r="Y531" s="359">
        <v>47</v>
      </c>
      <c r="Z531" s="359"/>
      <c r="AA531" s="210"/>
      <c r="AB531" s="248"/>
      <c r="AC531" s="359"/>
      <c r="AD531" s="359"/>
      <c r="AE531" s="359"/>
      <c r="AF531" s="359"/>
      <c r="AG531" s="153"/>
      <c r="AH531" s="346">
        <f>AVERAGE(56.4, 55.8, 55.6)*3.56832</f>
        <v>199.588032</v>
      </c>
      <c r="AI531" s="24"/>
      <c r="AJ531" s="24"/>
      <c r="AK531" s="24"/>
      <c r="AL531" s="24"/>
      <c r="AM531" s="359"/>
      <c r="AN531" s="24">
        <f t="shared" si="96"/>
        <v>0</v>
      </c>
      <c r="AO531" s="54">
        <f t="shared" si="97"/>
        <v>0</v>
      </c>
      <c r="AP531" s="261">
        <f t="shared" si="98"/>
        <v>0</v>
      </c>
      <c r="AQ531" s="338"/>
      <c r="AR531" s="45"/>
      <c r="AS531" s="359"/>
      <c r="AT531" s="359"/>
    </row>
    <row r="532" spans="1:46" ht="12">
      <c r="A532" s="359" t="s">
        <v>721</v>
      </c>
      <c r="B532" s="359" t="str">
        <f t="shared" si="89"/>
        <v>MgO</v>
      </c>
      <c r="C532" s="141">
        <f t="shared" si="90"/>
        <v>0</v>
      </c>
      <c r="D532" s="277">
        <f t="shared" si="91"/>
        <v>209.69827199999997</v>
      </c>
      <c r="E532" s="20">
        <f t="shared" si="92"/>
        <v>0</v>
      </c>
      <c r="F532" s="20">
        <f t="shared" si="93"/>
        <v>0</v>
      </c>
      <c r="G532" s="277">
        <f t="shared" si="94"/>
        <v>0</v>
      </c>
      <c r="H532" s="3">
        <f t="shared" si="88"/>
        <v>0</v>
      </c>
      <c r="I532" s="277">
        <f t="shared" si="95"/>
        <v>0</v>
      </c>
      <c r="J532" s="359"/>
      <c r="K532" s="359" t="s">
        <v>719</v>
      </c>
      <c r="L532" s="359"/>
      <c r="M532" s="338" t="s">
        <v>582</v>
      </c>
      <c r="N532" s="89">
        <v>41156</v>
      </c>
      <c r="O532" s="134">
        <v>192</v>
      </c>
      <c r="P532" s="359" t="s">
        <v>46</v>
      </c>
      <c r="Q532" s="359"/>
      <c r="R532" s="359"/>
      <c r="S532" s="359">
        <v>800</v>
      </c>
      <c r="T532" s="359">
        <v>76</v>
      </c>
      <c r="U532" s="359"/>
      <c r="V532" s="359"/>
      <c r="W532" s="359"/>
      <c r="X532" s="359"/>
      <c r="Y532" s="359">
        <v>47</v>
      </c>
      <c r="Z532" s="359"/>
      <c r="AA532" s="210"/>
      <c r="AB532" s="248"/>
      <c r="AC532" s="359"/>
      <c r="AD532" s="359"/>
      <c r="AE532" s="359"/>
      <c r="AF532" s="359"/>
      <c r="AG532" s="153"/>
      <c r="AH532" s="346">
        <f>AVERAGE(58.4, 59.8, 58.1)*3.56832</f>
        <v>209.69827199999997</v>
      </c>
      <c r="AI532" s="24"/>
      <c r="AJ532" s="24"/>
      <c r="AK532" s="24"/>
      <c r="AL532" s="24"/>
      <c r="AM532" s="359"/>
      <c r="AN532" s="24">
        <f t="shared" si="96"/>
        <v>0</v>
      </c>
      <c r="AO532" s="54">
        <f t="shared" si="97"/>
        <v>0</v>
      </c>
      <c r="AP532" s="261">
        <f t="shared" si="98"/>
        <v>0</v>
      </c>
      <c r="AQ532" s="338"/>
      <c r="AR532" s="45"/>
      <c r="AS532" s="359"/>
      <c r="AT532" s="359"/>
    </row>
    <row r="533" spans="1:46" ht="12">
      <c r="A533" s="359" t="s">
        <v>722</v>
      </c>
      <c r="B533" s="359" t="str">
        <f t="shared" si="89"/>
        <v>MgO</v>
      </c>
      <c r="C533" s="141">
        <f t="shared" si="90"/>
        <v>0</v>
      </c>
      <c r="D533" s="277">
        <f t="shared" si="91"/>
        <v>209.10355200000001</v>
      </c>
      <c r="E533" s="20">
        <f t="shared" si="92"/>
        <v>0</v>
      </c>
      <c r="F533" s="20">
        <f t="shared" si="93"/>
        <v>0</v>
      </c>
      <c r="G533" s="277">
        <f t="shared" si="94"/>
        <v>0</v>
      </c>
      <c r="H533" s="3">
        <f t="shared" si="88"/>
        <v>0</v>
      </c>
      <c r="I533" s="277">
        <f t="shared" si="95"/>
        <v>0</v>
      </c>
      <c r="J533" s="359"/>
      <c r="K533" s="359" t="s">
        <v>719</v>
      </c>
      <c r="L533" s="359"/>
      <c r="M533" s="338" t="s">
        <v>582</v>
      </c>
      <c r="N533" s="89">
        <v>41156</v>
      </c>
      <c r="O533" s="134">
        <v>192</v>
      </c>
      <c r="P533" s="359" t="s">
        <v>46</v>
      </c>
      <c r="Q533" s="359"/>
      <c r="R533" s="359"/>
      <c r="S533" s="359">
        <v>800</v>
      </c>
      <c r="T533" s="359">
        <v>76</v>
      </c>
      <c r="U533" s="359"/>
      <c r="V533" s="359"/>
      <c r="W533" s="359"/>
      <c r="X533" s="359"/>
      <c r="Y533" s="359">
        <v>47</v>
      </c>
      <c r="Z533" s="359"/>
      <c r="AA533" s="210"/>
      <c r="AB533" s="248"/>
      <c r="AC533" s="359"/>
      <c r="AD533" s="359"/>
      <c r="AE533" s="359"/>
      <c r="AF533" s="359"/>
      <c r="AG533" s="153"/>
      <c r="AH533" s="346">
        <f>AVERAGE(58.3, 58.5, 59)*3.56832</f>
        <v>209.10355200000001</v>
      </c>
      <c r="AI533" s="24"/>
      <c r="AJ533" s="24"/>
      <c r="AK533" s="24"/>
      <c r="AL533" s="24"/>
      <c r="AM533" s="359"/>
      <c r="AN533" s="24">
        <f t="shared" si="96"/>
        <v>0</v>
      </c>
      <c r="AO533" s="54">
        <f t="shared" si="97"/>
        <v>0</v>
      </c>
      <c r="AP533" s="261">
        <f t="shared" si="98"/>
        <v>0</v>
      </c>
      <c r="AQ533" s="338"/>
      <c r="AR533" s="45"/>
      <c r="AS533" s="359"/>
      <c r="AT533" s="359"/>
    </row>
    <row r="534" spans="1:46" ht="48">
      <c r="A534" s="359" t="s">
        <v>723</v>
      </c>
      <c r="B534" s="359" t="str">
        <f t="shared" si="89"/>
        <v>MgO</v>
      </c>
      <c r="C534" s="141">
        <f t="shared" si="90"/>
        <v>0</v>
      </c>
      <c r="D534" s="277">
        <f t="shared" si="91"/>
        <v>648.05578625755095</v>
      </c>
      <c r="E534" s="20">
        <f t="shared" si="92"/>
        <v>0</v>
      </c>
      <c r="F534" s="20">
        <f t="shared" si="93"/>
        <v>0</v>
      </c>
      <c r="G534" s="277">
        <f t="shared" si="94"/>
        <v>0</v>
      </c>
      <c r="H534" s="3">
        <f t="shared" si="88"/>
        <v>0</v>
      </c>
      <c r="I534" s="277">
        <f t="shared" si="95"/>
        <v>0</v>
      </c>
      <c r="J534" s="359" t="s">
        <v>724</v>
      </c>
      <c r="K534" s="359" t="s">
        <v>725</v>
      </c>
      <c r="L534" s="359"/>
      <c r="M534" s="338" t="s">
        <v>726</v>
      </c>
      <c r="N534" s="89">
        <v>41159</v>
      </c>
      <c r="O534" s="134">
        <v>193</v>
      </c>
      <c r="P534" s="359" t="s">
        <v>46</v>
      </c>
      <c r="Q534" s="359"/>
      <c r="R534" s="359"/>
      <c r="S534" s="359">
        <v>800</v>
      </c>
      <c r="T534" s="359">
        <v>60</v>
      </c>
      <c r="U534" s="359"/>
      <c r="V534" s="359"/>
      <c r="W534" s="359"/>
      <c r="X534" s="359"/>
      <c r="Y534" s="359">
        <v>47</v>
      </c>
      <c r="Z534" s="359"/>
      <c r="AA534" s="210"/>
      <c r="AB534" s="248"/>
      <c r="AC534" s="359"/>
      <c r="AD534" s="359"/>
      <c r="AE534" s="359"/>
      <c r="AF534" s="359"/>
      <c r="AG534" s="307"/>
      <c r="AH534" s="38">
        <v>648.05578625755095</v>
      </c>
      <c r="AI534" s="8"/>
      <c r="AJ534" s="24"/>
      <c r="AK534" s="24"/>
      <c r="AL534" s="24"/>
      <c r="AM534" s="359"/>
      <c r="AN534" s="24">
        <f t="shared" si="96"/>
        <v>0</v>
      </c>
      <c r="AO534" s="54">
        <f t="shared" si="97"/>
        <v>0</v>
      </c>
      <c r="AP534" s="261">
        <f t="shared" si="98"/>
        <v>0</v>
      </c>
      <c r="AQ534" s="338"/>
      <c r="AR534" s="45"/>
      <c r="AS534" s="359"/>
      <c r="AT534" s="359"/>
    </row>
    <row r="535" spans="1:46" ht="48">
      <c r="A535" s="359" t="s">
        <v>727</v>
      </c>
      <c r="B535" s="359" t="str">
        <f t="shared" si="89"/>
        <v>MgO</v>
      </c>
      <c r="C535" s="141">
        <f t="shared" si="90"/>
        <v>0</v>
      </c>
      <c r="D535" s="277">
        <f t="shared" si="91"/>
        <v>1024.79976566291</v>
      </c>
      <c r="E535" s="20">
        <f t="shared" si="92"/>
        <v>0</v>
      </c>
      <c r="F535" s="20">
        <f t="shared" si="93"/>
        <v>0</v>
      </c>
      <c r="G535" s="277">
        <f t="shared" si="94"/>
        <v>0</v>
      </c>
      <c r="H535" s="3">
        <f t="shared" si="88"/>
        <v>0</v>
      </c>
      <c r="I535" s="277">
        <f t="shared" si="95"/>
        <v>0</v>
      </c>
      <c r="J535" s="359" t="s">
        <v>724</v>
      </c>
      <c r="K535" s="359" t="s">
        <v>725</v>
      </c>
      <c r="L535" s="359"/>
      <c r="M535" s="338" t="s">
        <v>726</v>
      </c>
      <c r="N535" s="89">
        <v>41159</v>
      </c>
      <c r="O535" s="134">
        <v>193</v>
      </c>
      <c r="P535" s="359" t="s">
        <v>46</v>
      </c>
      <c r="Q535" s="359"/>
      <c r="R535" s="359"/>
      <c r="S535" s="359">
        <v>800</v>
      </c>
      <c r="T535" s="359">
        <v>60</v>
      </c>
      <c r="U535" s="359"/>
      <c r="V535" s="359"/>
      <c r="W535" s="359"/>
      <c r="X535" s="359"/>
      <c r="Y535" s="359">
        <v>47</v>
      </c>
      <c r="Z535" s="359"/>
      <c r="AA535" s="210"/>
      <c r="AB535" s="248"/>
      <c r="AC535" s="359"/>
      <c r="AD535" s="359"/>
      <c r="AE535" s="359"/>
      <c r="AF535" s="359"/>
      <c r="AG535" s="307"/>
      <c r="AH535" s="38">
        <v>1024.79976566291</v>
      </c>
      <c r="AI535" s="8"/>
      <c r="AJ535" s="24"/>
      <c r="AK535" s="24"/>
      <c r="AL535" s="24"/>
      <c r="AM535" s="359"/>
      <c r="AN535" s="24">
        <f t="shared" si="96"/>
        <v>0</v>
      </c>
      <c r="AO535" s="54">
        <f t="shared" si="97"/>
        <v>0</v>
      </c>
      <c r="AP535" s="261">
        <f t="shared" si="98"/>
        <v>0</v>
      </c>
      <c r="AQ535" s="338"/>
      <c r="AR535" s="45"/>
      <c r="AS535" s="359"/>
      <c r="AT535" s="359"/>
    </row>
    <row r="536" spans="1:46" ht="48">
      <c r="A536" s="359" t="s">
        <v>728</v>
      </c>
      <c r="B536" s="359" t="str">
        <f t="shared" si="89"/>
        <v>MgO</v>
      </c>
      <c r="C536" s="141">
        <f t="shared" si="90"/>
        <v>0</v>
      </c>
      <c r="D536" s="277">
        <f t="shared" si="91"/>
        <v>741.95036772581898</v>
      </c>
      <c r="E536" s="20">
        <f t="shared" si="92"/>
        <v>0</v>
      </c>
      <c r="F536" s="20">
        <f t="shared" si="93"/>
        <v>0</v>
      </c>
      <c r="G536" s="277">
        <f t="shared" si="94"/>
        <v>0</v>
      </c>
      <c r="H536" s="3">
        <f t="shared" si="88"/>
        <v>0</v>
      </c>
      <c r="I536" s="277">
        <f t="shared" si="95"/>
        <v>0</v>
      </c>
      <c r="J536" s="359" t="s">
        <v>724</v>
      </c>
      <c r="K536" s="359" t="s">
        <v>725</v>
      </c>
      <c r="L536" s="359"/>
      <c r="M536" s="338" t="s">
        <v>726</v>
      </c>
      <c r="N536" s="89">
        <v>41159</v>
      </c>
      <c r="O536" s="134">
        <v>193</v>
      </c>
      <c r="P536" s="359" t="s">
        <v>46</v>
      </c>
      <c r="Q536" s="359"/>
      <c r="R536" s="359"/>
      <c r="S536" s="359">
        <v>800</v>
      </c>
      <c r="T536" s="359">
        <v>60</v>
      </c>
      <c r="U536" s="359"/>
      <c r="V536" s="359"/>
      <c r="W536" s="359"/>
      <c r="X536" s="359"/>
      <c r="Y536" s="359">
        <v>47</v>
      </c>
      <c r="Z536" s="359"/>
      <c r="AA536" s="210"/>
      <c r="AB536" s="248"/>
      <c r="AC536" s="359"/>
      <c r="AD536" s="359"/>
      <c r="AE536" s="359"/>
      <c r="AF536" s="359"/>
      <c r="AG536" s="307"/>
      <c r="AH536" s="38">
        <v>741.95036772581898</v>
      </c>
      <c r="AI536" s="8"/>
      <c r="AJ536" s="24"/>
      <c r="AK536" s="24"/>
      <c r="AL536" s="24"/>
      <c r="AM536" s="359"/>
      <c r="AN536" s="24">
        <f t="shared" si="96"/>
        <v>0</v>
      </c>
      <c r="AO536" s="54">
        <f t="shared" si="97"/>
        <v>0</v>
      </c>
      <c r="AP536" s="261">
        <f t="shared" si="98"/>
        <v>0</v>
      </c>
      <c r="AQ536" s="338"/>
      <c r="AR536" s="45"/>
      <c r="AS536" s="359"/>
      <c r="AT536" s="359"/>
    </row>
    <row r="537" spans="1:46" ht="48">
      <c r="A537" s="359" t="s">
        <v>729</v>
      </c>
      <c r="B537" s="359" t="str">
        <f t="shared" si="89"/>
        <v>MgO</v>
      </c>
      <c r="C537" s="141">
        <f t="shared" si="90"/>
        <v>0</v>
      </c>
      <c r="D537" s="277">
        <f t="shared" si="91"/>
        <v>652.31398997754604</v>
      </c>
      <c r="E537" s="20">
        <f t="shared" si="92"/>
        <v>0</v>
      </c>
      <c r="F537" s="20">
        <f t="shared" si="93"/>
        <v>0</v>
      </c>
      <c r="G537" s="277">
        <f t="shared" si="94"/>
        <v>0</v>
      </c>
      <c r="H537" s="3">
        <f t="shared" si="88"/>
        <v>0</v>
      </c>
      <c r="I537" s="277">
        <f t="shared" si="95"/>
        <v>0</v>
      </c>
      <c r="J537" s="359" t="s">
        <v>724</v>
      </c>
      <c r="K537" s="359" t="s">
        <v>725</v>
      </c>
      <c r="L537" s="359"/>
      <c r="M537" s="338" t="s">
        <v>726</v>
      </c>
      <c r="N537" s="89">
        <v>41159</v>
      </c>
      <c r="O537" s="134">
        <v>193</v>
      </c>
      <c r="P537" s="359" t="s">
        <v>46</v>
      </c>
      <c r="Q537" s="359"/>
      <c r="R537" s="359"/>
      <c r="S537" s="359">
        <v>800</v>
      </c>
      <c r="T537" s="359">
        <v>60</v>
      </c>
      <c r="U537" s="359"/>
      <c r="V537" s="359"/>
      <c r="W537" s="359"/>
      <c r="X537" s="359"/>
      <c r="Y537" s="359">
        <v>47</v>
      </c>
      <c r="Z537" s="359"/>
      <c r="AA537" s="210"/>
      <c r="AB537" s="248"/>
      <c r="AC537" s="359"/>
      <c r="AD537" s="359"/>
      <c r="AE537" s="359"/>
      <c r="AF537" s="359"/>
      <c r="AG537" s="307"/>
      <c r="AH537" s="38">
        <v>652.31398997754604</v>
      </c>
      <c r="AI537" s="8"/>
      <c r="AJ537" s="24"/>
      <c r="AK537" s="24"/>
      <c r="AL537" s="24"/>
      <c r="AM537" s="359"/>
      <c r="AN537" s="24">
        <f t="shared" si="96"/>
        <v>0</v>
      </c>
      <c r="AO537" s="54">
        <f t="shared" si="97"/>
        <v>0</v>
      </c>
      <c r="AP537" s="261">
        <f t="shared" si="98"/>
        <v>0</v>
      </c>
      <c r="AQ537" s="338"/>
      <c r="AR537" s="45"/>
      <c r="AS537" s="359"/>
      <c r="AT537" s="359"/>
    </row>
    <row r="538" spans="1:46" ht="36">
      <c r="A538" s="359" t="s">
        <v>730</v>
      </c>
      <c r="B538" s="359" t="str">
        <f t="shared" si="89"/>
        <v>MgO</v>
      </c>
      <c r="C538" s="141">
        <f t="shared" si="90"/>
        <v>0</v>
      </c>
      <c r="D538" s="277">
        <f t="shared" si="91"/>
        <v>1343.3324349966099</v>
      </c>
      <c r="E538" s="20">
        <f t="shared" si="92"/>
        <v>0</v>
      </c>
      <c r="F538" s="20">
        <f t="shared" si="93"/>
        <v>0</v>
      </c>
      <c r="G538" s="277">
        <f t="shared" si="94"/>
        <v>0</v>
      </c>
      <c r="H538" s="3">
        <f t="shared" si="88"/>
        <v>0</v>
      </c>
      <c r="I538" s="277">
        <f t="shared" si="95"/>
        <v>0</v>
      </c>
      <c r="J538" s="359" t="s">
        <v>731</v>
      </c>
      <c r="K538" s="359" t="s">
        <v>725</v>
      </c>
      <c r="L538" s="359"/>
      <c r="M538" s="338" t="s">
        <v>726</v>
      </c>
      <c r="N538" s="89">
        <v>41160</v>
      </c>
      <c r="O538" s="134">
        <v>194</v>
      </c>
      <c r="P538" s="359" t="s">
        <v>46</v>
      </c>
      <c r="Q538" s="359"/>
      <c r="R538" s="359"/>
      <c r="S538" s="359">
        <v>800</v>
      </c>
      <c r="T538" s="359">
        <v>70</v>
      </c>
      <c r="U538" s="359"/>
      <c r="V538" s="359"/>
      <c r="W538" s="359"/>
      <c r="X538" s="359"/>
      <c r="Y538" s="359">
        <v>47</v>
      </c>
      <c r="Z538" s="359"/>
      <c r="AA538" s="210"/>
      <c r="AB538" s="248"/>
      <c r="AC538" s="359"/>
      <c r="AD538" s="359"/>
      <c r="AE538" s="359"/>
      <c r="AF538" s="359"/>
      <c r="AG538" s="307"/>
      <c r="AH538" s="350">
        <v>1343.3324349966099</v>
      </c>
      <c r="AI538" s="8"/>
      <c r="AJ538" s="24"/>
      <c r="AK538" s="24"/>
      <c r="AL538" s="24"/>
      <c r="AM538" s="359"/>
      <c r="AN538" s="24">
        <f t="shared" si="96"/>
        <v>0</v>
      </c>
      <c r="AO538" s="54">
        <f t="shared" si="97"/>
        <v>0</v>
      </c>
      <c r="AP538" s="261">
        <f t="shared" si="98"/>
        <v>0</v>
      </c>
      <c r="AQ538" s="338"/>
      <c r="AR538" s="45"/>
      <c r="AS538" s="359"/>
      <c r="AT538" s="359"/>
    </row>
    <row r="539" spans="1:46" ht="36">
      <c r="A539" s="359" t="s">
        <v>732</v>
      </c>
      <c r="B539" s="359" t="str">
        <f t="shared" si="89"/>
        <v>MgO</v>
      </c>
      <c r="C539" s="141">
        <f t="shared" si="90"/>
        <v>0</v>
      </c>
      <c r="D539" s="277">
        <f t="shared" si="91"/>
        <v>547.80958248068805</v>
      </c>
      <c r="E539" s="20">
        <f t="shared" si="92"/>
        <v>0</v>
      </c>
      <c r="F539" s="20">
        <f t="shared" si="93"/>
        <v>0</v>
      </c>
      <c r="G539" s="277">
        <f t="shared" si="94"/>
        <v>0</v>
      </c>
      <c r="H539" s="3">
        <f t="shared" si="88"/>
        <v>0</v>
      </c>
      <c r="I539" s="277">
        <f t="shared" si="95"/>
        <v>0</v>
      </c>
      <c r="J539" s="359" t="s">
        <v>731</v>
      </c>
      <c r="K539" s="359" t="s">
        <v>725</v>
      </c>
      <c r="L539" s="359"/>
      <c r="M539" s="338" t="s">
        <v>726</v>
      </c>
      <c r="N539" s="89">
        <v>41160</v>
      </c>
      <c r="O539" s="134">
        <v>194</v>
      </c>
      <c r="P539" s="359" t="s">
        <v>46</v>
      </c>
      <c r="Q539" s="359"/>
      <c r="R539" s="359"/>
      <c r="S539" s="359">
        <v>800</v>
      </c>
      <c r="T539" s="359">
        <v>70</v>
      </c>
      <c r="U539" s="359"/>
      <c r="V539" s="359"/>
      <c r="W539" s="359"/>
      <c r="X539" s="359"/>
      <c r="Y539" s="359">
        <v>47</v>
      </c>
      <c r="Z539" s="359"/>
      <c r="AA539" s="210"/>
      <c r="AB539" s="248"/>
      <c r="AC539" s="359"/>
      <c r="AD539" s="359"/>
      <c r="AE539" s="359"/>
      <c r="AF539" s="359"/>
      <c r="AG539" s="307"/>
      <c r="AH539" s="350">
        <v>547.80958248068805</v>
      </c>
      <c r="AI539" s="8"/>
      <c r="AJ539" s="24"/>
      <c r="AK539" s="24"/>
      <c r="AL539" s="24"/>
      <c r="AM539" s="359"/>
      <c r="AN539" s="24">
        <f t="shared" si="96"/>
        <v>0</v>
      </c>
      <c r="AO539" s="54">
        <f t="shared" si="97"/>
        <v>0</v>
      </c>
      <c r="AP539" s="261">
        <f t="shared" si="98"/>
        <v>0</v>
      </c>
      <c r="AQ539" s="338"/>
      <c r="AR539" s="45"/>
      <c r="AS539" s="359"/>
      <c r="AT539" s="359"/>
    </row>
    <row r="540" spans="1:46" ht="36">
      <c r="A540" s="359" t="s">
        <v>733</v>
      </c>
      <c r="B540" s="359" t="str">
        <f t="shared" si="89"/>
        <v>MgO</v>
      </c>
      <c r="C540" s="141">
        <f t="shared" si="90"/>
        <v>0</v>
      </c>
      <c r="D540" s="277">
        <f t="shared" si="91"/>
        <v>1626.09857196711</v>
      </c>
      <c r="E540" s="20">
        <f t="shared" si="92"/>
        <v>0</v>
      </c>
      <c r="F540" s="20">
        <f t="shared" si="93"/>
        <v>0</v>
      </c>
      <c r="G540" s="277">
        <f t="shared" si="94"/>
        <v>0</v>
      </c>
      <c r="H540" s="3">
        <f t="shared" si="88"/>
        <v>0</v>
      </c>
      <c r="I540" s="277">
        <f t="shared" si="95"/>
        <v>0</v>
      </c>
      <c r="J540" s="359" t="s">
        <v>731</v>
      </c>
      <c r="K540" s="359" t="s">
        <v>725</v>
      </c>
      <c r="L540" s="359"/>
      <c r="M540" s="338" t="s">
        <v>726</v>
      </c>
      <c r="N540" s="89">
        <v>41160</v>
      </c>
      <c r="O540" s="134">
        <v>194</v>
      </c>
      <c r="P540" s="359" t="s">
        <v>46</v>
      </c>
      <c r="Q540" s="359"/>
      <c r="R540" s="359"/>
      <c r="S540" s="359">
        <v>800</v>
      </c>
      <c r="T540" s="359">
        <v>70</v>
      </c>
      <c r="U540" s="359"/>
      <c r="V540" s="359"/>
      <c r="W540" s="359"/>
      <c r="X540" s="359"/>
      <c r="Y540" s="359">
        <v>47</v>
      </c>
      <c r="Z540" s="359"/>
      <c r="AA540" s="210"/>
      <c r="AB540" s="248"/>
      <c r="AC540" s="359"/>
      <c r="AD540" s="359"/>
      <c r="AE540" s="359"/>
      <c r="AF540" s="359"/>
      <c r="AG540" s="307"/>
      <c r="AH540" s="350">
        <v>1626.09857196711</v>
      </c>
      <c r="AI540" s="8"/>
      <c r="AJ540" s="24"/>
      <c r="AK540" s="24"/>
      <c r="AL540" s="24"/>
      <c r="AM540" s="359"/>
      <c r="AN540" s="24">
        <f t="shared" si="96"/>
        <v>0</v>
      </c>
      <c r="AO540" s="54">
        <f t="shared" si="97"/>
        <v>0</v>
      </c>
      <c r="AP540" s="261">
        <f t="shared" si="98"/>
        <v>0</v>
      </c>
      <c r="AQ540" s="338"/>
      <c r="AR540" s="45"/>
      <c r="AS540" s="359"/>
      <c r="AT540" s="359"/>
    </row>
    <row r="541" spans="1:46" ht="36">
      <c r="A541" s="359" t="s">
        <v>734</v>
      </c>
      <c r="B541" s="359" t="str">
        <f t="shared" si="89"/>
        <v>MgO</v>
      </c>
      <c r="C541" s="141">
        <f t="shared" si="90"/>
        <v>3</v>
      </c>
      <c r="D541" s="277">
        <f t="shared" si="91"/>
        <v>800.01894471189496</v>
      </c>
      <c r="E541" s="20">
        <f t="shared" si="92"/>
        <v>0</v>
      </c>
      <c r="F541" s="20">
        <f t="shared" si="93"/>
        <v>0</v>
      </c>
      <c r="G541" s="277">
        <f t="shared" si="94"/>
        <v>240.00568341356848</v>
      </c>
      <c r="H541" s="3">
        <f t="shared" si="88"/>
        <v>0</v>
      </c>
      <c r="I541" s="277">
        <f t="shared" si="95"/>
        <v>0</v>
      </c>
      <c r="J541" s="359" t="s">
        <v>731</v>
      </c>
      <c r="K541" s="359" t="s">
        <v>725</v>
      </c>
      <c r="L541" s="359"/>
      <c r="M541" s="338" t="s">
        <v>726</v>
      </c>
      <c r="N541" s="89">
        <v>41160</v>
      </c>
      <c r="O541" s="134">
        <v>194</v>
      </c>
      <c r="P541" s="359" t="s">
        <v>46</v>
      </c>
      <c r="Q541" s="359"/>
      <c r="R541" s="359"/>
      <c r="S541" s="359">
        <v>800</v>
      </c>
      <c r="T541" s="359">
        <v>70</v>
      </c>
      <c r="U541" s="359"/>
      <c r="V541" s="359"/>
      <c r="W541" s="359"/>
      <c r="X541" s="359"/>
      <c r="Y541" s="359">
        <v>47</v>
      </c>
      <c r="Z541" s="359"/>
      <c r="AA541" s="210"/>
      <c r="AB541" s="248">
        <v>0.1469</v>
      </c>
      <c r="AC541" s="359">
        <v>0.64729999999999999</v>
      </c>
      <c r="AD541" s="359">
        <v>0.20580000000000001</v>
      </c>
      <c r="AE541" s="359"/>
      <c r="AF541" s="359">
        <v>3</v>
      </c>
      <c r="AG541" s="307"/>
      <c r="AH541" s="350">
        <v>800.01894471189496</v>
      </c>
      <c r="AI541" s="8"/>
      <c r="AJ541" s="24"/>
      <c r="AK541" s="24"/>
      <c r="AL541" s="24"/>
      <c r="AM541" s="359"/>
      <c r="AN541" s="24">
        <f t="shared" si="96"/>
        <v>240.00568341356848</v>
      </c>
      <c r="AO541" s="54">
        <f t="shared" si="97"/>
        <v>0</v>
      </c>
      <c r="AP541" s="261">
        <f t="shared" si="98"/>
        <v>2.5714285714285716</v>
      </c>
      <c r="AQ541" s="338"/>
      <c r="AR541" s="45"/>
      <c r="AS541" s="359"/>
      <c r="AT541" s="359"/>
    </row>
    <row r="542" spans="1:46" ht="48">
      <c r="A542" s="359" t="s">
        <v>735</v>
      </c>
      <c r="B542" s="359" t="str">
        <f t="shared" si="89"/>
        <v>MgO</v>
      </c>
      <c r="C542" s="141">
        <f t="shared" si="90"/>
        <v>0</v>
      </c>
      <c r="D542" s="277">
        <f t="shared" si="91"/>
        <v>1235.8568004347901</v>
      </c>
      <c r="E542" s="20">
        <f t="shared" si="92"/>
        <v>0</v>
      </c>
      <c r="F542" s="20">
        <f t="shared" si="93"/>
        <v>0</v>
      </c>
      <c r="G542" s="277">
        <f t="shared" si="94"/>
        <v>0</v>
      </c>
      <c r="H542" s="3">
        <f t="shared" si="88"/>
        <v>0</v>
      </c>
      <c r="I542" s="277">
        <f t="shared" si="95"/>
        <v>0</v>
      </c>
      <c r="J542" s="359" t="s">
        <v>736</v>
      </c>
      <c r="K542" s="359" t="s">
        <v>725</v>
      </c>
      <c r="L542" s="359"/>
      <c r="M542" s="338" t="s">
        <v>726</v>
      </c>
      <c r="N542" s="89">
        <v>41163</v>
      </c>
      <c r="O542" s="134">
        <v>195</v>
      </c>
      <c r="P542" s="359" t="s">
        <v>46</v>
      </c>
      <c r="Q542" s="359"/>
      <c r="R542" s="359"/>
      <c r="S542" s="359">
        <v>800</v>
      </c>
      <c r="T542" s="359">
        <v>70</v>
      </c>
      <c r="U542" s="359"/>
      <c r="V542" s="359"/>
      <c r="W542" s="359"/>
      <c r="X542" s="359"/>
      <c r="Y542" s="359">
        <v>47</v>
      </c>
      <c r="Z542" s="359"/>
      <c r="AA542" s="210"/>
      <c r="AB542" s="248"/>
      <c r="AC542" s="359"/>
      <c r="AD542" s="359"/>
      <c r="AE542" s="359"/>
      <c r="AF542" s="359"/>
      <c r="AG542" s="307"/>
      <c r="AH542" s="38">
        <v>1235.8568004347901</v>
      </c>
      <c r="AI542" s="8"/>
      <c r="AJ542" s="24"/>
      <c r="AK542" s="24"/>
      <c r="AL542" s="24"/>
      <c r="AM542" s="359"/>
      <c r="AN542" s="24">
        <f t="shared" si="96"/>
        <v>0</v>
      </c>
      <c r="AO542" s="54">
        <f t="shared" si="97"/>
        <v>0</v>
      </c>
      <c r="AP542" s="261">
        <f t="shared" si="98"/>
        <v>0</v>
      </c>
      <c r="AQ542" s="338"/>
      <c r="AR542" s="45"/>
      <c r="AS542" s="359"/>
      <c r="AT542" s="359"/>
    </row>
    <row r="543" spans="1:46" ht="48">
      <c r="A543" s="359" t="s">
        <v>737</v>
      </c>
      <c r="B543" s="359" t="str">
        <f t="shared" si="89"/>
        <v>MgO</v>
      </c>
      <c r="C543" s="141">
        <f t="shared" si="90"/>
        <v>0</v>
      </c>
      <c r="D543" s="277">
        <f t="shared" si="91"/>
        <v>1732.8391311381599</v>
      </c>
      <c r="E543" s="20">
        <f t="shared" si="92"/>
        <v>0</v>
      </c>
      <c r="F543" s="20">
        <f t="shared" si="93"/>
        <v>0</v>
      </c>
      <c r="G543" s="277">
        <f t="shared" si="94"/>
        <v>0</v>
      </c>
      <c r="H543" s="3">
        <f t="shared" si="88"/>
        <v>0</v>
      </c>
      <c r="I543" s="277">
        <f t="shared" si="95"/>
        <v>0</v>
      </c>
      <c r="J543" s="359" t="s">
        <v>736</v>
      </c>
      <c r="K543" s="359" t="s">
        <v>725</v>
      </c>
      <c r="L543" s="359"/>
      <c r="M543" s="338" t="s">
        <v>726</v>
      </c>
      <c r="N543" s="89">
        <v>41163</v>
      </c>
      <c r="O543" s="134">
        <v>195</v>
      </c>
      <c r="P543" s="359" t="s">
        <v>46</v>
      </c>
      <c r="Q543" s="359"/>
      <c r="R543" s="359"/>
      <c r="S543" s="359">
        <v>800</v>
      </c>
      <c r="T543" s="359">
        <v>70</v>
      </c>
      <c r="U543" s="359"/>
      <c r="V543" s="359"/>
      <c r="W543" s="359"/>
      <c r="X543" s="359"/>
      <c r="Y543" s="359">
        <v>47</v>
      </c>
      <c r="Z543" s="359"/>
      <c r="AA543" s="210"/>
      <c r="AB543" s="248"/>
      <c r="AC543" s="359"/>
      <c r="AD543" s="359"/>
      <c r="AE543" s="359"/>
      <c r="AF543" s="359"/>
      <c r="AG543" s="307"/>
      <c r="AH543" s="38">
        <v>1732.8391311381599</v>
      </c>
      <c r="AI543" s="8"/>
      <c r="AJ543" s="24"/>
      <c r="AK543" s="24"/>
      <c r="AL543" s="24"/>
      <c r="AM543" s="359"/>
      <c r="AN543" s="24">
        <f t="shared" si="96"/>
        <v>0</v>
      </c>
      <c r="AO543" s="54">
        <f t="shared" si="97"/>
        <v>0</v>
      </c>
      <c r="AP543" s="261">
        <f t="shared" si="98"/>
        <v>0</v>
      </c>
      <c r="AQ543" s="338"/>
      <c r="AR543" s="45"/>
      <c r="AS543" s="359"/>
      <c r="AT543" s="359"/>
    </row>
    <row r="544" spans="1:46" ht="48">
      <c r="A544" s="359" t="s">
        <v>738</v>
      </c>
      <c r="B544" s="359" t="str">
        <f t="shared" si="89"/>
        <v>MgO</v>
      </c>
      <c r="C544" s="141">
        <f t="shared" si="90"/>
        <v>0</v>
      </c>
      <c r="D544" s="277">
        <f t="shared" si="91"/>
        <v>2203.4776920117902</v>
      </c>
      <c r="E544" s="20">
        <f t="shared" si="92"/>
        <v>0</v>
      </c>
      <c r="F544" s="20">
        <f t="shared" si="93"/>
        <v>0</v>
      </c>
      <c r="G544" s="277">
        <f t="shared" si="94"/>
        <v>0</v>
      </c>
      <c r="H544" s="3">
        <f t="shared" ref="H544:H607" si="99">AL544</f>
        <v>0</v>
      </c>
      <c r="I544" s="277">
        <f t="shared" si="95"/>
        <v>0</v>
      </c>
      <c r="J544" s="359" t="s">
        <v>736</v>
      </c>
      <c r="K544" s="359" t="s">
        <v>725</v>
      </c>
      <c r="L544" s="359"/>
      <c r="M544" s="338" t="s">
        <v>726</v>
      </c>
      <c r="N544" s="89">
        <v>41163</v>
      </c>
      <c r="O544" s="134">
        <v>195</v>
      </c>
      <c r="P544" s="359" t="s">
        <v>46</v>
      </c>
      <c r="Q544" s="359"/>
      <c r="R544" s="359"/>
      <c r="S544" s="359">
        <v>800</v>
      </c>
      <c r="T544" s="359">
        <v>70</v>
      </c>
      <c r="U544" s="359"/>
      <c r="V544" s="359"/>
      <c r="W544" s="359"/>
      <c r="X544" s="359"/>
      <c r="Y544" s="359">
        <v>47</v>
      </c>
      <c r="Z544" s="359"/>
      <c r="AA544" s="210"/>
      <c r="AB544" s="248"/>
      <c r="AC544" s="359"/>
      <c r="AD544" s="359"/>
      <c r="AE544" s="359"/>
      <c r="AF544" s="359"/>
      <c r="AG544" s="307"/>
      <c r="AH544" s="38">
        <v>2203.4776920117902</v>
      </c>
      <c r="AI544" s="8"/>
      <c r="AJ544" s="24"/>
      <c r="AK544" s="24"/>
      <c r="AL544" s="24"/>
      <c r="AM544" s="359"/>
      <c r="AN544" s="24">
        <f t="shared" si="96"/>
        <v>0</v>
      </c>
      <c r="AO544" s="54">
        <f t="shared" si="97"/>
        <v>0</v>
      </c>
      <c r="AP544" s="261">
        <f t="shared" si="98"/>
        <v>0</v>
      </c>
      <c r="AQ544" s="338"/>
      <c r="AR544" s="45"/>
      <c r="AS544" s="359"/>
      <c r="AT544" s="359"/>
    </row>
    <row r="545" spans="1:46" ht="48">
      <c r="A545" s="359" t="s">
        <v>739</v>
      </c>
      <c r="B545" s="359" t="str">
        <f t="shared" si="89"/>
        <v>MgO</v>
      </c>
      <c r="C545" s="141">
        <f t="shared" si="90"/>
        <v>2.6</v>
      </c>
      <c r="D545" s="277">
        <f t="shared" si="91"/>
        <v>1529.33743436332</v>
      </c>
      <c r="E545" s="20">
        <f t="shared" si="92"/>
        <v>0</v>
      </c>
      <c r="F545" s="20">
        <f t="shared" si="93"/>
        <v>0</v>
      </c>
      <c r="G545" s="277">
        <f t="shared" si="94"/>
        <v>397.62773293446321</v>
      </c>
      <c r="H545" s="3">
        <f t="shared" si="99"/>
        <v>0</v>
      </c>
      <c r="I545" s="277">
        <f t="shared" si="95"/>
        <v>0</v>
      </c>
      <c r="J545" s="359" t="s">
        <v>736</v>
      </c>
      <c r="K545" s="359" t="s">
        <v>725</v>
      </c>
      <c r="L545" s="359"/>
      <c r="M545" s="338" t="s">
        <v>726</v>
      </c>
      <c r="N545" s="89">
        <v>41163</v>
      </c>
      <c r="O545" s="134">
        <v>195</v>
      </c>
      <c r="P545" s="359" t="s">
        <v>46</v>
      </c>
      <c r="Q545" s="359"/>
      <c r="R545" s="359"/>
      <c r="S545" s="359">
        <v>800</v>
      </c>
      <c r="T545" s="359">
        <v>70</v>
      </c>
      <c r="U545" s="359"/>
      <c r="V545" s="359"/>
      <c r="W545" s="359"/>
      <c r="X545" s="359"/>
      <c r="Y545" s="359">
        <v>47</v>
      </c>
      <c r="Z545" s="359"/>
      <c r="AA545" s="210"/>
      <c r="AB545" s="248">
        <v>0.14929999999999999</v>
      </c>
      <c r="AC545" s="359">
        <v>0.66810000000000003</v>
      </c>
      <c r="AD545" s="359">
        <v>0.18260000000000001</v>
      </c>
      <c r="AE545" s="359"/>
      <c r="AF545" s="359">
        <v>2.6</v>
      </c>
      <c r="AG545" s="307"/>
      <c r="AH545" s="38">
        <v>1529.33743436332</v>
      </c>
      <c r="AI545" s="8"/>
      <c r="AJ545" s="24"/>
      <c r="AK545" s="24"/>
      <c r="AL545" s="24"/>
      <c r="AM545" s="359"/>
      <c r="AN545" s="24">
        <f t="shared" si="96"/>
        <v>397.62773293446321</v>
      </c>
      <c r="AO545" s="54">
        <f t="shared" si="97"/>
        <v>0</v>
      </c>
      <c r="AP545" s="261">
        <f t="shared" si="98"/>
        <v>2.2285714285714286</v>
      </c>
      <c r="AQ545" s="338"/>
      <c r="AR545" s="45"/>
      <c r="AS545" s="359"/>
      <c r="AT545" s="359"/>
    </row>
    <row r="546" spans="1:46" ht="24">
      <c r="A546" s="359" t="s">
        <v>740</v>
      </c>
      <c r="B546" s="359" t="str">
        <f t="shared" si="89"/>
        <v>MgO</v>
      </c>
      <c r="C546" s="141">
        <f t="shared" si="90"/>
        <v>0</v>
      </c>
      <c r="D546" s="277">
        <f t="shared" si="91"/>
        <v>860.19283471037102</v>
      </c>
      <c r="E546" s="20">
        <f t="shared" si="92"/>
        <v>0</v>
      </c>
      <c r="F546" s="20">
        <f t="shared" si="93"/>
        <v>0</v>
      </c>
      <c r="G546" s="277">
        <f t="shared" si="94"/>
        <v>0</v>
      </c>
      <c r="H546" s="3">
        <f t="shared" si="99"/>
        <v>0</v>
      </c>
      <c r="I546" s="277">
        <f t="shared" si="95"/>
        <v>0</v>
      </c>
      <c r="J546" s="359" t="s">
        <v>741</v>
      </c>
      <c r="K546" s="359" t="s">
        <v>725</v>
      </c>
      <c r="L546" s="359"/>
      <c r="M546" s="338" t="s">
        <v>726</v>
      </c>
      <c r="N546" s="89">
        <v>41164</v>
      </c>
      <c r="O546" s="134">
        <v>196</v>
      </c>
      <c r="P546" s="359" t="s">
        <v>46</v>
      </c>
      <c r="Q546" s="359"/>
      <c r="R546" s="359"/>
      <c r="S546" s="359">
        <v>800</v>
      </c>
      <c r="T546" s="359">
        <v>70</v>
      </c>
      <c r="U546" s="359"/>
      <c r="V546" s="359"/>
      <c r="W546" s="359"/>
      <c r="X546" s="359"/>
      <c r="Y546" s="359">
        <v>47</v>
      </c>
      <c r="Z546" s="359"/>
      <c r="AA546" s="210"/>
      <c r="AB546" s="248"/>
      <c r="AC546" s="359"/>
      <c r="AD546" s="359"/>
      <c r="AE546" s="359"/>
      <c r="AF546" s="359"/>
      <c r="AG546" s="307"/>
      <c r="AH546" s="38">
        <v>860.19283471037102</v>
      </c>
      <c r="AI546" s="8"/>
      <c r="AJ546" s="24"/>
      <c r="AK546" s="24"/>
      <c r="AL546" s="24"/>
      <c r="AM546" s="359"/>
      <c r="AN546" s="24">
        <f t="shared" si="96"/>
        <v>0</v>
      </c>
      <c r="AO546" s="54">
        <f t="shared" si="97"/>
        <v>0</v>
      </c>
      <c r="AP546" s="261">
        <f t="shared" si="98"/>
        <v>0</v>
      </c>
      <c r="AQ546" s="338"/>
      <c r="AR546" s="45"/>
      <c r="AS546" s="359"/>
      <c r="AT546" s="359"/>
    </row>
    <row r="547" spans="1:46" ht="24">
      <c r="A547" s="359" t="s">
        <v>742</v>
      </c>
      <c r="B547" s="359" t="str">
        <f t="shared" si="89"/>
        <v>MgO</v>
      </c>
      <c r="C547" s="141">
        <f t="shared" si="90"/>
        <v>0</v>
      </c>
      <c r="D547" s="277">
        <f t="shared" si="91"/>
        <v>785.87647481504098</v>
      </c>
      <c r="E547" s="20">
        <f t="shared" si="92"/>
        <v>0</v>
      </c>
      <c r="F547" s="20">
        <f t="shared" si="93"/>
        <v>0</v>
      </c>
      <c r="G547" s="277">
        <f t="shared" si="94"/>
        <v>0</v>
      </c>
      <c r="H547" s="3">
        <f t="shared" si="99"/>
        <v>0</v>
      </c>
      <c r="I547" s="277">
        <f t="shared" si="95"/>
        <v>0</v>
      </c>
      <c r="J547" s="359" t="s">
        <v>743</v>
      </c>
      <c r="K547" s="359" t="s">
        <v>725</v>
      </c>
      <c r="L547" s="359"/>
      <c r="M547" s="338" t="s">
        <v>726</v>
      </c>
      <c r="N547" s="89">
        <v>41164</v>
      </c>
      <c r="O547" s="134">
        <v>196</v>
      </c>
      <c r="P547" s="359" t="s">
        <v>46</v>
      </c>
      <c r="Q547" s="359"/>
      <c r="R547" s="359"/>
      <c r="S547" s="359">
        <v>800</v>
      </c>
      <c r="T547" s="359">
        <v>70</v>
      </c>
      <c r="U547" s="359"/>
      <c r="V547" s="359"/>
      <c r="W547" s="359"/>
      <c r="X547" s="359"/>
      <c r="Y547" s="359">
        <v>47</v>
      </c>
      <c r="Z547" s="359"/>
      <c r="AA547" s="210"/>
      <c r="AB547" s="248"/>
      <c r="AC547" s="359"/>
      <c r="AD547" s="359"/>
      <c r="AE547" s="359"/>
      <c r="AF547" s="359"/>
      <c r="AG547" s="307"/>
      <c r="AH547" s="38">
        <v>785.87647481504098</v>
      </c>
      <c r="AI547" s="8"/>
      <c r="AJ547" s="24"/>
      <c r="AK547" s="24"/>
      <c r="AL547" s="24"/>
      <c r="AM547" s="359"/>
      <c r="AN547" s="24">
        <f t="shared" si="96"/>
        <v>0</v>
      </c>
      <c r="AO547" s="54">
        <f t="shared" si="97"/>
        <v>0</v>
      </c>
      <c r="AP547" s="261">
        <f t="shared" si="98"/>
        <v>0</v>
      </c>
      <c r="AQ547" s="338"/>
      <c r="AR547" s="45"/>
      <c r="AS547" s="359"/>
      <c r="AT547" s="359"/>
    </row>
    <row r="548" spans="1:46" ht="36">
      <c r="A548" s="359" t="s">
        <v>744</v>
      </c>
      <c r="B548" s="359" t="str">
        <f t="shared" si="89"/>
        <v>MgO</v>
      </c>
      <c r="C548" s="141">
        <f t="shared" si="90"/>
        <v>0</v>
      </c>
      <c r="D548" s="277">
        <f t="shared" si="91"/>
        <v>779.001497859295</v>
      </c>
      <c r="E548" s="20">
        <f t="shared" si="92"/>
        <v>0</v>
      </c>
      <c r="F548" s="20">
        <f t="shared" si="93"/>
        <v>0</v>
      </c>
      <c r="G548" s="277">
        <f t="shared" si="94"/>
        <v>0</v>
      </c>
      <c r="H548" s="3">
        <f t="shared" si="99"/>
        <v>0</v>
      </c>
      <c r="I548" s="277">
        <f t="shared" si="95"/>
        <v>0</v>
      </c>
      <c r="J548" s="359" t="s">
        <v>745</v>
      </c>
      <c r="K548" s="359" t="s">
        <v>725</v>
      </c>
      <c r="L548" s="359"/>
      <c r="M548" s="338" t="s">
        <v>726</v>
      </c>
      <c r="N548" s="89">
        <v>41164</v>
      </c>
      <c r="O548" s="134">
        <v>196</v>
      </c>
      <c r="P548" s="359" t="s">
        <v>46</v>
      </c>
      <c r="Q548" s="359"/>
      <c r="R548" s="359"/>
      <c r="S548" s="359">
        <v>800</v>
      </c>
      <c r="T548" s="359">
        <v>70</v>
      </c>
      <c r="U548" s="359"/>
      <c r="V548" s="359"/>
      <c r="W548" s="359"/>
      <c r="X548" s="359"/>
      <c r="Y548" s="359">
        <v>47</v>
      </c>
      <c r="Z548" s="359"/>
      <c r="AA548" s="210"/>
      <c r="AB548" s="248"/>
      <c r="AC548" s="359"/>
      <c r="AD548" s="359"/>
      <c r="AE548" s="359"/>
      <c r="AF548" s="359"/>
      <c r="AG548" s="307"/>
      <c r="AH548" s="38">
        <v>779.001497859295</v>
      </c>
      <c r="AI548" s="8"/>
      <c r="AJ548" s="24"/>
      <c r="AK548" s="24"/>
      <c r="AL548" s="24"/>
      <c r="AM548" s="359"/>
      <c r="AN548" s="24">
        <f t="shared" si="96"/>
        <v>0</v>
      </c>
      <c r="AO548" s="54">
        <f t="shared" si="97"/>
        <v>0</v>
      </c>
      <c r="AP548" s="261">
        <f t="shared" si="98"/>
        <v>0</v>
      </c>
      <c r="AQ548" s="338"/>
      <c r="AR548" s="45"/>
      <c r="AS548" s="359"/>
      <c r="AT548" s="359"/>
    </row>
    <row r="549" spans="1:46" ht="36">
      <c r="A549" s="359" t="s">
        <v>746</v>
      </c>
      <c r="B549" s="359" t="str">
        <f t="shared" si="89"/>
        <v>MgO</v>
      </c>
      <c r="C549" s="141">
        <f t="shared" si="90"/>
        <v>2.6</v>
      </c>
      <c r="D549" s="277">
        <f t="shared" si="91"/>
        <v>778.81118707851294</v>
      </c>
      <c r="E549" s="20">
        <f t="shared" si="92"/>
        <v>0</v>
      </c>
      <c r="F549" s="20">
        <f t="shared" si="93"/>
        <v>0</v>
      </c>
      <c r="G549" s="277">
        <f t="shared" si="94"/>
        <v>202.49090864041335</v>
      </c>
      <c r="H549" s="3">
        <f t="shared" si="99"/>
        <v>0</v>
      </c>
      <c r="I549" s="277">
        <f t="shared" si="95"/>
        <v>0</v>
      </c>
      <c r="J549" s="359" t="s">
        <v>741</v>
      </c>
      <c r="K549" s="359" t="s">
        <v>725</v>
      </c>
      <c r="L549" s="359"/>
      <c r="M549" s="338" t="s">
        <v>726</v>
      </c>
      <c r="N549" s="89">
        <v>41164</v>
      </c>
      <c r="O549" s="134">
        <v>196</v>
      </c>
      <c r="P549" s="359" t="s">
        <v>46</v>
      </c>
      <c r="Q549" s="359"/>
      <c r="R549" s="359"/>
      <c r="S549" s="359">
        <v>800</v>
      </c>
      <c r="T549" s="359">
        <v>70</v>
      </c>
      <c r="U549" s="359"/>
      <c r="V549" s="359"/>
      <c r="W549" s="359"/>
      <c r="X549" s="359"/>
      <c r="Y549" s="359">
        <v>47</v>
      </c>
      <c r="Z549" s="359"/>
      <c r="AA549" s="210"/>
      <c r="AB549" s="248">
        <v>0.15440000000000001</v>
      </c>
      <c r="AC549" s="359">
        <v>0.67079999999999995</v>
      </c>
      <c r="AD549" s="359">
        <v>0.17480000000000001</v>
      </c>
      <c r="AE549" s="359" t="s">
        <v>747</v>
      </c>
      <c r="AF549" s="359">
        <v>2.6</v>
      </c>
      <c r="AG549" s="307"/>
      <c r="AH549" s="38">
        <v>778.81118707851294</v>
      </c>
      <c r="AI549" s="8"/>
      <c r="AJ549" s="24"/>
      <c r="AK549" s="24"/>
      <c r="AL549" s="24"/>
      <c r="AM549" s="359"/>
      <c r="AN549" s="24">
        <f t="shared" si="96"/>
        <v>202.49090864041335</v>
      </c>
      <c r="AO549" s="54">
        <f t="shared" si="97"/>
        <v>0</v>
      </c>
      <c r="AP549" s="261">
        <f t="shared" si="98"/>
        <v>2.2285714285714286</v>
      </c>
      <c r="AQ549" s="338"/>
      <c r="AR549" s="45"/>
      <c r="AS549" s="359"/>
      <c r="AT549" s="359"/>
    </row>
    <row r="550" spans="1:46" ht="24">
      <c r="A550" s="359" t="s">
        <v>748</v>
      </c>
      <c r="B550" s="359" t="str">
        <f t="shared" si="89"/>
        <v>MgO</v>
      </c>
      <c r="C550" s="141">
        <f t="shared" si="90"/>
        <v>0</v>
      </c>
      <c r="D550" s="277">
        <f t="shared" si="91"/>
        <v>432.07683891769699</v>
      </c>
      <c r="E550" s="20">
        <f t="shared" si="92"/>
        <v>0</v>
      </c>
      <c r="F550" s="20">
        <f t="shared" si="93"/>
        <v>0</v>
      </c>
      <c r="G550" s="277">
        <f t="shared" si="94"/>
        <v>0</v>
      </c>
      <c r="H550" s="3">
        <f t="shared" si="99"/>
        <v>0</v>
      </c>
      <c r="I550" s="277">
        <f t="shared" si="95"/>
        <v>0</v>
      </c>
      <c r="J550" s="359" t="s">
        <v>749</v>
      </c>
      <c r="K550" s="359" t="s">
        <v>725</v>
      </c>
      <c r="L550" s="359"/>
      <c r="M550" s="338" t="s">
        <v>726</v>
      </c>
      <c r="N550" s="89">
        <v>41165</v>
      </c>
      <c r="O550" s="134">
        <v>197</v>
      </c>
      <c r="P550" s="359" t="s">
        <v>46</v>
      </c>
      <c r="Q550" s="359"/>
      <c r="R550" s="359"/>
      <c r="S550" s="359">
        <v>800</v>
      </c>
      <c r="T550" s="359">
        <v>90</v>
      </c>
      <c r="U550" s="359"/>
      <c r="V550" s="359"/>
      <c r="W550" s="359"/>
      <c r="X550" s="359"/>
      <c r="Y550" s="359">
        <v>47</v>
      </c>
      <c r="Z550" s="359"/>
      <c r="AA550" s="210"/>
      <c r="AB550" s="248"/>
      <c r="AC550" s="359"/>
      <c r="AD550" s="359"/>
      <c r="AE550" s="359"/>
      <c r="AF550" s="359"/>
      <c r="AG550" s="307"/>
      <c r="AH550" s="38">
        <v>432.07683891769699</v>
      </c>
      <c r="AI550" s="8"/>
      <c r="AJ550" s="24"/>
      <c r="AK550" s="24"/>
      <c r="AL550" s="24"/>
      <c r="AM550" s="359"/>
      <c r="AN550" s="24">
        <f t="shared" si="96"/>
        <v>0</v>
      </c>
      <c r="AO550" s="54">
        <f t="shared" si="97"/>
        <v>0</v>
      </c>
      <c r="AP550" s="261">
        <f t="shared" si="98"/>
        <v>0</v>
      </c>
      <c r="AQ550" s="338"/>
      <c r="AR550" s="45"/>
      <c r="AS550" s="359"/>
      <c r="AT550" s="359"/>
    </row>
    <row r="551" spans="1:46" ht="24">
      <c r="A551" s="359" t="s">
        <v>750</v>
      </c>
      <c r="B551" s="359" t="str">
        <f t="shared" si="89"/>
        <v>MgO</v>
      </c>
      <c r="C551" s="141">
        <f t="shared" si="90"/>
        <v>0</v>
      </c>
      <c r="D551" s="277">
        <f t="shared" si="91"/>
        <v>434.68171772964899</v>
      </c>
      <c r="E551" s="20">
        <f t="shared" si="92"/>
        <v>0</v>
      </c>
      <c r="F551" s="20">
        <f t="shared" si="93"/>
        <v>0</v>
      </c>
      <c r="G551" s="277">
        <f t="shared" si="94"/>
        <v>0</v>
      </c>
      <c r="H551" s="3">
        <f t="shared" si="99"/>
        <v>0</v>
      </c>
      <c r="I551" s="277">
        <f t="shared" si="95"/>
        <v>0</v>
      </c>
      <c r="J551" s="359" t="s">
        <v>749</v>
      </c>
      <c r="K551" s="359" t="s">
        <v>725</v>
      </c>
      <c r="L551" s="359"/>
      <c r="M551" s="338" t="s">
        <v>726</v>
      </c>
      <c r="N551" s="89">
        <v>41165</v>
      </c>
      <c r="O551" s="134">
        <v>197</v>
      </c>
      <c r="P551" s="359" t="s">
        <v>46</v>
      </c>
      <c r="Q551" s="359"/>
      <c r="R551" s="359"/>
      <c r="S551" s="359">
        <v>800</v>
      </c>
      <c r="T551" s="359">
        <v>90</v>
      </c>
      <c r="U551" s="359"/>
      <c r="V551" s="359"/>
      <c r="W551" s="359"/>
      <c r="X551" s="359"/>
      <c r="Y551" s="359">
        <v>47</v>
      </c>
      <c r="Z551" s="359"/>
      <c r="AA551" s="210"/>
      <c r="AB551" s="248"/>
      <c r="AC551" s="359"/>
      <c r="AD551" s="359"/>
      <c r="AE551" s="359"/>
      <c r="AF551" s="359"/>
      <c r="AG551" s="307"/>
      <c r="AH551" s="38">
        <v>434.68171772964899</v>
      </c>
      <c r="AI551" s="8"/>
      <c r="AJ551" s="24"/>
      <c r="AK551" s="24"/>
      <c r="AL551" s="24"/>
      <c r="AM551" s="359"/>
      <c r="AN551" s="24">
        <f t="shared" si="96"/>
        <v>0</v>
      </c>
      <c r="AO551" s="54">
        <f t="shared" si="97"/>
        <v>0</v>
      </c>
      <c r="AP551" s="261">
        <f t="shared" si="98"/>
        <v>0</v>
      </c>
      <c r="AQ551" s="338"/>
      <c r="AR551" s="45"/>
      <c r="AS551" s="359"/>
      <c r="AT551" s="359"/>
    </row>
    <row r="552" spans="1:46" ht="24">
      <c r="A552" s="359" t="s">
        <v>751</v>
      </c>
      <c r="B552" s="359" t="str">
        <f t="shared" si="89"/>
        <v>MgO</v>
      </c>
      <c r="C552" s="141">
        <f t="shared" si="90"/>
        <v>0</v>
      </c>
      <c r="D552" s="277">
        <f t="shared" si="91"/>
        <v>435.65706048115601</v>
      </c>
      <c r="E552" s="20">
        <f t="shared" si="92"/>
        <v>0</v>
      </c>
      <c r="F552" s="20">
        <f t="shared" si="93"/>
        <v>0</v>
      </c>
      <c r="G552" s="277">
        <f t="shared" si="94"/>
        <v>0</v>
      </c>
      <c r="H552" s="3">
        <f t="shared" si="99"/>
        <v>0</v>
      </c>
      <c r="I552" s="277">
        <f t="shared" si="95"/>
        <v>0</v>
      </c>
      <c r="J552" s="359" t="s">
        <v>749</v>
      </c>
      <c r="K552" s="359" t="s">
        <v>725</v>
      </c>
      <c r="L552" s="359"/>
      <c r="M552" s="338" t="s">
        <v>726</v>
      </c>
      <c r="N552" s="89">
        <v>41165</v>
      </c>
      <c r="O552" s="134">
        <v>197</v>
      </c>
      <c r="P552" s="359" t="s">
        <v>46</v>
      </c>
      <c r="Q552" s="359"/>
      <c r="R552" s="359"/>
      <c r="S552" s="359">
        <v>800</v>
      </c>
      <c r="T552" s="359">
        <v>90</v>
      </c>
      <c r="U552" s="359"/>
      <c r="V552" s="359"/>
      <c r="W552" s="359"/>
      <c r="X552" s="359"/>
      <c r="Y552" s="359">
        <v>47</v>
      </c>
      <c r="Z552" s="359"/>
      <c r="AA552" s="210"/>
      <c r="AB552" s="248"/>
      <c r="AC552" s="359"/>
      <c r="AD552" s="359"/>
      <c r="AE552" s="359"/>
      <c r="AF552" s="359"/>
      <c r="AG552" s="307"/>
      <c r="AH552" s="38">
        <v>435.65706048115601</v>
      </c>
      <c r="AI552" s="8"/>
      <c r="AJ552" s="24"/>
      <c r="AK552" s="24"/>
      <c r="AL552" s="24"/>
      <c r="AM552" s="359"/>
      <c r="AN552" s="24">
        <f t="shared" si="96"/>
        <v>0</v>
      </c>
      <c r="AO552" s="54">
        <f t="shared" si="97"/>
        <v>0</v>
      </c>
      <c r="AP552" s="261">
        <f t="shared" si="98"/>
        <v>0</v>
      </c>
      <c r="AQ552" s="338"/>
      <c r="AR552" s="45"/>
      <c r="AS552" s="359"/>
      <c r="AT552" s="359"/>
    </row>
    <row r="553" spans="1:46" ht="24">
      <c r="A553" s="359" t="s">
        <v>752</v>
      </c>
      <c r="B553" s="359" t="str">
        <f t="shared" si="89"/>
        <v>MgO</v>
      </c>
      <c r="C553" s="141">
        <f t="shared" si="90"/>
        <v>3.6</v>
      </c>
      <c r="D553" s="277">
        <f t="shared" si="91"/>
        <v>450.013630006391</v>
      </c>
      <c r="E553" s="20">
        <f t="shared" si="92"/>
        <v>9.1999999999999993</v>
      </c>
      <c r="F553" s="20">
        <f t="shared" si="93"/>
        <v>1.8520549580000001</v>
      </c>
      <c r="G553" s="277">
        <f t="shared" si="94"/>
        <v>162.00490680230075</v>
      </c>
      <c r="H553" s="3">
        <f t="shared" si="99"/>
        <v>0.64</v>
      </c>
      <c r="I553" s="277">
        <f t="shared" si="95"/>
        <v>14904.451425811669</v>
      </c>
      <c r="J553" s="67" t="s">
        <v>226</v>
      </c>
      <c r="K553" s="359" t="s">
        <v>725</v>
      </c>
      <c r="L553" s="359"/>
      <c r="M553" s="338" t="s">
        <v>726</v>
      </c>
      <c r="N553" s="89">
        <v>41165</v>
      </c>
      <c r="O553" s="134">
        <v>197</v>
      </c>
      <c r="P553" s="359" t="s">
        <v>46</v>
      </c>
      <c r="Q553" s="359"/>
      <c r="R553" s="359"/>
      <c r="S553" s="359">
        <v>800</v>
      </c>
      <c r="T553" s="359">
        <v>90</v>
      </c>
      <c r="U553" s="359"/>
      <c r="V553" s="359"/>
      <c r="W553" s="359"/>
      <c r="X553" s="359"/>
      <c r="Y553" s="359">
        <v>47</v>
      </c>
      <c r="Z553" s="359"/>
      <c r="AA553" s="210"/>
      <c r="AB553" s="248">
        <v>0.1835</v>
      </c>
      <c r="AC553" s="359">
        <v>0.61109999999999998</v>
      </c>
      <c r="AD553" s="359">
        <v>0.2054</v>
      </c>
      <c r="AE553" s="359"/>
      <c r="AF553" s="359">
        <v>3.6</v>
      </c>
      <c r="AG553" s="307"/>
      <c r="AH553" s="38">
        <v>450.013630006391</v>
      </c>
      <c r="AI553" s="8"/>
      <c r="AJ553" s="24">
        <v>9.1999999999999993</v>
      </c>
      <c r="AK553" s="24">
        <v>1.8520549580000001</v>
      </c>
      <c r="AL553" s="24">
        <v>0.64</v>
      </c>
      <c r="AM553" s="359"/>
      <c r="AN553" s="24">
        <f t="shared" si="96"/>
        <v>162.00490680230075</v>
      </c>
      <c r="AO553" s="54">
        <f t="shared" si="97"/>
        <v>14904.451425811669</v>
      </c>
      <c r="AP553" s="261">
        <f t="shared" si="98"/>
        <v>2.4</v>
      </c>
      <c r="AQ553" s="338"/>
      <c r="AR553" s="45"/>
      <c r="AS553" s="359"/>
      <c r="AT553" s="359"/>
    </row>
    <row r="554" spans="1:46" ht="24">
      <c r="A554" s="134" t="s">
        <v>753</v>
      </c>
      <c r="B554" s="359" t="str">
        <f t="shared" si="89"/>
        <v>MgO</v>
      </c>
      <c r="C554" s="141">
        <f t="shared" si="90"/>
        <v>0</v>
      </c>
      <c r="D554" s="277">
        <f t="shared" si="91"/>
        <v>498.81645085314801</v>
      </c>
      <c r="E554" s="20">
        <f t="shared" si="92"/>
        <v>0</v>
      </c>
      <c r="F554" s="20">
        <f t="shared" si="93"/>
        <v>0</v>
      </c>
      <c r="G554" s="277">
        <f t="shared" si="94"/>
        <v>0</v>
      </c>
      <c r="H554" s="3">
        <f t="shared" si="99"/>
        <v>0</v>
      </c>
      <c r="I554" s="277">
        <f t="shared" si="95"/>
        <v>0</v>
      </c>
      <c r="J554" s="359" t="s">
        <v>754</v>
      </c>
      <c r="K554" s="359" t="s">
        <v>725</v>
      </c>
      <c r="L554" s="359"/>
      <c r="M554" s="338" t="s">
        <v>726</v>
      </c>
      <c r="N554" s="22">
        <v>41165</v>
      </c>
      <c r="O554" s="359">
        <v>198</v>
      </c>
      <c r="P554" s="359" t="s">
        <v>46</v>
      </c>
      <c r="Q554" s="359"/>
      <c r="R554" s="359"/>
      <c r="S554" s="359">
        <v>800</v>
      </c>
      <c r="T554" s="359">
        <v>80</v>
      </c>
      <c r="U554" s="359"/>
      <c r="V554" s="359"/>
      <c r="W554" s="359"/>
      <c r="X554" s="359"/>
      <c r="Y554" s="359">
        <v>47</v>
      </c>
      <c r="Z554" s="359"/>
      <c r="AA554" s="210"/>
      <c r="AB554" s="248"/>
      <c r="AC554" s="359"/>
      <c r="AD554" s="359"/>
      <c r="AE554" s="359"/>
      <c r="AF554" s="359"/>
      <c r="AG554" s="307"/>
      <c r="AH554" s="38">
        <v>498.81645085314801</v>
      </c>
      <c r="AI554" s="8"/>
      <c r="AJ554" s="24"/>
      <c r="AK554" s="24"/>
      <c r="AL554" s="24"/>
      <c r="AM554" s="359"/>
      <c r="AN554" s="24">
        <f t="shared" si="96"/>
        <v>0</v>
      </c>
      <c r="AO554" s="54">
        <f t="shared" si="97"/>
        <v>0</v>
      </c>
      <c r="AP554" s="261">
        <f t="shared" si="98"/>
        <v>0</v>
      </c>
      <c r="AQ554" s="338"/>
      <c r="AR554" s="45"/>
      <c r="AS554" s="359"/>
      <c r="AT554" s="359"/>
    </row>
    <row r="555" spans="1:46" ht="24">
      <c r="A555" s="134" t="s">
        <v>755</v>
      </c>
      <c r="B555" s="359" t="str">
        <f t="shared" si="89"/>
        <v>MgO</v>
      </c>
      <c r="C555" s="141">
        <f t="shared" si="90"/>
        <v>0</v>
      </c>
      <c r="D555" s="277">
        <f t="shared" si="91"/>
        <v>493.72563746723301</v>
      </c>
      <c r="E555" s="20">
        <f t="shared" si="92"/>
        <v>0</v>
      </c>
      <c r="F555" s="20">
        <f t="shared" si="93"/>
        <v>0</v>
      </c>
      <c r="G555" s="277">
        <f t="shared" si="94"/>
        <v>0</v>
      </c>
      <c r="H555" s="3">
        <f t="shared" si="99"/>
        <v>0</v>
      </c>
      <c r="I555" s="277">
        <f t="shared" si="95"/>
        <v>0</v>
      </c>
      <c r="J555" s="359" t="s">
        <v>754</v>
      </c>
      <c r="K555" s="359" t="s">
        <v>725</v>
      </c>
      <c r="L555" s="359"/>
      <c r="M555" s="338" t="s">
        <v>726</v>
      </c>
      <c r="N555" s="22">
        <v>41165</v>
      </c>
      <c r="O555" s="359">
        <v>198</v>
      </c>
      <c r="P555" s="359" t="s">
        <v>46</v>
      </c>
      <c r="Q555" s="359"/>
      <c r="R555" s="359"/>
      <c r="S555" s="359">
        <v>800</v>
      </c>
      <c r="T555" s="359">
        <v>80</v>
      </c>
      <c r="U555" s="359"/>
      <c r="V555" s="359"/>
      <c r="W555" s="359"/>
      <c r="X555" s="359"/>
      <c r="Y555" s="359">
        <v>47</v>
      </c>
      <c r="Z555" s="359"/>
      <c r="AA555" s="210"/>
      <c r="AB555" s="248"/>
      <c r="AC555" s="359"/>
      <c r="AD555" s="359"/>
      <c r="AE555" s="359"/>
      <c r="AF555" s="359"/>
      <c r="AG555" s="307"/>
      <c r="AH555" s="38">
        <v>493.72563746723301</v>
      </c>
      <c r="AI555" s="8"/>
      <c r="AJ555" s="24"/>
      <c r="AK555" s="24"/>
      <c r="AL555" s="24"/>
      <c r="AM555" s="359"/>
      <c r="AN555" s="24">
        <f t="shared" si="96"/>
        <v>0</v>
      </c>
      <c r="AO555" s="54">
        <f t="shared" si="97"/>
        <v>0</v>
      </c>
      <c r="AP555" s="261">
        <f t="shared" si="98"/>
        <v>0</v>
      </c>
      <c r="AQ555" s="338"/>
      <c r="AR555" s="45"/>
      <c r="AS555" s="359"/>
      <c r="AT555" s="359"/>
    </row>
    <row r="556" spans="1:46" ht="24">
      <c r="A556" s="134" t="s">
        <v>756</v>
      </c>
      <c r="B556" s="359" t="str">
        <f t="shared" si="89"/>
        <v>MgO</v>
      </c>
      <c r="C556" s="141">
        <f t="shared" si="90"/>
        <v>0</v>
      </c>
      <c r="D556" s="277">
        <f t="shared" si="91"/>
        <v>485.41143523182399</v>
      </c>
      <c r="E556" s="20">
        <f t="shared" si="92"/>
        <v>0</v>
      </c>
      <c r="F556" s="20">
        <f t="shared" si="93"/>
        <v>0</v>
      </c>
      <c r="G556" s="277">
        <f t="shared" si="94"/>
        <v>0</v>
      </c>
      <c r="H556" s="3">
        <f t="shared" si="99"/>
        <v>0</v>
      </c>
      <c r="I556" s="277">
        <f t="shared" si="95"/>
        <v>0</v>
      </c>
      <c r="J556" s="359" t="s">
        <v>754</v>
      </c>
      <c r="K556" s="359" t="s">
        <v>725</v>
      </c>
      <c r="L556" s="359"/>
      <c r="M556" s="338" t="s">
        <v>726</v>
      </c>
      <c r="N556" s="22">
        <v>41165</v>
      </c>
      <c r="O556" s="359">
        <v>198</v>
      </c>
      <c r="P556" s="359" t="s">
        <v>46</v>
      </c>
      <c r="Q556" s="359"/>
      <c r="R556" s="359"/>
      <c r="S556" s="359">
        <v>800</v>
      </c>
      <c r="T556" s="359">
        <v>80</v>
      </c>
      <c r="U556" s="359"/>
      <c r="V556" s="359"/>
      <c r="W556" s="359"/>
      <c r="X556" s="359"/>
      <c r="Y556" s="359">
        <v>47</v>
      </c>
      <c r="Z556" s="359"/>
      <c r="AA556" s="210"/>
      <c r="AB556" s="248"/>
      <c r="AC556" s="359"/>
      <c r="AD556" s="359"/>
      <c r="AE556" s="359"/>
      <c r="AF556" s="359"/>
      <c r="AG556" s="307"/>
      <c r="AH556" s="38">
        <v>485.41143523182399</v>
      </c>
      <c r="AI556" s="8"/>
      <c r="AJ556" s="24"/>
      <c r="AK556" s="24"/>
      <c r="AL556" s="24"/>
      <c r="AM556" s="359"/>
      <c r="AN556" s="24">
        <f t="shared" si="96"/>
        <v>0</v>
      </c>
      <c r="AO556" s="54">
        <f t="shared" si="97"/>
        <v>0</v>
      </c>
      <c r="AP556" s="261">
        <f t="shared" si="98"/>
        <v>0</v>
      </c>
      <c r="AQ556" s="338"/>
      <c r="AR556" s="45"/>
      <c r="AS556" s="359"/>
      <c r="AT556" s="359"/>
    </row>
    <row r="557" spans="1:46" ht="24">
      <c r="A557" s="134" t="s">
        <v>757</v>
      </c>
      <c r="B557" s="359" t="str">
        <f t="shared" si="89"/>
        <v>MgO</v>
      </c>
      <c r="C557" s="141">
        <f t="shared" si="90"/>
        <v>3.2</v>
      </c>
      <c r="D557" s="277">
        <f t="shared" si="91"/>
        <v>503.871580967667</v>
      </c>
      <c r="E557" s="20">
        <f t="shared" si="92"/>
        <v>0</v>
      </c>
      <c r="F557" s="20">
        <f t="shared" si="93"/>
        <v>0</v>
      </c>
      <c r="G557" s="277">
        <f t="shared" si="94"/>
        <v>161.23890590965345</v>
      </c>
      <c r="H557" s="3">
        <f t="shared" si="99"/>
        <v>0</v>
      </c>
      <c r="I557" s="277">
        <f t="shared" si="95"/>
        <v>0</v>
      </c>
      <c r="J557" s="67" t="s">
        <v>226</v>
      </c>
      <c r="K557" s="359" t="s">
        <v>725</v>
      </c>
      <c r="L557" s="359"/>
      <c r="M557" s="338" t="s">
        <v>726</v>
      </c>
      <c r="N557" s="22">
        <v>41165</v>
      </c>
      <c r="O557" s="359">
        <v>198</v>
      </c>
      <c r="P557" s="359" t="s">
        <v>46</v>
      </c>
      <c r="Q557" s="359"/>
      <c r="R557" s="359"/>
      <c r="S557" s="359">
        <v>800</v>
      </c>
      <c r="T557" s="359">
        <v>80</v>
      </c>
      <c r="U557" s="359"/>
      <c r="V557" s="359"/>
      <c r="W557" s="359"/>
      <c r="X557" s="359"/>
      <c r="Y557" s="359">
        <v>47</v>
      </c>
      <c r="Z557" s="359"/>
      <c r="AA557" s="210"/>
      <c r="AB557" s="248">
        <v>0.1774</v>
      </c>
      <c r="AC557" s="359">
        <v>0.63380000000000003</v>
      </c>
      <c r="AD557" s="359">
        <v>0.1888</v>
      </c>
      <c r="AE557" s="359"/>
      <c r="AF557" s="359">
        <v>3.2</v>
      </c>
      <c r="AG557" s="307"/>
      <c r="AH557" s="38">
        <v>503.871580967667</v>
      </c>
      <c r="AI557" s="8"/>
      <c r="AJ557" s="24"/>
      <c r="AK557" s="24"/>
      <c r="AL557" s="24"/>
      <c r="AM557" s="359"/>
      <c r="AN557" s="24">
        <f t="shared" si="96"/>
        <v>161.23890590965345</v>
      </c>
      <c r="AO557" s="54">
        <f t="shared" si="97"/>
        <v>0</v>
      </c>
      <c r="AP557" s="261">
        <f t="shared" si="98"/>
        <v>2.4</v>
      </c>
      <c r="AQ557" s="338"/>
      <c r="AR557" s="45"/>
      <c r="AS557" s="359"/>
      <c r="AT557" s="359"/>
    </row>
    <row r="558" spans="1:46" ht="24">
      <c r="A558" s="134" t="s">
        <v>758</v>
      </c>
      <c r="B558" s="359" t="str">
        <f t="shared" si="89"/>
        <v>MgO</v>
      </c>
      <c r="C558" s="141">
        <f t="shared" si="90"/>
        <v>0</v>
      </c>
      <c r="D558" s="277">
        <f t="shared" si="91"/>
        <v>547.61927169990599</v>
      </c>
      <c r="E558" s="20">
        <f t="shared" si="92"/>
        <v>0</v>
      </c>
      <c r="F558" s="20">
        <f t="shared" si="93"/>
        <v>0</v>
      </c>
      <c r="G558" s="277">
        <f t="shared" si="94"/>
        <v>0</v>
      </c>
      <c r="H558" s="3">
        <f t="shared" si="99"/>
        <v>0</v>
      </c>
      <c r="I558" s="277">
        <f t="shared" si="95"/>
        <v>0</v>
      </c>
      <c r="J558" s="359" t="s">
        <v>759</v>
      </c>
      <c r="K558" s="359" t="s">
        <v>725</v>
      </c>
      <c r="L558" s="359"/>
      <c r="M558" s="338" t="s">
        <v>726</v>
      </c>
      <c r="N558" s="22">
        <v>41166</v>
      </c>
      <c r="O558" s="359">
        <v>199</v>
      </c>
      <c r="P558" s="359" t="s">
        <v>46</v>
      </c>
      <c r="Q558" s="359"/>
      <c r="R558" s="359"/>
      <c r="S558" s="359">
        <v>800</v>
      </c>
      <c r="T558" s="359">
        <v>75</v>
      </c>
      <c r="U558" s="359"/>
      <c r="V558" s="359"/>
      <c r="W558" s="359"/>
      <c r="X558" s="359"/>
      <c r="Y558" s="359">
        <v>47</v>
      </c>
      <c r="Z558" s="359"/>
      <c r="AA558" s="210"/>
      <c r="AB558" s="248"/>
      <c r="AC558" s="359"/>
      <c r="AD558" s="359"/>
      <c r="AE558" s="359"/>
      <c r="AF558" s="359"/>
      <c r="AG558" s="307"/>
      <c r="AH558" s="38">
        <v>547.61927169990599</v>
      </c>
      <c r="AI558" s="8"/>
      <c r="AJ558" s="24"/>
      <c r="AK558" s="24"/>
      <c r="AL558" s="24"/>
      <c r="AM558" s="359"/>
      <c r="AN558" s="24">
        <f t="shared" si="96"/>
        <v>0</v>
      </c>
      <c r="AO558" s="54">
        <f t="shared" si="97"/>
        <v>0</v>
      </c>
      <c r="AP558" s="261">
        <f t="shared" si="98"/>
        <v>0</v>
      </c>
      <c r="AQ558" s="338"/>
      <c r="AR558" s="45"/>
      <c r="AS558" s="359"/>
      <c r="AT558" s="359"/>
    </row>
    <row r="559" spans="1:46" ht="24">
      <c r="A559" s="134" t="s">
        <v>760</v>
      </c>
      <c r="B559" s="359" t="str">
        <f t="shared" si="89"/>
        <v>MgO</v>
      </c>
      <c r="C559" s="141">
        <f t="shared" si="90"/>
        <v>0</v>
      </c>
      <c r="D559" s="277">
        <f t="shared" si="91"/>
        <v>542.76634678996697</v>
      </c>
      <c r="E559" s="20">
        <f t="shared" si="92"/>
        <v>0</v>
      </c>
      <c r="F559" s="20">
        <f t="shared" si="93"/>
        <v>0</v>
      </c>
      <c r="G559" s="277">
        <f t="shared" si="94"/>
        <v>0</v>
      </c>
      <c r="H559" s="3">
        <f t="shared" si="99"/>
        <v>0</v>
      </c>
      <c r="I559" s="277">
        <f t="shared" si="95"/>
        <v>0</v>
      </c>
      <c r="J559" s="359" t="s">
        <v>761</v>
      </c>
      <c r="K559" s="359" t="s">
        <v>725</v>
      </c>
      <c r="L559" s="359"/>
      <c r="M559" s="338" t="s">
        <v>726</v>
      </c>
      <c r="N559" s="22">
        <v>41166</v>
      </c>
      <c r="O559" s="359">
        <v>199</v>
      </c>
      <c r="P559" s="359" t="s">
        <v>46</v>
      </c>
      <c r="Q559" s="359"/>
      <c r="R559" s="359"/>
      <c r="S559" s="359">
        <v>800</v>
      </c>
      <c r="T559" s="359">
        <v>75</v>
      </c>
      <c r="U559" s="359"/>
      <c r="V559" s="359"/>
      <c r="W559" s="359"/>
      <c r="X559" s="359"/>
      <c r="Y559" s="359">
        <v>47</v>
      </c>
      <c r="Z559" s="359"/>
      <c r="AA559" s="210"/>
      <c r="AB559" s="248"/>
      <c r="AC559" s="359"/>
      <c r="AD559" s="359"/>
      <c r="AE559" s="359"/>
      <c r="AF559" s="359"/>
      <c r="AG559" s="307"/>
      <c r="AH559" s="38">
        <v>542.76634678996697</v>
      </c>
      <c r="AI559" s="8"/>
      <c r="AJ559" s="24"/>
      <c r="AK559" s="24"/>
      <c r="AL559" s="24"/>
      <c r="AM559" s="359"/>
      <c r="AN559" s="24">
        <f t="shared" si="96"/>
        <v>0</v>
      </c>
      <c r="AO559" s="54">
        <f t="shared" si="97"/>
        <v>0</v>
      </c>
      <c r="AP559" s="261">
        <f t="shared" si="98"/>
        <v>0</v>
      </c>
      <c r="AQ559" s="338"/>
      <c r="AR559" s="45"/>
      <c r="AS559" s="359"/>
      <c r="AT559" s="359"/>
    </row>
    <row r="560" spans="1:46" ht="24">
      <c r="A560" s="134" t="s">
        <v>762</v>
      </c>
      <c r="B560" s="359" t="str">
        <f t="shared" si="89"/>
        <v>MgO</v>
      </c>
      <c r="C560" s="141">
        <f t="shared" si="90"/>
        <v>0</v>
      </c>
      <c r="D560" s="277">
        <f t="shared" si="91"/>
        <v>553.01934010459195</v>
      </c>
      <c r="E560" s="20">
        <f t="shared" si="92"/>
        <v>0</v>
      </c>
      <c r="F560" s="20">
        <f t="shared" si="93"/>
        <v>0</v>
      </c>
      <c r="G560" s="277">
        <f t="shared" si="94"/>
        <v>0</v>
      </c>
      <c r="H560" s="3">
        <f t="shared" si="99"/>
        <v>0</v>
      </c>
      <c r="I560" s="277">
        <f t="shared" si="95"/>
        <v>0</v>
      </c>
      <c r="J560" s="359" t="s">
        <v>754</v>
      </c>
      <c r="K560" s="359" t="s">
        <v>725</v>
      </c>
      <c r="L560" s="359"/>
      <c r="M560" s="338" t="s">
        <v>726</v>
      </c>
      <c r="N560" s="22">
        <v>41166</v>
      </c>
      <c r="O560" s="359">
        <v>199</v>
      </c>
      <c r="P560" s="359" t="s">
        <v>46</v>
      </c>
      <c r="Q560" s="359"/>
      <c r="R560" s="359"/>
      <c r="S560" s="359">
        <v>800</v>
      </c>
      <c r="T560" s="359">
        <v>75</v>
      </c>
      <c r="U560" s="359"/>
      <c r="V560" s="359"/>
      <c r="W560" s="359"/>
      <c r="X560" s="359"/>
      <c r="Y560" s="359">
        <v>47</v>
      </c>
      <c r="Z560" s="359"/>
      <c r="AA560" s="210"/>
      <c r="AB560" s="248"/>
      <c r="AC560" s="359"/>
      <c r="AD560" s="359"/>
      <c r="AE560" s="359"/>
      <c r="AF560" s="359"/>
      <c r="AG560" s="307"/>
      <c r="AH560" s="38">
        <v>553.01934010459195</v>
      </c>
      <c r="AI560" s="8"/>
      <c r="AJ560" s="24"/>
      <c r="AK560" s="24"/>
      <c r="AL560" s="24"/>
      <c r="AM560" s="359"/>
      <c r="AN560" s="24">
        <f t="shared" si="96"/>
        <v>0</v>
      </c>
      <c r="AO560" s="54">
        <f t="shared" si="97"/>
        <v>0</v>
      </c>
      <c r="AP560" s="261">
        <f t="shared" si="98"/>
        <v>0</v>
      </c>
      <c r="AQ560" s="338"/>
      <c r="AR560" s="45"/>
      <c r="AS560" s="359"/>
      <c r="AT560" s="359"/>
    </row>
    <row r="561" spans="1:46" ht="24">
      <c r="A561" s="134" t="s">
        <v>763</v>
      </c>
      <c r="B561" s="359" t="str">
        <f t="shared" si="89"/>
        <v>MgO</v>
      </c>
      <c r="C561" s="141">
        <f t="shared" si="90"/>
        <v>2.9</v>
      </c>
      <c r="D561" s="277">
        <f t="shared" si="91"/>
        <v>542.302464261811</v>
      </c>
      <c r="E561" s="20">
        <f t="shared" si="92"/>
        <v>9.5</v>
      </c>
      <c r="F561" s="20">
        <f t="shared" si="93"/>
        <v>2.1126341219999998</v>
      </c>
      <c r="G561" s="277">
        <f t="shared" si="94"/>
        <v>157.26771463592519</v>
      </c>
      <c r="H561" s="3">
        <f t="shared" si="99"/>
        <v>0.66</v>
      </c>
      <c r="I561" s="277">
        <f t="shared" si="95"/>
        <v>14940.432890412892</v>
      </c>
      <c r="J561" s="67" t="s">
        <v>226</v>
      </c>
      <c r="K561" s="359" t="s">
        <v>725</v>
      </c>
      <c r="L561" s="359"/>
      <c r="M561" s="338" t="s">
        <v>726</v>
      </c>
      <c r="N561" s="22">
        <v>41166</v>
      </c>
      <c r="O561" s="359">
        <v>199</v>
      </c>
      <c r="P561" s="359" t="s">
        <v>46</v>
      </c>
      <c r="Q561" s="359"/>
      <c r="R561" s="359"/>
      <c r="S561" s="359">
        <v>800</v>
      </c>
      <c r="T561" s="359">
        <v>75</v>
      </c>
      <c r="U561" s="359"/>
      <c r="V561" s="359"/>
      <c r="W561" s="359"/>
      <c r="X561" s="359"/>
      <c r="Y561" s="359">
        <v>47</v>
      </c>
      <c r="Z561" s="359"/>
      <c r="AA561" s="210"/>
      <c r="AB561" s="248">
        <v>0.16919999999999999</v>
      </c>
      <c r="AC561" s="359">
        <v>0.6512</v>
      </c>
      <c r="AD561" s="359">
        <v>0.17949999999999999</v>
      </c>
      <c r="AE561" s="359"/>
      <c r="AF561" s="359">
        <v>2.9</v>
      </c>
      <c r="AG561" s="307"/>
      <c r="AH561" s="38">
        <v>542.302464261811</v>
      </c>
      <c r="AI561" s="8"/>
      <c r="AJ561" s="24">
        <v>9.5</v>
      </c>
      <c r="AK561" s="24">
        <v>2.1126341219999998</v>
      </c>
      <c r="AL561" s="24">
        <v>0.66</v>
      </c>
      <c r="AM561" s="359"/>
      <c r="AN561" s="24">
        <f t="shared" si="96"/>
        <v>157.26771463592519</v>
      </c>
      <c r="AO561" s="54">
        <f t="shared" si="97"/>
        <v>14940.432890412892</v>
      </c>
      <c r="AP561" s="261">
        <f t="shared" si="98"/>
        <v>2.3200000000000003</v>
      </c>
      <c r="AQ561" s="338"/>
      <c r="AR561" s="45"/>
      <c r="AS561" s="359"/>
      <c r="AT561" s="359"/>
    </row>
    <row r="562" spans="1:46" ht="24">
      <c r="A562" s="134" t="s">
        <v>764</v>
      </c>
      <c r="B562" s="359" t="str">
        <f t="shared" si="89"/>
        <v>MgO</v>
      </c>
      <c r="C562" s="141">
        <f t="shared" si="90"/>
        <v>0</v>
      </c>
      <c r="D562" s="277">
        <f t="shared" si="91"/>
        <v>656.32241079776497</v>
      </c>
      <c r="E562" s="20">
        <f t="shared" si="92"/>
        <v>0</v>
      </c>
      <c r="F562" s="20">
        <f t="shared" si="93"/>
        <v>0</v>
      </c>
      <c r="G562" s="277">
        <f t="shared" si="94"/>
        <v>0</v>
      </c>
      <c r="H562" s="3">
        <f t="shared" si="99"/>
        <v>0</v>
      </c>
      <c r="I562" s="277">
        <f t="shared" si="95"/>
        <v>0</v>
      </c>
      <c r="J562" s="359" t="s">
        <v>765</v>
      </c>
      <c r="K562" s="359" t="s">
        <v>725</v>
      </c>
      <c r="L562" s="359"/>
      <c r="M562" s="338" t="s">
        <v>726</v>
      </c>
      <c r="N562" s="22">
        <v>41166</v>
      </c>
      <c r="O562" s="359">
        <v>200</v>
      </c>
      <c r="P562" s="359" t="s">
        <v>46</v>
      </c>
      <c r="Q562" s="359"/>
      <c r="R562" s="359"/>
      <c r="S562" s="359">
        <v>800</v>
      </c>
      <c r="T562" s="359">
        <v>65</v>
      </c>
      <c r="U562" s="359"/>
      <c r="V562" s="359"/>
      <c r="W562" s="359"/>
      <c r="X562" s="359"/>
      <c r="Y562" s="359">
        <v>47</v>
      </c>
      <c r="Z562" s="359"/>
      <c r="AA562" s="210"/>
      <c r="AB562" s="248"/>
      <c r="AC562" s="359"/>
      <c r="AD562" s="359"/>
      <c r="AE562" s="359"/>
      <c r="AF562" s="359"/>
      <c r="AG562" s="307"/>
      <c r="AH562" s="38">
        <v>656.32241079776497</v>
      </c>
      <c r="AI562" s="8"/>
      <c r="AJ562" s="24"/>
      <c r="AK562" s="24"/>
      <c r="AL562" s="24"/>
      <c r="AM562" s="359"/>
      <c r="AN562" s="24">
        <f t="shared" si="96"/>
        <v>0</v>
      </c>
      <c r="AO562" s="54">
        <f t="shared" si="97"/>
        <v>0</v>
      </c>
      <c r="AP562" s="261">
        <f t="shared" si="98"/>
        <v>0</v>
      </c>
      <c r="AQ562" s="338"/>
      <c r="AR562" s="45"/>
      <c r="AS562" s="359"/>
      <c r="AT562" s="359"/>
    </row>
    <row r="563" spans="1:46" ht="24">
      <c r="A563" s="134" t="s">
        <v>766</v>
      </c>
      <c r="B563" s="359" t="str">
        <f t="shared" si="89"/>
        <v>MgO</v>
      </c>
      <c r="C563" s="141">
        <f t="shared" si="90"/>
        <v>0</v>
      </c>
      <c r="D563" s="277">
        <f t="shared" si="91"/>
        <v>649.10249555185203</v>
      </c>
      <c r="E563" s="20">
        <f t="shared" si="92"/>
        <v>0</v>
      </c>
      <c r="F563" s="20">
        <f t="shared" si="93"/>
        <v>0</v>
      </c>
      <c r="G563" s="277">
        <f t="shared" si="94"/>
        <v>0</v>
      </c>
      <c r="H563" s="3">
        <f t="shared" si="99"/>
        <v>0</v>
      </c>
      <c r="I563" s="277">
        <f t="shared" si="95"/>
        <v>0</v>
      </c>
      <c r="J563" s="359" t="s">
        <v>765</v>
      </c>
      <c r="K563" s="359" t="s">
        <v>725</v>
      </c>
      <c r="L563" s="359"/>
      <c r="M563" s="338" t="s">
        <v>726</v>
      </c>
      <c r="N563" s="22">
        <v>41166</v>
      </c>
      <c r="O563" s="359">
        <v>200</v>
      </c>
      <c r="P563" s="359" t="s">
        <v>46</v>
      </c>
      <c r="Q563" s="359"/>
      <c r="R563" s="359"/>
      <c r="S563" s="359">
        <v>800</v>
      </c>
      <c r="T563" s="359">
        <v>65</v>
      </c>
      <c r="U563" s="359"/>
      <c r="V563" s="359"/>
      <c r="W563" s="359"/>
      <c r="X563" s="359"/>
      <c r="Y563" s="359">
        <v>47</v>
      </c>
      <c r="Z563" s="359"/>
      <c r="AA563" s="210"/>
      <c r="AB563" s="248"/>
      <c r="AC563" s="359"/>
      <c r="AD563" s="359"/>
      <c r="AE563" s="359"/>
      <c r="AF563" s="359"/>
      <c r="AG563" s="307"/>
      <c r="AH563" s="38">
        <v>649.10249555185203</v>
      </c>
      <c r="AI563" s="8"/>
      <c r="AJ563" s="24"/>
      <c r="AK563" s="24"/>
      <c r="AL563" s="24"/>
      <c r="AM563" s="359"/>
      <c r="AN563" s="24">
        <f t="shared" si="96"/>
        <v>0</v>
      </c>
      <c r="AO563" s="54">
        <f t="shared" si="97"/>
        <v>0</v>
      </c>
      <c r="AP563" s="261">
        <f t="shared" si="98"/>
        <v>0</v>
      </c>
      <c r="AQ563" s="338"/>
      <c r="AR563" s="45"/>
      <c r="AS563" s="359"/>
      <c r="AT563" s="359"/>
    </row>
    <row r="564" spans="1:46" ht="24">
      <c r="A564" s="134" t="s">
        <v>767</v>
      </c>
      <c r="B564" s="359" t="str">
        <f t="shared" si="89"/>
        <v>MgO</v>
      </c>
      <c r="C564" s="141">
        <f t="shared" si="90"/>
        <v>2.5</v>
      </c>
      <c r="D564" s="277">
        <f t="shared" si="91"/>
        <v>645.62932380258201</v>
      </c>
      <c r="E564" s="20">
        <f t="shared" si="92"/>
        <v>0</v>
      </c>
      <c r="F564" s="20">
        <f t="shared" si="93"/>
        <v>0</v>
      </c>
      <c r="G564" s="277">
        <f t="shared" si="94"/>
        <v>161.4073309506455</v>
      </c>
      <c r="H564" s="3">
        <f t="shared" si="99"/>
        <v>0</v>
      </c>
      <c r="I564" s="277">
        <f t="shared" si="95"/>
        <v>0</v>
      </c>
      <c r="J564" s="359" t="s">
        <v>768</v>
      </c>
      <c r="K564" s="359" t="s">
        <v>725</v>
      </c>
      <c r="L564" s="359"/>
      <c r="M564" s="338" t="s">
        <v>726</v>
      </c>
      <c r="N564" s="22">
        <v>41166</v>
      </c>
      <c r="O564" s="359">
        <v>200</v>
      </c>
      <c r="P564" s="359" t="s">
        <v>46</v>
      </c>
      <c r="Q564" s="359"/>
      <c r="R564" s="359"/>
      <c r="S564" s="359">
        <v>800</v>
      </c>
      <c r="T564" s="359">
        <v>65</v>
      </c>
      <c r="U564" s="359"/>
      <c r="V564" s="359"/>
      <c r="W564" s="359"/>
      <c r="X564" s="359"/>
      <c r="Y564" s="359">
        <v>47</v>
      </c>
      <c r="Z564" s="359"/>
      <c r="AA564" s="210"/>
      <c r="AB564" s="248">
        <v>0.1666</v>
      </c>
      <c r="AC564" s="359">
        <v>0.67700000000000005</v>
      </c>
      <c r="AD564" s="359">
        <v>0.15640000000000001</v>
      </c>
      <c r="AE564" s="359"/>
      <c r="AF564" s="359">
        <v>2.5</v>
      </c>
      <c r="AG564" s="307"/>
      <c r="AH564" s="38">
        <v>645.62932380258201</v>
      </c>
      <c r="AI564" s="8"/>
      <c r="AJ564" s="24"/>
      <c r="AK564" s="24"/>
      <c r="AL564" s="24"/>
      <c r="AM564" s="359"/>
      <c r="AN564" s="24">
        <f t="shared" si="96"/>
        <v>161.4073309506455</v>
      </c>
      <c r="AO564" s="54">
        <f t="shared" si="97"/>
        <v>0</v>
      </c>
      <c r="AP564" s="261">
        <f t="shared" si="98"/>
        <v>2.3076923076923079</v>
      </c>
      <c r="AQ564" s="338"/>
      <c r="AR564" s="45"/>
      <c r="AS564" s="359"/>
      <c r="AT564" s="359"/>
    </row>
    <row r="565" spans="1:46" ht="24">
      <c r="A565" s="134" t="s">
        <v>769</v>
      </c>
      <c r="B565" s="359" t="str">
        <f t="shared" si="89"/>
        <v>MgO</v>
      </c>
      <c r="C565" s="141">
        <f t="shared" si="90"/>
        <v>0</v>
      </c>
      <c r="D565" s="277">
        <f t="shared" si="91"/>
        <v>644.38040930370096</v>
      </c>
      <c r="E565" s="20">
        <f t="shared" si="92"/>
        <v>9.1</v>
      </c>
      <c r="F565" s="20">
        <f t="shared" si="93"/>
        <v>2.0941235969999998</v>
      </c>
      <c r="G565" s="277">
        <f t="shared" si="94"/>
        <v>0</v>
      </c>
      <c r="H565" s="3">
        <f t="shared" si="99"/>
        <v>0.63</v>
      </c>
      <c r="I565" s="277">
        <f t="shared" si="95"/>
        <v>0</v>
      </c>
      <c r="J565" s="67" t="s">
        <v>226</v>
      </c>
      <c r="K565" s="359" t="s">
        <v>725</v>
      </c>
      <c r="L565" s="359"/>
      <c r="M565" s="338" t="s">
        <v>726</v>
      </c>
      <c r="N565" s="22">
        <v>41166</v>
      </c>
      <c r="O565" s="359">
        <v>200</v>
      </c>
      <c r="P565" s="359" t="s">
        <v>46</v>
      </c>
      <c r="Q565" s="359"/>
      <c r="R565" s="359"/>
      <c r="S565" s="359">
        <v>800</v>
      </c>
      <c r="T565" s="359">
        <v>65</v>
      </c>
      <c r="U565" s="359"/>
      <c r="V565" s="359"/>
      <c r="W565" s="359"/>
      <c r="X565" s="359"/>
      <c r="Y565" s="359">
        <v>47</v>
      </c>
      <c r="Z565" s="359"/>
      <c r="AA565" s="210"/>
      <c r="AB565" s="248"/>
      <c r="AC565" s="359"/>
      <c r="AD565" s="359"/>
      <c r="AE565" s="359"/>
      <c r="AF565" s="359"/>
      <c r="AG565" s="307"/>
      <c r="AH565" s="38">
        <v>644.38040930370096</v>
      </c>
      <c r="AI565" s="8"/>
      <c r="AJ565" s="24">
        <v>9.1</v>
      </c>
      <c r="AK565" s="24">
        <v>2.0941235969999998</v>
      </c>
      <c r="AL565" s="24">
        <v>0.63</v>
      </c>
      <c r="AM565" s="359"/>
      <c r="AN565" s="24">
        <f t="shared" si="96"/>
        <v>0</v>
      </c>
      <c r="AO565" s="54">
        <f t="shared" si="97"/>
        <v>0</v>
      </c>
      <c r="AP565" s="261">
        <f t="shared" si="98"/>
        <v>0</v>
      </c>
      <c r="AQ565" s="338"/>
      <c r="AR565" s="45"/>
      <c r="AS565" s="359"/>
      <c r="AT565" s="359"/>
    </row>
    <row r="566" spans="1:46" ht="24">
      <c r="A566" s="359" t="s">
        <v>770</v>
      </c>
      <c r="B566" s="359" t="str">
        <f t="shared" si="89"/>
        <v>MgO</v>
      </c>
      <c r="C566" s="141">
        <f t="shared" si="90"/>
        <v>0</v>
      </c>
      <c r="D566" s="277">
        <f t="shared" si="91"/>
        <v>695.24096546766305</v>
      </c>
      <c r="E566" s="20">
        <f t="shared" si="92"/>
        <v>0</v>
      </c>
      <c r="F566" s="20">
        <f t="shared" si="93"/>
        <v>0</v>
      </c>
      <c r="G566" s="277">
        <f t="shared" si="94"/>
        <v>0</v>
      </c>
      <c r="H566" s="3">
        <f t="shared" si="99"/>
        <v>0</v>
      </c>
      <c r="I566" s="277">
        <f t="shared" si="95"/>
        <v>0</v>
      </c>
      <c r="J566" s="359" t="s">
        <v>771</v>
      </c>
      <c r="K566" s="359" t="s">
        <v>772</v>
      </c>
      <c r="L566" s="359"/>
      <c r="M566" s="338" t="s">
        <v>726</v>
      </c>
      <c r="N566" s="89">
        <v>41168</v>
      </c>
      <c r="O566" s="359">
        <v>201</v>
      </c>
      <c r="P566" s="359" t="s">
        <v>46</v>
      </c>
      <c r="Q566" s="359"/>
      <c r="R566" s="359"/>
      <c r="S566" s="359">
        <v>800</v>
      </c>
      <c r="T566" s="359">
        <v>70</v>
      </c>
      <c r="U566" s="359" t="s">
        <v>773</v>
      </c>
      <c r="V566" s="359"/>
      <c r="W566" s="359"/>
      <c r="X566" s="359"/>
      <c r="Y566" s="359">
        <v>47</v>
      </c>
      <c r="Z566" s="359"/>
      <c r="AA566" s="210"/>
      <c r="AB566" s="248"/>
      <c r="AC566" s="359"/>
      <c r="AD566" s="359"/>
      <c r="AE566" s="359"/>
      <c r="AF566" s="359"/>
      <c r="AG566" s="307"/>
      <c r="AH566" s="38">
        <v>695.24096546766305</v>
      </c>
      <c r="AI566" s="8"/>
      <c r="AJ566" s="24"/>
      <c r="AK566" s="24"/>
      <c r="AL566" s="24"/>
      <c r="AM566" s="359"/>
      <c r="AN566" s="24">
        <f t="shared" si="96"/>
        <v>0</v>
      </c>
      <c r="AO566" s="54">
        <f t="shared" si="97"/>
        <v>0</v>
      </c>
      <c r="AP566" s="261">
        <f t="shared" si="98"/>
        <v>0</v>
      </c>
      <c r="AQ566" s="338"/>
      <c r="AR566" s="45"/>
      <c r="AS566" s="359"/>
      <c r="AT566" s="359"/>
    </row>
    <row r="567" spans="1:46" ht="24">
      <c r="A567" s="359" t="s">
        <v>774</v>
      </c>
      <c r="B567" s="359" t="str">
        <f t="shared" si="89"/>
        <v>MgO</v>
      </c>
      <c r="C567" s="141">
        <f t="shared" si="90"/>
        <v>0</v>
      </c>
      <c r="D567" s="277">
        <f t="shared" si="91"/>
        <v>581.41132971249101</v>
      </c>
      <c r="E567" s="20">
        <f t="shared" si="92"/>
        <v>0</v>
      </c>
      <c r="F567" s="20">
        <f t="shared" si="93"/>
        <v>0</v>
      </c>
      <c r="G567" s="277">
        <f t="shared" si="94"/>
        <v>0</v>
      </c>
      <c r="H567" s="3">
        <f t="shared" si="99"/>
        <v>0</v>
      </c>
      <c r="I567" s="277">
        <f t="shared" si="95"/>
        <v>0</v>
      </c>
      <c r="J567" s="359" t="s">
        <v>771</v>
      </c>
      <c r="K567" s="359" t="s">
        <v>725</v>
      </c>
      <c r="L567" s="359"/>
      <c r="M567" s="338" t="s">
        <v>726</v>
      </c>
      <c r="N567" s="89">
        <v>41168</v>
      </c>
      <c r="O567" s="359">
        <v>201</v>
      </c>
      <c r="P567" s="359" t="s">
        <v>46</v>
      </c>
      <c r="Q567" s="359"/>
      <c r="R567" s="359"/>
      <c r="S567" s="359">
        <v>800</v>
      </c>
      <c r="T567" s="359">
        <v>70</v>
      </c>
      <c r="U567" s="359"/>
      <c r="V567" s="359"/>
      <c r="W567" s="359"/>
      <c r="X567" s="359"/>
      <c r="Y567" s="359">
        <v>47</v>
      </c>
      <c r="Z567" s="359"/>
      <c r="AA567" s="210"/>
      <c r="AB567" s="248"/>
      <c r="AC567" s="359"/>
      <c r="AD567" s="359"/>
      <c r="AE567" s="359"/>
      <c r="AF567" s="359"/>
      <c r="AG567" s="307"/>
      <c r="AH567" s="38">
        <v>581.41132971249101</v>
      </c>
      <c r="AI567" s="8"/>
      <c r="AJ567" s="24"/>
      <c r="AK567" s="24"/>
      <c r="AL567" s="24"/>
      <c r="AM567" s="359"/>
      <c r="AN567" s="24">
        <f t="shared" si="96"/>
        <v>0</v>
      </c>
      <c r="AO567" s="54">
        <f t="shared" si="97"/>
        <v>0</v>
      </c>
      <c r="AP567" s="261">
        <f t="shared" si="98"/>
        <v>0</v>
      </c>
      <c r="AQ567" s="338"/>
      <c r="AR567" s="45"/>
      <c r="AS567" s="359"/>
      <c r="AT567" s="359"/>
    </row>
    <row r="568" spans="1:46" ht="24">
      <c r="A568" s="359" t="s">
        <v>775</v>
      </c>
      <c r="B568" s="359" t="str">
        <f t="shared" si="89"/>
        <v>MgO</v>
      </c>
      <c r="C568" s="141">
        <f t="shared" si="90"/>
        <v>0</v>
      </c>
      <c r="D568" s="277">
        <f t="shared" si="91"/>
        <v>1107.52548318404</v>
      </c>
      <c r="E568" s="20">
        <f t="shared" si="92"/>
        <v>0</v>
      </c>
      <c r="F568" s="20">
        <f t="shared" si="93"/>
        <v>0</v>
      </c>
      <c r="G568" s="277">
        <f t="shared" si="94"/>
        <v>0</v>
      </c>
      <c r="H568" s="3">
        <f t="shared" si="99"/>
        <v>0</v>
      </c>
      <c r="I568" s="277">
        <f t="shared" si="95"/>
        <v>0</v>
      </c>
      <c r="J568" s="359" t="s">
        <v>771</v>
      </c>
      <c r="K568" s="359" t="s">
        <v>776</v>
      </c>
      <c r="L568" s="359"/>
      <c r="M568" s="338" t="s">
        <v>726</v>
      </c>
      <c r="N568" s="89">
        <v>41168</v>
      </c>
      <c r="O568" s="359">
        <v>201</v>
      </c>
      <c r="P568" s="359" t="s">
        <v>46</v>
      </c>
      <c r="Q568" s="359"/>
      <c r="R568" s="359"/>
      <c r="S568" s="359">
        <v>800</v>
      </c>
      <c r="T568" s="359">
        <v>70</v>
      </c>
      <c r="U568" s="359"/>
      <c r="V568" s="359"/>
      <c r="W568" s="359"/>
      <c r="X568" s="359"/>
      <c r="Y568" s="359">
        <v>47</v>
      </c>
      <c r="Z568" s="359"/>
      <c r="AA568" s="210"/>
      <c r="AB568" s="248"/>
      <c r="AC568" s="359"/>
      <c r="AD568" s="359"/>
      <c r="AE568" s="359"/>
      <c r="AF568" s="359"/>
      <c r="AG568" s="307"/>
      <c r="AH568" s="38">
        <v>1107.52548318404</v>
      </c>
      <c r="AI568" s="8"/>
      <c r="AJ568" s="24"/>
      <c r="AK568" s="24"/>
      <c r="AL568" s="24"/>
      <c r="AM568" s="359"/>
      <c r="AN568" s="24">
        <f t="shared" si="96"/>
        <v>0</v>
      </c>
      <c r="AO568" s="54">
        <f t="shared" si="97"/>
        <v>0</v>
      </c>
      <c r="AP568" s="261">
        <f t="shared" si="98"/>
        <v>0</v>
      </c>
      <c r="AQ568" s="338"/>
      <c r="AR568" s="45"/>
      <c r="AS568" s="359"/>
      <c r="AT568" s="359"/>
    </row>
    <row r="569" spans="1:46" ht="24">
      <c r="A569" s="359" t="s">
        <v>777</v>
      </c>
      <c r="B569" s="359" t="str">
        <f t="shared" si="89"/>
        <v>MgO</v>
      </c>
      <c r="C569" s="141">
        <f t="shared" si="90"/>
        <v>2.5</v>
      </c>
      <c r="D569" s="277">
        <f t="shared" si="91"/>
        <v>0</v>
      </c>
      <c r="E569" s="20">
        <f t="shared" si="92"/>
        <v>0</v>
      </c>
      <c r="F569" s="20">
        <f t="shared" si="93"/>
        <v>0</v>
      </c>
      <c r="G569" s="277">
        <f t="shared" si="94"/>
        <v>0</v>
      </c>
      <c r="H569" s="3">
        <f t="shared" si="99"/>
        <v>0</v>
      </c>
      <c r="I569" s="277">
        <f t="shared" si="95"/>
        <v>0</v>
      </c>
      <c r="J569" s="359" t="s">
        <v>771</v>
      </c>
      <c r="K569" s="359" t="s">
        <v>725</v>
      </c>
      <c r="L569" s="359"/>
      <c r="M569" s="338" t="s">
        <v>726</v>
      </c>
      <c r="N569" s="89">
        <v>41168</v>
      </c>
      <c r="O569" s="359">
        <v>201</v>
      </c>
      <c r="P569" s="359" t="s">
        <v>46</v>
      </c>
      <c r="Q569" s="359"/>
      <c r="R569" s="359"/>
      <c r="S569" s="359">
        <v>800</v>
      </c>
      <c r="T569" s="359">
        <v>70</v>
      </c>
      <c r="U569" s="359"/>
      <c r="V569" s="359"/>
      <c r="W569" s="359"/>
      <c r="X569" s="359"/>
      <c r="Y569" s="359">
        <v>47</v>
      </c>
      <c r="Z569" s="359"/>
      <c r="AA569" s="210"/>
      <c r="AB569" s="248">
        <v>0.15509999999999999</v>
      </c>
      <c r="AC569" s="359">
        <v>0.67679999999999996</v>
      </c>
      <c r="AD569" s="359">
        <v>0.1681</v>
      </c>
      <c r="AE569" s="359"/>
      <c r="AF569" s="359">
        <v>2.5</v>
      </c>
      <c r="AG569" s="307"/>
      <c r="AH569" s="38"/>
      <c r="AI569" s="8"/>
      <c r="AJ569" s="24"/>
      <c r="AK569" s="24"/>
      <c r="AL569" s="24"/>
      <c r="AM569" s="359"/>
      <c r="AN569" s="24">
        <f t="shared" si="96"/>
        <v>0</v>
      </c>
      <c r="AO569" s="54">
        <f t="shared" si="97"/>
        <v>0</v>
      </c>
      <c r="AP569" s="261">
        <f t="shared" si="98"/>
        <v>2.1428571428571428</v>
      </c>
      <c r="AQ569" s="338"/>
      <c r="AR569" s="45"/>
      <c r="AS569" s="359"/>
      <c r="AT569" s="359"/>
    </row>
    <row r="570" spans="1:46" ht="24">
      <c r="A570" s="134" t="s">
        <v>778</v>
      </c>
      <c r="B570" s="359" t="str">
        <f t="shared" si="89"/>
        <v>MgO</v>
      </c>
      <c r="C570" s="141">
        <f t="shared" si="90"/>
        <v>0</v>
      </c>
      <c r="D570" s="277">
        <f t="shared" si="91"/>
        <v>592.65156020242205</v>
      </c>
      <c r="E570" s="20">
        <f t="shared" si="92"/>
        <v>9.75</v>
      </c>
      <c r="F570" s="20">
        <f t="shared" si="93"/>
        <v>2.3998298710000001</v>
      </c>
      <c r="G570" s="277">
        <f t="shared" si="94"/>
        <v>0</v>
      </c>
      <c r="H570" s="3">
        <f t="shared" si="99"/>
        <v>0.64</v>
      </c>
      <c r="I570" s="277">
        <f t="shared" si="95"/>
        <v>0</v>
      </c>
      <c r="J570" s="67" t="s">
        <v>226</v>
      </c>
      <c r="K570" s="359" t="s">
        <v>725</v>
      </c>
      <c r="L570" s="359"/>
      <c r="M570" s="338" t="s">
        <v>726</v>
      </c>
      <c r="N570" s="89">
        <v>41168</v>
      </c>
      <c r="O570" s="359">
        <v>202</v>
      </c>
      <c r="P570" s="359" t="s">
        <v>46</v>
      </c>
      <c r="Q570" s="359"/>
      <c r="R570" s="359"/>
      <c r="S570" s="359">
        <v>800</v>
      </c>
      <c r="T570" s="359">
        <v>70</v>
      </c>
      <c r="U570" s="359"/>
      <c r="V570" s="359"/>
      <c r="W570" s="359"/>
      <c r="X570" s="359"/>
      <c r="Y570" s="359">
        <v>47</v>
      </c>
      <c r="Z570" s="359"/>
      <c r="AA570" s="210"/>
      <c r="AB570" s="248"/>
      <c r="AC570" s="359"/>
      <c r="AD570" s="359"/>
      <c r="AE570" s="359"/>
      <c r="AF570" s="359"/>
      <c r="AG570" s="307"/>
      <c r="AH570" s="38">
        <v>592.65156020242205</v>
      </c>
      <c r="AI570" s="8"/>
      <c r="AJ570" s="24">
        <v>9.75</v>
      </c>
      <c r="AK570" s="24">
        <v>2.3998298710000001</v>
      </c>
      <c r="AL570" s="24">
        <v>0.64</v>
      </c>
      <c r="AM570" s="359"/>
      <c r="AN570" s="24">
        <f t="shared" si="96"/>
        <v>0</v>
      </c>
      <c r="AO570" s="54">
        <f t="shared" si="97"/>
        <v>0</v>
      </c>
      <c r="AP570" s="261">
        <f t="shared" si="98"/>
        <v>0</v>
      </c>
      <c r="AQ570" s="338"/>
      <c r="AR570" s="45"/>
      <c r="AS570" s="359"/>
      <c r="AT570" s="359"/>
    </row>
    <row r="571" spans="1:46" ht="24">
      <c r="A571" s="134" t="s">
        <v>779</v>
      </c>
      <c r="B571" s="359" t="str">
        <f t="shared" si="89"/>
        <v>MgO</v>
      </c>
      <c r="C571" s="141">
        <f t="shared" si="90"/>
        <v>0</v>
      </c>
      <c r="D571" s="277">
        <f t="shared" si="91"/>
        <v>575.64253417003999</v>
      </c>
      <c r="E571" s="20">
        <f t="shared" si="92"/>
        <v>0</v>
      </c>
      <c r="F571" s="20">
        <f t="shared" si="93"/>
        <v>0</v>
      </c>
      <c r="G571" s="277">
        <f t="shared" si="94"/>
        <v>0</v>
      </c>
      <c r="H571" s="3">
        <f t="shared" si="99"/>
        <v>0</v>
      </c>
      <c r="I571" s="277">
        <f t="shared" si="95"/>
        <v>0</v>
      </c>
      <c r="J571" s="359" t="s">
        <v>780</v>
      </c>
      <c r="K571" s="359" t="s">
        <v>725</v>
      </c>
      <c r="L571" s="359"/>
      <c r="M571" s="338" t="s">
        <v>726</v>
      </c>
      <c r="N571" s="89">
        <v>41168</v>
      </c>
      <c r="O571" s="359">
        <v>202</v>
      </c>
      <c r="P571" s="359" t="s">
        <v>46</v>
      </c>
      <c r="Q571" s="359"/>
      <c r="R571" s="359"/>
      <c r="S571" s="359">
        <v>800</v>
      </c>
      <c r="T571" s="359">
        <v>70</v>
      </c>
      <c r="U571" s="359"/>
      <c r="V571" s="359"/>
      <c r="W571" s="359"/>
      <c r="X571" s="359"/>
      <c r="Y571" s="359">
        <v>47</v>
      </c>
      <c r="Z571" s="359"/>
      <c r="AA571" s="210"/>
      <c r="AB571" s="248"/>
      <c r="AC571" s="359"/>
      <c r="AD571" s="359"/>
      <c r="AE571" s="359"/>
      <c r="AF571" s="359"/>
      <c r="AG571" s="307"/>
      <c r="AH571" s="38">
        <v>575.64253417003999</v>
      </c>
      <c r="AI571" s="8"/>
      <c r="AJ571" s="24"/>
      <c r="AK571" s="24"/>
      <c r="AL571" s="24"/>
      <c r="AM571" s="359"/>
      <c r="AN571" s="24">
        <f t="shared" si="96"/>
        <v>0</v>
      </c>
      <c r="AO571" s="54">
        <f t="shared" si="97"/>
        <v>0</v>
      </c>
      <c r="AP571" s="261">
        <f t="shared" si="98"/>
        <v>0</v>
      </c>
      <c r="AQ571" s="338"/>
      <c r="AR571" s="45"/>
      <c r="AS571" s="359"/>
      <c r="AT571" s="359"/>
    </row>
    <row r="572" spans="1:46" ht="24">
      <c r="A572" s="134" t="s">
        <v>781</v>
      </c>
      <c r="B572" s="359" t="str">
        <f t="shared" si="89"/>
        <v>MgO</v>
      </c>
      <c r="C572" s="141">
        <f t="shared" si="90"/>
        <v>0</v>
      </c>
      <c r="D572" s="277">
        <f t="shared" si="91"/>
        <v>571.57464123082696</v>
      </c>
      <c r="E572" s="20">
        <f t="shared" si="92"/>
        <v>0</v>
      </c>
      <c r="F572" s="20">
        <f t="shared" si="93"/>
        <v>0</v>
      </c>
      <c r="G572" s="277">
        <f t="shared" si="94"/>
        <v>0</v>
      </c>
      <c r="H572" s="3">
        <f t="shared" si="99"/>
        <v>0</v>
      </c>
      <c r="I572" s="277">
        <f t="shared" si="95"/>
        <v>0</v>
      </c>
      <c r="J572" s="359" t="s">
        <v>780</v>
      </c>
      <c r="K572" s="359" t="s">
        <v>725</v>
      </c>
      <c r="L572" s="359"/>
      <c r="M572" s="338" t="s">
        <v>726</v>
      </c>
      <c r="N572" s="89">
        <v>41168</v>
      </c>
      <c r="O572" s="359">
        <v>202</v>
      </c>
      <c r="P572" s="359" t="s">
        <v>46</v>
      </c>
      <c r="Q572" s="359"/>
      <c r="R572" s="359"/>
      <c r="S572" s="359">
        <v>800</v>
      </c>
      <c r="T572" s="359">
        <v>70</v>
      </c>
      <c r="U572" s="359"/>
      <c r="V572" s="359"/>
      <c r="W572" s="359"/>
      <c r="X572" s="359"/>
      <c r="Y572" s="359">
        <v>47</v>
      </c>
      <c r="Z572" s="359"/>
      <c r="AA572" s="210"/>
      <c r="AB572" s="248"/>
      <c r="AC572" s="359"/>
      <c r="AD572" s="359"/>
      <c r="AE572" s="359"/>
      <c r="AF572" s="359"/>
      <c r="AG572" s="307"/>
      <c r="AH572" s="38">
        <v>571.57464123082696</v>
      </c>
      <c r="AI572" s="8"/>
      <c r="AJ572" s="24"/>
      <c r="AK572" s="24"/>
      <c r="AL572" s="24"/>
      <c r="AM572" s="359"/>
      <c r="AN572" s="24">
        <f t="shared" si="96"/>
        <v>0</v>
      </c>
      <c r="AO572" s="54">
        <f t="shared" si="97"/>
        <v>0</v>
      </c>
      <c r="AP572" s="261">
        <f t="shared" si="98"/>
        <v>0</v>
      </c>
      <c r="AQ572" s="338"/>
      <c r="AR572" s="45"/>
      <c r="AS572" s="359"/>
      <c r="AT572" s="359"/>
    </row>
    <row r="573" spans="1:46" ht="24">
      <c r="A573" s="134" t="s">
        <v>782</v>
      </c>
      <c r="B573" s="359" t="str">
        <f t="shared" si="89"/>
        <v>MgO</v>
      </c>
      <c r="C573" s="141">
        <f t="shared" si="90"/>
        <v>2.6</v>
      </c>
      <c r="D573" s="277">
        <f t="shared" si="91"/>
        <v>736.27672757375899</v>
      </c>
      <c r="E573" s="20">
        <f t="shared" si="92"/>
        <v>0</v>
      </c>
      <c r="F573" s="20">
        <f t="shared" si="93"/>
        <v>0</v>
      </c>
      <c r="G573" s="277">
        <f t="shared" si="94"/>
        <v>191.43194916917736</v>
      </c>
      <c r="H573" s="3">
        <f t="shared" si="99"/>
        <v>0</v>
      </c>
      <c r="I573" s="277">
        <f t="shared" si="95"/>
        <v>0</v>
      </c>
      <c r="J573" s="359" t="s">
        <v>783</v>
      </c>
      <c r="K573" s="359" t="s">
        <v>725</v>
      </c>
      <c r="L573" s="359"/>
      <c r="M573" s="338" t="s">
        <v>726</v>
      </c>
      <c r="N573" s="89">
        <v>41168</v>
      </c>
      <c r="O573" s="359">
        <v>202</v>
      </c>
      <c r="P573" s="359" t="s">
        <v>46</v>
      </c>
      <c r="Q573" s="359"/>
      <c r="R573" s="359"/>
      <c r="S573" s="359">
        <v>800</v>
      </c>
      <c r="T573" s="359">
        <v>70</v>
      </c>
      <c r="U573" s="359"/>
      <c r="V573" s="359"/>
      <c r="W573" s="359"/>
      <c r="X573" s="359"/>
      <c r="Y573" s="359">
        <v>47</v>
      </c>
      <c r="Z573" s="359"/>
      <c r="AA573" s="210"/>
      <c r="AB573" s="248">
        <v>0.15840000000000001</v>
      </c>
      <c r="AC573" s="359">
        <v>0.67330000000000001</v>
      </c>
      <c r="AD573" s="359">
        <v>0.16819999999999999</v>
      </c>
      <c r="AE573" s="359"/>
      <c r="AF573" s="359">
        <v>2.6</v>
      </c>
      <c r="AG573" s="307"/>
      <c r="AH573" s="38">
        <v>736.27672757375899</v>
      </c>
      <c r="AI573" s="8"/>
      <c r="AJ573" s="24"/>
      <c r="AK573" s="24"/>
      <c r="AL573" s="24"/>
      <c r="AM573" s="359"/>
      <c r="AN573" s="24">
        <f t="shared" si="96"/>
        <v>191.43194916917736</v>
      </c>
      <c r="AO573" s="54">
        <f t="shared" si="97"/>
        <v>0</v>
      </c>
      <c r="AP573" s="261">
        <f t="shared" si="98"/>
        <v>2.2285714285714286</v>
      </c>
      <c r="AQ573" s="338"/>
      <c r="AR573" s="45"/>
      <c r="AS573" s="359"/>
      <c r="AT573" s="359"/>
    </row>
    <row r="574" spans="1:46" ht="12">
      <c r="A574" s="359" t="s">
        <v>784</v>
      </c>
      <c r="B574" s="359">
        <f t="shared" si="89"/>
        <v>0</v>
      </c>
      <c r="C574" s="141">
        <f t="shared" si="90"/>
        <v>0</v>
      </c>
      <c r="D574" s="277">
        <f t="shared" si="91"/>
        <v>0</v>
      </c>
      <c r="E574" s="20">
        <f t="shared" si="92"/>
        <v>0</v>
      </c>
      <c r="F574" s="20">
        <f t="shared" si="93"/>
        <v>0</v>
      </c>
      <c r="G574" s="277">
        <f t="shared" si="94"/>
        <v>0</v>
      </c>
      <c r="H574" s="3">
        <f t="shared" si="99"/>
        <v>0</v>
      </c>
      <c r="I574" s="277">
        <f t="shared" si="95"/>
        <v>0</v>
      </c>
      <c r="J574" s="359"/>
      <c r="K574" s="359"/>
      <c r="L574" s="359"/>
      <c r="M574" s="338"/>
      <c r="N574" s="45"/>
      <c r="O574" s="359"/>
      <c r="P574" s="359"/>
      <c r="Q574" s="359"/>
      <c r="R574" s="359"/>
      <c r="S574" s="359"/>
      <c r="T574" s="359"/>
      <c r="U574" s="359"/>
      <c r="V574" s="359"/>
      <c r="W574" s="359"/>
      <c r="X574" s="359"/>
      <c r="Y574" s="359">
        <v>47</v>
      </c>
      <c r="Z574" s="359"/>
      <c r="AA574" s="210"/>
      <c r="AB574" s="248"/>
      <c r="AC574" s="359"/>
      <c r="AD574" s="359"/>
      <c r="AE574" s="359"/>
      <c r="AF574" s="359"/>
      <c r="AG574" s="153"/>
      <c r="AH574" s="346"/>
      <c r="AI574" s="24"/>
      <c r="AJ574" s="24"/>
      <c r="AK574" s="24"/>
      <c r="AL574" s="24"/>
      <c r="AM574" s="359"/>
      <c r="AN574" s="24">
        <f t="shared" si="96"/>
        <v>0</v>
      </c>
      <c r="AO574" s="54">
        <f t="shared" si="97"/>
        <v>0</v>
      </c>
      <c r="AP574" s="261" t="e">
        <f t="shared" si="98"/>
        <v>#DIV/0!</v>
      </c>
      <c r="AQ574" s="338"/>
      <c r="AR574" s="45"/>
      <c r="AS574" s="359"/>
      <c r="AT574" s="359"/>
    </row>
    <row r="575" spans="1:46" ht="12">
      <c r="A575" s="359" t="s">
        <v>785</v>
      </c>
      <c r="B575" s="359">
        <f t="shared" si="89"/>
        <v>0</v>
      </c>
      <c r="C575" s="141">
        <f t="shared" si="90"/>
        <v>0</v>
      </c>
      <c r="D575" s="277">
        <f t="shared" si="91"/>
        <v>0</v>
      </c>
      <c r="E575" s="20">
        <f t="shared" si="92"/>
        <v>0</v>
      </c>
      <c r="F575" s="20">
        <f t="shared" si="93"/>
        <v>0</v>
      </c>
      <c r="G575" s="277">
        <f t="shared" si="94"/>
        <v>0</v>
      </c>
      <c r="H575" s="3">
        <f t="shared" si="99"/>
        <v>0</v>
      </c>
      <c r="I575" s="277">
        <f t="shared" si="95"/>
        <v>0</v>
      </c>
      <c r="J575" s="359"/>
      <c r="K575" s="359"/>
      <c r="L575" s="359"/>
      <c r="M575" s="338"/>
      <c r="N575" s="45"/>
      <c r="O575" s="359"/>
      <c r="P575" s="359"/>
      <c r="Q575" s="359"/>
      <c r="R575" s="359"/>
      <c r="S575" s="359"/>
      <c r="T575" s="359"/>
      <c r="U575" s="359"/>
      <c r="V575" s="359"/>
      <c r="W575" s="359"/>
      <c r="X575" s="359"/>
      <c r="Y575" s="359">
        <v>47</v>
      </c>
      <c r="Z575" s="359"/>
      <c r="AA575" s="210"/>
      <c r="AB575" s="248"/>
      <c r="AC575" s="359"/>
      <c r="AD575" s="359"/>
      <c r="AE575" s="359"/>
      <c r="AF575" s="359"/>
      <c r="AG575" s="153"/>
      <c r="AH575" s="346"/>
      <c r="AI575" s="24"/>
      <c r="AJ575" s="24"/>
      <c r="AK575" s="24"/>
      <c r="AL575" s="24"/>
      <c r="AM575" s="359"/>
      <c r="AN575" s="24">
        <f t="shared" si="96"/>
        <v>0</v>
      </c>
      <c r="AO575" s="54">
        <f t="shared" si="97"/>
        <v>0</v>
      </c>
      <c r="AP575" s="261" t="e">
        <f t="shared" si="98"/>
        <v>#DIV/0!</v>
      </c>
      <c r="AQ575" s="338"/>
      <c r="AR575" s="45"/>
      <c r="AS575" s="359"/>
      <c r="AT575" s="359"/>
    </row>
    <row r="576" spans="1:46" ht="12">
      <c r="A576" s="359" t="s">
        <v>786</v>
      </c>
      <c r="B576" s="359">
        <f t="shared" si="89"/>
        <v>0</v>
      </c>
      <c r="C576" s="141">
        <f t="shared" si="90"/>
        <v>0</v>
      </c>
      <c r="D576" s="277">
        <f t="shared" si="91"/>
        <v>0</v>
      </c>
      <c r="E576" s="20">
        <f t="shared" si="92"/>
        <v>0</v>
      </c>
      <c r="F576" s="20">
        <f t="shared" si="93"/>
        <v>0</v>
      </c>
      <c r="G576" s="277">
        <f t="shared" si="94"/>
        <v>0</v>
      </c>
      <c r="H576" s="3">
        <f t="shared" si="99"/>
        <v>0</v>
      </c>
      <c r="I576" s="277">
        <f t="shared" si="95"/>
        <v>0</v>
      </c>
      <c r="J576" s="359"/>
      <c r="K576" s="359"/>
      <c r="L576" s="359"/>
      <c r="M576" s="338"/>
      <c r="N576" s="45"/>
      <c r="O576" s="359"/>
      <c r="P576" s="359"/>
      <c r="Q576" s="359"/>
      <c r="R576" s="359"/>
      <c r="S576" s="359"/>
      <c r="T576" s="359"/>
      <c r="U576" s="359"/>
      <c r="V576" s="359"/>
      <c r="W576" s="359"/>
      <c r="X576" s="359"/>
      <c r="Y576" s="359">
        <v>47</v>
      </c>
      <c r="Z576" s="359"/>
      <c r="AA576" s="210"/>
      <c r="AB576" s="248"/>
      <c r="AC576" s="359"/>
      <c r="AD576" s="359"/>
      <c r="AE576" s="359"/>
      <c r="AF576" s="359"/>
      <c r="AG576" s="153"/>
      <c r="AH576" s="346"/>
      <c r="AI576" s="24"/>
      <c r="AJ576" s="24"/>
      <c r="AK576" s="24"/>
      <c r="AL576" s="24"/>
      <c r="AM576" s="359"/>
      <c r="AN576" s="24">
        <f t="shared" si="96"/>
        <v>0</v>
      </c>
      <c r="AO576" s="54">
        <f t="shared" si="97"/>
        <v>0</v>
      </c>
      <c r="AP576" s="261" t="e">
        <f t="shared" si="98"/>
        <v>#DIV/0!</v>
      </c>
      <c r="AQ576" s="338"/>
      <c r="AR576" s="45"/>
      <c r="AS576" s="359"/>
      <c r="AT576" s="359"/>
    </row>
    <row r="577" spans="1:46" ht="12">
      <c r="A577" s="359" t="s">
        <v>787</v>
      </c>
      <c r="B577" s="359">
        <f t="shared" si="89"/>
        <v>0</v>
      </c>
      <c r="C577" s="141">
        <f t="shared" si="90"/>
        <v>0</v>
      </c>
      <c r="D577" s="277">
        <f t="shared" si="91"/>
        <v>0</v>
      </c>
      <c r="E577" s="20">
        <f t="shared" si="92"/>
        <v>0</v>
      </c>
      <c r="F577" s="20">
        <f t="shared" si="93"/>
        <v>0</v>
      </c>
      <c r="G577" s="277">
        <f t="shared" si="94"/>
        <v>0</v>
      </c>
      <c r="H577" s="3">
        <f t="shared" si="99"/>
        <v>0</v>
      </c>
      <c r="I577" s="277">
        <f t="shared" si="95"/>
        <v>0</v>
      </c>
      <c r="J577" s="359"/>
      <c r="K577" s="359"/>
      <c r="L577" s="359"/>
      <c r="M577" s="338"/>
      <c r="N577" s="45"/>
      <c r="O577" s="359"/>
      <c r="P577" s="359"/>
      <c r="Q577" s="359"/>
      <c r="R577" s="359"/>
      <c r="S577" s="359"/>
      <c r="T577" s="359"/>
      <c r="U577" s="359"/>
      <c r="V577" s="359"/>
      <c r="W577" s="359"/>
      <c r="X577" s="359"/>
      <c r="Y577" s="359">
        <v>47</v>
      </c>
      <c r="Z577" s="359"/>
      <c r="AA577" s="210"/>
      <c r="AB577" s="248"/>
      <c r="AC577" s="359"/>
      <c r="AD577" s="359"/>
      <c r="AE577" s="359"/>
      <c r="AF577" s="359"/>
      <c r="AG577" s="153"/>
      <c r="AH577" s="346"/>
      <c r="AI577" s="24"/>
      <c r="AJ577" s="24"/>
      <c r="AK577" s="24"/>
      <c r="AL577" s="24"/>
      <c r="AM577" s="359"/>
      <c r="AN577" s="24">
        <f t="shared" si="96"/>
        <v>0</v>
      </c>
      <c r="AO577" s="54">
        <f t="shared" si="97"/>
        <v>0</v>
      </c>
      <c r="AP577" s="261" t="e">
        <f t="shared" si="98"/>
        <v>#DIV/0!</v>
      </c>
      <c r="AQ577" s="338"/>
      <c r="AR577" s="45"/>
      <c r="AS577" s="359"/>
      <c r="AT577" s="359"/>
    </row>
    <row r="578" spans="1:46" ht="12">
      <c r="A578" s="359" t="s">
        <v>788</v>
      </c>
      <c r="B578" s="359">
        <f t="shared" si="89"/>
        <v>0</v>
      </c>
      <c r="C578" s="141">
        <f t="shared" si="90"/>
        <v>0</v>
      </c>
      <c r="D578" s="277">
        <f t="shared" si="91"/>
        <v>0</v>
      </c>
      <c r="E578" s="20">
        <f t="shared" si="92"/>
        <v>0</v>
      </c>
      <c r="F578" s="20">
        <f t="shared" si="93"/>
        <v>0</v>
      </c>
      <c r="G578" s="277">
        <f t="shared" si="94"/>
        <v>0</v>
      </c>
      <c r="H578" s="3">
        <f t="shared" si="99"/>
        <v>0</v>
      </c>
      <c r="I578" s="277">
        <f t="shared" si="95"/>
        <v>0</v>
      </c>
      <c r="J578" s="359"/>
      <c r="K578" s="359"/>
      <c r="L578" s="359"/>
      <c r="M578" s="338"/>
      <c r="N578" s="45"/>
      <c r="O578" s="359"/>
      <c r="P578" s="359"/>
      <c r="Q578" s="359"/>
      <c r="R578" s="359"/>
      <c r="S578" s="359"/>
      <c r="T578" s="359"/>
      <c r="U578" s="359"/>
      <c r="V578" s="359"/>
      <c r="W578" s="359"/>
      <c r="X578" s="359"/>
      <c r="Y578" s="359">
        <v>47</v>
      </c>
      <c r="Z578" s="359"/>
      <c r="AA578" s="210"/>
      <c r="AB578" s="248"/>
      <c r="AC578" s="359"/>
      <c r="AD578" s="359"/>
      <c r="AE578" s="359"/>
      <c r="AF578" s="359"/>
      <c r="AG578" s="153"/>
      <c r="AH578" s="346"/>
      <c r="AI578" s="24"/>
      <c r="AJ578" s="24"/>
      <c r="AK578" s="24"/>
      <c r="AL578" s="24"/>
      <c r="AM578" s="359"/>
      <c r="AN578" s="24">
        <f t="shared" si="96"/>
        <v>0</v>
      </c>
      <c r="AO578" s="54">
        <f t="shared" si="97"/>
        <v>0</v>
      </c>
      <c r="AP578" s="261" t="e">
        <f t="shared" si="98"/>
        <v>#DIV/0!</v>
      </c>
      <c r="AQ578" s="338"/>
      <c r="AR578" s="45"/>
      <c r="AS578" s="359"/>
      <c r="AT578" s="359"/>
    </row>
    <row r="579" spans="1:46" ht="12">
      <c r="A579" s="359" t="s">
        <v>789</v>
      </c>
      <c r="B579" s="359">
        <f t="shared" ref="B579:B642" si="100">P579</f>
        <v>0</v>
      </c>
      <c r="C579" s="141">
        <f t="shared" ref="C579:C642" si="101">AF579</f>
        <v>0</v>
      </c>
      <c r="D579" s="277">
        <f t="shared" ref="D579:D642" si="102">AH579</f>
        <v>0</v>
      </c>
      <c r="E579" s="20">
        <f t="shared" ref="E579:E642" si="103">AJ579</f>
        <v>0</v>
      </c>
      <c r="F579" s="20">
        <f t="shared" ref="F579:F642" si="104">AK579</f>
        <v>0</v>
      </c>
      <c r="G579" s="277">
        <f t="shared" ref="G579:G642" si="105">AN579</f>
        <v>0</v>
      </c>
      <c r="H579" s="3">
        <f t="shared" si="99"/>
        <v>0</v>
      </c>
      <c r="I579" s="277">
        <f t="shared" ref="I579:I642" si="106">AO579</f>
        <v>0</v>
      </c>
      <c r="J579" s="359"/>
      <c r="K579" s="359"/>
      <c r="L579" s="359"/>
      <c r="M579" s="338"/>
      <c r="N579" s="45"/>
      <c r="O579" s="359"/>
      <c r="P579" s="359"/>
      <c r="Q579" s="359"/>
      <c r="R579" s="359"/>
      <c r="S579" s="359"/>
      <c r="T579" s="359"/>
      <c r="U579" s="359"/>
      <c r="V579" s="359"/>
      <c r="W579" s="359"/>
      <c r="X579" s="359"/>
      <c r="Y579" s="359">
        <v>47</v>
      </c>
      <c r="Z579" s="359"/>
      <c r="AA579" s="210"/>
      <c r="AB579" s="248"/>
      <c r="AC579" s="359"/>
      <c r="AD579" s="359"/>
      <c r="AE579" s="359"/>
      <c r="AF579" s="359"/>
      <c r="AG579" s="153"/>
      <c r="AH579" s="346"/>
      <c r="AI579" s="24"/>
      <c r="AJ579" s="24"/>
      <c r="AK579" s="24"/>
      <c r="AL579" s="24"/>
      <c r="AM579" s="359"/>
      <c r="AN579" s="24">
        <f t="shared" ref="AN579:AN642" si="107">((AH579*AF579)/10)</f>
        <v>0</v>
      </c>
      <c r="AO579" s="54">
        <f t="shared" ref="AO579:AO642" si="108">(AF579*AH579)*AJ579</f>
        <v>0</v>
      </c>
      <c r="AP579" s="261" t="e">
        <f t="shared" ref="AP579:AP642" si="109">(AF579/T579)*60</f>
        <v>#DIV/0!</v>
      </c>
      <c r="AQ579" s="338"/>
      <c r="AR579" s="45"/>
      <c r="AS579" s="359"/>
      <c r="AT579" s="359"/>
    </row>
    <row r="580" spans="1:46" ht="12">
      <c r="A580" s="134" t="s">
        <v>790</v>
      </c>
      <c r="B580" s="359">
        <f t="shared" si="100"/>
        <v>0</v>
      </c>
      <c r="C580" s="141">
        <f t="shared" si="101"/>
        <v>0</v>
      </c>
      <c r="D580" s="277">
        <f t="shared" si="102"/>
        <v>0</v>
      </c>
      <c r="E580" s="20">
        <f t="shared" si="103"/>
        <v>0</v>
      </c>
      <c r="F580" s="20">
        <f t="shared" si="104"/>
        <v>0</v>
      </c>
      <c r="G580" s="277">
        <f t="shared" si="105"/>
        <v>0</v>
      </c>
      <c r="H580" s="3">
        <f t="shared" si="99"/>
        <v>0</v>
      </c>
      <c r="I580" s="277">
        <f t="shared" si="106"/>
        <v>0</v>
      </c>
      <c r="J580" s="359"/>
      <c r="K580" s="359"/>
      <c r="L580" s="359"/>
      <c r="M580" s="338"/>
      <c r="N580" s="45"/>
      <c r="O580" s="359"/>
      <c r="P580" s="359"/>
      <c r="Q580" s="359"/>
      <c r="R580" s="359"/>
      <c r="S580" s="359"/>
      <c r="T580" s="359"/>
      <c r="U580" s="359"/>
      <c r="V580" s="359"/>
      <c r="W580" s="359"/>
      <c r="X580" s="359"/>
      <c r="Y580" s="359">
        <v>47</v>
      </c>
      <c r="Z580" s="359"/>
      <c r="AA580" s="210"/>
      <c r="AB580" s="248"/>
      <c r="AC580" s="359"/>
      <c r="AD580" s="359"/>
      <c r="AE580" s="359"/>
      <c r="AF580" s="359"/>
      <c r="AG580" s="153"/>
      <c r="AH580" s="346"/>
      <c r="AI580" s="24"/>
      <c r="AJ580" s="24"/>
      <c r="AK580" s="24"/>
      <c r="AL580" s="24"/>
      <c r="AM580" s="359"/>
      <c r="AN580" s="24">
        <f t="shared" si="107"/>
        <v>0</v>
      </c>
      <c r="AO580" s="54">
        <f t="shared" si="108"/>
        <v>0</v>
      </c>
      <c r="AP580" s="261" t="e">
        <f t="shared" si="109"/>
        <v>#DIV/0!</v>
      </c>
      <c r="AQ580" s="338"/>
      <c r="AR580" s="45"/>
      <c r="AS580" s="359"/>
      <c r="AT580" s="359"/>
    </row>
    <row r="581" spans="1:46" ht="12">
      <c r="A581" s="359" t="s">
        <v>791</v>
      </c>
      <c r="B581" s="359">
        <f t="shared" si="100"/>
        <v>0</v>
      </c>
      <c r="C581" s="141">
        <f t="shared" si="101"/>
        <v>0</v>
      </c>
      <c r="D581" s="277">
        <f t="shared" si="102"/>
        <v>0</v>
      </c>
      <c r="E581" s="20">
        <f t="shared" si="103"/>
        <v>0</v>
      </c>
      <c r="F581" s="20">
        <f t="shared" si="104"/>
        <v>0</v>
      </c>
      <c r="G581" s="277">
        <f t="shared" si="105"/>
        <v>0</v>
      </c>
      <c r="H581" s="3">
        <f t="shared" si="99"/>
        <v>0</v>
      </c>
      <c r="I581" s="277">
        <f t="shared" si="106"/>
        <v>0</v>
      </c>
      <c r="J581" s="359"/>
      <c r="K581" s="359"/>
      <c r="L581" s="359"/>
      <c r="M581" s="338"/>
      <c r="N581" s="45"/>
      <c r="O581" s="359"/>
      <c r="P581" s="359"/>
      <c r="Q581" s="359"/>
      <c r="R581" s="359"/>
      <c r="S581" s="359"/>
      <c r="T581" s="359"/>
      <c r="U581" s="359"/>
      <c r="V581" s="359"/>
      <c r="W581" s="359"/>
      <c r="X581" s="359"/>
      <c r="Y581" s="359">
        <v>47</v>
      </c>
      <c r="Z581" s="359"/>
      <c r="AA581" s="210"/>
      <c r="AB581" s="248"/>
      <c r="AC581" s="359"/>
      <c r="AD581" s="359"/>
      <c r="AE581" s="359"/>
      <c r="AF581" s="359"/>
      <c r="AG581" s="153"/>
      <c r="AH581" s="346"/>
      <c r="AI581" s="24"/>
      <c r="AJ581" s="24"/>
      <c r="AK581" s="24"/>
      <c r="AL581" s="24"/>
      <c r="AM581" s="359"/>
      <c r="AN581" s="24">
        <f t="shared" si="107"/>
        <v>0</v>
      </c>
      <c r="AO581" s="54">
        <f t="shared" si="108"/>
        <v>0</v>
      </c>
      <c r="AP581" s="261" t="e">
        <f t="shared" si="109"/>
        <v>#DIV/0!</v>
      </c>
      <c r="AQ581" s="338"/>
      <c r="AR581" s="45"/>
      <c r="AS581" s="359"/>
      <c r="AT581" s="359"/>
    </row>
    <row r="582" spans="1:46" ht="24">
      <c r="A582" s="359" t="s">
        <v>792</v>
      </c>
      <c r="B582" s="359" t="str">
        <f t="shared" si="100"/>
        <v>MgO</v>
      </c>
      <c r="C582" s="141">
        <f t="shared" si="101"/>
        <v>0</v>
      </c>
      <c r="D582" s="277">
        <f t="shared" si="102"/>
        <v>2391.73</v>
      </c>
      <c r="E582" s="20">
        <f t="shared" si="103"/>
        <v>0</v>
      </c>
      <c r="F582" s="20">
        <f t="shared" si="104"/>
        <v>0</v>
      </c>
      <c r="G582" s="277">
        <f t="shared" si="105"/>
        <v>0</v>
      </c>
      <c r="H582" s="3">
        <f t="shared" si="99"/>
        <v>0</v>
      </c>
      <c r="I582" s="277">
        <f t="shared" si="106"/>
        <v>0</v>
      </c>
      <c r="J582" s="359" t="s">
        <v>793</v>
      </c>
      <c r="K582" s="359" t="s">
        <v>794</v>
      </c>
      <c r="L582" s="359"/>
      <c r="M582" s="338"/>
      <c r="N582" s="89">
        <v>41192</v>
      </c>
      <c r="O582" s="359">
        <v>211</v>
      </c>
      <c r="P582" s="359" t="s">
        <v>46</v>
      </c>
      <c r="Q582" s="359"/>
      <c r="R582" s="359"/>
      <c r="S582" s="359">
        <v>800</v>
      </c>
      <c r="T582" s="359">
        <v>68</v>
      </c>
      <c r="U582" s="359"/>
      <c r="V582" s="359"/>
      <c r="W582" s="359"/>
      <c r="X582" s="359"/>
      <c r="Y582" s="359">
        <v>47</v>
      </c>
      <c r="Z582" s="359"/>
      <c r="AA582" s="210"/>
      <c r="AB582" s="248"/>
      <c r="AC582" s="359"/>
      <c r="AD582" s="359"/>
      <c r="AE582" s="359"/>
      <c r="AF582" s="359"/>
      <c r="AG582" s="153"/>
      <c r="AH582" s="346">
        <v>2391.73</v>
      </c>
      <c r="AI582" s="24"/>
      <c r="AJ582" s="24"/>
      <c r="AK582" s="24"/>
      <c r="AL582" s="24"/>
      <c r="AM582" s="359"/>
      <c r="AN582" s="24">
        <f t="shared" si="107"/>
        <v>0</v>
      </c>
      <c r="AO582" s="54">
        <f t="shared" si="108"/>
        <v>0</v>
      </c>
      <c r="AP582" s="261">
        <f t="shared" si="109"/>
        <v>0</v>
      </c>
      <c r="AQ582" s="338"/>
      <c r="AR582" s="45"/>
      <c r="AS582" s="359"/>
      <c r="AT582" s="359"/>
    </row>
    <row r="583" spans="1:46" ht="36">
      <c r="A583" s="359" t="s">
        <v>795</v>
      </c>
      <c r="B583" s="359" t="str">
        <f t="shared" si="100"/>
        <v>MgO</v>
      </c>
      <c r="C583" s="141">
        <f t="shared" si="101"/>
        <v>0</v>
      </c>
      <c r="D583" s="277">
        <f t="shared" si="102"/>
        <v>2321.4299999999998</v>
      </c>
      <c r="E583" s="20">
        <f t="shared" si="103"/>
        <v>0</v>
      </c>
      <c r="F583" s="20">
        <f t="shared" si="104"/>
        <v>0</v>
      </c>
      <c r="G583" s="277">
        <f t="shared" si="105"/>
        <v>0</v>
      </c>
      <c r="H583" s="3">
        <f t="shared" si="99"/>
        <v>0</v>
      </c>
      <c r="I583" s="277">
        <f t="shared" si="106"/>
        <v>0</v>
      </c>
      <c r="J583" s="359" t="s">
        <v>796</v>
      </c>
      <c r="K583" s="359" t="s">
        <v>794</v>
      </c>
      <c r="L583" s="359"/>
      <c r="M583" s="338" t="s">
        <v>582</v>
      </c>
      <c r="N583" s="89">
        <v>41192</v>
      </c>
      <c r="O583" s="359">
        <v>211</v>
      </c>
      <c r="P583" s="359" t="s">
        <v>46</v>
      </c>
      <c r="Q583" s="359"/>
      <c r="R583" s="359"/>
      <c r="S583" s="359">
        <v>800</v>
      </c>
      <c r="T583" s="359">
        <v>68</v>
      </c>
      <c r="U583" s="359"/>
      <c r="V583" s="359"/>
      <c r="W583" s="359"/>
      <c r="X583" s="359"/>
      <c r="Y583" s="359">
        <v>47</v>
      </c>
      <c r="Z583" s="359"/>
      <c r="AA583" s="210"/>
      <c r="AB583" s="248"/>
      <c r="AC583" s="359"/>
      <c r="AD583" s="359"/>
      <c r="AE583" s="359"/>
      <c r="AF583" s="359"/>
      <c r="AG583" s="153"/>
      <c r="AH583" s="346">
        <v>2321.4299999999998</v>
      </c>
      <c r="AI583" s="24"/>
      <c r="AJ583" s="24"/>
      <c r="AK583" s="24"/>
      <c r="AL583" s="24"/>
      <c r="AM583" s="359"/>
      <c r="AN583" s="24">
        <f t="shared" si="107"/>
        <v>0</v>
      </c>
      <c r="AO583" s="54">
        <f t="shared" si="108"/>
        <v>0</v>
      </c>
      <c r="AP583" s="261">
        <f t="shared" si="109"/>
        <v>0</v>
      </c>
      <c r="AQ583" s="338"/>
      <c r="AR583" s="45"/>
      <c r="AS583" s="359"/>
      <c r="AT583" s="359"/>
    </row>
    <row r="584" spans="1:46" ht="36">
      <c r="A584" s="359" t="s">
        <v>797</v>
      </c>
      <c r="B584" s="359" t="str">
        <f t="shared" si="100"/>
        <v>MgO</v>
      </c>
      <c r="C584" s="141">
        <f t="shared" si="101"/>
        <v>0</v>
      </c>
      <c r="D584" s="277">
        <f t="shared" si="102"/>
        <v>3347.92</v>
      </c>
      <c r="E584" s="20">
        <f t="shared" si="103"/>
        <v>0</v>
      </c>
      <c r="F584" s="20">
        <f t="shared" si="104"/>
        <v>0</v>
      </c>
      <c r="G584" s="277">
        <f t="shared" si="105"/>
        <v>0</v>
      </c>
      <c r="H584" s="3">
        <f t="shared" si="99"/>
        <v>0</v>
      </c>
      <c r="I584" s="277">
        <f t="shared" si="106"/>
        <v>0</v>
      </c>
      <c r="J584" s="359" t="s">
        <v>796</v>
      </c>
      <c r="K584" s="359" t="s">
        <v>794</v>
      </c>
      <c r="L584" s="359"/>
      <c r="M584" s="338" t="s">
        <v>582</v>
      </c>
      <c r="N584" s="89">
        <v>41192</v>
      </c>
      <c r="O584" s="359">
        <v>211</v>
      </c>
      <c r="P584" s="359" t="s">
        <v>46</v>
      </c>
      <c r="Q584" s="359"/>
      <c r="R584" s="359"/>
      <c r="S584" s="359">
        <v>800</v>
      </c>
      <c r="T584" s="359">
        <v>68</v>
      </c>
      <c r="U584" s="359"/>
      <c r="V584" s="359"/>
      <c r="W584" s="359"/>
      <c r="X584" s="359"/>
      <c r="Y584" s="359">
        <v>47</v>
      </c>
      <c r="Z584" s="359"/>
      <c r="AA584" s="210"/>
      <c r="AB584" s="248"/>
      <c r="AC584" s="359"/>
      <c r="AD584" s="359"/>
      <c r="AE584" s="359"/>
      <c r="AF584" s="359"/>
      <c r="AG584" s="153"/>
      <c r="AH584" s="346">
        <v>3347.92</v>
      </c>
      <c r="AI584" s="24"/>
      <c r="AJ584" s="24"/>
      <c r="AK584" s="24"/>
      <c r="AL584" s="24"/>
      <c r="AM584" s="359"/>
      <c r="AN584" s="24">
        <f t="shared" si="107"/>
        <v>0</v>
      </c>
      <c r="AO584" s="54">
        <f t="shared" si="108"/>
        <v>0</v>
      </c>
      <c r="AP584" s="261">
        <f t="shared" si="109"/>
        <v>0</v>
      </c>
      <c r="AQ584" s="338"/>
      <c r="AR584" s="45"/>
      <c r="AS584" s="359"/>
      <c r="AT584" s="359"/>
    </row>
    <row r="585" spans="1:46" ht="36">
      <c r="A585" s="359" t="s">
        <v>798</v>
      </c>
      <c r="B585" s="359" t="str">
        <f t="shared" si="100"/>
        <v>MgO</v>
      </c>
      <c r="C585" s="141">
        <f t="shared" si="101"/>
        <v>0</v>
      </c>
      <c r="D585" s="277">
        <f t="shared" si="102"/>
        <v>2161.2199999999998</v>
      </c>
      <c r="E585" s="20">
        <f t="shared" si="103"/>
        <v>0</v>
      </c>
      <c r="F585" s="20">
        <f t="shared" si="104"/>
        <v>0</v>
      </c>
      <c r="G585" s="277">
        <f t="shared" si="105"/>
        <v>0</v>
      </c>
      <c r="H585" s="3">
        <f t="shared" si="99"/>
        <v>0</v>
      </c>
      <c r="I585" s="277">
        <f t="shared" si="106"/>
        <v>0</v>
      </c>
      <c r="J585" s="359" t="s">
        <v>796</v>
      </c>
      <c r="K585" s="359" t="s">
        <v>794</v>
      </c>
      <c r="L585" s="359"/>
      <c r="M585" s="338" t="s">
        <v>582</v>
      </c>
      <c r="N585" s="89">
        <v>41192</v>
      </c>
      <c r="O585" s="359">
        <v>211</v>
      </c>
      <c r="P585" s="359" t="s">
        <v>46</v>
      </c>
      <c r="Q585" s="359"/>
      <c r="R585" s="359"/>
      <c r="S585" s="359">
        <v>800</v>
      </c>
      <c r="T585" s="359">
        <v>68</v>
      </c>
      <c r="U585" s="359"/>
      <c r="V585" s="359"/>
      <c r="W585" s="359"/>
      <c r="X585" s="359"/>
      <c r="Y585" s="359">
        <v>47</v>
      </c>
      <c r="Z585" s="359"/>
      <c r="AA585" s="210"/>
      <c r="AB585" s="248"/>
      <c r="AC585" s="359"/>
      <c r="AD585" s="359"/>
      <c r="AE585" s="359"/>
      <c r="AF585" s="359"/>
      <c r="AG585" s="153"/>
      <c r="AH585" s="346">
        <v>2161.2199999999998</v>
      </c>
      <c r="AI585" s="24"/>
      <c r="AJ585" s="24"/>
      <c r="AK585" s="24"/>
      <c r="AL585" s="24"/>
      <c r="AM585" s="359"/>
      <c r="AN585" s="24">
        <f t="shared" si="107"/>
        <v>0</v>
      </c>
      <c r="AO585" s="54">
        <f t="shared" si="108"/>
        <v>0</v>
      </c>
      <c r="AP585" s="261">
        <f t="shared" si="109"/>
        <v>0</v>
      </c>
      <c r="AQ585" s="338"/>
      <c r="AR585" s="45"/>
      <c r="AS585" s="359"/>
      <c r="AT585" s="359"/>
    </row>
    <row r="586" spans="1:46" ht="36">
      <c r="A586" s="359" t="s">
        <v>799</v>
      </c>
      <c r="B586" s="359" t="str">
        <f t="shared" si="100"/>
        <v>MgO</v>
      </c>
      <c r="C586" s="141">
        <f t="shared" si="101"/>
        <v>0</v>
      </c>
      <c r="D586" s="277">
        <f t="shared" si="102"/>
        <v>1585.84</v>
      </c>
      <c r="E586" s="20">
        <f t="shared" si="103"/>
        <v>0</v>
      </c>
      <c r="F586" s="20">
        <f t="shared" si="104"/>
        <v>0</v>
      </c>
      <c r="G586" s="277">
        <f t="shared" si="105"/>
        <v>0</v>
      </c>
      <c r="H586" s="3">
        <f t="shared" si="99"/>
        <v>0</v>
      </c>
      <c r="I586" s="277">
        <f t="shared" si="106"/>
        <v>0</v>
      </c>
      <c r="J586" s="359" t="s">
        <v>800</v>
      </c>
      <c r="K586" s="359" t="s">
        <v>801</v>
      </c>
      <c r="L586" s="359"/>
      <c r="M586" s="338"/>
      <c r="N586" s="89">
        <v>41194</v>
      </c>
      <c r="O586" s="359">
        <v>212</v>
      </c>
      <c r="P586" s="359" t="s">
        <v>46</v>
      </c>
      <c r="Q586" s="359"/>
      <c r="R586" s="359"/>
      <c r="S586" s="359">
        <v>800</v>
      </c>
      <c r="T586" s="359">
        <v>68</v>
      </c>
      <c r="U586" s="359"/>
      <c r="V586" s="359"/>
      <c r="W586" s="359"/>
      <c r="X586" s="359"/>
      <c r="Y586" s="359">
        <v>47</v>
      </c>
      <c r="Z586" s="359"/>
      <c r="AA586" s="210"/>
      <c r="AB586" s="248"/>
      <c r="AC586" s="359"/>
      <c r="AD586" s="359"/>
      <c r="AE586" s="359"/>
      <c r="AF586" s="359"/>
      <c r="AG586" s="153"/>
      <c r="AH586" s="346">
        <v>1585.84</v>
      </c>
      <c r="AI586" s="24"/>
      <c r="AJ586" s="24"/>
      <c r="AK586" s="24"/>
      <c r="AL586" s="24"/>
      <c r="AM586" s="359"/>
      <c r="AN586" s="24">
        <f t="shared" si="107"/>
        <v>0</v>
      </c>
      <c r="AO586" s="54">
        <f t="shared" si="108"/>
        <v>0</v>
      </c>
      <c r="AP586" s="261">
        <f t="shared" si="109"/>
        <v>0</v>
      </c>
      <c r="AQ586" s="338"/>
      <c r="AR586" s="45"/>
      <c r="AS586" s="359"/>
      <c r="AT586" s="359"/>
    </row>
    <row r="587" spans="1:46" ht="12">
      <c r="A587" s="134" t="s">
        <v>802</v>
      </c>
      <c r="B587" s="359" t="str">
        <f t="shared" si="100"/>
        <v>MgO</v>
      </c>
      <c r="C587" s="141">
        <f t="shared" si="101"/>
        <v>0</v>
      </c>
      <c r="D587" s="277">
        <f t="shared" si="102"/>
        <v>1554.08</v>
      </c>
      <c r="E587" s="20">
        <f t="shared" si="103"/>
        <v>0</v>
      </c>
      <c r="F587" s="20">
        <f t="shared" si="104"/>
        <v>0</v>
      </c>
      <c r="G587" s="277">
        <f t="shared" si="105"/>
        <v>0</v>
      </c>
      <c r="H587" s="3">
        <f t="shared" si="99"/>
        <v>0</v>
      </c>
      <c r="I587" s="277">
        <f t="shared" si="106"/>
        <v>0</v>
      </c>
      <c r="J587" s="359"/>
      <c r="K587" s="359" t="s">
        <v>654</v>
      </c>
      <c r="L587" s="359"/>
      <c r="M587" s="338"/>
      <c r="N587" s="89">
        <v>41194</v>
      </c>
      <c r="O587" s="359">
        <v>212</v>
      </c>
      <c r="P587" s="359" t="s">
        <v>46</v>
      </c>
      <c r="Q587" s="359"/>
      <c r="R587" s="359"/>
      <c r="S587" s="359">
        <v>800</v>
      </c>
      <c r="T587" s="359">
        <v>68</v>
      </c>
      <c r="U587" s="359"/>
      <c r="V587" s="359"/>
      <c r="W587" s="359"/>
      <c r="X587" s="359"/>
      <c r="Y587" s="359">
        <v>47</v>
      </c>
      <c r="Z587" s="359"/>
      <c r="AA587" s="210"/>
      <c r="AB587" s="248"/>
      <c r="AC587" s="359"/>
      <c r="AD587" s="359"/>
      <c r="AE587" s="359"/>
      <c r="AF587" s="359"/>
      <c r="AG587" s="153"/>
      <c r="AH587" s="346">
        <v>1554.08</v>
      </c>
      <c r="AI587" s="24"/>
      <c r="AJ587" s="24"/>
      <c r="AK587" s="24"/>
      <c r="AL587" s="24"/>
      <c r="AM587" s="359"/>
      <c r="AN587" s="24">
        <f t="shared" si="107"/>
        <v>0</v>
      </c>
      <c r="AO587" s="54">
        <f t="shared" si="108"/>
        <v>0</v>
      </c>
      <c r="AP587" s="261">
        <f t="shared" si="109"/>
        <v>0</v>
      </c>
      <c r="AQ587" s="338"/>
      <c r="AR587" s="45"/>
      <c r="AS587" s="359"/>
      <c r="AT587" s="359"/>
    </row>
    <row r="588" spans="1:46" ht="36">
      <c r="A588" s="359" t="s">
        <v>803</v>
      </c>
      <c r="B588" s="359" t="str">
        <f t="shared" si="100"/>
        <v>MgO</v>
      </c>
      <c r="C588" s="141">
        <f t="shared" si="101"/>
        <v>0</v>
      </c>
      <c r="D588" s="277">
        <f t="shared" si="102"/>
        <v>1504.34</v>
      </c>
      <c r="E588" s="20">
        <f t="shared" si="103"/>
        <v>0</v>
      </c>
      <c r="F588" s="20">
        <f t="shared" si="104"/>
        <v>0</v>
      </c>
      <c r="G588" s="277">
        <f t="shared" si="105"/>
        <v>0</v>
      </c>
      <c r="H588" s="3">
        <f t="shared" si="99"/>
        <v>0</v>
      </c>
      <c r="I588" s="277">
        <f t="shared" si="106"/>
        <v>0</v>
      </c>
      <c r="J588" s="359" t="s">
        <v>800</v>
      </c>
      <c r="K588" s="359" t="s">
        <v>654</v>
      </c>
      <c r="L588" s="359"/>
      <c r="M588" s="338"/>
      <c r="N588" s="89">
        <v>41194</v>
      </c>
      <c r="O588" s="359">
        <v>212</v>
      </c>
      <c r="P588" s="359" t="s">
        <v>46</v>
      </c>
      <c r="Q588" s="359"/>
      <c r="R588" s="359"/>
      <c r="S588" s="359">
        <v>800</v>
      </c>
      <c r="T588" s="359">
        <v>68</v>
      </c>
      <c r="U588" s="359"/>
      <c r="V588" s="359"/>
      <c r="W588" s="359"/>
      <c r="X588" s="359"/>
      <c r="Y588" s="359">
        <v>47</v>
      </c>
      <c r="Z588" s="359"/>
      <c r="AA588" s="210"/>
      <c r="AB588" s="248"/>
      <c r="AC588" s="359"/>
      <c r="AD588" s="359"/>
      <c r="AE588" s="359"/>
      <c r="AF588" s="359"/>
      <c r="AG588" s="153"/>
      <c r="AH588" s="346">
        <v>1504.34</v>
      </c>
      <c r="AI588" s="24"/>
      <c r="AJ588" s="24"/>
      <c r="AK588" s="24"/>
      <c r="AL588" s="24"/>
      <c r="AM588" s="359"/>
      <c r="AN588" s="24">
        <f t="shared" si="107"/>
        <v>0</v>
      </c>
      <c r="AO588" s="54">
        <f t="shared" si="108"/>
        <v>0</v>
      </c>
      <c r="AP588" s="261">
        <f t="shared" si="109"/>
        <v>0</v>
      </c>
      <c r="AQ588" s="338"/>
      <c r="AR588" s="45"/>
      <c r="AS588" s="359"/>
      <c r="AT588" s="359"/>
    </row>
    <row r="589" spans="1:46" ht="12">
      <c r="A589" s="134" t="s">
        <v>804</v>
      </c>
      <c r="B589" s="359" t="str">
        <f t="shared" si="100"/>
        <v>MgO</v>
      </c>
      <c r="C589" s="141">
        <f t="shared" si="101"/>
        <v>0</v>
      </c>
      <c r="D589" s="277">
        <f t="shared" si="102"/>
        <v>0</v>
      </c>
      <c r="E589" s="20">
        <f t="shared" si="103"/>
        <v>0</v>
      </c>
      <c r="F589" s="20">
        <f t="shared" si="104"/>
        <v>0</v>
      </c>
      <c r="G589" s="277">
        <f t="shared" si="105"/>
        <v>0</v>
      </c>
      <c r="H589" s="3">
        <f t="shared" si="99"/>
        <v>0</v>
      </c>
      <c r="I589" s="277">
        <f t="shared" si="106"/>
        <v>0</v>
      </c>
      <c r="J589" s="359"/>
      <c r="K589" s="359" t="s">
        <v>654</v>
      </c>
      <c r="L589" s="359"/>
      <c r="M589" s="338"/>
      <c r="N589" s="89">
        <v>41194</v>
      </c>
      <c r="O589" s="359">
        <v>212</v>
      </c>
      <c r="P589" s="359" t="s">
        <v>46</v>
      </c>
      <c r="Q589" s="359"/>
      <c r="R589" s="359"/>
      <c r="S589" s="359">
        <v>800</v>
      </c>
      <c r="T589" s="359">
        <v>68</v>
      </c>
      <c r="U589" s="359"/>
      <c r="V589" s="359"/>
      <c r="W589" s="359"/>
      <c r="X589" s="359"/>
      <c r="Y589" s="359">
        <v>47</v>
      </c>
      <c r="Z589" s="359"/>
      <c r="AA589" s="210"/>
      <c r="AB589" s="248"/>
      <c r="AC589" s="359"/>
      <c r="AD589" s="359"/>
      <c r="AE589" s="359"/>
      <c r="AF589" s="359"/>
      <c r="AG589" s="153"/>
      <c r="AH589" s="346"/>
      <c r="AI589" s="24"/>
      <c r="AJ589" s="24"/>
      <c r="AK589" s="24"/>
      <c r="AL589" s="24"/>
      <c r="AM589" s="359"/>
      <c r="AN589" s="24">
        <f t="shared" si="107"/>
        <v>0</v>
      </c>
      <c r="AO589" s="54">
        <f t="shared" si="108"/>
        <v>0</v>
      </c>
      <c r="AP589" s="261">
        <f t="shared" si="109"/>
        <v>0</v>
      </c>
      <c r="AQ589" s="338"/>
      <c r="AR589" s="45"/>
      <c r="AS589" s="359"/>
      <c r="AT589" s="359"/>
    </row>
    <row r="590" spans="1:46" ht="60">
      <c r="A590" s="134" t="s">
        <v>805</v>
      </c>
      <c r="B590" s="359" t="str">
        <f t="shared" si="100"/>
        <v>MgO</v>
      </c>
      <c r="C590" s="141">
        <f t="shared" si="101"/>
        <v>0</v>
      </c>
      <c r="D590" s="277">
        <f t="shared" si="102"/>
        <v>1421.2646997268</v>
      </c>
      <c r="E590" s="20" t="str">
        <f t="shared" si="103"/>
        <v>&lt;4.2K</v>
      </c>
      <c r="F590" s="20">
        <f t="shared" si="104"/>
        <v>0</v>
      </c>
      <c r="G590" s="277">
        <f t="shared" si="105"/>
        <v>0</v>
      </c>
      <c r="H590" s="3">
        <f t="shared" si="99"/>
        <v>0</v>
      </c>
      <c r="I590" s="277" t="e">
        <f t="shared" si="106"/>
        <v>#VALUE!</v>
      </c>
      <c r="J590" s="359" t="s">
        <v>806</v>
      </c>
      <c r="K590" s="359" t="s">
        <v>807</v>
      </c>
      <c r="L590" s="359"/>
      <c r="M590" s="338"/>
      <c r="N590" s="89">
        <v>41198</v>
      </c>
      <c r="O590" s="359">
        <v>213</v>
      </c>
      <c r="P590" s="359" t="s">
        <v>46</v>
      </c>
      <c r="Q590" s="359"/>
      <c r="R590" s="359"/>
      <c r="S590" s="359">
        <v>800</v>
      </c>
      <c r="T590" s="359">
        <v>68</v>
      </c>
      <c r="U590" s="359">
        <v>400</v>
      </c>
      <c r="V590" s="359">
        <v>5.3</v>
      </c>
      <c r="W590" s="359">
        <v>26.5</v>
      </c>
      <c r="X590" s="359">
        <v>3.2</v>
      </c>
      <c r="Y590" s="359">
        <v>47</v>
      </c>
      <c r="Z590" s="359"/>
      <c r="AA590" s="210"/>
      <c r="AB590" s="248"/>
      <c r="AC590" s="359"/>
      <c r="AD590" s="359"/>
      <c r="AE590" s="359"/>
      <c r="AF590" s="359"/>
      <c r="AG590" s="152"/>
      <c r="AH590" s="228">
        <v>1421.2646997268</v>
      </c>
      <c r="AI590" s="8"/>
      <c r="AJ590" s="24" t="s">
        <v>808</v>
      </c>
      <c r="AK590" s="24"/>
      <c r="AL590" s="24"/>
      <c r="AM590" s="359"/>
      <c r="AN590" s="24">
        <f t="shared" si="107"/>
        <v>0</v>
      </c>
      <c r="AO590" s="54" t="e">
        <f t="shared" si="108"/>
        <v>#VALUE!</v>
      </c>
      <c r="AP590" s="261">
        <f t="shared" si="109"/>
        <v>0</v>
      </c>
      <c r="AQ590" s="338"/>
      <c r="AR590" s="45"/>
      <c r="AS590" s="359"/>
      <c r="AT590" s="359"/>
    </row>
    <row r="591" spans="1:46" ht="48">
      <c r="A591" s="134" t="s">
        <v>809</v>
      </c>
      <c r="B591" s="359" t="str">
        <f t="shared" si="100"/>
        <v>MgO</v>
      </c>
      <c r="C591" s="141">
        <f t="shared" si="101"/>
        <v>0</v>
      </c>
      <c r="D591" s="277">
        <f t="shared" si="102"/>
        <v>1474.61119046472</v>
      </c>
      <c r="E591" s="20">
        <f t="shared" si="103"/>
        <v>0</v>
      </c>
      <c r="F591" s="20">
        <f t="shared" si="104"/>
        <v>0</v>
      </c>
      <c r="G591" s="277">
        <f t="shared" si="105"/>
        <v>0</v>
      </c>
      <c r="H591" s="3">
        <f t="shared" si="99"/>
        <v>0</v>
      </c>
      <c r="I591" s="277">
        <f t="shared" si="106"/>
        <v>0</v>
      </c>
      <c r="J591" s="359" t="s">
        <v>810</v>
      </c>
      <c r="K591" s="359"/>
      <c r="L591" s="359"/>
      <c r="M591" s="338"/>
      <c r="N591" s="89">
        <v>41198</v>
      </c>
      <c r="O591" s="359">
        <v>213</v>
      </c>
      <c r="P591" s="359" t="s">
        <v>46</v>
      </c>
      <c r="Q591" s="359"/>
      <c r="R591" s="359"/>
      <c r="S591" s="359">
        <v>800</v>
      </c>
      <c r="T591" s="359">
        <v>68</v>
      </c>
      <c r="U591" s="359">
        <v>400</v>
      </c>
      <c r="V591" s="359">
        <v>5.3</v>
      </c>
      <c r="W591" s="359">
        <v>26.5</v>
      </c>
      <c r="X591" s="359">
        <v>3.2</v>
      </c>
      <c r="Y591" s="359">
        <v>47</v>
      </c>
      <c r="Z591" s="359"/>
      <c r="AA591" s="210"/>
      <c r="AB591" s="248"/>
      <c r="AC591" s="359"/>
      <c r="AD591" s="359"/>
      <c r="AE591" s="359"/>
      <c r="AF591" s="359"/>
      <c r="AG591" s="152"/>
      <c r="AH591" s="228">
        <v>1474.61119046472</v>
      </c>
      <c r="AI591" s="8"/>
      <c r="AJ591" s="24"/>
      <c r="AK591" s="24"/>
      <c r="AL591" s="24"/>
      <c r="AM591" s="359"/>
      <c r="AN591" s="24">
        <f t="shared" si="107"/>
        <v>0</v>
      </c>
      <c r="AO591" s="54">
        <f t="shared" si="108"/>
        <v>0</v>
      </c>
      <c r="AP591" s="261">
        <f t="shared" si="109"/>
        <v>0</v>
      </c>
      <c r="AQ591" s="338"/>
      <c r="AR591" s="45"/>
      <c r="AS591" s="359"/>
      <c r="AT591" s="359"/>
    </row>
    <row r="592" spans="1:46" ht="48">
      <c r="A592" s="134" t="s">
        <v>811</v>
      </c>
      <c r="B592" s="359" t="str">
        <f t="shared" si="100"/>
        <v>MgO</v>
      </c>
      <c r="C592" s="141">
        <f t="shared" si="101"/>
        <v>0</v>
      </c>
      <c r="D592" s="277">
        <f t="shared" si="102"/>
        <v>1378.80160676484</v>
      </c>
      <c r="E592" s="20">
        <f t="shared" si="103"/>
        <v>0</v>
      </c>
      <c r="F592" s="20">
        <f t="shared" si="104"/>
        <v>0</v>
      </c>
      <c r="G592" s="277">
        <f t="shared" si="105"/>
        <v>0</v>
      </c>
      <c r="H592" s="3">
        <f t="shared" si="99"/>
        <v>0</v>
      </c>
      <c r="I592" s="277">
        <f t="shared" si="106"/>
        <v>0</v>
      </c>
      <c r="J592" s="359" t="s">
        <v>810</v>
      </c>
      <c r="K592" s="359"/>
      <c r="L592" s="359"/>
      <c r="M592" s="338"/>
      <c r="N592" s="89">
        <v>41198</v>
      </c>
      <c r="O592" s="359">
        <v>213</v>
      </c>
      <c r="P592" s="359" t="s">
        <v>46</v>
      </c>
      <c r="Q592" s="359"/>
      <c r="R592" s="359"/>
      <c r="S592" s="359">
        <v>800</v>
      </c>
      <c r="T592" s="359">
        <v>68</v>
      </c>
      <c r="U592" s="359">
        <v>400</v>
      </c>
      <c r="V592" s="359">
        <v>5.3</v>
      </c>
      <c r="W592" s="359">
        <v>26.5</v>
      </c>
      <c r="X592" s="359">
        <v>3.2</v>
      </c>
      <c r="Y592" s="359">
        <v>47</v>
      </c>
      <c r="Z592" s="359"/>
      <c r="AA592" s="210"/>
      <c r="AB592" s="248"/>
      <c r="AC592" s="359"/>
      <c r="AD592" s="359"/>
      <c r="AE592" s="359"/>
      <c r="AF592" s="359"/>
      <c r="AG592" s="152"/>
      <c r="AH592" s="228">
        <v>1378.80160676484</v>
      </c>
      <c r="AI592" s="8"/>
      <c r="AJ592" s="24"/>
      <c r="AK592" s="24"/>
      <c r="AL592" s="24"/>
      <c r="AM592" s="359"/>
      <c r="AN592" s="24">
        <f t="shared" si="107"/>
        <v>0</v>
      </c>
      <c r="AO592" s="54">
        <f t="shared" si="108"/>
        <v>0</v>
      </c>
      <c r="AP592" s="261">
        <f t="shared" si="109"/>
        <v>0</v>
      </c>
      <c r="AQ592" s="338"/>
      <c r="AR592" s="45"/>
      <c r="AS592" s="359"/>
      <c r="AT592" s="359"/>
    </row>
    <row r="593" spans="1:46" ht="48">
      <c r="A593" s="134" t="s">
        <v>812</v>
      </c>
      <c r="B593" s="359" t="str">
        <f t="shared" si="100"/>
        <v>MgO</v>
      </c>
      <c r="C593" s="141">
        <f t="shared" si="101"/>
        <v>0</v>
      </c>
      <c r="D593" s="277">
        <f t="shared" si="102"/>
        <v>1388.4360900419199</v>
      </c>
      <c r="E593" s="20">
        <f t="shared" si="103"/>
        <v>0</v>
      </c>
      <c r="F593" s="20">
        <f t="shared" si="104"/>
        <v>0</v>
      </c>
      <c r="G593" s="277">
        <f t="shared" si="105"/>
        <v>0</v>
      </c>
      <c r="H593" s="3">
        <f t="shared" si="99"/>
        <v>0</v>
      </c>
      <c r="I593" s="277">
        <f t="shared" si="106"/>
        <v>0</v>
      </c>
      <c r="J593" s="359" t="s">
        <v>810</v>
      </c>
      <c r="K593" s="359"/>
      <c r="L593" s="359"/>
      <c r="M593" s="338"/>
      <c r="N593" s="89">
        <v>41198</v>
      </c>
      <c r="O593" s="359">
        <v>213</v>
      </c>
      <c r="P593" s="359" t="s">
        <v>46</v>
      </c>
      <c r="Q593" s="359"/>
      <c r="R593" s="359"/>
      <c r="S593" s="359">
        <v>800</v>
      </c>
      <c r="T593" s="359">
        <v>68</v>
      </c>
      <c r="U593" s="359">
        <v>400</v>
      </c>
      <c r="V593" s="359">
        <v>5.3</v>
      </c>
      <c r="W593" s="359">
        <v>26.5</v>
      </c>
      <c r="X593" s="359">
        <v>3.2</v>
      </c>
      <c r="Y593" s="359">
        <v>47</v>
      </c>
      <c r="Z593" s="359"/>
      <c r="AA593" s="210"/>
      <c r="AB593" s="248"/>
      <c r="AC593" s="359"/>
      <c r="AD593" s="359"/>
      <c r="AE593" s="359"/>
      <c r="AF593" s="359"/>
      <c r="AG593" s="152"/>
      <c r="AH593" s="228">
        <v>1388.4360900419199</v>
      </c>
      <c r="AI593" s="8"/>
      <c r="AJ593" s="24"/>
      <c r="AK593" s="24"/>
      <c r="AL593" s="24"/>
      <c r="AM593" s="359"/>
      <c r="AN593" s="24">
        <f t="shared" si="107"/>
        <v>0</v>
      </c>
      <c r="AO593" s="54">
        <f t="shared" si="108"/>
        <v>0</v>
      </c>
      <c r="AP593" s="261">
        <f t="shared" si="109"/>
        <v>0</v>
      </c>
      <c r="AQ593" s="338"/>
      <c r="AR593" s="45"/>
      <c r="AS593" s="359"/>
      <c r="AT593" s="359"/>
    </row>
    <row r="594" spans="1:46" ht="12">
      <c r="A594" s="134" t="s">
        <v>813</v>
      </c>
      <c r="B594" s="359" t="str">
        <f t="shared" si="100"/>
        <v>Al2O3</v>
      </c>
      <c r="C594" s="141">
        <f t="shared" si="101"/>
        <v>3.59</v>
      </c>
      <c r="D594" s="277">
        <f t="shared" si="102"/>
        <v>996.45535375020904</v>
      </c>
      <c r="E594" s="20">
        <f t="shared" si="103"/>
        <v>0</v>
      </c>
      <c r="F594" s="20">
        <f t="shared" si="104"/>
        <v>0</v>
      </c>
      <c r="G594" s="277">
        <f t="shared" si="105"/>
        <v>357.72747199632505</v>
      </c>
      <c r="H594" s="3">
        <f t="shared" si="99"/>
        <v>0</v>
      </c>
      <c r="I594" s="277">
        <f t="shared" si="106"/>
        <v>0</v>
      </c>
      <c r="J594" s="359" t="s">
        <v>814</v>
      </c>
      <c r="K594" s="359"/>
      <c r="L594" s="359"/>
      <c r="M594" s="338"/>
      <c r="N594" s="89">
        <v>41199</v>
      </c>
      <c r="O594" s="359">
        <v>215</v>
      </c>
      <c r="P594" s="359" t="s">
        <v>622</v>
      </c>
      <c r="Q594" s="359"/>
      <c r="R594" s="359"/>
      <c r="S594" s="359">
        <v>800</v>
      </c>
      <c r="T594" s="359">
        <v>80</v>
      </c>
      <c r="U594" s="359">
        <v>400</v>
      </c>
      <c r="V594" s="359">
        <v>5.3</v>
      </c>
      <c r="W594" s="359">
        <v>26.5</v>
      </c>
      <c r="X594" s="359">
        <v>3.2</v>
      </c>
      <c r="Y594" s="359">
        <v>47</v>
      </c>
      <c r="Z594" s="359"/>
      <c r="AA594" s="210"/>
      <c r="AB594" s="248">
        <v>0.1762</v>
      </c>
      <c r="AC594" s="359">
        <v>0.61380000000000001</v>
      </c>
      <c r="AD594" s="359">
        <v>0.21</v>
      </c>
      <c r="AE594" s="359" t="s">
        <v>47</v>
      </c>
      <c r="AF594" s="359">
        <v>3.59</v>
      </c>
      <c r="AG594" s="153"/>
      <c r="AH594" s="346">
        <v>996.45535375020904</v>
      </c>
      <c r="AI594" s="24"/>
      <c r="AJ594" s="24"/>
      <c r="AK594" s="24"/>
      <c r="AL594" s="24"/>
      <c r="AM594" s="359"/>
      <c r="AN594" s="24">
        <f t="shared" si="107"/>
        <v>357.72747199632505</v>
      </c>
      <c r="AO594" s="54">
        <f t="shared" si="108"/>
        <v>0</v>
      </c>
      <c r="AP594" s="261">
        <f t="shared" si="109"/>
        <v>2.6924999999999999</v>
      </c>
      <c r="AQ594" s="338"/>
      <c r="AR594" s="45"/>
      <c r="AS594" s="359"/>
      <c r="AT594" s="359"/>
    </row>
    <row r="595" spans="1:46" ht="12">
      <c r="A595" s="134" t="s">
        <v>815</v>
      </c>
      <c r="B595" s="359" t="str">
        <f t="shared" si="100"/>
        <v>Al2O3</v>
      </c>
      <c r="C595" s="141">
        <f t="shared" si="101"/>
        <v>3.64</v>
      </c>
      <c r="D595" s="277">
        <f t="shared" si="102"/>
        <v>1079.4189597473201</v>
      </c>
      <c r="E595" s="20">
        <f t="shared" si="103"/>
        <v>0</v>
      </c>
      <c r="F595" s="20">
        <f t="shared" si="104"/>
        <v>0</v>
      </c>
      <c r="G595" s="277">
        <f t="shared" si="105"/>
        <v>392.90850134802452</v>
      </c>
      <c r="H595" s="3">
        <f t="shared" si="99"/>
        <v>0</v>
      </c>
      <c r="I595" s="277">
        <f t="shared" si="106"/>
        <v>0</v>
      </c>
      <c r="J595" s="359" t="s">
        <v>814</v>
      </c>
      <c r="K595" s="359"/>
      <c r="L595" s="359"/>
      <c r="M595" s="338"/>
      <c r="N595" s="89">
        <v>41199</v>
      </c>
      <c r="O595" s="359">
        <v>215</v>
      </c>
      <c r="P595" s="359" t="s">
        <v>622</v>
      </c>
      <c r="Q595" s="359"/>
      <c r="R595" s="359"/>
      <c r="S595" s="359">
        <v>800</v>
      </c>
      <c r="T595" s="359">
        <v>80</v>
      </c>
      <c r="U595" s="359">
        <v>400</v>
      </c>
      <c r="V595" s="359">
        <v>5.3</v>
      </c>
      <c r="W595" s="359">
        <v>26.5</v>
      </c>
      <c r="X595" s="359">
        <v>3.2</v>
      </c>
      <c r="Y595" s="359">
        <v>47</v>
      </c>
      <c r="Z595" s="359"/>
      <c r="AA595" s="210"/>
      <c r="AB595" s="248">
        <v>0.17560000000000001</v>
      </c>
      <c r="AC595" s="359">
        <v>0.61150000000000004</v>
      </c>
      <c r="AD595" s="359">
        <v>0.21290000000000001</v>
      </c>
      <c r="AE595" s="359" t="s">
        <v>47</v>
      </c>
      <c r="AF595" s="359">
        <v>3.64</v>
      </c>
      <c r="AG595" s="153"/>
      <c r="AH595" s="346">
        <v>1079.4189597473201</v>
      </c>
      <c r="AI595" s="24"/>
      <c r="AJ595" s="24"/>
      <c r="AK595" s="24"/>
      <c r="AL595" s="24"/>
      <c r="AM595" s="359"/>
      <c r="AN595" s="24">
        <f t="shared" si="107"/>
        <v>392.90850134802452</v>
      </c>
      <c r="AO595" s="54">
        <f t="shared" si="108"/>
        <v>0</v>
      </c>
      <c r="AP595" s="261">
        <f t="shared" si="109"/>
        <v>2.73</v>
      </c>
      <c r="AQ595" s="338"/>
      <c r="AR595" s="45"/>
      <c r="AS595" s="359"/>
      <c r="AT595" s="359"/>
    </row>
    <row r="596" spans="1:46" ht="12">
      <c r="A596" s="134" t="s">
        <v>816</v>
      </c>
      <c r="B596" s="359" t="str">
        <f t="shared" si="100"/>
        <v>MgO</v>
      </c>
      <c r="C596" s="141">
        <f t="shared" si="101"/>
        <v>3.12</v>
      </c>
      <c r="D596" s="277">
        <f t="shared" si="102"/>
        <v>1124.02304899307</v>
      </c>
      <c r="E596" s="20">
        <f t="shared" si="103"/>
        <v>0</v>
      </c>
      <c r="F596" s="20">
        <f t="shared" si="104"/>
        <v>0</v>
      </c>
      <c r="G596" s="277">
        <f t="shared" si="105"/>
        <v>350.69519128583784</v>
      </c>
      <c r="H596" s="3">
        <f t="shared" si="99"/>
        <v>0</v>
      </c>
      <c r="I596" s="277">
        <f t="shared" si="106"/>
        <v>0</v>
      </c>
      <c r="J596" s="359" t="s">
        <v>814</v>
      </c>
      <c r="K596" s="359"/>
      <c r="L596" s="359"/>
      <c r="M596" s="338"/>
      <c r="N596" s="89">
        <v>41199</v>
      </c>
      <c r="O596" s="359">
        <v>215</v>
      </c>
      <c r="P596" s="359" t="s">
        <v>46</v>
      </c>
      <c r="Q596" s="359"/>
      <c r="R596" s="359"/>
      <c r="S596" s="359">
        <v>800</v>
      </c>
      <c r="T596" s="359">
        <v>80</v>
      </c>
      <c r="U596" s="359">
        <v>400</v>
      </c>
      <c r="V596" s="359">
        <v>5.3</v>
      </c>
      <c r="W596" s="359">
        <v>26.5</v>
      </c>
      <c r="X596" s="359">
        <v>3.2</v>
      </c>
      <c r="Y596" s="359">
        <v>47</v>
      </c>
      <c r="Z596" s="359"/>
      <c r="AA596" s="210"/>
      <c r="AB596" s="248">
        <v>0.1653</v>
      </c>
      <c r="AC596" s="359">
        <v>0.63980000000000004</v>
      </c>
      <c r="AD596" s="359">
        <v>0.19489999999999999</v>
      </c>
      <c r="AE596" s="359" t="s">
        <v>47</v>
      </c>
      <c r="AF596" s="359">
        <v>3.12</v>
      </c>
      <c r="AG596" s="153"/>
      <c r="AH596" s="346">
        <v>1124.02304899307</v>
      </c>
      <c r="AI596" s="24"/>
      <c r="AJ596" s="24"/>
      <c r="AK596" s="24"/>
      <c r="AL596" s="24"/>
      <c r="AM596" s="359"/>
      <c r="AN596" s="24">
        <f t="shared" si="107"/>
        <v>350.69519128583784</v>
      </c>
      <c r="AO596" s="54">
        <f t="shared" si="108"/>
        <v>0</v>
      </c>
      <c r="AP596" s="261">
        <f t="shared" si="109"/>
        <v>2.34</v>
      </c>
      <c r="AQ596" s="338"/>
      <c r="AR596" s="45"/>
      <c r="AS596" s="359"/>
      <c r="AT596" s="359"/>
    </row>
    <row r="597" spans="1:46" ht="12">
      <c r="A597" s="134" t="s">
        <v>817</v>
      </c>
      <c r="B597" s="359" t="str">
        <f t="shared" si="100"/>
        <v>Al2O3</v>
      </c>
      <c r="C597" s="141">
        <f t="shared" si="101"/>
        <v>3.54</v>
      </c>
      <c r="D597" s="277">
        <f t="shared" si="102"/>
        <v>950.06710093462095</v>
      </c>
      <c r="E597" s="20">
        <f t="shared" si="103"/>
        <v>0</v>
      </c>
      <c r="F597" s="20">
        <f t="shared" si="104"/>
        <v>0</v>
      </c>
      <c r="G597" s="277">
        <f t="shared" si="105"/>
        <v>336.32375373085586</v>
      </c>
      <c r="H597" s="3">
        <f t="shared" si="99"/>
        <v>0</v>
      </c>
      <c r="I597" s="277">
        <f t="shared" si="106"/>
        <v>0</v>
      </c>
      <c r="J597" s="359" t="s">
        <v>814</v>
      </c>
      <c r="K597" s="359"/>
      <c r="L597" s="359"/>
      <c r="M597" s="338"/>
      <c r="N597" s="89">
        <v>41199</v>
      </c>
      <c r="O597" s="359">
        <v>215</v>
      </c>
      <c r="P597" s="359" t="s">
        <v>622</v>
      </c>
      <c r="Q597" s="359"/>
      <c r="R597" s="359"/>
      <c r="S597" s="359">
        <v>800</v>
      </c>
      <c r="T597" s="359">
        <v>80</v>
      </c>
      <c r="U597" s="359">
        <v>400</v>
      </c>
      <c r="V597" s="359">
        <v>5.3</v>
      </c>
      <c r="W597" s="359">
        <v>26.5</v>
      </c>
      <c r="X597" s="359">
        <v>3.2</v>
      </c>
      <c r="Y597" s="359">
        <v>47</v>
      </c>
      <c r="Z597" s="359"/>
      <c r="AA597" s="210"/>
      <c r="AB597" s="248">
        <v>0.1749</v>
      </c>
      <c r="AC597" s="359">
        <v>0.61699999999999999</v>
      </c>
      <c r="AD597" s="359">
        <v>0.20799999999999999</v>
      </c>
      <c r="AE597" s="359" t="s">
        <v>47</v>
      </c>
      <c r="AF597" s="359">
        <v>3.54</v>
      </c>
      <c r="AG597" s="153"/>
      <c r="AH597" s="346">
        <v>950.06710093462095</v>
      </c>
      <c r="AI597" s="24"/>
      <c r="AJ597" s="24"/>
      <c r="AK597" s="24"/>
      <c r="AL597" s="24"/>
      <c r="AM597" s="359"/>
      <c r="AN597" s="24">
        <f t="shared" si="107"/>
        <v>336.32375373085586</v>
      </c>
      <c r="AO597" s="54">
        <f t="shared" si="108"/>
        <v>0</v>
      </c>
      <c r="AP597" s="261">
        <f t="shared" si="109"/>
        <v>2.6549999999999998</v>
      </c>
      <c r="AQ597" s="338"/>
      <c r="AR597" s="45"/>
      <c r="AS597" s="359"/>
      <c r="AT597" s="359"/>
    </row>
    <row r="598" spans="1:46" ht="12">
      <c r="A598" s="134" t="s">
        <v>818</v>
      </c>
      <c r="B598" s="359" t="str">
        <f t="shared" si="100"/>
        <v>Al2O3</v>
      </c>
      <c r="C598" s="141">
        <f t="shared" si="101"/>
        <v>4.53</v>
      </c>
      <c r="D598" s="277">
        <f t="shared" si="102"/>
        <v>680.65840189025005</v>
      </c>
      <c r="E598" s="20">
        <f t="shared" si="103"/>
        <v>0</v>
      </c>
      <c r="F598" s="20">
        <f t="shared" si="104"/>
        <v>0</v>
      </c>
      <c r="G598" s="277">
        <f t="shared" si="105"/>
        <v>308.33825605628329</v>
      </c>
      <c r="H598" s="3">
        <f t="shared" si="99"/>
        <v>0</v>
      </c>
      <c r="I598" s="277">
        <f t="shared" si="106"/>
        <v>0</v>
      </c>
      <c r="J598" s="359" t="s">
        <v>814</v>
      </c>
      <c r="K598" s="359"/>
      <c r="L598" s="359"/>
      <c r="M598" s="338"/>
      <c r="N598" s="89">
        <v>41200</v>
      </c>
      <c r="O598" s="359">
        <v>216</v>
      </c>
      <c r="P598" s="359" t="s">
        <v>622</v>
      </c>
      <c r="Q598" s="359"/>
      <c r="R598" s="359"/>
      <c r="S598" s="359">
        <v>800</v>
      </c>
      <c r="T598" s="359">
        <v>100</v>
      </c>
      <c r="U598" s="359">
        <v>400</v>
      </c>
      <c r="V598" s="359">
        <v>5.3</v>
      </c>
      <c r="W598" s="359">
        <v>26.5</v>
      </c>
      <c r="X598" s="359">
        <v>3.2</v>
      </c>
      <c r="Y598" s="359">
        <v>47</v>
      </c>
      <c r="Z598" s="359"/>
      <c r="AA598" s="210"/>
      <c r="AB598" s="248">
        <v>0.18959999999999999</v>
      </c>
      <c r="AC598" s="359">
        <v>0.56569999999999998</v>
      </c>
      <c r="AD598" s="359">
        <v>0.2447</v>
      </c>
      <c r="AE598" s="359" t="s">
        <v>47</v>
      </c>
      <c r="AF598" s="359">
        <v>4.53</v>
      </c>
      <c r="AG598" s="153"/>
      <c r="AH598" s="346">
        <v>680.65840189025005</v>
      </c>
      <c r="AI598" s="24"/>
      <c r="AJ598" s="24"/>
      <c r="AK598" s="24"/>
      <c r="AL598" s="24"/>
      <c r="AM598" s="359"/>
      <c r="AN598" s="24">
        <f t="shared" si="107"/>
        <v>308.33825605628329</v>
      </c>
      <c r="AO598" s="54">
        <f t="shared" si="108"/>
        <v>0</v>
      </c>
      <c r="AP598" s="261">
        <f t="shared" si="109"/>
        <v>2.718</v>
      </c>
      <c r="AQ598" s="338"/>
      <c r="AR598" s="45"/>
      <c r="AS598" s="359"/>
      <c r="AT598" s="359"/>
    </row>
    <row r="599" spans="1:46" ht="12">
      <c r="A599" s="134" t="s">
        <v>819</v>
      </c>
      <c r="B599" s="359" t="str">
        <f t="shared" si="100"/>
        <v>Al2O3</v>
      </c>
      <c r="C599" s="141">
        <f t="shared" si="101"/>
        <v>4.57</v>
      </c>
      <c r="D599" s="277">
        <f t="shared" si="102"/>
        <v>677.98215653550403</v>
      </c>
      <c r="E599" s="20">
        <f t="shared" si="103"/>
        <v>0</v>
      </c>
      <c r="F599" s="20">
        <f t="shared" si="104"/>
        <v>0</v>
      </c>
      <c r="G599" s="277">
        <f t="shared" si="105"/>
        <v>309.83784553672535</v>
      </c>
      <c r="H599" s="3">
        <f t="shared" si="99"/>
        <v>0</v>
      </c>
      <c r="I599" s="277">
        <f t="shared" si="106"/>
        <v>0</v>
      </c>
      <c r="J599" s="359" t="s">
        <v>814</v>
      </c>
      <c r="K599" s="359"/>
      <c r="L599" s="359"/>
      <c r="M599" s="338"/>
      <c r="N599" s="89">
        <v>41200</v>
      </c>
      <c r="O599" s="359">
        <v>216</v>
      </c>
      <c r="P599" s="359" t="s">
        <v>622</v>
      </c>
      <c r="Q599" s="359"/>
      <c r="R599" s="359"/>
      <c r="S599" s="359">
        <v>800</v>
      </c>
      <c r="T599" s="359">
        <v>100</v>
      </c>
      <c r="U599" s="359">
        <v>400</v>
      </c>
      <c r="V599" s="359">
        <v>5.3</v>
      </c>
      <c r="W599" s="359">
        <v>26.5</v>
      </c>
      <c r="X599" s="359">
        <v>3.2</v>
      </c>
      <c r="Y599" s="359">
        <v>47</v>
      </c>
      <c r="Z599" s="359"/>
      <c r="AA599" s="210"/>
      <c r="AB599" s="248">
        <v>0.18890000000000001</v>
      </c>
      <c r="AC599" s="359">
        <v>0.56389999999999996</v>
      </c>
      <c r="AD599" s="359">
        <v>0.24729999999999999</v>
      </c>
      <c r="AE599" s="359" t="s">
        <v>47</v>
      </c>
      <c r="AF599" s="359">
        <v>4.57</v>
      </c>
      <c r="AG599" s="153"/>
      <c r="AH599" s="346">
        <v>677.98215653550403</v>
      </c>
      <c r="AI599" s="24"/>
      <c r="AJ599" s="24"/>
      <c r="AK599" s="24"/>
      <c r="AL599" s="24"/>
      <c r="AM599" s="359"/>
      <c r="AN599" s="24">
        <f t="shared" si="107"/>
        <v>309.83784553672535</v>
      </c>
      <c r="AO599" s="54">
        <f t="shared" si="108"/>
        <v>0</v>
      </c>
      <c r="AP599" s="261">
        <f t="shared" si="109"/>
        <v>2.7420000000000004</v>
      </c>
      <c r="AQ599" s="338"/>
      <c r="AR599" s="45"/>
      <c r="AS599" s="359"/>
      <c r="AT599" s="359"/>
    </row>
    <row r="600" spans="1:46" ht="12">
      <c r="A600" s="134" t="s">
        <v>820</v>
      </c>
      <c r="B600" s="359" t="str">
        <f t="shared" si="100"/>
        <v>Al2O3</v>
      </c>
      <c r="C600" s="141">
        <f t="shared" si="101"/>
        <v>4.4400000000000004</v>
      </c>
      <c r="D600" s="277">
        <f t="shared" si="102"/>
        <v>598.58687767805702</v>
      </c>
      <c r="E600" s="20">
        <f t="shared" si="103"/>
        <v>0</v>
      </c>
      <c r="F600" s="20">
        <f t="shared" si="104"/>
        <v>0</v>
      </c>
      <c r="G600" s="277">
        <f t="shared" si="105"/>
        <v>265.77257368905737</v>
      </c>
      <c r="H600" s="3">
        <f t="shared" si="99"/>
        <v>0</v>
      </c>
      <c r="I600" s="277">
        <f t="shared" si="106"/>
        <v>0</v>
      </c>
      <c r="J600" s="359" t="s">
        <v>814</v>
      </c>
      <c r="K600" s="359" t="s">
        <v>56</v>
      </c>
      <c r="L600" s="359"/>
      <c r="M600" s="338"/>
      <c r="N600" s="89">
        <v>41200</v>
      </c>
      <c r="O600" s="359">
        <v>216</v>
      </c>
      <c r="P600" s="359" t="s">
        <v>622</v>
      </c>
      <c r="Q600" s="359"/>
      <c r="R600" s="359"/>
      <c r="S600" s="359">
        <v>800</v>
      </c>
      <c r="T600" s="359">
        <v>100</v>
      </c>
      <c r="U600" s="359">
        <v>400</v>
      </c>
      <c r="V600" s="359">
        <v>5.3</v>
      </c>
      <c r="W600" s="359">
        <v>26.5</v>
      </c>
      <c r="X600" s="359">
        <v>3.2</v>
      </c>
      <c r="Y600" s="359">
        <v>47</v>
      </c>
      <c r="Z600" s="359"/>
      <c r="AA600" s="210"/>
      <c r="AB600" s="248">
        <v>0.17910000000000001</v>
      </c>
      <c r="AC600" s="359">
        <v>0.57110000000000005</v>
      </c>
      <c r="AD600" s="359">
        <v>0.24970000000000001</v>
      </c>
      <c r="AE600" s="359" t="s">
        <v>47</v>
      </c>
      <c r="AF600" s="134">
        <v>4.4400000000000004</v>
      </c>
      <c r="AG600" s="307"/>
      <c r="AH600" s="346">
        <v>598.58687767805702</v>
      </c>
      <c r="AI600" s="24"/>
      <c r="AJ600" s="24"/>
      <c r="AK600" s="24"/>
      <c r="AL600" s="24"/>
      <c r="AM600" s="359"/>
      <c r="AN600" s="24">
        <f t="shared" si="107"/>
        <v>265.77257368905737</v>
      </c>
      <c r="AO600" s="54">
        <f t="shared" si="108"/>
        <v>0</v>
      </c>
      <c r="AP600" s="261">
        <f t="shared" si="109"/>
        <v>2.6640000000000001</v>
      </c>
      <c r="AQ600" s="338"/>
      <c r="AR600" s="45"/>
      <c r="AS600" s="359"/>
      <c r="AT600" s="359"/>
    </row>
    <row r="601" spans="1:46" ht="12">
      <c r="A601" s="134" t="s">
        <v>821</v>
      </c>
      <c r="B601" s="359" t="str">
        <f t="shared" si="100"/>
        <v>Al2O3</v>
      </c>
      <c r="C601" s="141">
        <f t="shared" si="101"/>
        <v>4.42</v>
      </c>
      <c r="D601" s="277">
        <f t="shared" si="102"/>
        <v>604.83145017246295</v>
      </c>
      <c r="E601" s="20">
        <f t="shared" si="103"/>
        <v>8.85</v>
      </c>
      <c r="F601" s="20">
        <f t="shared" si="104"/>
        <v>1.98</v>
      </c>
      <c r="G601" s="277">
        <f t="shared" si="105"/>
        <v>267.33550097622862</v>
      </c>
      <c r="H601" s="3">
        <f t="shared" si="99"/>
        <v>0.57386162034299226</v>
      </c>
      <c r="I601" s="277">
        <f t="shared" si="106"/>
        <v>23659.191836396232</v>
      </c>
      <c r="J601" s="359" t="s">
        <v>814</v>
      </c>
      <c r="K601" s="359" t="s">
        <v>284</v>
      </c>
      <c r="L601" s="359"/>
      <c r="M601" s="338"/>
      <c r="N601" s="89">
        <v>41200</v>
      </c>
      <c r="O601" s="359">
        <v>216</v>
      </c>
      <c r="P601" s="359" t="s">
        <v>622</v>
      </c>
      <c r="Q601" s="359"/>
      <c r="R601" s="359"/>
      <c r="S601" s="359">
        <v>800</v>
      </c>
      <c r="T601" s="359">
        <v>100</v>
      </c>
      <c r="U601" s="359">
        <v>400</v>
      </c>
      <c r="V601" s="359">
        <v>5.3</v>
      </c>
      <c r="W601" s="359">
        <v>26.5</v>
      </c>
      <c r="X601" s="359">
        <v>3.2</v>
      </c>
      <c r="Y601" s="359">
        <v>47</v>
      </c>
      <c r="Z601" s="359"/>
      <c r="AA601" s="210"/>
      <c r="AB601" s="248">
        <v>0.19980000000000001</v>
      </c>
      <c r="AC601" s="359">
        <v>0.53100000000000003</v>
      </c>
      <c r="AD601" s="359">
        <v>0.26929999999999998</v>
      </c>
      <c r="AE601" s="359" t="s">
        <v>47</v>
      </c>
      <c r="AF601" s="359">
        <v>4.42</v>
      </c>
      <c r="AG601" s="153"/>
      <c r="AH601" s="66">
        <v>604.83145017246295</v>
      </c>
      <c r="AI601" s="24">
        <v>620</v>
      </c>
      <c r="AJ601" s="24">
        <v>8.85</v>
      </c>
      <c r="AK601" s="24">
        <v>1.98</v>
      </c>
      <c r="AL601" s="24">
        <f>242.6/422.75</f>
        <v>0.57386162034299226</v>
      </c>
      <c r="AM601" s="359" t="s">
        <v>54</v>
      </c>
      <c r="AN601" s="24">
        <f t="shared" si="107"/>
        <v>267.33550097622862</v>
      </c>
      <c r="AO601" s="54">
        <f t="shared" si="108"/>
        <v>23659.191836396232</v>
      </c>
      <c r="AP601" s="261">
        <f t="shared" si="109"/>
        <v>2.6519999999999997</v>
      </c>
      <c r="AQ601" s="338"/>
      <c r="AR601" s="45"/>
      <c r="AS601" s="359"/>
      <c r="AT601" s="359"/>
    </row>
    <row r="602" spans="1:46" ht="12">
      <c r="A602" s="134" t="s">
        <v>822</v>
      </c>
      <c r="B602" s="359" t="str">
        <f t="shared" si="100"/>
        <v>Al2O3</v>
      </c>
      <c r="C602" s="141">
        <f t="shared" si="101"/>
        <v>5.28</v>
      </c>
      <c r="D602" s="277">
        <f t="shared" si="102"/>
        <v>566.471933421112</v>
      </c>
      <c r="E602" s="20">
        <f t="shared" si="103"/>
        <v>0</v>
      </c>
      <c r="F602" s="20">
        <f t="shared" si="104"/>
        <v>0</v>
      </c>
      <c r="G602" s="277">
        <f t="shared" si="105"/>
        <v>299.09718084634716</v>
      </c>
      <c r="H602" s="3">
        <f t="shared" si="99"/>
        <v>0</v>
      </c>
      <c r="I602" s="277">
        <f t="shared" si="106"/>
        <v>0</v>
      </c>
      <c r="J602" s="359" t="s">
        <v>814</v>
      </c>
      <c r="K602" s="359" t="s">
        <v>823</v>
      </c>
      <c r="L602" s="359"/>
      <c r="M602" s="338"/>
      <c r="N602" s="89">
        <v>41200</v>
      </c>
      <c r="O602" s="359">
        <v>217</v>
      </c>
      <c r="P602" s="359" t="s">
        <v>622</v>
      </c>
      <c r="Q602" s="359"/>
      <c r="R602" s="359"/>
      <c r="S602" s="359">
        <v>800</v>
      </c>
      <c r="T602" s="359">
        <v>111</v>
      </c>
      <c r="U602" s="359">
        <v>400</v>
      </c>
      <c r="V602" s="359">
        <v>5.3</v>
      </c>
      <c r="W602" s="359">
        <v>26.5</v>
      </c>
      <c r="X602" s="359">
        <v>3.2</v>
      </c>
      <c r="Y602" s="359">
        <v>47</v>
      </c>
      <c r="Z602" s="359"/>
      <c r="AA602" s="210"/>
      <c r="AB602" s="248">
        <v>0.19980000000000001</v>
      </c>
      <c r="AC602" s="359">
        <v>0.53100000000000003</v>
      </c>
      <c r="AD602" s="359">
        <v>0.26929999999999998</v>
      </c>
      <c r="AE602" s="359" t="s">
        <v>47</v>
      </c>
      <c r="AF602" s="359">
        <v>5.28</v>
      </c>
      <c r="AG602" s="153"/>
      <c r="AH602" s="346">
        <v>566.471933421112</v>
      </c>
      <c r="AI602" s="24"/>
      <c r="AJ602" s="24"/>
      <c r="AK602" s="24"/>
      <c r="AL602" s="24"/>
      <c r="AM602" s="359"/>
      <c r="AN602" s="24">
        <f t="shared" si="107"/>
        <v>299.09718084634716</v>
      </c>
      <c r="AO602" s="54">
        <f t="shared" si="108"/>
        <v>0</v>
      </c>
      <c r="AP602" s="261">
        <f t="shared" si="109"/>
        <v>2.8540540540540542</v>
      </c>
      <c r="AQ602" s="338"/>
      <c r="AR602" s="45"/>
      <c r="AS602" s="359"/>
      <c r="AT602" s="359"/>
    </row>
    <row r="603" spans="1:46" ht="12">
      <c r="A603" s="134" t="s">
        <v>824</v>
      </c>
      <c r="B603" s="359" t="str">
        <f t="shared" si="100"/>
        <v>Al2O3</v>
      </c>
      <c r="C603" s="141">
        <f t="shared" si="101"/>
        <v>5.0999999999999996</v>
      </c>
      <c r="D603" s="277">
        <f t="shared" si="102"/>
        <v>536.14115273399796</v>
      </c>
      <c r="E603" s="20">
        <f t="shared" si="103"/>
        <v>0</v>
      </c>
      <c r="F603" s="20">
        <f t="shared" si="104"/>
        <v>0</v>
      </c>
      <c r="G603" s="277">
        <f t="shared" si="105"/>
        <v>273.43198789433893</v>
      </c>
      <c r="H603" s="3">
        <f t="shared" si="99"/>
        <v>0</v>
      </c>
      <c r="I603" s="277">
        <f t="shared" si="106"/>
        <v>0</v>
      </c>
      <c r="J603" s="359" t="s">
        <v>814</v>
      </c>
      <c r="K603" s="359" t="s">
        <v>56</v>
      </c>
      <c r="L603" s="359"/>
      <c r="M603" s="338"/>
      <c r="N603" s="89">
        <v>41200</v>
      </c>
      <c r="O603" s="359">
        <v>217</v>
      </c>
      <c r="P603" s="359" t="s">
        <v>622</v>
      </c>
      <c r="Q603" s="359"/>
      <c r="R603" s="359"/>
      <c r="S603" s="359">
        <v>800</v>
      </c>
      <c r="T603" s="359">
        <v>111</v>
      </c>
      <c r="U603" s="359">
        <v>400</v>
      </c>
      <c r="V603" s="359">
        <v>5.3</v>
      </c>
      <c r="W603" s="359">
        <v>26.5</v>
      </c>
      <c r="X603" s="359">
        <v>3.2</v>
      </c>
      <c r="Y603" s="359">
        <v>47</v>
      </c>
      <c r="Z603" s="359"/>
      <c r="AA603" s="210"/>
      <c r="AB603" s="248">
        <v>0.19900000000000001</v>
      </c>
      <c r="AC603" s="359">
        <v>0.53869999999999996</v>
      </c>
      <c r="AD603" s="359">
        <v>0.26219999999999999</v>
      </c>
      <c r="AE603" s="359" t="s">
        <v>47</v>
      </c>
      <c r="AF603" s="359">
        <v>5.0999999999999996</v>
      </c>
      <c r="AG603" s="153"/>
      <c r="AH603" s="346">
        <v>536.14115273399796</v>
      </c>
      <c r="AI603" s="24"/>
      <c r="AJ603" s="24"/>
      <c r="AK603" s="24"/>
      <c r="AL603" s="24"/>
      <c r="AM603" s="359"/>
      <c r="AN603" s="24">
        <f t="shared" si="107"/>
        <v>273.43198789433893</v>
      </c>
      <c r="AO603" s="54">
        <f t="shared" si="108"/>
        <v>0</v>
      </c>
      <c r="AP603" s="261">
        <f t="shared" si="109"/>
        <v>2.7567567567567566</v>
      </c>
      <c r="AQ603" s="338"/>
      <c r="AR603" s="45"/>
      <c r="AS603" s="359"/>
      <c r="AT603" s="359"/>
    </row>
    <row r="604" spans="1:46" ht="12">
      <c r="A604" s="134" t="s">
        <v>825</v>
      </c>
      <c r="B604" s="359" t="str">
        <f t="shared" si="100"/>
        <v>Al2O3</v>
      </c>
      <c r="C604" s="141">
        <f t="shared" si="101"/>
        <v>5.0999999999999996</v>
      </c>
      <c r="D604" s="277">
        <f t="shared" si="102"/>
        <v>529.00449845467699</v>
      </c>
      <c r="E604" s="20">
        <f t="shared" si="103"/>
        <v>7.91</v>
      </c>
      <c r="F604" s="20">
        <f t="shared" si="104"/>
        <v>1.1299999999999999</v>
      </c>
      <c r="G604" s="277">
        <f t="shared" si="105"/>
        <v>269.79229421188523</v>
      </c>
      <c r="H604" s="3">
        <f t="shared" si="99"/>
        <v>0.6382848392036754</v>
      </c>
      <c r="I604" s="277">
        <f t="shared" si="106"/>
        <v>21340.570472160125</v>
      </c>
      <c r="J604" s="359" t="s">
        <v>814</v>
      </c>
      <c r="K604" s="359" t="s">
        <v>284</v>
      </c>
      <c r="L604" s="359"/>
      <c r="M604" s="338"/>
      <c r="N604" s="89">
        <v>41200</v>
      </c>
      <c r="O604" s="359">
        <v>217</v>
      </c>
      <c r="P604" s="359" t="s">
        <v>622</v>
      </c>
      <c r="Q604" s="359"/>
      <c r="R604" s="359"/>
      <c r="S604" s="359">
        <v>800</v>
      </c>
      <c r="T604" s="359">
        <v>111</v>
      </c>
      <c r="U604" s="359">
        <v>400</v>
      </c>
      <c r="V604" s="359">
        <v>5.3</v>
      </c>
      <c r="W604" s="359">
        <v>26.5</v>
      </c>
      <c r="X604" s="359">
        <v>3.2</v>
      </c>
      <c r="Y604" s="359">
        <v>47</v>
      </c>
      <c r="Z604" s="359"/>
      <c r="AA604" s="210"/>
      <c r="AB604" s="248">
        <v>0.19139999999999999</v>
      </c>
      <c r="AC604" s="359">
        <v>0.53869999999999996</v>
      </c>
      <c r="AD604" s="359">
        <v>0.26989999999999997</v>
      </c>
      <c r="AE604" s="359" t="s">
        <v>47</v>
      </c>
      <c r="AF604" s="359">
        <v>5.0999999999999996</v>
      </c>
      <c r="AG604" s="153"/>
      <c r="AH604" s="346">
        <v>529.00449845467699</v>
      </c>
      <c r="AI604" s="24">
        <v>543</v>
      </c>
      <c r="AJ604" s="24">
        <v>7.91</v>
      </c>
      <c r="AK604" s="24">
        <v>1.1299999999999999</v>
      </c>
      <c r="AL604" s="24">
        <f>208.4/326.5</f>
        <v>0.6382848392036754</v>
      </c>
      <c r="AM604" s="359" t="s">
        <v>54</v>
      </c>
      <c r="AN604" s="24">
        <f t="shared" si="107"/>
        <v>269.79229421188523</v>
      </c>
      <c r="AO604" s="54">
        <f t="shared" si="108"/>
        <v>21340.570472160125</v>
      </c>
      <c r="AP604" s="261">
        <f t="shared" si="109"/>
        <v>2.7567567567567566</v>
      </c>
      <c r="AQ604" s="338"/>
      <c r="AR604" s="45"/>
      <c r="AS604" s="359"/>
      <c r="AT604" s="359"/>
    </row>
    <row r="605" spans="1:46" ht="12">
      <c r="A605" s="134" t="s">
        <v>826</v>
      </c>
      <c r="B605" s="359" t="str">
        <f t="shared" si="100"/>
        <v>Al2O3</v>
      </c>
      <c r="C605" s="141">
        <f t="shared" si="101"/>
        <v>4.92</v>
      </c>
      <c r="D605" s="277">
        <f t="shared" si="102"/>
        <v>476.37167314468297</v>
      </c>
      <c r="E605" s="20">
        <f t="shared" si="103"/>
        <v>0</v>
      </c>
      <c r="F605" s="20">
        <f t="shared" si="104"/>
        <v>0</v>
      </c>
      <c r="G605" s="277">
        <f t="shared" si="105"/>
        <v>234.37486318718402</v>
      </c>
      <c r="H605" s="3">
        <f t="shared" si="99"/>
        <v>0</v>
      </c>
      <c r="I605" s="277">
        <f t="shared" si="106"/>
        <v>0</v>
      </c>
      <c r="J605" s="359" t="s">
        <v>814</v>
      </c>
      <c r="K605" s="359" t="s">
        <v>827</v>
      </c>
      <c r="L605" s="359"/>
      <c r="M605" s="338"/>
      <c r="N605" s="89">
        <v>41200</v>
      </c>
      <c r="O605" s="359">
        <v>217</v>
      </c>
      <c r="P605" s="359" t="s">
        <v>622</v>
      </c>
      <c r="Q605" s="359"/>
      <c r="R605" s="359"/>
      <c r="S605" s="359">
        <v>800</v>
      </c>
      <c r="T605" s="359">
        <v>111</v>
      </c>
      <c r="U605" s="359">
        <v>400</v>
      </c>
      <c r="V605" s="359">
        <v>5.3</v>
      </c>
      <c r="W605" s="359">
        <v>26.5</v>
      </c>
      <c r="X605" s="359">
        <v>3.2</v>
      </c>
      <c r="Y605" s="359">
        <v>47</v>
      </c>
      <c r="Z605" s="359"/>
      <c r="AA605" s="210"/>
      <c r="AB605" s="248">
        <v>0.19320000000000001</v>
      </c>
      <c r="AC605" s="359">
        <v>0.54700000000000004</v>
      </c>
      <c r="AD605" s="359">
        <v>0.25969999999999999</v>
      </c>
      <c r="AE605" s="359" t="s">
        <v>47</v>
      </c>
      <c r="AF605" s="359">
        <v>4.92</v>
      </c>
      <c r="AG605" s="153"/>
      <c r="AH605" s="346">
        <v>476.37167314468297</v>
      </c>
      <c r="AI605" s="24"/>
      <c r="AJ605" s="24"/>
      <c r="AK605" s="24"/>
      <c r="AL605" s="24"/>
      <c r="AM605" s="359"/>
      <c r="AN605" s="24">
        <f t="shared" si="107"/>
        <v>234.37486318718402</v>
      </c>
      <c r="AO605" s="54">
        <f t="shared" si="108"/>
        <v>0</v>
      </c>
      <c r="AP605" s="261">
        <f t="shared" si="109"/>
        <v>2.6594594594594594</v>
      </c>
      <c r="AQ605" s="338"/>
      <c r="AR605" s="45"/>
      <c r="AS605" s="359"/>
      <c r="AT605" s="359"/>
    </row>
    <row r="606" spans="1:46" ht="12">
      <c r="A606" s="134" t="s">
        <v>828</v>
      </c>
      <c r="B606" s="359" t="str">
        <f t="shared" si="100"/>
        <v>Al2O3</v>
      </c>
      <c r="C606" s="141">
        <f t="shared" si="101"/>
        <v>4.97</v>
      </c>
      <c r="D606" s="277">
        <f t="shared" si="102"/>
        <v>460.31420101621097</v>
      </c>
      <c r="E606" s="20">
        <f t="shared" si="103"/>
        <v>0</v>
      </c>
      <c r="F606" s="20">
        <f t="shared" si="104"/>
        <v>0</v>
      </c>
      <c r="G606" s="277">
        <f t="shared" si="105"/>
        <v>228.77615790505683</v>
      </c>
      <c r="H606" s="3">
        <f t="shared" si="99"/>
        <v>0</v>
      </c>
      <c r="I606" s="277">
        <f t="shared" si="106"/>
        <v>0</v>
      </c>
      <c r="J606" s="359" t="s">
        <v>814</v>
      </c>
      <c r="K606" s="359" t="s">
        <v>45</v>
      </c>
      <c r="L606" s="359"/>
      <c r="M606" s="338"/>
      <c r="N606" s="89">
        <v>41200</v>
      </c>
      <c r="O606" s="359">
        <v>218</v>
      </c>
      <c r="P606" s="359" t="s">
        <v>622</v>
      </c>
      <c r="Q606" s="359"/>
      <c r="R606" s="359"/>
      <c r="S606" s="359">
        <v>800</v>
      </c>
      <c r="T606" s="359">
        <v>111</v>
      </c>
      <c r="U606" s="359">
        <v>400</v>
      </c>
      <c r="V606" s="359">
        <v>5.3</v>
      </c>
      <c r="W606" s="359">
        <v>26.5</v>
      </c>
      <c r="X606" s="359">
        <v>3.2</v>
      </c>
      <c r="Y606" s="359">
        <v>47</v>
      </c>
      <c r="Z606" s="359"/>
      <c r="AA606" s="210"/>
      <c r="AB606" s="248">
        <v>0.19470000000000001</v>
      </c>
      <c r="AC606" s="359">
        <v>0.54469999999999996</v>
      </c>
      <c r="AD606" s="359">
        <v>0.2606</v>
      </c>
      <c r="AE606" s="359" t="s">
        <v>47</v>
      </c>
      <c r="AF606" s="359">
        <v>4.97</v>
      </c>
      <c r="AG606" s="153"/>
      <c r="AH606" s="346">
        <v>460.31420101621097</v>
      </c>
      <c r="AI606" s="24"/>
      <c r="AJ606" s="24"/>
      <c r="AK606" s="24"/>
      <c r="AL606" s="24"/>
      <c r="AM606" s="359"/>
      <c r="AN606" s="24">
        <f t="shared" si="107"/>
        <v>228.77615790505683</v>
      </c>
      <c r="AO606" s="54">
        <f t="shared" si="108"/>
        <v>0</v>
      </c>
      <c r="AP606" s="261">
        <f t="shared" si="109"/>
        <v>2.6864864864864866</v>
      </c>
      <c r="AQ606" s="338"/>
      <c r="AR606" s="45"/>
      <c r="AS606" s="359"/>
      <c r="AT606" s="359"/>
    </row>
    <row r="607" spans="1:46" ht="12">
      <c r="A607" s="134" t="s">
        <v>829</v>
      </c>
      <c r="B607" s="359" t="str">
        <f t="shared" si="100"/>
        <v>Al2O3</v>
      </c>
      <c r="C607" s="141">
        <f t="shared" si="101"/>
        <v>4.9800000000000004</v>
      </c>
      <c r="D607" s="277">
        <f t="shared" si="102"/>
        <v>468.34293708044697</v>
      </c>
      <c r="E607" s="20">
        <f t="shared" si="103"/>
        <v>0</v>
      </c>
      <c r="F607" s="20">
        <f t="shared" si="104"/>
        <v>0</v>
      </c>
      <c r="G607" s="277">
        <f t="shared" si="105"/>
        <v>233.23478266606261</v>
      </c>
      <c r="H607" s="3">
        <f t="shared" si="99"/>
        <v>0</v>
      </c>
      <c r="I607" s="277">
        <f t="shared" si="106"/>
        <v>0</v>
      </c>
      <c r="J607" s="359" t="s">
        <v>814</v>
      </c>
      <c r="K607" s="359" t="s">
        <v>45</v>
      </c>
      <c r="L607" s="359"/>
      <c r="M607" s="338"/>
      <c r="N607" s="89">
        <v>41200</v>
      </c>
      <c r="O607" s="359">
        <v>218</v>
      </c>
      <c r="P607" s="359" t="s">
        <v>622</v>
      </c>
      <c r="Q607" s="359"/>
      <c r="R607" s="359"/>
      <c r="S607" s="359">
        <v>800</v>
      </c>
      <c r="T607" s="359">
        <v>111</v>
      </c>
      <c r="U607" s="359">
        <v>400</v>
      </c>
      <c r="V607" s="359">
        <v>5.3</v>
      </c>
      <c r="W607" s="359">
        <v>26.5</v>
      </c>
      <c r="X607" s="359">
        <v>3.2</v>
      </c>
      <c r="Y607" s="359">
        <v>47</v>
      </c>
      <c r="Z607" s="359"/>
      <c r="AA607" s="210"/>
      <c r="AB607" s="248">
        <v>0.19289999999999999</v>
      </c>
      <c r="AC607" s="359">
        <v>0.54420000000000002</v>
      </c>
      <c r="AD607" s="359">
        <v>0.26300000000000001</v>
      </c>
      <c r="AE607" s="359" t="s">
        <v>47</v>
      </c>
      <c r="AF607" s="359">
        <v>4.9800000000000004</v>
      </c>
      <c r="AG607" s="153"/>
      <c r="AH607" s="346">
        <v>468.34293708044697</v>
      </c>
      <c r="AI607" s="24"/>
      <c r="AJ607" s="24"/>
      <c r="AK607" s="24"/>
      <c r="AL607" s="24"/>
      <c r="AM607" s="359"/>
      <c r="AN607" s="24">
        <f t="shared" si="107"/>
        <v>233.23478266606261</v>
      </c>
      <c r="AO607" s="54">
        <f t="shared" si="108"/>
        <v>0</v>
      </c>
      <c r="AP607" s="261">
        <f t="shared" si="109"/>
        <v>2.6918918918918924</v>
      </c>
      <c r="AQ607" s="338"/>
      <c r="AR607" s="45"/>
      <c r="AS607" s="359"/>
      <c r="AT607" s="359"/>
    </row>
    <row r="608" spans="1:46" ht="12">
      <c r="A608" s="134" t="s">
        <v>830</v>
      </c>
      <c r="B608" s="359" t="str">
        <f t="shared" si="100"/>
        <v>Al2O3</v>
      </c>
      <c r="C608" s="141">
        <f t="shared" si="101"/>
        <v>5.05</v>
      </c>
      <c r="D608" s="277">
        <f t="shared" si="102"/>
        <v>484.40040920892</v>
      </c>
      <c r="E608" s="20">
        <f t="shared" si="103"/>
        <v>9.6999999999999993</v>
      </c>
      <c r="F608" s="20">
        <f t="shared" si="104"/>
        <v>1.5</v>
      </c>
      <c r="G608" s="277">
        <f t="shared" si="105"/>
        <v>244.62220665050458</v>
      </c>
      <c r="H608" s="3">
        <f t="shared" ref="H608:H671" si="110">AL608</f>
        <v>0.66242059511868934</v>
      </c>
      <c r="I608" s="277">
        <f t="shared" si="106"/>
        <v>23728.354045098942</v>
      </c>
      <c r="J608" s="359" t="s">
        <v>814</v>
      </c>
      <c r="K608" s="359" t="s">
        <v>284</v>
      </c>
      <c r="L608" s="359"/>
      <c r="M608" s="338"/>
      <c r="N608" s="89">
        <v>41200</v>
      </c>
      <c r="O608" s="359">
        <v>218</v>
      </c>
      <c r="P608" s="359" t="s">
        <v>622</v>
      </c>
      <c r="Q608" s="359"/>
      <c r="R608" s="359"/>
      <c r="S608" s="359">
        <v>800</v>
      </c>
      <c r="T608" s="359">
        <v>111</v>
      </c>
      <c r="U608" s="359">
        <v>400</v>
      </c>
      <c r="V608" s="359">
        <v>5.3</v>
      </c>
      <c r="W608" s="359">
        <v>26.5</v>
      </c>
      <c r="X608" s="359">
        <v>3.2</v>
      </c>
      <c r="Y608" s="359">
        <v>47</v>
      </c>
      <c r="Z608" s="359"/>
      <c r="AA608" s="210"/>
      <c r="AB608" s="248">
        <v>0.19500000000000001</v>
      </c>
      <c r="AC608" s="359">
        <v>0.54079999999999995</v>
      </c>
      <c r="AD608" s="359">
        <v>0.26419999999999999</v>
      </c>
      <c r="AE608" s="359" t="s">
        <v>47</v>
      </c>
      <c r="AF608" s="359">
        <v>5.05</v>
      </c>
      <c r="AG608" s="153"/>
      <c r="AH608" s="346">
        <v>484.40040920892</v>
      </c>
      <c r="AI608" s="24">
        <v>512</v>
      </c>
      <c r="AJ608" s="24">
        <v>9.6999999999999993</v>
      </c>
      <c r="AK608" s="24">
        <v>1.5</v>
      </c>
      <c r="AL608" s="24">
        <f>198.13/299.1</f>
        <v>0.66242059511868934</v>
      </c>
      <c r="AM608" s="359" t="s">
        <v>54</v>
      </c>
      <c r="AN608" s="24">
        <f t="shared" si="107"/>
        <v>244.62220665050458</v>
      </c>
      <c r="AO608" s="54">
        <f t="shared" si="108"/>
        <v>23728.354045098942</v>
      </c>
      <c r="AP608" s="261">
        <f t="shared" si="109"/>
        <v>2.7297297297297298</v>
      </c>
      <c r="AQ608" s="338"/>
      <c r="AR608" s="45"/>
      <c r="AS608" s="359"/>
      <c r="AT608" s="359"/>
    </row>
    <row r="609" spans="1:46" ht="12">
      <c r="A609" s="134" t="s">
        <v>831</v>
      </c>
      <c r="B609" s="359" t="str">
        <f t="shared" si="100"/>
        <v>Al2O3</v>
      </c>
      <c r="C609" s="141">
        <f t="shared" si="101"/>
        <v>5.19</v>
      </c>
      <c r="D609" s="277">
        <f t="shared" si="102"/>
        <v>520.08368060552505</v>
      </c>
      <c r="E609" s="20">
        <f t="shared" si="103"/>
        <v>0</v>
      </c>
      <c r="F609" s="20">
        <f t="shared" si="104"/>
        <v>0</v>
      </c>
      <c r="G609" s="277">
        <f t="shared" si="105"/>
        <v>269.92343023426753</v>
      </c>
      <c r="H609" s="3">
        <f t="shared" si="110"/>
        <v>0</v>
      </c>
      <c r="I609" s="277">
        <f t="shared" si="106"/>
        <v>0</v>
      </c>
      <c r="J609" s="359" t="s">
        <v>814</v>
      </c>
      <c r="K609" s="359" t="s">
        <v>823</v>
      </c>
      <c r="L609" s="359"/>
      <c r="M609" s="338"/>
      <c r="N609" s="89">
        <v>41200</v>
      </c>
      <c r="O609" s="359">
        <v>218</v>
      </c>
      <c r="P609" s="359" t="s">
        <v>622</v>
      </c>
      <c r="Q609" s="359"/>
      <c r="R609" s="359"/>
      <c r="S609" s="359">
        <v>800</v>
      </c>
      <c r="T609" s="359">
        <v>111</v>
      </c>
      <c r="U609" s="359">
        <v>400</v>
      </c>
      <c r="V609" s="359">
        <v>5.3</v>
      </c>
      <c r="W609" s="359">
        <v>26.5</v>
      </c>
      <c r="X609" s="359">
        <v>3.2</v>
      </c>
      <c r="Y609" s="359">
        <v>47</v>
      </c>
      <c r="Z609" s="359"/>
      <c r="AA609" s="210"/>
      <c r="AB609" s="248">
        <v>0.1961</v>
      </c>
      <c r="AC609" s="359">
        <v>0.53490000000000004</v>
      </c>
      <c r="AD609" s="359">
        <v>0.26900000000000002</v>
      </c>
      <c r="AE609" s="359" t="s">
        <v>47</v>
      </c>
      <c r="AF609" s="359">
        <v>5.19</v>
      </c>
      <c r="AG609" s="153"/>
      <c r="AH609" s="346">
        <v>520.08368060552505</v>
      </c>
      <c r="AI609" s="24"/>
      <c r="AJ609" s="24"/>
      <c r="AK609" s="24"/>
      <c r="AL609" s="24"/>
      <c r="AM609" s="359"/>
      <c r="AN609" s="24">
        <f t="shared" si="107"/>
        <v>269.92343023426753</v>
      </c>
      <c r="AO609" s="54">
        <f t="shared" si="108"/>
        <v>0</v>
      </c>
      <c r="AP609" s="261">
        <f t="shared" si="109"/>
        <v>2.8054054054054056</v>
      </c>
      <c r="AQ609" s="338"/>
      <c r="AR609" s="45"/>
      <c r="AS609" s="359"/>
      <c r="AT609" s="359"/>
    </row>
    <row r="610" spans="1:46" ht="12">
      <c r="A610" s="134" t="s">
        <v>832</v>
      </c>
      <c r="B610" s="359" t="str">
        <f t="shared" si="100"/>
        <v>Al2O3</v>
      </c>
      <c r="C610" s="141">
        <f t="shared" si="101"/>
        <v>4.8099999999999996</v>
      </c>
      <c r="D610" s="277">
        <f t="shared" si="102"/>
        <v>432.12441661289301</v>
      </c>
      <c r="E610" s="20">
        <f t="shared" si="103"/>
        <v>10.87</v>
      </c>
      <c r="F610" s="20">
        <f t="shared" si="104"/>
        <v>1.63</v>
      </c>
      <c r="G610" s="277">
        <f t="shared" si="105"/>
        <v>207.85184439080155</v>
      </c>
      <c r="H610" s="3">
        <f t="shared" si="110"/>
        <v>0.68828536684231867</v>
      </c>
      <c r="I610" s="277">
        <f t="shared" si="106"/>
        <v>22593.495485280124</v>
      </c>
      <c r="J610" s="359" t="s">
        <v>814</v>
      </c>
      <c r="K610" s="359" t="s">
        <v>833</v>
      </c>
      <c r="L610" s="359"/>
      <c r="M610" s="338"/>
      <c r="N610" s="89">
        <v>41201</v>
      </c>
      <c r="O610" s="359">
        <v>219</v>
      </c>
      <c r="P610" s="359" t="s">
        <v>622</v>
      </c>
      <c r="Q610" s="359"/>
      <c r="R610" s="359"/>
      <c r="S610" s="359">
        <v>800</v>
      </c>
      <c r="T610" s="359">
        <v>111</v>
      </c>
      <c r="U610" s="359">
        <v>400</v>
      </c>
      <c r="V610" s="359">
        <v>5.3</v>
      </c>
      <c r="W610" s="359">
        <v>26.5</v>
      </c>
      <c r="X610" s="359">
        <v>3.2</v>
      </c>
      <c r="Y610" s="359">
        <v>47</v>
      </c>
      <c r="Z610" s="359"/>
      <c r="AA610" s="210"/>
      <c r="AB610" s="248">
        <v>0.2006</v>
      </c>
      <c r="AC610" s="359">
        <v>0.55020000000000002</v>
      </c>
      <c r="AD610" s="359">
        <v>0.2492</v>
      </c>
      <c r="AE610" s="359" t="s">
        <v>47</v>
      </c>
      <c r="AF610" s="359">
        <v>4.8099999999999996</v>
      </c>
      <c r="AG610" s="153"/>
      <c r="AH610" s="346">
        <v>432.12441661289301</v>
      </c>
      <c r="AI610" s="24">
        <v>451</v>
      </c>
      <c r="AJ610" s="24">
        <v>10.87</v>
      </c>
      <c r="AK610" s="24">
        <v>1.63</v>
      </c>
      <c r="AL610" s="24">
        <f>169.8/246.7</f>
        <v>0.68828536684231867</v>
      </c>
      <c r="AM610" s="359" t="s">
        <v>54</v>
      </c>
      <c r="AN610" s="24">
        <f t="shared" si="107"/>
        <v>207.85184439080155</v>
      </c>
      <c r="AO610" s="54">
        <f t="shared" si="108"/>
        <v>22593.495485280124</v>
      </c>
      <c r="AP610" s="261">
        <f t="shared" si="109"/>
        <v>2.5999999999999996</v>
      </c>
      <c r="AQ610" s="338"/>
      <c r="AR610" s="45"/>
      <c r="AS610" s="359"/>
      <c r="AT610" s="359"/>
    </row>
    <row r="611" spans="1:46" ht="12">
      <c r="A611" s="134" t="s">
        <v>834</v>
      </c>
      <c r="B611" s="359" t="str">
        <f t="shared" si="100"/>
        <v>Al2O3</v>
      </c>
      <c r="C611" s="141">
        <f t="shared" si="101"/>
        <v>4.8499999999999996</v>
      </c>
      <c r="D611" s="277">
        <f t="shared" si="102"/>
        <v>437.12007460841699</v>
      </c>
      <c r="E611" s="20">
        <f t="shared" si="103"/>
        <v>0</v>
      </c>
      <c r="F611" s="20">
        <f t="shared" si="104"/>
        <v>0</v>
      </c>
      <c r="G611" s="277">
        <f t="shared" si="105"/>
        <v>212.00323618508224</v>
      </c>
      <c r="H611" s="3">
        <f t="shared" si="110"/>
        <v>0</v>
      </c>
      <c r="I611" s="277">
        <f t="shared" si="106"/>
        <v>0</v>
      </c>
      <c r="J611" s="359" t="s">
        <v>814</v>
      </c>
      <c r="K611" s="359" t="s">
        <v>835</v>
      </c>
      <c r="L611" s="359"/>
      <c r="M611" s="338"/>
      <c r="N611" s="89">
        <v>41201</v>
      </c>
      <c r="O611" s="359">
        <v>219</v>
      </c>
      <c r="P611" s="359" t="s">
        <v>622</v>
      </c>
      <c r="Q611" s="359"/>
      <c r="R611" s="359"/>
      <c r="S611" s="359">
        <v>800</v>
      </c>
      <c r="T611" s="359">
        <v>111</v>
      </c>
      <c r="U611" s="359">
        <v>400</v>
      </c>
      <c r="V611" s="359">
        <v>5.3</v>
      </c>
      <c r="W611" s="359">
        <v>26.5</v>
      </c>
      <c r="X611" s="359">
        <v>3.2</v>
      </c>
      <c r="Y611" s="359">
        <v>47</v>
      </c>
      <c r="Z611" s="359"/>
      <c r="AA611" s="210"/>
      <c r="AB611" s="248">
        <v>0.2006</v>
      </c>
      <c r="AC611" s="359">
        <v>0.54859999999999998</v>
      </c>
      <c r="AD611" s="359">
        <v>0.25080000000000002</v>
      </c>
      <c r="AE611" s="359" t="s">
        <v>47</v>
      </c>
      <c r="AF611" s="359">
        <v>4.8499999999999996</v>
      </c>
      <c r="AG611" s="153"/>
      <c r="AH611" s="346">
        <v>437.12007460841699</v>
      </c>
      <c r="AI611" s="24"/>
      <c r="AJ611" s="24"/>
      <c r="AK611" s="24"/>
      <c r="AL611" s="24"/>
      <c r="AM611" s="359"/>
      <c r="AN611" s="24">
        <f t="shared" si="107"/>
        <v>212.00323618508224</v>
      </c>
      <c r="AO611" s="54">
        <f t="shared" si="108"/>
        <v>0</v>
      </c>
      <c r="AP611" s="261">
        <f t="shared" si="109"/>
        <v>2.6216216216216215</v>
      </c>
      <c r="AQ611" s="338"/>
      <c r="AR611" s="45"/>
      <c r="AS611" s="359"/>
      <c r="AT611" s="359"/>
    </row>
    <row r="612" spans="1:46" ht="12">
      <c r="A612" s="134" t="s">
        <v>836</v>
      </c>
      <c r="B612" s="359" t="str">
        <f t="shared" si="100"/>
        <v>Al2O3</v>
      </c>
      <c r="C612" s="141">
        <f t="shared" si="101"/>
        <v>4.8099999999999996</v>
      </c>
      <c r="D612" s="277">
        <f t="shared" si="102"/>
        <v>435.24670286009598</v>
      </c>
      <c r="E612" s="20">
        <f t="shared" si="103"/>
        <v>0</v>
      </c>
      <c r="F612" s="20">
        <f t="shared" si="104"/>
        <v>0</v>
      </c>
      <c r="G612" s="277">
        <f t="shared" si="105"/>
        <v>209.35366407570615</v>
      </c>
      <c r="H612" s="3">
        <f t="shared" si="110"/>
        <v>0</v>
      </c>
      <c r="I612" s="277">
        <f t="shared" si="106"/>
        <v>0</v>
      </c>
      <c r="J612" s="359" t="s">
        <v>814</v>
      </c>
      <c r="K612" s="359" t="s">
        <v>837</v>
      </c>
      <c r="L612" s="359"/>
      <c r="M612" s="338"/>
      <c r="N612" s="89">
        <v>41201</v>
      </c>
      <c r="O612" s="359">
        <v>219</v>
      </c>
      <c r="P612" s="359" t="s">
        <v>622</v>
      </c>
      <c r="Q612" s="359"/>
      <c r="R612" s="359"/>
      <c r="S612" s="359">
        <v>800</v>
      </c>
      <c r="T612" s="359">
        <v>111</v>
      </c>
      <c r="U612" s="359">
        <v>400</v>
      </c>
      <c r="V612" s="359">
        <v>5.3</v>
      </c>
      <c r="W612" s="359">
        <v>26.5</v>
      </c>
      <c r="X612" s="359">
        <v>3.2</v>
      </c>
      <c r="Y612" s="359">
        <v>47</v>
      </c>
      <c r="Z612" s="359"/>
      <c r="AA612" s="210"/>
      <c r="AB612" s="248">
        <v>0.1958</v>
      </c>
      <c r="AC612" s="359">
        <v>0.55010000000000003</v>
      </c>
      <c r="AD612" s="359">
        <v>0.25409999999999999</v>
      </c>
      <c r="AE612" s="359" t="s">
        <v>47</v>
      </c>
      <c r="AF612" s="359">
        <v>4.8099999999999996</v>
      </c>
      <c r="AG612" s="153"/>
      <c r="AH612" s="346">
        <v>435.24670286009598</v>
      </c>
      <c r="AI612" s="24"/>
      <c r="AJ612" s="24"/>
      <c r="AK612" s="24"/>
      <c r="AL612" s="24"/>
      <c r="AM612" s="359"/>
      <c r="AN612" s="24">
        <f t="shared" si="107"/>
        <v>209.35366407570615</v>
      </c>
      <c r="AO612" s="54">
        <f t="shared" si="108"/>
        <v>0</v>
      </c>
      <c r="AP612" s="261">
        <f t="shared" si="109"/>
        <v>2.5999999999999996</v>
      </c>
      <c r="AQ612" s="338"/>
      <c r="AR612" s="45"/>
      <c r="AS612" s="359"/>
      <c r="AT612" s="359"/>
    </row>
    <row r="613" spans="1:46" ht="12">
      <c r="A613" s="134" t="s">
        <v>838</v>
      </c>
      <c r="B613" s="359" t="str">
        <f t="shared" si="100"/>
        <v>Al2O3</v>
      </c>
      <c r="C613" s="141">
        <f t="shared" si="101"/>
        <v>4.83</v>
      </c>
      <c r="D613" s="277">
        <f t="shared" si="102"/>
        <v>441.31285899751799</v>
      </c>
      <c r="E613" s="20">
        <f t="shared" si="103"/>
        <v>0</v>
      </c>
      <c r="F613" s="20">
        <f t="shared" si="104"/>
        <v>0</v>
      </c>
      <c r="G613" s="277">
        <f t="shared" si="105"/>
        <v>213.15411089580121</v>
      </c>
      <c r="H613" s="3">
        <f t="shared" si="110"/>
        <v>0</v>
      </c>
      <c r="I613" s="277">
        <f t="shared" si="106"/>
        <v>0</v>
      </c>
      <c r="J613" s="359" t="s">
        <v>814</v>
      </c>
      <c r="K613" s="359" t="s">
        <v>837</v>
      </c>
      <c r="L613" s="359"/>
      <c r="M613" s="338"/>
      <c r="N613" s="89">
        <v>41201</v>
      </c>
      <c r="O613" s="359">
        <v>219</v>
      </c>
      <c r="P613" s="359" t="s">
        <v>622</v>
      </c>
      <c r="Q613" s="359"/>
      <c r="R613" s="359"/>
      <c r="S613" s="359">
        <v>800</v>
      </c>
      <c r="T613" s="359">
        <v>111</v>
      </c>
      <c r="U613" s="359">
        <v>400</v>
      </c>
      <c r="V613" s="359">
        <v>5.3</v>
      </c>
      <c r="W613" s="359">
        <v>26.5</v>
      </c>
      <c r="X613" s="359">
        <v>3.2</v>
      </c>
      <c r="Y613" s="359">
        <v>47</v>
      </c>
      <c r="Z613" s="359"/>
      <c r="AA613" s="210"/>
      <c r="AB613" s="248">
        <v>0.2009</v>
      </c>
      <c r="AC613" s="359">
        <v>0.54930000000000001</v>
      </c>
      <c r="AD613" s="359">
        <v>0.24979999999999999</v>
      </c>
      <c r="AE613" s="359" t="s">
        <v>47</v>
      </c>
      <c r="AF613" s="359">
        <v>4.83</v>
      </c>
      <c r="AG613" s="153"/>
      <c r="AH613" s="346">
        <v>441.31285899751799</v>
      </c>
      <c r="AI613" s="24"/>
      <c r="AJ613" s="24"/>
      <c r="AK613" s="24"/>
      <c r="AL613" s="24"/>
      <c r="AM613" s="359"/>
      <c r="AN613" s="24">
        <f t="shared" si="107"/>
        <v>213.15411089580121</v>
      </c>
      <c r="AO613" s="54">
        <f t="shared" si="108"/>
        <v>0</v>
      </c>
      <c r="AP613" s="261">
        <f t="shared" si="109"/>
        <v>2.6108108108108108</v>
      </c>
      <c r="AQ613" s="338"/>
      <c r="AR613" s="45"/>
      <c r="AS613" s="359"/>
      <c r="AT613" s="359"/>
    </row>
    <row r="614" spans="1:46" ht="12">
      <c r="A614" s="134" t="s">
        <v>839</v>
      </c>
      <c r="B614" s="359" t="str">
        <f t="shared" si="100"/>
        <v>MgO</v>
      </c>
      <c r="C614" s="141">
        <f t="shared" si="101"/>
        <v>3.2</v>
      </c>
      <c r="D614" s="277">
        <f t="shared" si="102"/>
        <v>591.27180704175305</v>
      </c>
      <c r="E614" s="20">
        <f t="shared" si="103"/>
        <v>0</v>
      </c>
      <c r="F614" s="20">
        <f t="shared" si="104"/>
        <v>0</v>
      </c>
      <c r="G614" s="277">
        <f t="shared" si="105"/>
        <v>189.206978253361</v>
      </c>
      <c r="H614" s="3">
        <f t="shared" si="110"/>
        <v>0</v>
      </c>
      <c r="I614" s="277">
        <f t="shared" si="106"/>
        <v>0</v>
      </c>
      <c r="J614" s="359" t="s">
        <v>814</v>
      </c>
      <c r="K614" s="359"/>
      <c r="L614" s="359"/>
      <c r="M614" s="338"/>
      <c r="N614" s="89">
        <v>41202</v>
      </c>
      <c r="O614" s="359">
        <v>220</v>
      </c>
      <c r="P614" s="359" t="s">
        <v>46</v>
      </c>
      <c r="Q614" s="359"/>
      <c r="R614" s="359"/>
      <c r="S614" s="359">
        <v>800</v>
      </c>
      <c r="T614" s="359">
        <v>84</v>
      </c>
      <c r="U614" s="359">
        <v>400</v>
      </c>
      <c r="V614" s="359">
        <v>5.3</v>
      </c>
      <c r="W614" s="359">
        <v>26.5</v>
      </c>
      <c r="X614" s="359">
        <v>3.2</v>
      </c>
      <c r="Y614" s="359">
        <v>47</v>
      </c>
      <c r="Z614" s="359"/>
      <c r="AA614" s="210"/>
      <c r="AB614" s="248">
        <v>0.1787</v>
      </c>
      <c r="AC614" s="359">
        <v>0.63519999999999999</v>
      </c>
      <c r="AD614" s="359">
        <v>0.18609999999999999</v>
      </c>
      <c r="AE614" s="359" t="s">
        <v>47</v>
      </c>
      <c r="AF614" s="359">
        <v>3.2</v>
      </c>
      <c r="AG614" s="153"/>
      <c r="AH614" s="346">
        <v>591.27180704175305</v>
      </c>
      <c r="AI614" s="24"/>
      <c r="AJ614" s="24"/>
      <c r="AK614" s="24"/>
      <c r="AL614" s="24"/>
      <c r="AM614" s="359"/>
      <c r="AN614" s="24">
        <f t="shared" si="107"/>
        <v>189.206978253361</v>
      </c>
      <c r="AO614" s="54">
        <f t="shared" si="108"/>
        <v>0</v>
      </c>
      <c r="AP614" s="261">
        <f t="shared" si="109"/>
        <v>2.285714285714286</v>
      </c>
      <c r="AQ614" s="338"/>
      <c r="AR614" s="45"/>
      <c r="AS614" s="359"/>
      <c r="AT614" s="359"/>
    </row>
    <row r="615" spans="1:46" ht="12">
      <c r="A615" s="134" t="s">
        <v>840</v>
      </c>
      <c r="B615" s="359" t="str">
        <f t="shared" si="100"/>
        <v>MgO</v>
      </c>
      <c r="C615" s="141">
        <f t="shared" si="101"/>
        <v>3.25</v>
      </c>
      <c r="D615" s="277">
        <f t="shared" si="102"/>
        <v>596.71350592973602</v>
      </c>
      <c r="E615" s="20">
        <f t="shared" si="103"/>
        <v>0</v>
      </c>
      <c r="F615" s="20">
        <f t="shared" si="104"/>
        <v>0</v>
      </c>
      <c r="G615" s="277">
        <f t="shared" si="105"/>
        <v>193.93188942716421</v>
      </c>
      <c r="H615" s="3">
        <f t="shared" si="110"/>
        <v>0</v>
      </c>
      <c r="I615" s="277">
        <f t="shared" si="106"/>
        <v>0</v>
      </c>
      <c r="J615" s="359" t="s">
        <v>814</v>
      </c>
      <c r="K615" s="359" t="s">
        <v>823</v>
      </c>
      <c r="L615" s="359"/>
      <c r="M615" s="338"/>
      <c r="N615" s="89">
        <v>41202</v>
      </c>
      <c r="O615" s="359">
        <v>220</v>
      </c>
      <c r="P615" s="359" t="s">
        <v>46</v>
      </c>
      <c r="Q615" s="359"/>
      <c r="R615" s="359"/>
      <c r="S615" s="359">
        <v>800</v>
      </c>
      <c r="T615" s="359">
        <v>84</v>
      </c>
      <c r="U615" s="359">
        <v>400</v>
      </c>
      <c r="V615" s="359">
        <v>5.3</v>
      </c>
      <c r="W615" s="359">
        <v>26.5</v>
      </c>
      <c r="X615" s="359">
        <v>3.2</v>
      </c>
      <c r="Y615" s="359">
        <v>47</v>
      </c>
      <c r="Z615" s="359"/>
      <c r="AA615" s="210"/>
      <c r="AB615" s="248">
        <v>0.17730000000000001</v>
      </c>
      <c r="AC615" s="359">
        <v>0.63239999999999996</v>
      </c>
      <c r="AD615" s="359">
        <v>0.19040000000000001</v>
      </c>
      <c r="AE615" s="359" t="s">
        <v>47</v>
      </c>
      <c r="AF615" s="359">
        <v>3.25</v>
      </c>
      <c r="AG615" s="153"/>
      <c r="AH615" s="346">
        <v>596.71350592973602</v>
      </c>
      <c r="AI615" s="24"/>
      <c r="AJ615" s="24"/>
      <c r="AK615" s="24"/>
      <c r="AL615" s="24"/>
      <c r="AM615" s="359"/>
      <c r="AN615" s="24">
        <f t="shared" si="107"/>
        <v>193.93188942716421</v>
      </c>
      <c r="AO615" s="54">
        <f t="shared" si="108"/>
        <v>0</v>
      </c>
      <c r="AP615" s="261">
        <f t="shared" si="109"/>
        <v>2.3214285714285716</v>
      </c>
      <c r="AQ615" s="338"/>
      <c r="AR615" s="45"/>
      <c r="AS615" s="359"/>
      <c r="AT615" s="359"/>
    </row>
    <row r="616" spans="1:46" ht="12">
      <c r="A616" s="134" t="s">
        <v>841</v>
      </c>
      <c r="B616" s="359" t="str">
        <f t="shared" si="100"/>
        <v>MgO</v>
      </c>
      <c r="C616" s="141">
        <f t="shared" si="101"/>
        <v>3.22</v>
      </c>
      <c r="D616" s="277">
        <f t="shared" si="102"/>
        <v>587.52506354511002</v>
      </c>
      <c r="E616" s="20">
        <f t="shared" si="103"/>
        <v>0</v>
      </c>
      <c r="F616" s="20">
        <f t="shared" si="104"/>
        <v>0</v>
      </c>
      <c r="G616" s="277">
        <f t="shared" si="105"/>
        <v>189.18307046152543</v>
      </c>
      <c r="H616" s="3">
        <f t="shared" si="110"/>
        <v>0</v>
      </c>
      <c r="I616" s="277">
        <f t="shared" si="106"/>
        <v>0</v>
      </c>
      <c r="J616" s="359" t="s">
        <v>814</v>
      </c>
      <c r="K616" s="359"/>
      <c r="L616" s="359"/>
      <c r="M616" s="338"/>
      <c r="N616" s="89">
        <v>41202</v>
      </c>
      <c r="O616" s="359">
        <v>220</v>
      </c>
      <c r="P616" s="359" t="s">
        <v>46</v>
      </c>
      <c r="Q616" s="359"/>
      <c r="R616" s="359"/>
      <c r="S616" s="359">
        <v>800</v>
      </c>
      <c r="T616" s="359">
        <v>84</v>
      </c>
      <c r="U616" s="359">
        <v>400</v>
      </c>
      <c r="V616" s="359">
        <v>5.3</v>
      </c>
      <c r="W616" s="359">
        <v>26.5</v>
      </c>
      <c r="X616" s="359">
        <v>3.2</v>
      </c>
      <c r="Y616" s="359">
        <v>47</v>
      </c>
      <c r="Z616" s="359"/>
      <c r="AA616" s="210"/>
      <c r="AB616" s="248">
        <v>0.1777</v>
      </c>
      <c r="AC616" s="359">
        <v>0.63400000000000001</v>
      </c>
      <c r="AD616" s="359">
        <v>0.1883</v>
      </c>
      <c r="AE616" s="359" t="s">
        <v>47</v>
      </c>
      <c r="AF616" s="359">
        <v>3.22</v>
      </c>
      <c r="AG616" s="153"/>
      <c r="AH616" s="346">
        <v>587.52506354511002</v>
      </c>
      <c r="AI616" s="24"/>
      <c r="AJ616" s="24"/>
      <c r="AK616" s="24"/>
      <c r="AL616" s="24"/>
      <c r="AM616" s="359"/>
      <c r="AN616" s="24">
        <f t="shared" si="107"/>
        <v>189.18307046152543</v>
      </c>
      <c r="AO616" s="54">
        <f t="shared" si="108"/>
        <v>0</v>
      </c>
      <c r="AP616" s="261">
        <f t="shared" si="109"/>
        <v>2.3000000000000003</v>
      </c>
      <c r="AQ616" s="338"/>
      <c r="AR616" s="45"/>
      <c r="AS616" s="359"/>
      <c r="AT616" s="359"/>
    </row>
    <row r="617" spans="1:46" ht="12">
      <c r="A617" s="134" t="s">
        <v>842</v>
      </c>
      <c r="B617" s="359" t="str">
        <f t="shared" si="100"/>
        <v>MgO</v>
      </c>
      <c r="C617" s="141">
        <f t="shared" si="101"/>
        <v>3.24</v>
      </c>
      <c r="D617" s="277">
        <f t="shared" si="102"/>
        <v>588.23872897304204</v>
      </c>
      <c r="E617" s="20">
        <f t="shared" si="103"/>
        <v>8.33</v>
      </c>
      <c r="F617" s="20">
        <f t="shared" si="104"/>
        <v>1.92</v>
      </c>
      <c r="G617" s="277">
        <f t="shared" si="105"/>
        <v>190.58934818726564</v>
      </c>
      <c r="H617" s="3">
        <f t="shared" si="110"/>
        <v>0.57991018671708816</v>
      </c>
      <c r="I617" s="277">
        <f t="shared" si="106"/>
        <v>15876.092703999228</v>
      </c>
      <c r="J617" s="359" t="s">
        <v>814</v>
      </c>
      <c r="K617" s="359" t="s">
        <v>843</v>
      </c>
      <c r="L617" s="359"/>
      <c r="M617" s="338"/>
      <c r="N617" s="89">
        <v>41202</v>
      </c>
      <c r="O617" s="359">
        <v>220</v>
      </c>
      <c r="P617" s="359" t="s">
        <v>46</v>
      </c>
      <c r="Q617" s="359"/>
      <c r="R617" s="359"/>
      <c r="S617" s="359">
        <v>800</v>
      </c>
      <c r="T617" s="359">
        <v>84</v>
      </c>
      <c r="U617" s="359">
        <v>400</v>
      </c>
      <c r="V617" s="359">
        <v>5.3</v>
      </c>
      <c r="W617" s="359">
        <v>26.5</v>
      </c>
      <c r="X617" s="359">
        <v>3.2</v>
      </c>
      <c r="Y617" s="359">
        <v>47</v>
      </c>
      <c r="Z617" s="359"/>
      <c r="AA617" s="210"/>
      <c r="AB617" s="248">
        <v>0.1875</v>
      </c>
      <c r="AC617" s="359">
        <v>0.6331</v>
      </c>
      <c r="AD617" s="359">
        <v>0.1794</v>
      </c>
      <c r="AE617" s="359" t="s">
        <v>47</v>
      </c>
      <c r="AF617" s="359">
        <v>3.24</v>
      </c>
      <c r="AG617" s="153"/>
      <c r="AH617" s="346">
        <v>588.23872897304204</v>
      </c>
      <c r="AI617" s="24">
        <v>634</v>
      </c>
      <c r="AJ617" s="24">
        <v>8.33</v>
      </c>
      <c r="AK617" s="24">
        <v>1.92</v>
      </c>
      <c r="AL617" s="24">
        <f>245.36/423.1</f>
        <v>0.57991018671708816</v>
      </c>
      <c r="AM617" s="359" t="s">
        <v>54</v>
      </c>
      <c r="AN617" s="24">
        <f t="shared" si="107"/>
        <v>190.58934818726564</v>
      </c>
      <c r="AO617" s="54">
        <f t="shared" si="108"/>
        <v>15876.092703999228</v>
      </c>
      <c r="AP617" s="261">
        <f t="shared" si="109"/>
        <v>2.3142857142857145</v>
      </c>
      <c r="AQ617" s="338"/>
      <c r="AR617" s="45"/>
      <c r="AS617" s="359"/>
      <c r="AT617" s="359"/>
    </row>
    <row r="618" spans="1:46" ht="12">
      <c r="A618" s="134" t="s">
        <v>844</v>
      </c>
      <c r="B618" s="359" t="str">
        <f t="shared" si="100"/>
        <v>MgO</v>
      </c>
      <c r="C618" s="141">
        <f t="shared" si="101"/>
        <v>3.25</v>
      </c>
      <c r="D618" s="277">
        <f t="shared" si="102"/>
        <v>592.96676243309196</v>
      </c>
      <c r="E618" s="20">
        <f t="shared" si="103"/>
        <v>0</v>
      </c>
      <c r="F618" s="20">
        <f t="shared" si="104"/>
        <v>0</v>
      </c>
      <c r="G618" s="277">
        <f t="shared" si="105"/>
        <v>192.71419779075489</v>
      </c>
      <c r="H618" s="3">
        <f t="shared" si="110"/>
        <v>0</v>
      </c>
      <c r="I618" s="277">
        <f t="shared" si="106"/>
        <v>0</v>
      </c>
      <c r="J618" s="359" t="s">
        <v>814</v>
      </c>
      <c r="K618" s="359"/>
      <c r="L618" s="359"/>
      <c r="M618" s="338"/>
      <c r="N618" s="89">
        <v>41204</v>
      </c>
      <c r="O618" s="359">
        <v>221</v>
      </c>
      <c r="P618" s="359" t="s">
        <v>46</v>
      </c>
      <c r="Q618" s="359"/>
      <c r="R618" s="359"/>
      <c r="S618" s="359">
        <v>800</v>
      </c>
      <c r="T618" s="359">
        <v>84</v>
      </c>
      <c r="U618" s="359">
        <v>400</v>
      </c>
      <c r="V618" s="359">
        <v>5.3</v>
      </c>
      <c r="W618" s="359">
        <v>26.5</v>
      </c>
      <c r="X618" s="359">
        <v>3.2</v>
      </c>
      <c r="Y618" s="359">
        <v>47</v>
      </c>
      <c r="Z618" s="359"/>
      <c r="AA618" s="210"/>
      <c r="AB618" s="248">
        <v>0.1782</v>
      </c>
      <c r="AC618" s="359">
        <v>0.63239999999999996</v>
      </c>
      <c r="AD618" s="359">
        <v>0.18940000000000001</v>
      </c>
      <c r="AE618" s="359" t="s">
        <v>47</v>
      </c>
      <c r="AF618" s="359">
        <v>3.25</v>
      </c>
      <c r="AG618" s="153"/>
      <c r="AH618" s="346">
        <v>592.96676243309196</v>
      </c>
      <c r="AI618" s="24"/>
      <c r="AJ618" s="24"/>
      <c r="AK618" s="24"/>
      <c r="AL618" s="24"/>
      <c r="AM618" s="359"/>
      <c r="AN618" s="24">
        <f t="shared" si="107"/>
        <v>192.71419779075489</v>
      </c>
      <c r="AO618" s="54">
        <f t="shared" si="108"/>
        <v>0</v>
      </c>
      <c r="AP618" s="261">
        <f t="shared" si="109"/>
        <v>2.3214285714285716</v>
      </c>
      <c r="AQ618" s="338"/>
      <c r="AR618" s="45"/>
      <c r="AS618" s="359"/>
      <c r="AT618" s="359"/>
    </row>
    <row r="619" spans="1:46" ht="12">
      <c r="A619" s="134" t="s">
        <v>845</v>
      </c>
      <c r="B619" s="359" t="str">
        <f t="shared" si="100"/>
        <v>MgO</v>
      </c>
      <c r="C619" s="141">
        <f t="shared" si="101"/>
        <v>3.3</v>
      </c>
      <c r="D619" s="277">
        <f t="shared" si="102"/>
        <v>595.55379960934602</v>
      </c>
      <c r="E619" s="20">
        <f t="shared" si="103"/>
        <v>8.26</v>
      </c>
      <c r="F619" s="20">
        <f t="shared" si="104"/>
        <v>1.87</v>
      </c>
      <c r="G619" s="277">
        <f t="shared" si="105"/>
        <v>196.53275387108417</v>
      </c>
      <c r="H619" s="3">
        <f t="shared" si="110"/>
        <v>0.61159420289855071</v>
      </c>
      <c r="I619" s="277">
        <f t="shared" si="106"/>
        <v>16233.605469751552</v>
      </c>
      <c r="J619" s="359" t="s">
        <v>814</v>
      </c>
      <c r="K619" s="359" t="s">
        <v>846</v>
      </c>
      <c r="L619" s="359"/>
      <c r="M619" s="338"/>
      <c r="N619" s="89">
        <v>41204</v>
      </c>
      <c r="O619" s="359">
        <v>221</v>
      </c>
      <c r="P619" s="359" t="s">
        <v>46</v>
      </c>
      <c r="Q619" s="359"/>
      <c r="R619" s="359"/>
      <c r="S619" s="359">
        <v>800</v>
      </c>
      <c r="T619" s="359">
        <v>84</v>
      </c>
      <c r="U619" s="359">
        <v>400</v>
      </c>
      <c r="V619" s="359">
        <v>5.3</v>
      </c>
      <c r="W619" s="359">
        <v>26.5</v>
      </c>
      <c r="X619" s="359">
        <v>3.2</v>
      </c>
      <c r="Y619" s="359">
        <v>47</v>
      </c>
      <c r="Z619" s="359"/>
      <c r="AA619" s="210"/>
      <c r="AB619" s="248">
        <v>0.17680000000000001</v>
      </c>
      <c r="AC619" s="359">
        <v>0.63</v>
      </c>
      <c r="AD619" s="359">
        <v>0.19320000000000001</v>
      </c>
      <c r="AE619" s="359" t="s">
        <v>47</v>
      </c>
      <c r="AF619" s="359">
        <v>3.3</v>
      </c>
      <c r="AG619" s="153"/>
      <c r="AH619" s="346">
        <v>595.55379960934602</v>
      </c>
      <c r="AI619" s="24">
        <v>633</v>
      </c>
      <c r="AJ619" s="24">
        <v>8.26</v>
      </c>
      <c r="AK619" s="24">
        <v>1.87</v>
      </c>
      <c r="AL619" s="24">
        <f>248.98/407.1</f>
        <v>0.61159420289855071</v>
      </c>
      <c r="AM619" s="359" t="s">
        <v>54</v>
      </c>
      <c r="AN619" s="24">
        <f t="shared" si="107"/>
        <v>196.53275387108417</v>
      </c>
      <c r="AO619" s="54">
        <f t="shared" si="108"/>
        <v>16233.605469751552</v>
      </c>
      <c r="AP619" s="261">
        <f t="shared" si="109"/>
        <v>2.3571428571428572</v>
      </c>
      <c r="AQ619" s="338"/>
      <c r="AR619" s="45"/>
      <c r="AS619" s="359"/>
      <c r="AT619" s="359"/>
    </row>
    <row r="620" spans="1:46" ht="12">
      <c r="A620" s="134" t="s">
        <v>847</v>
      </c>
      <c r="B620" s="359" t="str">
        <f t="shared" si="100"/>
        <v>MgO</v>
      </c>
      <c r="C620" s="141">
        <f t="shared" si="101"/>
        <v>3.4</v>
      </c>
      <c r="D620" s="277">
        <f t="shared" si="102"/>
        <v>593.14517879007497</v>
      </c>
      <c r="E620" s="20">
        <f t="shared" si="103"/>
        <v>0</v>
      </c>
      <c r="F620" s="20">
        <f t="shared" si="104"/>
        <v>0</v>
      </c>
      <c r="G620" s="277">
        <f t="shared" si="105"/>
        <v>201.66936078862548</v>
      </c>
      <c r="H620" s="3">
        <f t="shared" si="110"/>
        <v>0</v>
      </c>
      <c r="I620" s="277">
        <f t="shared" si="106"/>
        <v>0</v>
      </c>
      <c r="J620" s="359" t="s">
        <v>814</v>
      </c>
      <c r="K620" s="359"/>
      <c r="L620" s="359"/>
      <c r="M620" s="338"/>
      <c r="N620" s="89">
        <v>41204</v>
      </c>
      <c r="O620" s="359">
        <v>221</v>
      </c>
      <c r="P620" s="359" t="s">
        <v>46</v>
      </c>
      <c r="Q620" s="359"/>
      <c r="R620" s="359"/>
      <c r="S620" s="359">
        <v>800</v>
      </c>
      <c r="T620" s="359">
        <v>84</v>
      </c>
      <c r="U620" s="359">
        <v>400</v>
      </c>
      <c r="V620" s="359">
        <v>5.3</v>
      </c>
      <c r="W620" s="359">
        <v>26.5</v>
      </c>
      <c r="X620" s="359">
        <v>3.2</v>
      </c>
      <c r="Y620" s="359">
        <v>47</v>
      </c>
      <c r="Z620" s="359"/>
      <c r="AA620" s="210"/>
      <c r="AB620" s="248">
        <v>0.17580000000000001</v>
      </c>
      <c r="AC620" s="359">
        <v>0.62450000000000006</v>
      </c>
      <c r="AD620" s="359">
        <v>0.19969999999999999</v>
      </c>
      <c r="AE620" s="359" t="s">
        <v>47</v>
      </c>
      <c r="AF620" s="359">
        <v>3.4</v>
      </c>
      <c r="AG620" s="153"/>
      <c r="AH620" s="346">
        <v>593.14517879007497</v>
      </c>
      <c r="AI620" s="24"/>
      <c r="AJ620" s="24"/>
      <c r="AK620" s="24"/>
      <c r="AL620" s="24"/>
      <c r="AM620" s="359"/>
      <c r="AN620" s="24">
        <f t="shared" si="107"/>
        <v>201.66936078862548</v>
      </c>
      <c r="AO620" s="54">
        <f t="shared" si="108"/>
        <v>0</v>
      </c>
      <c r="AP620" s="261">
        <f t="shared" si="109"/>
        <v>2.4285714285714288</v>
      </c>
      <c r="AQ620" s="338"/>
      <c r="AR620" s="45"/>
      <c r="AS620" s="359"/>
      <c r="AT620" s="359"/>
    </row>
    <row r="621" spans="1:46" ht="12">
      <c r="A621" s="134" t="s">
        <v>848</v>
      </c>
      <c r="B621" s="359" t="str">
        <f t="shared" si="100"/>
        <v>MgO</v>
      </c>
      <c r="C621" s="141">
        <f t="shared" si="101"/>
        <v>3.29</v>
      </c>
      <c r="D621" s="277">
        <f t="shared" si="102"/>
        <v>592.43151336214305</v>
      </c>
      <c r="E621" s="20">
        <f t="shared" si="103"/>
        <v>0</v>
      </c>
      <c r="F621" s="20">
        <f t="shared" si="104"/>
        <v>0</v>
      </c>
      <c r="G621" s="277">
        <f t="shared" si="105"/>
        <v>194.90996789614508</v>
      </c>
      <c r="H621" s="3">
        <f t="shared" si="110"/>
        <v>0</v>
      </c>
      <c r="I621" s="277">
        <f t="shared" si="106"/>
        <v>0</v>
      </c>
      <c r="J621" s="359" t="s">
        <v>814</v>
      </c>
      <c r="K621" s="359"/>
      <c r="L621" s="359"/>
      <c r="M621" s="338"/>
      <c r="N621" s="89">
        <v>41204</v>
      </c>
      <c r="O621" s="359">
        <v>221</v>
      </c>
      <c r="P621" s="359" t="s">
        <v>46</v>
      </c>
      <c r="Q621" s="359"/>
      <c r="R621" s="359"/>
      <c r="S621" s="359">
        <v>800</v>
      </c>
      <c r="T621" s="359">
        <v>84</v>
      </c>
      <c r="U621" s="359">
        <v>400</v>
      </c>
      <c r="V621" s="359">
        <v>5.3</v>
      </c>
      <c r="W621" s="359">
        <v>26.5</v>
      </c>
      <c r="X621" s="359">
        <v>3.2</v>
      </c>
      <c r="Y621" s="359">
        <v>47</v>
      </c>
      <c r="Z621" s="359"/>
      <c r="AA621" s="210"/>
      <c r="AB621" s="248">
        <v>0.1726</v>
      </c>
      <c r="AC621" s="359">
        <v>0.63049999999999995</v>
      </c>
      <c r="AD621" s="359">
        <v>0.19689999999999999</v>
      </c>
      <c r="AE621" s="359" t="s">
        <v>47</v>
      </c>
      <c r="AF621" s="359">
        <v>3.29</v>
      </c>
      <c r="AG621" s="153"/>
      <c r="AH621" s="346">
        <v>592.43151336214305</v>
      </c>
      <c r="AI621" s="24"/>
      <c r="AJ621" s="24"/>
      <c r="AK621" s="24"/>
      <c r="AL621" s="24"/>
      <c r="AM621" s="359"/>
      <c r="AN621" s="24">
        <f t="shared" si="107"/>
        <v>194.90996789614508</v>
      </c>
      <c r="AO621" s="54">
        <f t="shared" si="108"/>
        <v>0</v>
      </c>
      <c r="AP621" s="261">
        <f t="shared" si="109"/>
        <v>2.35</v>
      </c>
      <c r="AQ621" s="338"/>
      <c r="AR621" s="45"/>
      <c r="AS621" s="359"/>
      <c r="AT621" s="359"/>
    </row>
    <row r="622" spans="1:46" ht="12">
      <c r="A622" s="134" t="s">
        <v>849</v>
      </c>
      <c r="B622" s="359" t="str">
        <f t="shared" si="100"/>
        <v>MgO</v>
      </c>
      <c r="C622" s="141">
        <f t="shared" si="101"/>
        <v>3.4</v>
      </c>
      <c r="D622" s="277">
        <f t="shared" si="102"/>
        <v>559.15686278480803</v>
      </c>
      <c r="E622" s="20">
        <f t="shared" si="103"/>
        <v>0</v>
      </c>
      <c r="F622" s="20">
        <f t="shared" si="104"/>
        <v>0</v>
      </c>
      <c r="G622" s="277">
        <f t="shared" si="105"/>
        <v>190.11333334683474</v>
      </c>
      <c r="H622" s="3">
        <f t="shared" si="110"/>
        <v>0</v>
      </c>
      <c r="I622" s="277">
        <f t="shared" si="106"/>
        <v>0</v>
      </c>
      <c r="J622" s="359" t="s">
        <v>814</v>
      </c>
      <c r="K622" s="359" t="s">
        <v>850</v>
      </c>
      <c r="L622" s="359"/>
      <c r="M622" s="338"/>
      <c r="N622" s="89">
        <v>41205</v>
      </c>
      <c r="O622" s="359">
        <v>222</v>
      </c>
      <c r="P622" s="359" t="s">
        <v>46</v>
      </c>
      <c r="Q622" s="359"/>
      <c r="R622" s="359"/>
      <c r="S622" s="359">
        <v>800</v>
      </c>
      <c r="T622" s="359">
        <v>90</v>
      </c>
      <c r="U622" s="359">
        <v>400</v>
      </c>
      <c r="V622" s="359">
        <v>5.3</v>
      </c>
      <c r="W622" s="359">
        <v>26.5</v>
      </c>
      <c r="X622" s="359">
        <v>3.2</v>
      </c>
      <c r="Y622" s="359">
        <v>47</v>
      </c>
      <c r="Z622" s="359"/>
      <c r="AA622" s="210"/>
      <c r="AB622" s="248">
        <v>0.1845</v>
      </c>
      <c r="AC622" s="359">
        <v>0.62460000000000004</v>
      </c>
      <c r="AD622" s="359">
        <v>0.19089999999999999</v>
      </c>
      <c r="AE622" s="359" t="s">
        <v>47</v>
      </c>
      <c r="AF622" s="359">
        <v>3.4</v>
      </c>
      <c r="AG622" s="153"/>
      <c r="AH622" s="346">
        <v>559.15686278480803</v>
      </c>
      <c r="AI622" s="24"/>
      <c r="AJ622" s="24"/>
      <c r="AK622" s="24"/>
      <c r="AL622" s="24"/>
      <c r="AM622" s="359"/>
      <c r="AN622" s="24">
        <f t="shared" si="107"/>
        <v>190.11333334683474</v>
      </c>
      <c r="AO622" s="54">
        <f t="shared" si="108"/>
        <v>0</v>
      </c>
      <c r="AP622" s="261">
        <f t="shared" si="109"/>
        <v>2.2666666666666666</v>
      </c>
      <c r="AQ622" s="338"/>
      <c r="AR622" s="45"/>
      <c r="AS622" s="359"/>
      <c r="AT622" s="359"/>
    </row>
    <row r="623" spans="1:46" ht="12">
      <c r="A623" s="134" t="s">
        <v>851</v>
      </c>
      <c r="B623" s="359" t="str">
        <f t="shared" si="100"/>
        <v>MgO</v>
      </c>
      <c r="C623" s="141">
        <f t="shared" si="101"/>
        <v>3.46</v>
      </c>
      <c r="D623" s="277">
        <f t="shared" si="102"/>
        <v>552.64466575492804</v>
      </c>
      <c r="E623" s="20">
        <f t="shared" si="103"/>
        <v>9.34</v>
      </c>
      <c r="F623" s="20">
        <f t="shared" si="104"/>
        <v>1.97</v>
      </c>
      <c r="G623" s="277">
        <f t="shared" si="105"/>
        <v>191.21505435120508</v>
      </c>
      <c r="H623" s="3">
        <f t="shared" si="110"/>
        <v>0.59180166912125676</v>
      </c>
      <c r="I623" s="277">
        <f t="shared" si="106"/>
        <v>17859.486076402554</v>
      </c>
      <c r="J623" s="359" t="s">
        <v>814</v>
      </c>
      <c r="K623" s="359" t="s">
        <v>284</v>
      </c>
      <c r="L623" s="359"/>
      <c r="M623" s="338"/>
      <c r="N623" s="89">
        <v>41205</v>
      </c>
      <c r="O623" s="359">
        <v>222</v>
      </c>
      <c r="P623" s="359" t="s">
        <v>46</v>
      </c>
      <c r="Q623" s="359"/>
      <c r="R623" s="359"/>
      <c r="S623" s="359">
        <v>800</v>
      </c>
      <c r="T623" s="359">
        <v>90</v>
      </c>
      <c r="U623" s="359">
        <v>400</v>
      </c>
      <c r="V623" s="359">
        <v>5.3</v>
      </c>
      <c r="W623" s="359">
        <v>26.5</v>
      </c>
      <c r="X623" s="359">
        <v>3.2</v>
      </c>
      <c r="Y623" s="359">
        <v>47</v>
      </c>
      <c r="Z623" s="359"/>
      <c r="AA623" s="210"/>
      <c r="AB623" s="248">
        <v>0.183</v>
      </c>
      <c r="AC623" s="359">
        <v>0.62129999999999996</v>
      </c>
      <c r="AD623" s="359">
        <v>0.19570000000000001</v>
      </c>
      <c r="AE623" s="359" t="s">
        <v>47</v>
      </c>
      <c r="AF623" s="359">
        <v>3.46</v>
      </c>
      <c r="AG623" s="153"/>
      <c r="AH623" s="346">
        <v>552.64466575492804</v>
      </c>
      <c r="AI623" s="24">
        <v>582</v>
      </c>
      <c r="AJ623" s="24">
        <v>9.34</v>
      </c>
      <c r="AK623" s="24">
        <v>1.97</v>
      </c>
      <c r="AL623" s="24">
        <f>241.1/407.4</f>
        <v>0.59180166912125676</v>
      </c>
      <c r="AM623" s="359" t="s">
        <v>54</v>
      </c>
      <c r="AN623" s="24">
        <f t="shared" si="107"/>
        <v>191.21505435120508</v>
      </c>
      <c r="AO623" s="54">
        <f t="shared" si="108"/>
        <v>17859.486076402554</v>
      </c>
      <c r="AP623" s="261">
        <f t="shared" si="109"/>
        <v>2.3066666666666666</v>
      </c>
      <c r="AQ623" s="338"/>
      <c r="AR623" s="45"/>
      <c r="AS623" s="359"/>
      <c r="AT623" s="359"/>
    </row>
    <row r="624" spans="1:46" ht="12">
      <c r="A624" s="134" t="s">
        <v>852</v>
      </c>
      <c r="B624" s="359" t="str">
        <f t="shared" si="100"/>
        <v>MgO</v>
      </c>
      <c r="C624" s="141">
        <f t="shared" si="101"/>
        <v>3.51</v>
      </c>
      <c r="D624" s="277">
        <f t="shared" si="102"/>
        <v>552.82308211191105</v>
      </c>
      <c r="E624" s="20">
        <f t="shared" si="103"/>
        <v>0</v>
      </c>
      <c r="F624" s="20">
        <f t="shared" si="104"/>
        <v>0</v>
      </c>
      <c r="G624" s="277">
        <f t="shared" si="105"/>
        <v>194.04090182128078</v>
      </c>
      <c r="H624" s="3">
        <f t="shared" si="110"/>
        <v>0</v>
      </c>
      <c r="I624" s="277">
        <f t="shared" si="106"/>
        <v>0</v>
      </c>
      <c r="J624" s="359" t="s">
        <v>814</v>
      </c>
      <c r="K624" s="359"/>
      <c r="L624" s="359"/>
      <c r="M624" s="338"/>
      <c r="N624" s="89">
        <v>41205</v>
      </c>
      <c r="O624" s="359">
        <v>222</v>
      </c>
      <c r="P624" s="359" t="s">
        <v>46</v>
      </c>
      <c r="Q624" s="359"/>
      <c r="R624" s="359"/>
      <c r="S624" s="359">
        <v>800</v>
      </c>
      <c r="T624" s="359">
        <v>90</v>
      </c>
      <c r="U624" s="359">
        <v>400</v>
      </c>
      <c r="V624" s="359">
        <v>5.3</v>
      </c>
      <c r="W624" s="359">
        <v>26.5</v>
      </c>
      <c r="X624" s="359">
        <v>3.2</v>
      </c>
      <c r="Y624" s="359">
        <v>47</v>
      </c>
      <c r="Z624" s="359"/>
      <c r="AA624" s="210"/>
      <c r="AB624" s="248">
        <v>0.1825</v>
      </c>
      <c r="AC624" s="359">
        <v>0.61819999999999997</v>
      </c>
      <c r="AD624" s="359">
        <v>0.1993</v>
      </c>
      <c r="AE624" s="359" t="s">
        <v>47</v>
      </c>
      <c r="AF624" s="359">
        <v>3.51</v>
      </c>
      <c r="AG624" s="153"/>
      <c r="AH624" s="346">
        <v>552.82308211191105</v>
      </c>
      <c r="AI624" s="24"/>
      <c r="AJ624" s="24"/>
      <c r="AK624" s="24"/>
      <c r="AL624" s="24"/>
      <c r="AM624" s="359"/>
      <c r="AN624" s="24">
        <f t="shared" si="107"/>
        <v>194.04090182128078</v>
      </c>
      <c r="AO624" s="54">
        <f t="shared" si="108"/>
        <v>0</v>
      </c>
      <c r="AP624" s="261">
        <f t="shared" si="109"/>
        <v>2.34</v>
      </c>
      <c r="AQ624" s="338"/>
      <c r="AR624" s="45"/>
      <c r="AS624" s="359"/>
      <c r="AT624" s="359"/>
    </row>
    <row r="625" spans="1:46" ht="12">
      <c r="A625" s="134" t="s">
        <v>853</v>
      </c>
      <c r="B625" s="359" t="str">
        <f t="shared" si="100"/>
        <v>MgO</v>
      </c>
      <c r="C625" s="141">
        <f t="shared" si="101"/>
        <v>3.47</v>
      </c>
      <c r="D625" s="277">
        <f t="shared" si="102"/>
        <v>525.25775495803305</v>
      </c>
      <c r="E625" s="20">
        <f t="shared" si="103"/>
        <v>0</v>
      </c>
      <c r="F625" s="20">
        <f t="shared" si="104"/>
        <v>0</v>
      </c>
      <c r="G625" s="277">
        <f t="shared" si="105"/>
        <v>182.26444097043748</v>
      </c>
      <c r="H625" s="3">
        <f t="shared" si="110"/>
        <v>0</v>
      </c>
      <c r="I625" s="277">
        <f t="shared" si="106"/>
        <v>0</v>
      </c>
      <c r="J625" s="359" t="s">
        <v>814</v>
      </c>
      <c r="K625" s="359"/>
      <c r="L625" s="359"/>
      <c r="M625" s="338"/>
      <c r="N625" s="89">
        <v>41205</v>
      </c>
      <c r="O625" s="359">
        <v>222</v>
      </c>
      <c r="P625" s="359" t="s">
        <v>46</v>
      </c>
      <c r="Q625" s="359"/>
      <c r="R625" s="359"/>
      <c r="S625" s="359">
        <v>800</v>
      </c>
      <c r="T625" s="359">
        <v>90</v>
      </c>
      <c r="U625" s="359">
        <v>400</v>
      </c>
      <c r="V625" s="359">
        <v>5.3</v>
      </c>
      <c r="W625" s="359">
        <v>26.5</v>
      </c>
      <c r="X625" s="359">
        <v>3.2</v>
      </c>
      <c r="Y625" s="359">
        <v>47</v>
      </c>
      <c r="Z625" s="359"/>
      <c r="AA625" s="210"/>
      <c r="AB625" s="248">
        <v>0.1835</v>
      </c>
      <c r="AC625" s="359">
        <v>0.61970000000000003</v>
      </c>
      <c r="AD625" s="359">
        <v>0.1968</v>
      </c>
      <c r="AE625" s="359" t="s">
        <v>47</v>
      </c>
      <c r="AF625" s="359">
        <v>3.47</v>
      </c>
      <c r="AG625" s="153"/>
      <c r="AH625" s="346">
        <v>525.25775495803305</v>
      </c>
      <c r="AI625" s="24"/>
      <c r="AJ625" s="24"/>
      <c r="AK625" s="24"/>
      <c r="AL625" s="24"/>
      <c r="AM625" s="359"/>
      <c r="AN625" s="24">
        <f t="shared" si="107"/>
        <v>182.26444097043748</v>
      </c>
      <c r="AO625" s="54">
        <f t="shared" si="108"/>
        <v>0</v>
      </c>
      <c r="AP625" s="261">
        <f t="shared" si="109"/>
        <v>2.3133333333333335</v>
      </c>
      <c r="AQ625" s="338"/>
      <c r="AR625" s="45"/>
      <c r="AS625" s="359"/>
      <c r="AT625" s="359"/>
    </row>
    <row r="626" spans="1:46" ht="12">
      <c r="A626" s="134" t="s">
        <v>854</v>
      </c>
      <c r="B626" s="359" t="str">
        <f t="shared" si="100"/>
        <v>SiNx</v>
      </c>
      <c r="C626" s="141">
        <f t="shared" si="101"/>
        <v>0</v>
      </c>
      <c r="D626" s="277">
        <f t="shared" si="102"/>
        <v>555.23170293118199</v>
      </c>
      <c r="E626" s="20">
        <f t="shared" si="103"/>
        <v>0</v>
      </c>
      <c r="F626" s="20">
        <f t="shared" si="104"/>
        <v>0</v>
      </c>
      <c r="G626" s="277">
        <f t="shared" si="105"/>
        <v>0</v>
      </c>
      <c r="H626" s="3">
        <f t="shared" si="110"/>
        <v>0</v>
      </c>
      <c r="I626" s="277">
        <f t="shared" si="106"/>
        <v>0</v>
      </c>
      <c r="J626" s="359" t="s">
        <v>814</v>
      </c>
      <c r="K626" s="359"/>
      <c r="L626" s="359"/>
      <c r="M626" s="338"/>
      <c r="N626" s="89">
        <v>41206</v>
      </c>
      <c r="O626" s="359">
        <v>223</v>
      </c>
      <c r="P626" s="359" t="s">
        <v>187</v>
      </c>
      <c r="Q626" s="359"/>
      <c r="R626" s="359"/>
      <c r="S626" s="359">
        <v>800</v>
      </c>
      <c r="T626" s="359">
        <v>114</v>
      </c>
      <c r="U626" s="359">
        <v>400</v>
      </c>
      <c r="V626" s="359">
        <v>5.3</v>
      </c>
      <c r="W626" s="359">
        <v>26.5</v>
      </c>
      <c r="X626" s="359">
        <v>3.2</v>
      </c>
      <c r="Y626" s="359">
        <v>47</v>
      </c>
      <c r="Z626" s="359"/>
      <c r="AA626" s="210"/>
      <c r="AB626" s="248"/>
      <c r="AC626" s="359"/>
      <c r="AD626" s="359"/>
      <c r="AE626" s="359"/>
      <c r="AF626" s="359"/>
      <c r="AG626" s="153"/>
      <c r="AH626" s="346">
        <v>555.23170293118199</v>
      </c>
      <c r="AI626" s="24"/>
      <c r="AJ626" s="24"/>
      <c r="AK626" s="24"/>
      <c r="AL626" s="24"/>
      <c r="AM626" s="359"/>
      <c r="AN626" s="24">
        <f t="shared" si="107"/>
        <v>0</v>
      </c>
      <c r="AO626" s="54">
        <f t="shared" si="108"/>
        <v>0</v>
      </c>
      <c r="AP626" s="261">
        <f t="shared" si="109"/>
        <v>0</v>
      </c>
      <c r="AQ626" s="338"/>
      <c r="AR626" s="45"/>
      <c r="AS626" s="359"/>
      <c r="AT626" s="359"/>
    </row>
    <row r="627" spans="1:46" ht="12">
      <c r="A627" s="134" t="s">
        <v>855</v>
      </c>
      <c r="B627" s="359" t="str">
        <f t="shared" si="100"/>
        <v>SiNx</v>
      </c>
      <c r="C627" s="141">
        <f t="shared" si="101"/>
        <v>0</v>
      </c>
      <c r="D627" s="277">
        <f t="shared" si="102"/>
        <v>567.09639067055298</v>
      </c>
      <c r="E627" s="20">
        <f t="shared" si="103"/>
        <v>9.18</v>
      </c>
      <c r="F627" s="20">
        <f t="shared" si="104"/>
        <v>1.81</v>
      </c>
      <c r="G627" s="277">
        <f t="shared" si="105"/>
        <v>0</v>
      </c>
      <c r="H627" s="3">
        <f t="shared" si="110"/>
        <v>0.71031746031746024</v>
      </c>
      <c r="I627" s="277">
        <f t="shared" si="106"/>
        <v>0</v>
      </c>
      <c r="J627" s="359" t="s">
        <v>814</v>
      </c>
      <c r="K627" s="359" t="s">
        <v>856</v>
      </c>
      <c r="L627" s="359"/>
      <c r="M627" s="338"/>
      <c r="N627" s="89">
        <v>41206</v>
      </c>
      <c r="O627" s="359">
        <v>223</v>
      </c>
      <c r="P627" s="359" t="s">
        <v>187</v>
      </c>
      <c r="Q627" s="359"/>
      <c r="R627" s="359"/>
      <c r="S627" s="359">
        <v>800</v>
      </c>
      <c r="T627" s="359">
        <v>114</v>
      </c>
      <c r="U627" s="359">
        <v>400</v>
      </c>
      <c r="V627" s="359">
        <v>5.3</v>
      </c>
      <c r="W627" s="359">
        <v>26.5</v>
      </c>
      <c r="X627" s="359">
        <v>3.2</v>
      </c>
      <c r="Y627" s="359">
        <v>47</v>
      </c>
      <c r="Z627" s="359"/>
      <c r="AA627" s="210"/>
      <c r="AB627" s="248"/>
      <c r="AC627" s="359"/>
      <c r="AD627" s="359"/>
      <c r="AE627" s="359"/>
      <c r="AF627" s="359"/>
      <c r="AG627" s="153"/>
      <c r="AH627" s="346">
        <v>567.09639067055298</v>
      </c>
      <c r="AI627" s="24">
        <v>595</v>
      </c>
      <c r="AJ627" s="24">
        <v>9.18</v>
      </c>
      <c r="AK627" s="24">
        <v>1.81</v>
      </c>
      <c r="AL627" s="24">
        <f>232.7/327.6</f>
        <v>0.71031746031746024</v>
      </c>
      <c r="AM627" s="359" t="s">
        <v>54</v>
      </c>
      <c r="AN627" s="24">
        <f t="shared" si="107"/>
        <v>0</v>
      </c>
      <c r="AO627" s="54">
        <f t="shared" si="108"/>
        <v>0</v>
      </c>
      <c r="AP627" s="261">
        <f t="shared" si="109"/>
        <v>0</v>
      </c>
      <c r="AQ627" s="338"/>
      <c r="AR627" s="45"/>
      <c r="AS627" s="359"/>
      <c r="AT627" s="359"/>
    </row>
    <row r="628" spans="1:46" ht="12">
      <c r="A628" s="134" t="s">
        <v>857</v>
      </c>
      <c r="B628" s="359" t="str">
        <f t="shared" si="100"/>
        <v>MgO</v>
      </c>
      <c r="C628" s="141">
        <f t="shared" si="101"/>
        <v>4.41</v>
      </c>
      <c r="D628" s="277">
        <f t="shared" si="102"/>
        <v>361.82837196157999</v>
      </c>
      <c r="E628" s="20">
        <f t="shared" si="103"/>
        <v>0</v>
      </c>
      <c r="F628" s="20">
        <f t="shared" si="104"/>
        <v>0</v>
      </c>
      <c r="G628" s="277">
        <f t="shared" si="105"/>
        <v>159.5663120350568</v>
      </c>
      <c r="H628" s="3">
        <f t="shared" si="110"/>
        <v>0</v>
      </c>
      <c r="I628" s="277">
        <f t="shared" si="106"/>
        <v>0</v>
      </c>
      <c r="J628" s="359" t="s">
        <v>814</v>
      </c>
      <c r="K628" s="359" t="s">
        <v>858</v>
      </c>
      <c r="L628" s="359"/>
      <c r="M628" s="338"/>
      <c r="N628" s="89">
        <v>41206</v>
      </c>
      <c r="O628" s="359">
        <v>223</v>
      </c>
      <c r="P628" s="359" t="s">
        <v>46</v>
      </c>
      <c r="Q628" s="359"/>
      <c r="R628" s="359"/>
      <c r="S628" s="359">
        <v>800</v>
      </c>
      <c r="T628" s="359">
        <v>114</v>
      </c>
      <c r="U628" s="359">
        <v>400</v>
      </c>
      <c r="V628" s="359">
        <v>5.3</v>
      </c>
      <c r="W628" s="359">
        <v>26.5</v>
      </c>
      <c r="X628" s="359">
        <v>3.2</v>
      </c>
      <c r="Y628" s="359">
        <v>47</v>
      </c>
      <c r="Z628" s="359"/>
      <c r="AA628" s="210"/>
      <c r="AB628" s="248">
        <v>0.1968</v>
      </c>
      <c r="AC628" s="359">
        <v>0.57179999999999997</v>
      </c>
      <c r="AD628" s="359">
        <v>0.23139999999999999</v>
      </c>
      <c r="AE628" s="359" t="s">
        <v>47</v>
      </c>
      <c r="AF628" s="359">
        <v>4.41</v>
      </c>
      <c r="AG628" s="153"/>
      <c r="AH628" s="346">
        <v>361.82837196157999</v>
      </c>
      <c r="AI628" s="24"/>
      <c r="AJ628" s="24"/>
      <c r="AK628" s="24"/>
      <c r="AL628" s="24"/>
      <c r="AM628" s="359"/>
      <c r="AN628" s="24">
        <f t="shared" si="107"/>
        <v>159.5663120350568</v>
      </c>
      <c r="AO628" s="54">
        <f t="shared" si="108"/>
        <v>0</v>
      </c>
      <c r="AP628" s="261">
        <f t="shared" si="109"/>
        <v>2.3210526315789477</v>
      </c>
      <c r="AQ628" s="338"/>
      <c r="AR628" s="45"/>
      <c r="AS628" s="359"/>
      <c r="AT628" s="359"/>
    </row>
    <row r="629" spans="1:46" ht="12">
      <c r="A629" s="134" t="s">
        <v>859</v>
      </c>
      <c r="B629" s="359" t="str">
        <f t="shared" si="100"/>
        <v>SiNx</v>
      </c>
      <c r="C629" s="141">
        <f t="shared" si="101"/>
        <v>0</v>
      </c>
      <c r="D629" s="277">
        <f t="shared" si="102"/>
        <v>563.52806353089204</v>
      </c>
      <c r="E629" s="20">
        <f t="shared" si="103"/>
        <v>0</v>
      </c>
      <c r="F629" s="20">
        <f t="shared" si="104"/>
        <v>0</v>
      </c>
      <c r="G629" s="277">
        <f t="shared" si="105"/>
        <v>0</v>
      </c>
      <c r="H629" s="3">
        <f t="shared" si="110"/>
        <v>0</v>
      </c>
      <c r="I629" s="277">
        <f t="shared" si="106"/>
        <v>0</v>
      </c>
      <c r="J629" s="359" t="s">
        <v>814</v>
      </c>
      <c r="K629" s="359"/>
      <c r="L629" s="359"/>
      <c r="M629" s="338"/>
      <c r="N629" s="89">
        <v>41206</v>
      </c>
      <c r="O629" s="359">
        <v>223</v>
      </c>
      <c r="P629" s="359" t="s">
        <v>187</v>
      </c>
      <c r="Q629" s="359"/>
      <c r="R629" s="359"/>
      <c r="S629" s="359">
        <v>800</v>
      </c>
      <c r="T629" s="359">
        <v>114</v>
      </c>
      <c r="U629" s="359">
        <v>400</v>
      </c>
      <c r="V629" s="359">
        <v>5.3</v>
      </c>
      <c r="W629" s="359">
        <v>26.5</v>
      </c>
      <c r="X629" s="359">
        <v>3.2</v>
      </c>
      <c r="Y629" s="359">
        <v>47</v>
      </c>
      <c r="Z629" s="359"/>
      <c r="AA629" s="210"/>
      <c r="AB629" s="248"/>
      <c r="AC629" s="359"/>
      <c r="AD629" s="359"/>
      <c r="AE629" s="359"/>
      <c r="AF629" s="359"/>
      <c r="AG629" s="153"/>
      <c r="AH629" s="346">
        <v>563.52806353089204</v>
      </c>
      <c r="AI629" s="24"/>
      <c r="AJ629" s="24"/>
      <c r="AK629" s="24"/>
      <c r="AL629" s="24"/>
      <c r="AM629" s="359"/>
      <c r="AN629" s="24">
        <f t="shared" si="107"/>
        <v>0</v>
      </c>
      <c r="AO629" s="54">
        <f t="shared" si="108"/>
        <v>0</v>
      </c>
      <c r="AP629" s="261">
        <f t="shared" si="109"/>
        <v>0</v>
      </c>
      <c r="AQ629" s="338"/>
      <c r="AR629" s="45"/>
      <c r="AS629" s="359"/>
      <c r="AT629" s="359"/>
    </row>
    <row r="630" spans="1:46" ht="12">
      <c r="A630" s="134" t="s">
        <v>860</v>
      </c>
      <c r="B630" s="359" t="str">
        <f t="shared" si="100"/>
        <v>MgO</v>
      </c>
      <c r="C630" s="141">
        <f t="shared" si="101"/>
        <v>5.05</v>
      </c>
      <c r="D630" s="277">
        <f t="shared" si="102"/>
        <v>406.789293921303</v>
      </c>
      <c r="E630" s="20">
        <f t="shared" si="103"/>
        <v>9.69</v>
      </c>
      <c r="F630" s="20">
        <f t="shared" si="104"/>
        <v>1.42</v>
      </c>
      <c r="G630" s="277">
        <f t="shared" si="105"/>
        <v>205.42859343025802</v>
      </c>
      <c r="H630" s="3">
        <f t="shared" si="110"/>
        <v>0.59552621928859562</v>
      </c>
      <c r="I630" s="277">
        <f t="shared" si="106"/>
        <v>19906.030703392</v>
      </c>
      <c r="J630" s="359" t="s">
        <v>814</v>
      </c>
      <c r="K630" s="359" t="s">
        <v>833</v>
      </c>
      <c r="L630" s="359"/>
      <c r="M630" s="338"/>
      <c r="N630" s="89">
        <v>41207</v>
      </c>
      <c r="O630" s="359">
        <v>225</v>
      </c>
      <c r="P630" s="359" t="s">
        <v>46</v>
      </c>
      <c r="Q630" s="359"/>
      <c r="R630" s="359"/>
      <c r="S630" s="359">
        <v>800</v>
      </c>
      <c r="T630" s="359">
        <v>84</v>
      </c>
      <c r="U630" s="359">
        <v>400</v>
      </c>
      <c r="V630" s="359">
        <v>5.3</v>
      </c>
      <c r="W630" s="359">
        <v>26.5</v>
      </c>
      <c r="X630" s="359">
        <v>3.2</v>
      </c>
      <c r="Y630" s="359">
        <v>47</v>
      </c>
      <c r="Z630" s="359"/>
      <c r="AA630" s="210"/>
      <c r="AB630" s="248">
        <v>0.20880000000000001</v>
      </c>
      <c r="AC630" s="359">
        <v>0.54110000000000003</v>
      </c>
      <c r="AD630" s="359">
        <v>0.25009999999999999</v>
      </c>
      <c r="AE630" s="359" t="s">
        <v>47</v>
      </c>
      <c r="AF630" s="359">
        <v>5.05</v>
      </c>
      <c r="AG630" s="153"/>
      <c r="AH630" s="346">
        <v>406.789293921303</v>
      </c>
      <c r="AI630" s="24">
        <v>426</v>
      </c>
      <c r="AJ630" s="24">
        <v>9.69</v>
      </c>
      <c r="AK630" s="24">
        <v>1.42</v>
      </c>
      <c r="AL630" s="24">
        <f>162.4/272.7</f>
        <v>0.59552621928859562</v>
      </c>
      <c r="AM630" s="359" t="s">
        <v>54</v>
      </c>
      <c r="AN630" s="24">
        <f t="shared" si="107"/>
        <v>205.42859343025802</v>
      </c>
      <c r="AO630" s="54">
        <f t="shared" si="108"/>
        <v>19906.030703392</v>
      </c>
      <c r="AP630" s="261">
        <f t="shared" si="109"/>
        <v>3.6071428571428568</v>
      </c>
      <c r="AQ630" s="338"/>
      <c r="AR630" s="45"/>
      <c r="AS630" s="359"/>
      <c r="AT630" s="359"/>
    </row>
    <row r="631" spans="1:46" ht="12">
      <c r="A631" s="134" t="s">
        <v>861</v>
      </c>
      <c r="B631" s="359" t="str">
        <f t="shared" si="100"/>
        <v>MgO</v>
      </c>
      <c r="C631" s="141">
        <f t="shared" si="101"/>
        <v>5.15</v>
      </c>
      <c r="D631" s="277">
        <f t="shared" si="102"/>
        <v>396.173520680813</v>
      </c>
      <c r="E631" s="20">
        <f t="shared" si="103"/>
        <v>0</v>
      </c>
      <c r="F631" s="20">
        <f t="shared" si="104"/>
        <v>0</v>
      </c>
      <c r="G631" s="277">
        <f t="shared" si="105"/>
        <v>204.02936315061871</v>
      </c>
      <c r="H631" s="3">
        <f t="shared" si="110"/>
        <v>0</v>
      </c>
      <c r="I631" s="277">
        <f t="shared" si="106"/>
        <v>0</v>
      </c>
      <c r="J631" s="359" t="s">
        <v>814</v>
      </c>
      <c r="K631" s="359" t="s">
        <v>835</v>
      </c>
      <c r="L631" s="359"/>
      <c r="M631" s="338"/>
      <c r="N631" s="89">
        <v>41207</v>
      </c>
      <c r="O631" s="359">
        <v>225</v>
      </c>
      <c r="P631" s="359" t="s">
        <v>46</v>
      </c>
      <c r="Q631" s="359"/>
      <c r="R631" s="359"/>
      <c r="S631" s="359">
        <v>800</v>
      </c>
      <c r="T631" s="359">
        <v>84</v>
      </c>
      <c r="U631" s="359">
        <v>400</v>
      </c>
      <c r="V631" s="359">
        <v>5.3</v>
      </c>
      <c r="W631" s="359">
        <v>26.5</v>
      </c>
      <c r="X631" s="359">
        <v>3.2</v>
      </c>
      <c r="Y631" s="359">
        <v>47</v>
      </c>
      <c r="Z631" s="359"/>
      <c r="AA631" s="210"/>
      <c r="AB631" s="248">
        <v>0.2112</v>
      </c>
      <c r="AC631" s="359">
        <v>0.53669999999999995</v>
      </c>
      <c r="AD631" s="359">
        <v>0.25209999999999999</v>
      </c>
      <c r="AE631" s="359" t="s">
        <v>47</v>
      </c>
      <c r="AF631" s="359">
        <v>5.15</v>
      </c>
      <c r="AG631" s="153"/>
      <c r="AH631" s="346">
        <v>396.173520680813</v>
      </c>
      <c r="AI631" s="24"/>
      <c r="AJ631" s="24"/>
      <c r="AK631" s="24"/>
      <c r="AL631" s="24"/>
      <c r="AM631" s="359"/>
      <c r="AN631" s="24">
        <f t="shared" si="107"/>
        <v>204.02936315061871</v>
      </c>
      <c r="AO631" s="54">
        <f t="shared" si="108"/>
        <v>0</v>
      </c>
      <c r="AP631" s="261">
        <f t="shared" si="109"/>
        <v>3.6785714285714288</v>
      </c>
      <c r="AQ631" s="338"/>
      <c r="AR631" s="45"/>
      <c r="AS631" s="359"/>
      <c r="AT631" s="359"/>
    </row>
    <row r="632" spans="1:46" ht="12">
      <c r="A632" s="134" t="s">
        <v>862</v>
      </c>
      <c r="B632" s="359" t="str">
        <f t="shared" si="100"/>
        <v>MgO</v>
      </c>
      <c r="C632" s="141">
        <f t="shared" si="101"/>
        <v>5.16</v>
      </c>
      <c r="D632" s="277">
        <f t="shared" si="102"/>
        <v>385.46853926183098</v>
      </c>
      <c r="E632" s="20">
        <f t="shared" si="103"/>
        <v>0</v>
      </c>
      <c r="F632" s="20">
        <f t="shared" si="104"/>
        <v>0</v>
      </c>
      <c r="G632" s="277">
        <f t="shared" si="105"/>
        <v>198.90176625910479</v>
      </c>
      <c r="H632" s="3">
        <f t="shared" si="110"/>
        <v>0</v>
      </c>
      <c r="I632" s="277">
        <f t="shared" si="106"/>
        <v>0</v>
      </c>
      <c r="J632" s="359" t="s">
        <v>814</v>
      </c>
      <c r="K632" s="359"/>
      <c r="L632" s="359"/>
      <c r="M632" s="338"/>
      <c r="N632" s="89">
        <v>41207</v>
      </c>
      <c r="O632" s="359">
        <v>225</v>
      </c>
      <c r="P632" s="359" t="s">
        <v>46</v>
      </c>
      <c r="Q632" s="359"/>
      <c r="R632" s="359"/>
      <c r="S632" s="359">
        <v>800</v>
      </c>
      <c r="T632" s="359">
        <v>84</v>
      </c>
      <c r="U632" s="359">
        <v>400</v>
      </c>
      <c r="V632" s="359">
        <v>5.3</v>
      </c>
      <c r="W632" s="359">
        <v>26.5</v>
      </c>
      <c r="X632" s="359">
        <v>3.2</v>
      </c>
      <c r="Y632" s="359">
        <v>47</v>
      </c>
      <c r="Z632" s="359"/>
      <c r="AA632" s="210"/>
      <c r="AB632" s="248">
        <v>0.21490000000000001</v>
      </c>
      <c r="AC632" s="359">
        <v>0.53639999999999999</v>
      </c>
      <c r="AD632" s="359">
        <v>0.2487</v>
      </c>
      <c r="AE632" s="359" t="s">
        <v>47</v>
      </c>
      <c r="AF632" s="359">
        <v>5.16</v>
      </c>
      <c r="AG632" s="153"/>
      <c r="AH632" s="346">
        <v>385.46853926183098</v>
      </c>
      <c r="AI632" s="24"/>
      <c r="AJ632" s="24"/>
      <c r="AK632" s="24"/>
      <c r="AL632" s="24"/>
      <c r="AM632" s="359"/>
      <c r="AN632" s="24">
        <f t="shared" si="107"/>
        <v>198.90176625910479</v>
      </c>
      <c r="AO632" s="54">
        <f t="shared" si="108"/>
        <v>0</v>
      </c>
      <c r="AP632" s="261">
        <f t="shared" si="109"/>
        <v>3.6857142857142859</v>
      </c>
      <c r="AQ632" s="338"/>
      <c r="AR632" s="45"/>
      <c r="AS632" s="359"/>
      <c r="AT632" s="359"/>
    </row>
    <row r="633" spans="1:46" ht="12">
      <c r="A633" s="134" t="s">
        <v>863</v>
      </c>
      <c r="B633" s="359" t="str">
        <f t="shared" si="100"/>
        <v>MgO</v>
      </c>
      <c r="C633" s="141">
        <f t="shared" si="101"/>
        <v>0</v>
      </c>
      <c r="D633" s="277">
        <f t="shared" si="102"/>
        <v>393.94331621852501</v>
      </c>
      <c r="E633" s="20">
        <f t="shared" si="103"/>
        <v>0</v>
      </c>
      <c r="F633" s="20">
        <f t="shared" si="104"/>
        <v>0</v>
      </c>
      <c r="G633" s="277">
        <f t="shared" si="105"/>
        <v>0</v>
      </c>
      <c r="H633" s="3">
        <f t="shared" si="110"/>
        <v>0</v>
      </c>
      <c r="I633" s="277">
        <f t="shared" si="106"/>
        <v>0</v>
      </c>
      <c r="J633" s="359" t="s">
        <v>814</v>
      </c>
      <c r="K633" s="359" t="s">
        <v>864</v>
      </c>
      <c r="L633" s="359"/>
      <c r="M633" s="338"/>
      <c r="N633" s="89">
        <v>41207</v>
      </c>
      <c r="O633" s="359">
        <v>225</v>
      </c>
      <c r="P633" s="359" t="s">
        <v>46</v>
      </c>
      <c r="Q633" s="359"/>
      <c r="R633" s="359"/>
      <c r="S633" s="359">
        <v>800</v>
      </c>
      <c r="T633" s="359">
        <v>84</v>
      </c>
      <c r="U633" s="359">
        <v>400</v>
      </c>
      <c r="V633" s="359">
        <v>5.3</v>
      </c>
      <c r="W633" s="359">
        <v>26.5</v>
      </c>
      <c r="X633" s="359">
        <v>3.2</v>
      </c>
      <c r="Y633" s="359">
        <v>47</v>
      </c>
      <c r="Z633" s="359"/>
      <c r="AA633" s="210"/>
      <c r="AB633" s="248"/>
      <c r="AC633" s="359"/>
      <c r="AD633" s="359"/>
      <c r="AE633" s="359"/>
      <c r="AF633" s="359"/>
      <c r="AG633" s="153"/>
      <c r="AH633" s="346">
        <v>393.94331621852501</v>
      </c>
      <c r="AI633" s="24"/>
      <c r="AJ633" s="24"/>
      <c r="AK633" s="24"/>
      <c r="AL633" s="24"/>
      <c r="AM633" s="359"/>
      <c r="AN633" s="24">
        <f t="shared" si="107"/>
        <v>0</v>
      </c>
      <c r="AO633" s="54">
        <f t="shared" si="108"/>
        <v>0</v>
      </c>
      <c r="AP633" s="261">
        <f t="shared" si="109"/>
        <v>0</v>
      </c>
      <c r="AQ633" s="338"/>
      <c r="AR633" s="45"/>
      <c r="AS633" s="359"/>
      <c r="AT633" s="359"/>
    </row>
    <row r="634" spans="1:46" ht="12">
      <c r="A634" s="134" t="s">
        <v>865</v>
      </c>
      <c r="B634" s="359" t="str">
        <f t="shared" si="100"/>
        <v>MgO</v>
      </c>
      <c r="C634" s="141">
        <f t="shared" si="101"/>
        <v>4.46</v>
      </c>
      <c r="D634" s="277">
        <f t="shared" si="102"/>
        <v>292.24599273819899</v>
      </c>
      <c r="E634" s="20">
        <f t="shared" si="103"/>
        <v>0</v>
      </c>
      <c r="F634" s="20">
        <f t="shared" si="104"/>
        <v>0</v>
      </c>
      <c r="G634" s="277">
        <f t="shared" si="105"/>
        <v>130.34171276123675</v>
      </c>
      <c r="H634" s="3">
        <f t="shared" si="110"/>
        <v>0</v>
      </c>
      <c r="I634" s="277">
        <f t="shared" si="106"/>
        <v>0</v>
      </c>
      <c r="J634" s="359" t="s">
        <v>814</v>
      </c>
      <c r="K634" s="359"/>
      <c r="L634" s="359"/>
      <c r="M634" s="338"/>
      <c r="N634" s="89">
        <v>41213</v>
      </c>
      <c r="O634" s="359">
        <v>228</v>
      </c>
      <c r="P634" s="359" t="s">
        <v>46</v>
      </c>
      <c r="Q634" s="359"/>
      <c r="R634" s="359"/>
      <c r="S634" s="359">
        <v>800</v>
      </c>
      <c r="T634" s="359">
        <v>63</v>
      </c>
      <c r="U634" s="359">
        <v>400</v>
      </c>
      <c r="V634" s="359">
        <v>5.3</v>
      </c>
      <c r="W634" s="359">
        <v>26.5</v>
      </c>
      <c r="X634" s="359">
        <v>3.2</v>
      </c>
      <c r="Y634" s="359">
        <v>47</v>
      </c>
      <c r="Z634" s="359"/>
      <c r="AA634" s="210"/>
      <c r="AB634" s="248">
        <v>0.2001</v>
      </c>
      <c r="AC634" s="359">
        <v>0.56940000000000002</v>
      </c>
      <c r="AD634" s="359">
        <v>0.23050000000000001</v>
      </c>
      <c r="AE634" s="359" t="s">
        <v>47</v>
      </c>
      <c r="AF634" s="359">
        <v>4.46</v>
      </c>
      <c r="AG634" s="153"/>
      <c r="AH634" s="346">
        <v>292.24599273819899</v>
      </c>
      <c r="AI634" s="24"/>
      <c r="AJ634" s="24"/>
      <c r="AK634" s="24"/>
      <c r="AL634" s="24"/>
      <c r="AM634" s="359"/>
      <c r="AN634" s="24">
        <f t="shared" si="107"/>
        <v>130.34171276123675</v>
      </c>
      <c r="AO634" s="54">
        <f t="shared" si="108"/>
        <v>0</v>
      </c>
      <c r="AP634" s="261">
        <f t="shared" si="109"/>
        <v>4.2476190476190476</v>
      </c>
      <c r="AQ634" s="338"/>
      <c r="AR634" s="45"/>
      <c r="AS634" s="359"/>
      <c r="AT634" s="359"/>
    </row>
    <row r="635" spans="1:46" ht="12">
      <c r="A635" s="134" t="s">
        <v>866</v>
      </c>
      <c r="B635" s="359" t="str">
        <f t="shared" si="100"/>
        <v>MgO</v>
      </c>
      <c r="C635" s="141">
        <f t="shared" si="101"/>
        <v>4.3899999999999997</v>
      </c>
      <c r="D635" s="277">
        <f t="shared" si="102"/>
        <v>297.866107983164</v>
      </c>
      <c r="E635" s="20">
        <f t="shared" si="103"/>
        <v>12.42</v>
      </c>
      <c r="F635" s="20">
        <f t="shared" si="104"/>
        <v>1.0900000000000001</v>
      </c>
      <c r="G635" s="277">
        <f t="shared" si="105"/>
        <v>130.76322140460897</v>
      </c>
      <c r="H635" s="3">
        <f t="shared" si="110"/>
        <v>0.83499999999999996</v>
      </c>
      <c r="I635" s="277">
        <f t="shared" si="106"/>
        <v>16240.792098452435</v>
      </c>
      <c r="J635" s="359" t="s">
        <v>814</v>
      </c>
      <c r="K635" s="359" t="s">
        <v>867</v>
      </c>
      <c r="L635" s="359"/>
      <c r="M635" s="338"/>
      <c r="N635" s="89">
        <v>41213</v>
      </c>
      <c r="O635" s="359">
        <v>228</v>
      </c>
      <c r="P635" s="359" t="s">
        <v>46</v>
      </c>
      <c r="Q635" s="359"/>
      <c r="R635" s="359"/>
      <c r="S635" s="359">
        <v>800</v>
      </c>
      <c r="T635" s="359">
        <v>63</v>
      </c>
      <c r="U635" s="359">
        <v>400</v>
      </c>
      <c r="V635" s="359">
        <v>5.3</v>
      </c>
      <c r="W635" s="359">
        <v>26.5</v>
      </c>
      <c r="X635" s="359">
        <v>3.2</v>
      </c>
      <c r="Y635" s="359">
        <v>47</v>
      </c>
      <c r="Z635" s="359"/>
      <c r="AA635" s="210"/>
      <c r="AB635" s="248">
        <v>0.1978</v>
      </c>
      <c r="AC635" s="359">
        <v>0.5726</v>
      </c>
      <c r="AD635" s="359">
        <v>0.2296</v>
      </c>
      <c r="AE635" s="359" t="s">
        <v>47</v>
      </c>
      <c r="AF635" s="359">
        <v>4.3899999999999997</v>
      </c>
      <c r="AG635" s="153"/>
      <c r="AH635" s="346">
        <v>297.866107983164</v>
      </c>
      <c r="AI635" s="24">
        <v>310</v>
      </c>
      <c r="AJ635" s="24">
        <v>12.42</v>
      </c>
      <c r="AK635" s="24">
        <v>1.0900000000000001</v>
      </c>
      <c r="AL635" s="24">
        <v>0.83499999999999996</v>
      </c>
      <c r="AM635" s="359" t="s">
        <v>54</v>
      </c>
      <c r="AN635" s="24">
        <f t="shared" si="107"/>
        <v>130.76322140460897</v>
      </c>
      <c r="AO635" s="54">
        <f t="shared" si="108"/>
        <v>16240.792098452435</v>
      </c>
      <c r="AP635" s="261">
        <f t="shared" si="109"/>
        <v>4.1809523809523803</v>
      </c>
      <c r="AQ635" s="338"/>
      <c r="AR635" s="45"/>
      <c r="AS635" s="359"/>
      <c r="AT635" s="359"/>
    </row>
    <row r="636" spans="1:46" ht="12">
      <c r="A636" s="134" t="s">
        <v>868</v>
      </c>
      <c r="B636" s="359" t="str">
        <f t="shared" si="100"/>
        <v>MgO</v>
      </c>
      <c r="C636" s="141">
        <f t="shared" si="101"/>
        <v>4.3899999999999997</v>
      </c>
      <c r="D636" s="277">
        <f t="shared" si="102"/>
        <v>292.424409095182</v>
      </c>
      <c r="E636" s="20">
        <f t="shared" si="103"/>
        <v>0</v>
      </c>
      <c r="F636" s="20">
        <f t="shared" si="104"/>
        <v>0</v>
      </c>
      <c r="G636" s="277">
        <f t="shared" si="105"/>
        <v>128.37431559278488</v>
      </c>
      <c r="H636" s="3">
        <f t="shared" si="110"/>
        <v>0</v>
      </c>
      <c r="I636" s="277">
        <f t="shared" si="106"/>
        <v>0</v>
      </c>
      <c r="J636" s="359" t="s">
        <v>814</v>
      </c>
      <c r="K636" s="359" t="s">
        <v>837</v>
      </c>
      <c r="L636" s="359"/>
      <c r="M636" s="338"/>
      <c r="N636" s="89">
        <v>41213</v>
      </c>
      <c r="O636" s="359">
        <v>228</v>
      </c>
      <c r="P636" s="359" t="s">
        <v>46</v>
      </c>
      <c r="Q636" s="359"/>
      <c r="R636" s="359"/>
      <c r="S636" s="359">
        <v>800</v>
      </c>
      <c r="T636" s="359">
        <v>63</v>
      </c>
      <c r="U636" s="359">
        <v>400</v>
      </c>
      <c r="V636" s="359">
        <v>5.3</v>
      </c>
      <c r="W636" s="359">
        <v>26.5</v>
      </c>
      <c r="X636" s="359">
        <v>3.2</v>
      </c>
      <c r="Y636" s="359">
        <v>47</v>
      </c>
      <c r="Z636" s="359"/>
      <c r="AA636" s="210"/>
      <c r="AB636" s="248">
        <v>0.19969999999999999</v>
      </c>
      <c r="AC636" s="359">
        <v>0.5726</v>
      </c>
      <c r="AD636" s="359">
        <v>0.22770000000000001</v>
      </c>
      <c r="AE636" s="359" t="s">
        <v>47</v>
      </c>
      <c r="AF636" s="359">
        <v>4.3899999999999997</v>
      </c>
      <c r="AG636" s="153"/>
      <c r="AH636" s="346">
        <v>292.424409095182</v>
      </c>
      <c r="AI636" s="24"/>
      <c r="AJ636" s="24"/>
      <c r="AK636" s="24"/>
      <c r="AL636" s="24"/>
      <c r="AM636" s="359"/>
      <c r="AN636" s="24">
        <f t="shared" si="107"/>
        <v>128.37431559278488</v>
      </c>
      <c r="AO636" s="54">
        <f t="shared" si="108"/>
        <v>0</v>
      </c>
      <c r="AP636" s="261">
        <f t="shared" si="109"/>
        <v>4.1809523809523803</v>
      </c>
      <c r="AQ636" s="338"/>
      <c r="AR636" s="45"/>
      <c r="AS636" s="359"/>
      <c r="AT636" s="359"/>
    </row>
    <row r="637" spans="1:46" ht="12">
      <c r="A637" s="134" t="s">
        <v>869</v>
      </c>
      <c r="B637" s="359" t="str">
        <f t="shared" si="100"/>
        <v>MgO</v>
      </c>
      <c r="C637" s="141">
        <f t="shared" si="101"/>
        <v>4.47</v>
      </c>
      <c r="D637" s="277">
        <f t="shared" si="102"/>
        <v>304.11068047756999</v>
      </c>
      <c r="E637" s="20">
        <f t="shared" si="103"/>
        <v>0</v>
      </c>
      <c r="F637" s="20">
        <f t="shared" si="104"/>
        <v>0</v>
      </c>
      <c r="G637" s="277">
        <f t="shared" si="105"/>
        <v>135.93747417347376</v>
      </c>
      <c r="H637" s="3">
        <f t="shared" si="110"/>
        <v>0</v>
      </c>
      <c r="I637" s="277">
        <f t="shared" si="106"/>
        <v>0</v>
      </c>
      <c r="J637" s="359" t="s">
        <v>814</v>
      </c>
      <c r="K637" s="321" t="s">
        <v>837</v>
      </c>
      <c r="L637" s="321"/>
      <c r="M637" s="338"/>
      <c r="N637" s="89">
        <v>41213</v>
      </c>
      <c r="O637" s="359">
        <v>228</v>
      </c>
      <c r="P637" s="359" t="s">
        <v>46</v>
      </c>
      <c r="Q637" s="359"/>
      <c r="R637" s="359"/>
      <c r="S637" s="359">
        <v>800</v>
      </c>
      <c r="T637" s="359">
        <v>63</v>
      </c>
      <c r="U637" s="359">
        <v>400</v>
      </c>
      <c r="V637" s="359">
        <v>5.3</v>
      </c>
      <c r="W637" s="359">
        <v>26.5</v>
      </c>
      <c r="X637" s="359">
        <v>3.2</v>
      </c>
      <c r="Y637" s="359">
        <v>47</v>
      </c>
      <c r="Z637" s="359"/>
      <c r="AA637" s="210"/>
      <c r="AB637" s="248">
        <v>0.20030000000000001</v>
      </c>
      <c r="AC637" s="359">
        <v>0.56859999999999999</v>
      </c>
      <c r="AD637" s="359">
        <v>0.23100000000000001</v>
      </c>
      <c r="AE637" s="359" t="s">
        <v>47</v>
      </c>
      <c r="AF637" s="359">
        <v>4.47</v>
      </c>
      <c r="AG637" s="153"/>
      <c r="AH637" s="346">
        <v>304.11068047756999</v>
      </c>
      <c r="AI637" s="24"/>
      <c r="AJ637" s="24"/>
      <c r="AK637" s="24"/>
      <c r="AL637" s="24"/>
      <c r="AM637" s="359"/>
      <c r="AN637" s="24">
        <f t="shared" si="107"/>
        <v>135.93747417347376</v>
      </c>
      <c r="AO637" s="54">
        <f t="shared" si="108"/>
        <v>0</v>
      </c>
      <c r="AP637" s="261">
        <f t="shared" si="109"/>
        <v>4.2571428571428571</v>
      </c>
      <c r="AQ637" s="338"/>
      <c r="AR637" s="45"/>
      <c r="AS637" s="359"/>
      <c r="AT637" s="359"/>
    </row>
    <row r="638" spans="1:46" ht="12">
      <c r="A638" s="134" t="s">
        <v>870</v>
      </c>
      <c r="B638" s="359" t="str">
        <f t="shared" si="100"/>
        <v>MgO</v>
      </c>
      <c r="C638" s="141">
        <f t="shared" si="101"/>
        <v>3.14</v>
      </c>
      <c r="D638" s="277">
        <f t="shared" si="102"/>
        <v>475.30117500278499</v>
      </c>
      <c r="E638" s="20">
        <f t="shared" si="103"/>
        <v>0</v>
      </c>
      <c r="F638" s="20">
        <f t="shared" si="104"/>
        <v>0</v>
      </c>
      <c r="G638" s="277">
        <f t="shared" si="105"/>
        <v>149.24456895087448</v>
      </c>
      <c r="H638" s="3">
        <f t="shared" si="110"/>
        <v>0</v>
      </c>
      <c r="I638" s="277">
        <f t="shared" si="106"/>
        <v>0</v>
      </c>
      <c r="J638" s="359" t="s">
        <v>814</v>
      </c>
      <c r="K638" s="359"/>
      <c r="L638" s="359"/>
      <c r="M638" s="338"/>
      <c r="N638" s="89">
        <v>41213</v>
      </c>
      <c r="O638" s="359">
        <v>229</v>
      </c>
      <c r="P638" s="359" t="s">
        <v>46</v>
      </c>
      <c r="Q638" s="359"/>
      <c r="R638" s="359"/>
      <c r="S638" s="359">
        <v>800</v>
      </c>
      <c r="T638" s="359">
        <v>42</v>
      </c>
      <c r="U638" s="359">
        <v>400</v>
      </c>
      <c r="V638" s="359">
        <v>5.3</v>
      </c>
      <c r="W638" s="359">
        <v>26.5</v>
      </c>
      <c r="X638" s="359">
        <v>3.2</v>
      </c>
      <c r="Y638" s="359">
        <v>47</v>
      </c>
      <c r="Z638" s="359"/>
      <c r="AA638" s="210"/>
      <c r="AB638" s="248">
        <v>0.1648</v>
      </c>
      <c r="AC638" s="359">
        <v>0.63890000000000002</v>
      </c>
      <c r="AD638" s="359">
        <v>0.19639999999999999</v>
      </c>
      <c r="AE638" s="359" t="s">
        <v>47</v>
      </c>
      <c r="AF638" s="180">
        <v>3.14</v>
      </c>
      <c r="AG638" s="153"/>
      <c r="AH638" s="346">
        <v>475.30117500278499</v>
      </c>
      <c r="AI638" s="24"/>
      <c r="AJ638" s="24"/>
      <c r="AK638" s="24"/>
      <c r="AL638" s="24"/>
      <c r="AM638" s="359"/>
      <c r="AN638" s="24">
        <f t="shared" si="107"/>
        <v>149.24456895087448</v>
      </c>
      <c r="AO638" s="54">
        <f t="shared" si="108"/>
        <v>0</v>
      </c>
      <c r="AP638" s="261">
        <f t="shared" si="109"/>
        <v>4.4857142857142858</v>
      </c>
      <c r="AQ638" s="338"/>
      <c r="AR638" s="45"/>
      <c r="AS638" s="359"/>
      <c r="AT638" s="359"/>
    </row>
    <row r="639" spans="1:46" ht="12">
      <c r="A639" s="134" t="s">
        <v>871</v>
      </c>
      <c r="B639" s="359" t="str">
        <f t="shared" si="100"/>
        <v>MgO</v>
      </c>
      <c r="C639" s="141">
        <f t="shared" si="101"/>
        <v>2.78</v>
      </c>
      <c r="D639" s="277">
        <f t="shared" si="102"/>
        <v>464.50698540531198</v>
      </c>
      <c r="E639" s="20">
        <f t="shared" si="103"/>
        <v>11.39</v>
      </c>
      <c r="F639" s="20">
        <f t="shared" si="104"/>
        <v>1.53</v>
      </c>
      <c r="G639" s="277">
        <f t="shared" si="105"/>
        <v>129.13294194267672</v>
      </c>
      <c r="H639" s="3">
        <f t="shared" si="110"/>
        <v>0.85099999999999998</v>
      </c>
      <c r="I639" s="277">
        <f t="shared" si="106"/>
        <v>14708.242087270879</v>
      </c>
      <c r="J639" s="359" t="s">
        <v>814</v>
      </c>
      <c r="K639" s="359" t="s">
        <v>284</v>
      </c>
      <c r="L639" s="359"/>
      <c r="M639" s="338"/>
      <c r="N639" s="89">
        <v>41213</v>
      </c>
      <c r="O639" s="359">
        <v>229</v>
      </c>
      <c r="P639" s="359" t="s">
        <v>46</v>
      </c>
      <c r="Q639" s="359"/>
      <c r="R639" s="359"/>
      <c r="S639" s="359">
        <v>800</v>
      </c>
      <c r="T639" s="359">
        <v>42</v>
      </c>
      <c r="U639" s="359">
        <v>400</v>
      </c>
      <c r="V639" s="359">
        <v>5.3</v>
      </c>
      <c r="W639" s="359">
        <v>26.5</v>
      </c>
      <c r="X639" s="359">
        <v>3.2</v>
      </c>
      <c r="Y639" s="359">
        <v>47</v>
      </c>
      <c r="Z639" s="359"/>
      <c r="AA639" s="210"/>
      <c r="AB639" s="248">
        <v>0.17180000000000001</v>
      </c>
      <c r="AC639" s="359">
        <v>0.65990000000000004</v>
      </c>
      <c r="AD639" s="359">
        <v>0.16830000000000001</v>
      </c>
      <c r="AE639" s="359" t="s">
        <v>47</v>
      </c>
      <c r="AF639" s="359">
        <v>2.78</v>
      </c>
      <c r="AG639" s="153"/>
      <c r="AH639" s="346">
        <v>464.50698540531198</v>
      </c>
      <c r="AI639" s="24">
        <v>474</v>
      </c>
      <c r="AJ639" s="24">
        <v>11.39</v>
      </c>
      <c r="AK639" s="24">
        <v>1.53</v>
      </c>
      <c r="AL639" s="24">
        <v>0.85099999999999998</v>
      </c>
      <c r="AM639" s="359" t="s">
        <v>54</v>
      </c>
      <c r="AN639" s="24">
        <f t="shared" si="107"/>
        <v>129.13294194267672</v>
      </c>
      <c r="AO639" s="54">
        <f t="shared" si="108"/>
        <v>14708.242087270879</v>
      </c>
      <c r="AP639" s="261">
        <f t="shared" si="109"/>
        <v>3.9714285714285715</v>
      </c>
      <c r="AQ639" s="338"/>
      <c r="AR639" s="45"/>
      <c r="AS639" s="359"/>
      <c r="AT639" s="359"/>
    </row>
    <row r="640" spans="1:46" ht="12">
      <c r="A640" s="134" t="s">
        <v>872</v>
      </c>
      <c r="B640" s="359" t="str">
        <f t="shared" si="100"/>
        <v>MgO</v>
      </c>
      <c r="C640" s="141">
        <f t="shared" si="101"/>
        <v>2.79</v>
      </c>
      <c r="D640" s="277">
        <f t="shared" si="102"/>
        <v>562.36835721050295</v>
      </c>
      <c r="E640" s="20">
        <f t="shared" si="103"/>
        <v>0</v>
      </c>
      <c r="F640" s="20">
        <f t="shared" si="104"/>
        <v>0</v>
      </c>
      <c r="G640" s="277">
        <f t="shared" si="105"/>
        <v>156.90077166173032</v>
      </c>
      <c r="H640" s="3">
        <f t="shared" si="110"/>
        <v>0</v>
      </c>
      <c r="I640" s="277">
        <f t="shared" si="106"/>
        <v>0</v>
      </c>
      <c r="J640" s="359" t="s">
        <v>814</v>
      </c>
      <c r="K640" s="359"/>
      <c r="L640" s="359"/>
      <c r="M640" s="338"/>
      <c r="N640" s="89">
        <v>41213</v>
      </c>
      <c r="O640" s="359">
        <v>229</v>
      </c>
      <c r="P640" s="359" t="s">
        <v>46</v>
      </c>
      <c r="Q640" s="359"/>
      <c r="R640" s="359"/>
      <c r="S640" s="359">
        <v>800</v>
      </c>
      <c r="T640" s="359">
        <v>42</v>
      </c>
      <c r="U640" s="359">
        <v>400</v>
      </c>
      <c r="V640" s="359">
        <v>5.3</v>
      </c>
      <c r="W640" s="359">
        <v>26.5</v>
      </c>
      <c r="X640" s="359">
        <v>3.2</v>
      </c>
      <c r="Y640" s="359">
        <v>47</v>
      </c>
      <c r="Z640" s="359"/>
      <c r="AA640" s="210"/>
      <c r="AB640" s="248">
        <v>0.17119999999999999</v>
      </c>
      <c r="AC640" s="359">
        <v>0.65949999999999998</v>
      </c>
      <c r="AD640" s="359">
        <v>0.16930000000000001</v>
      </c>
      <c r="AE640" s="359" t="s">
        <v>47</v>
      </c>
      <c r="AF640" s="359">
        <v>2.79</v>
      </c>
      <c r="AG640" s="153"/>
      <c r="AH640" s="346">
        <v>562.36835721050295</v>
      </c>
      <c r="AI640" s="24"/>
      <c r="AJ640" s="24"/>
      <c r="AK640" s="24"/>
      <c r="AL640" s="24"/>
      <c r="AM640" s="359"/>
      <c r="AN640" s="24">
        <f t="shared" si="107"/>
        <v>156.90077166173032</v>
      </c>
      <c r="AO640" s="54">
        <f t="shared" si="108"/>
        <v>0</v>
      </c>
      <c r="AP640" s="261">
        <f t="shared" si="109"/>
        <v>3.9857142857142862</v>
      </c>
      <c r="AQ640" s="338"/>
      <c r="AR640" s="45"/>
      <c r="AS640" s="359"/>
      <c r="AT640" s="359"/>
    </row>
    <row r="641" spans="1:46" ht="12">
      <c r="A641" s="134" t="s">
        <v>873</v>
      </c>
      <c r="B641" s="359" t="str">
        <f t="shared" si="100"/>
        <v>MgO</v>
      </c>
      <c r="C641" s="141">
        <f t="shared" si="101"/>
        <v>2.78</v>
      </c>
      <c r="D641" s="277">
        <f t="shared" si="102"/>
        <v>467.80768800949801</v>
      </c>
      <c r="E641" s="20">
        <f t="shared" si="103"/>
        <v>0</v>
      </c>
      <c r="F641" s="20">
        <f t="shared" si="104"/>
        <v>0</v>
      </c>
      <c r="G641" s="277">
        <f t="shared" si="105"/>
        <v>130.05053726664045</v>
      </c>
      <c r="H641" s="3">
        <f t="shared" si="110"/>
        <v>0</v>
      </c>
      <c r="I641" s="277">
        <f t="shared" si="106"/>
        <v>0</v>
      </c>
      <c r="J641" s="359" t="s">
        <v>814</v>
      </c>
      <c r="K641" s="359"/>
      <c r="L641" s="359"/>
      <c r="M641" s="338"/>
      <c r="N641" s="89">
        <v>41213</v>
      </c>
      <c r="O641" s="359">
        <v>229</v>
      </c>
      <c r="P641" s="359" t="s">
        <v>46</v>
      </c>
      <c r="Q641" s="359"/>
      <c r="R641" s="359"/>
      <c r="S641" s="359">
        <v>800</v>
      </c>
      <c r="T641" s="359">
        <v>42</v>
      </c>
      <c r="U641" s="359">
        <v>400</v>
      </c>
      <c r="V641" s="359">
        <v>5.3</v>
      </c>
      <c r="W641" s="359">
        <v>26.5</v>
      </c>
      <c r="X641" s="359">
        <v>3.2</v>
      </c>
      <c r="Y641" s="359">
        <v>47</v>
      </c>
      <c r="Z641" s="359"/>
      <c r="AA641" s="210"/>
      <c r="AB641" s="248">
        <v>0.1711</v>
      </c>
      <c r="AC641" s="359">
        <v>0.65990000000000004</v>
      </c>
      <c r="AD641" s="359">
        <v>0.16900000000000001</v>
      </c>
      <c r="AE641" s="359" t="s">
        <v>47</v>
      </c>
      <c r="AF641" s="359">
        <v>2.78</v>
      </c>
      <c r="AG641" s="153"/>
      <c r="AH641" s="346">
        <v>467.80768800949801</v>
      </c>
      <c r="AI641" s="24"/>
      <c r="AJ641" s="24"/>
      <c r="AK641" s="24"/>
      <c r="AL641" s="24"/>
      <c r="AM641" s="359"/>
      <c r="AN641" s="24">
        <f t="shared" si="107"/>
        <v>130.05053726664045</v>
      </c>
      <c r="AO641" s="54">
        <f t="shared" si="108"/>
        <v>0</v>
      </c>
      <c r="AP641" s="261">
        <f t="shared" si="109"/>
        <v>3.9714285714285715</v>
      </c>
      <c r="AQ641" s="338"/>
      <c r="AR641" s="45"/>
      <c r="AS641" s="359"/>
      <c r="AT641" s="359"/>
    </row>
    <row r="642" spans="1:46" ht="12">
      <c r="A642" s="134" t="s">
        <v>874</v>
      </c>
      <c r="B642" s="359" t="str">
        <f t="shared" si="100"/>
        <v>MgO</v>
      </c>
      <c r="C642" s="141">
        <f t="shared" si="101"/>
        <v>2.84</v>
      </c>
      <c r="D642" s="277">
        <f t="shared" si="102"/>
        <v>461.91994822905798</v>
      </c>
      <c r="E642" s="20">
        <f t="shared" si="103"/>
        <v>11.52</v>
      </c>
      <c r="F642" s="20">
        <f t="shared" si="104"/>
        <v>1.54</v>
      </c>
      <c r="G642" s="277">
        <f t="shared" si="105"/>
        <v>131.18526529705247</v>
      </c>
      <c r="H642" s="3">
        <f t="shared" si="110"/>
        <v>0.85960000000000003</v>
      </c>
      <c r="I642" s="277">
        <f t="shared" si="106"/>
        <v>15112.542562220442</v>
      </c>
      <c r="J642" s="359" t="s">
        <v>814</v>
      </c>
      <c r="K642" s="359"/>
      <c r="L642" s="359"/>
      <c r="M642" s="338"/>
      <c r="N642" s="89">
        <v>41214</v>
      </c>
      <c r="O642" s="359">
        <v>230</v>
      </c>
      <c r="P642" s="359" t="s">
        <v>46</v>
      </c>
      <c r="Q642" s="359"/>
      <c r="R642" s="359"/>
      <c r="S642" s="359">
        <v>800</v>
      </c>
      <c r="T642" s="359">
        <v>42</v>
      </c>
      <c r="U642" s="359">
        <v>400</v>
      </c>
      <c r="V642" s="359">
        <v>5.3</v>
      </c>
      <c r="W642" s="359">
        <v>26.5</v>
      </c>
      <c r="X642" s="359">
        <v>3.2</v>
      </c>
      <c r="Y642" s="359">
        <v>40</v>
      </c>
      <c r="Z642" s="359"/>
      <c r="AA642" s="210"/>
      <c r="AB642" s="248">
        <v>0.1711</v>
      </c>
      <c r="AC642" s="359">
        <v>0.65629999999999999</v>
      </c>
      <c r="AD642" s="359">
        <v>0.1726</v>
      </c>
      <c r="AE642" s="359" t="s">
        <v>47</v>
      </c>
      <c r="AF642" s="359">
        <v>2.84</v>
      </c>
      <c r="AG642" s="153"/>
      <c r="AH642" s="346">
        <v>461.91994822905798</v>
      </c>
      <c r="AI642" s="24">
        <v>462</v>
      </c>
      <c r="AJ642" s="24">
        <v>11.52</v>
      </c>
      <c r="AK642" s="24">
        <v>1.54</v>
      </c>
      <c r="AL642" s="24">
        <v>0.85960000000000003</v>
      </c>
      <c r="AM642" s="359" t="s">
        <v>54</v>
      </c>
      <c r="AN642" s="24">
        <f t="shared" si="107"/>
        <v>131.18526529705247</v>
      </c>
      <c r="AO642" s="54">
        <f t="shared" si="108"/>
        <v>15112.542562220442</v>
      </c>
      <c r="AP642" s="261">
        <f t="shared" si="109"/>
        <v>4.0571428571428569</v>
      </c>
      <c r="AQ642" s="338"/>
      <c r="AR642" s="45"/>
      <c r="AS642" s="359"/>
      <c r="AT642" s="359"/>
    </row>
    <row r="643" spans="1:46" ht="12">
      <c r="A643" s="134" t="s">
        <v>875</v>
      </c>
      <c r="B643" s="359" t="str">
        <f t="shared" ref="B643:B706" si="111">P643</f>
        <v>MgO</v>
      </c>
      <c r="C643" s="141">
        <f t="shared" ref="C643:C706" si="112">AF643</f>
        <v>2.89</v>
      </c>
      <c r="D643" s="277">
        <f t="shared" ref="D643:D706" si="113">AH643</f>
        <v>444.52435342321297</v>
      </c>
      <c r="E643" s="20">
        <f t="shared" ref="E643:E706" si="114">AJ643</f>
        <v>11.2</v>
      </c>
      <c r="F643" s="20">
        <f t="shared" ref="F643:F706" si="115">AK643</f>
        <v>1.52</v>
      </c>
      <c r="G643" s="277">
        <f t="shared" ref="G643:G706" si="116">AN643</f>
        <v>128.46753813930854</v>
      </c>
      <c r="H643" s="3">
        <f t="shared" si="110"/>
        <v>0.88300000000000001</v>
      </c>
      <c r="I643" s="277">
        <f t="shared" ref="I643:I706" si="117">AO643</f>
        <v>14388.364271602555</v>
      </c>
      <c r="J643" s="359" t="s">
        <v>814</v>
      </c>
      <c r="K643" s="359"/>
      <c r="L643" s="359"/>
      <c r="M643" s="338"/>
      <c r="N643" s="89">
        <v>41214</v>
      </c>
      <c r="O643" s="359">
        <v>230</v>
      </c>
      <c r="P643" s="359" t="s">
        <v>46</v>
      </c>
      <c r="Q643" s="359"/>
      <c r="R643" s="359"/>
      <c r="S643" s="359">
        <v>800</v>
      </c>
      <c r="T643" s="359">
        <v>42</v>
      </c>
      <c r="U643" s="359">
        <v>400</v>
      </c>
      <c r="V643" s="359">
        <v>5.3</v>
      </c>
      <c r="W643" s="359">
        <v>26.5</v>
      </c>
      <c r="X643" s="359">
        <v>3.2</v>
      </c>
      <c r="Y643" s="359">
        <v>40</v>
      </c>
      <c r="Z643" s="359"/>
      <c r="AA643" s="210"/>
      <c r="AB643" s="248">
        <v>0.17269999999999999</v>
      </c>
      <c r="AC643" s="359">
        <v>0.6532</v>
      </c>
      <c r="AD643" s="359">
        <v>0.1741</v>
      </c>
      <c r="AE643" s="359" t="s">
        <v>47</v>
      </c>
      <c r="AF643" s="359">
        <v>2.89</v>
      </c>
      <c r="AG643" s="153"/>
      <c r="AH643" s="346">
        <v>444.52435342321297</v>
      </c>
      <c r="AI643" s="24">
        <v>445</v>
      </c>
      <c r="AJ643" s="24">
        <v>11.2</v>
      </c>
      <c r="AK643" s="24">
        <v>1.52</v>
      </c>
      <c r="AL643" s="24">
        <v>0.88300000000000001</v>
      </c>
      <c r="AM643" s="359" t="s">
        <v>54</v>
      </c>
      <c r="AN643" s="24">
        <f t="shared" ref="AN643:AN706" si="118">((AH643*AF643)/10)</f>
        <v>128.46753813930854</v>
      </c>
      <c r="AO643" s="54">
        <f t="shared" ref="AO643:AO706" si="119">(AF643*AH643)*AJ643</f>
        <v>14388.364271602555</v>
      </c>
      <c r="AP643" s="261">
        <f t="shared" ref="AP643:AP706" si="120">(AF643/T643)*60</f>
        <v>4.1285714285714281</v>
      </c>
      <c r="AQ643" s="338"/>
      <c r="AR643" s="45"/>
      <c r="AS643" s="359"/>
      <c r="AT643" s="359"/>
    </row>
    <row r="644" spans="1:46" ht="12">
      <c r="A644" s="134" t="s">
        <v>876</v>
      </c>
      <c r="B644" s="359" t="str">
        <f t="shared" si="111"/>
        <v>MgO</v>
      </c>
      <c r="C644" s="141">
        <f t="shared" si="112"/>
        <v>2.83</v>
      </c>
      <c r="D644" s="277">
        <f t="shared" si="113"/>
        <v>449.96605231119503</v>
      </c>
      <c r="E644" s="20">
        <f t="shared" si="114"/>
        <v>11.56</v>
      </c>
      <c r="F644" s="20">
        <f t="shared" si="115"/>
        <v>1.52</v>
      </c>
      <c r="G644" s="277">
        <f t="shared" si="116"/>
        <v>127.34039280406819</v>
      </c>
      <c r="H644" s="3">
        <f t="shared" si="110"/>
        <v>0.86499999999999999</v>
      </c>
      <c r="I644" s="277">
        <f t="shared" si="117"/>
        <v>14720.549408150284</v>
      </c>
      <c r="J644" s="359" t="s">
        <v>814</v>
      </c>
      <c r="K644" s="359" t="s">
        <v>877</v>
      </c>
      <c r="L644" s="359"/>
      <c r="M644" s="338" t="s">
        <v>141</v>
      </c>
      <c r="N644" s="89">
        <v>41214</v>
      </c>
      <c r="O644" s="359">
        <v>230</v>
      </c>
      <c r="P644" s="359" t="s">
        <v>46</v>
      </c>
      <c r="Q644" s="359"/>
      <c r="R644" s="359"/>
      <c r="S644" s="359">
        <v>800</v>
      </c>
      <c r="T644" s="359">
        <v>42</v>
      </c>
      <c r="U644" s="359">
        <v>400</v>
      </c>
      <c r="V644" s="359">
        <v>5.3</v>
      </c>
      <c r="W644" s="359">
        <v>26.5</v>
      </c>
      <c r="X644" s="359">
        <v>3.2</v>
      </c>
      <c r="Y644" s="359">
        <v>40</v>
      </c>
      <c r="Z644" s="359"/>
      <c r="AA644" s="210"/>
      <c r="AB644" s="248">
        <v>0.17150000000000001</v>
      </c>
      <c r="AC644" s="359">
        <v>0.65720000000000001</v>
      </c>
      <c r="AD644" s="359">
        <v>0.17130000000000001</v>
      </c>
      <c r="AE644" s="359" t="s">
        <v>47</v>
      </c>
      <c r="AF644" s="359">
        <v>2.83</v>
      </c>
      <c r="AG644" s="153"/>
      <c r="AH644" s="346">
        <v>449.96605231119503</v>
      </c>
      <c r="AI644" s="24">
        <v>468</v>
      </c>
      <c r="AJ644" s="24">
        <v>11.56</v>
      </c>
      <c r="AK644" s="24">
        <v>1.52</v>
      </c>
      <c r="AL644" s="24">
        <v>0.86499999999999999</v>
      </c>
      <c r="AM644" s="359" t="s">
        <v>54</v>
      </c>
      <c r="AN644" s="24">
        <f t="shared" si="118"/>
        <v>127.34039280406819</v>
      </c>
      <c r="AO644" s="54">
        <f t="shared" si="119"/>
        <v>14720.549408150284</v>
      </c>
      <c r="AP644" s="261">
        <f t="shared" si="120"/>
        <v>4.0428571428571436</v>
      </c>
      <c r="AQ644" s="338"/>
      <c r="AR644" s="45"/>
      <c r="AS644" s="359"/>
      <c r="AT644" s="359"/>
    </row>
    <row r="645" spans="1:46" ht="12">
      <c r="A645" s="134" t="s">
        <v>878</v>
      </c>
      <c r="B645" s="359" t="str">
        <f t="shared" si="111"/>
        <v>MgO</v>
      </c>
      <c r="C645" s="141">
        <f t="shared" si="112"/>
        <v>2.89</v>
      </c>
      <c r="D645" s="277">
        <f t="shared" si="113"/>
        <v>447.37901513494199</v>
      </c>
      <c r="E645" s="20">
        <f t="shared" si="114"/>
        <v>11.23</v>
      </c>
      <c r="F645" s="20">
        <f t="shared" si="115"/>
        <v>1.49</v>
      </c>
      <c r="G645" s="277">
        <f t="shared" si="116"/>
        <v>129.29253537399825</v>
      </c>
      <c r="H645" s="3">
        <f t="shared" si="110"/>
        <v>0.88300000000000001</v>
      </c>
      <c r="I645" s="277">
        <f t="shared" si="117"/>
        <v>14519.551722500004</v>
      </c>
      <c r="J645" s="359" t="s">
        <v>814</v>
      </c>
      <c r="K645" s="359"/>
      <c r="L645" s="359"/>
      <c r="M645" s="338"/>
      <c r="N645" s="89">
        <v>41214</v>
      </c>
      <c r="O645" s="359">
        <v>230</v>
      </c>
      <c r="P645" s="359" t="s">
        <v>46</v>
      </c>
      <c r="Q645" s="359"/>
      <c r="R645" s="359"/>
      <c r="S645" s="359">
        <v>800</v>
      </c>
      <c r="T645" s="359">
        <v>42</v>
      </c>
      <c r="U645" s="359">
        <v>400</v>
      </c>
      <c r="V645" s="359">
        <v>5.3</v>
      </c>
      <c r="W645" s="359">
        <v>26.5</v>
      </c>
      <c r="X645" s="359">
        <v>3.2</v>
      </c>
      <c r="Y645" s="359">
        <v>40</v>
      </c>
      <c r="Z645" s="359"/>
      <c r="AA645" s="210"/>
      <c r="AB645" s="248">
        <v>0.17180000000000001</v>
      </c>
      <c r="AC645" s="359">
        <v>0.65339999999999998</v>
      </c>
      <c r="AD645" s="359">
        <v>0.17480000000000001</v>
      </c>
      <c r="AE645" s="359" t="s">
        <v>47</v>
      </c>
      <c r="AF645" s="359">
        <v>2.89</v>
      </c>
      <c r="AG645" s="153"/>
      <c r="AH645" s="346">
        <v>447.37901513494199</v>
      </c>
      <c r="AI645" s="24">
        <v>467</v>
      </c>
      <c r="AJ645" s="24">
        <v>11.23</v>
      </c>
      <c r="AK645" s="24">
        <v>1.49</v>
      </c>
      <c r="AL645" s="24">
        <v>0.88300000000000001</v>
      </c>
      <c r="AM645" s="359" t="s">
        <v>54</v>
      </c>
      <c r="AN645" s="24">
        <f t="shared" si="118"/>
        <v>129.29253537399825</v>
      </c>
      <c r="AO645" s="54">
        <f t="shared" si="119"/>
        <v>14519.551722500004</v>
      </c>
      <c r="AP645" s="261">
        <f t="shared" si="120"/>
        <v>4.1285714285714281</v>
      </c>
      <c r="AQ645" s="338"/>
      <c r="AR645" s="45"/>
      <c r="AS645" s="359"/>
      <c r="AT645" s="359"/>
    </row>
    <row r="646" spans="1:46" ht="12">
      <c r="A646" s="200" t="s">
        <v>879</v>
      </c>
      <c r="B646" s="359" t="str">
        <f t="shared" si="111"/>
        <v>MgO</v>
      </c>
      <c r="C646" s="141">
        <f t="shared" si="112"/>
        <v>2.79</v>
      </c>
      <c r="D646" s="277">
        <f t="shared" si="113"/>
        <v>505.36433115442497</v>
      </c>
      <c r="E646" s="20">
        <f t="shared" si="114"/>
        <v>11.44</v>
      </c>
      <c r="F646" s="20">
        <f t="shared" si="115"/>
        <v>1.67</v>
      </c>
      <c r="G646" s="277">
        <f t="shared" si="116"/>
        <v>140.99664839208458</v>
      </c>
      <c r="H646" s="3">
        <f t="shared" si="110"/>
        <v>0.86299999999999999</v>
      </c>
      <c r="I646" s="277">
        <f t="shared" si="117"/>
        <v>16130.016576054475</v>
      </c>
      <c r="J646" s="359" t="s">
        <v>814</v>
      </c>
      <c r="K646" s="67" t="s">
        <v>45</v>
      </c>
      <c r="L646" s="67"/>
      <c r="M646" s="371" t="s">
        <v>135</v>
      </c>
      <c r="N646" s="309">
        <v>41215</v>
      </c>
      <c r="O646" s="67">
        <v>231</v>
      </c>
      <c r="P646" s="67" t="s">
        <v>46</v>
      </c>
      <c r="Q646" s="67"/>
      <c r="R646" s="67"/>
      <c r="S646" s="67">
        <v>800</v>
      </c>
      <c r="T646" s="359">
        <v>42</v>
      </c>
      <c r="U646" s="67">
        <v>400</v>
      </c>
      <c r="V646" s="67">
        <v>5.3</v>
      </c>
      <c r="W646" s="67">
        <v>26.5</v>
      </c>
      <c r="X646" s="67">
        <v>3.2</v>
      </c>
      <c r="Y646" s="67">
        <v>40</v>
      </c>
      <c r="Z646" s="67"/>
      <c r="AA646" s="159"/>
      <c r="AB646" s="182">
        <v>0.16950000000000001</v>
      </c>
      <c r="AC646" s="67">
        <v>0.65939999999999999</v>
      </c>
      <c r="AD646" s="67">
        <v>0.1711</v>
      </c>
      <c r="AE646" s="359" t="s">
        <v>47</v>
      </c>
      <c r="AF646" s="67">
        <v>2.79</v>
      </c>
      <c r="AG646" s="315"/>
      <c r="AH646" s="66">
        <v>505.36433115442497</v>
      </c>
      <c r="AI646" s="216">
        <v>539</v>
      </c>
      <c r="AJ646" s="216">
        <v>11.44</v>
      </c>
      <c r="AK646" s="216">
        <v>1.67</v>
      </c>
      <c r="AL646" s="216">
        <v>0.86299999999999999</v>
      </c>
      <c r="AM646" s="359" t="s">
        <v>54</v>
      </c>
      <c r="AN646" s="24">
        <f t="shared" si="118"/>
        <v>140.99664839208458</v>
      </c>
      <c r="AO646" s="54">
        <f t="shared" si="119"/>
        <v>16130.016576054475</v>
      </c>
      <c r="AP646" s="261">
        <f t="shared" si="120"/>
        <v>3.9857142857142862</v>
      </c>
      <c r="AQ646" s="338"/>
      <c r="AR646" s="41"/>
      <c r="AS646" s="67"/>
      <c r="AT646" s="67"/>
    </row>
    <row r="647" spans="1:46" ht="12">
      <c r="A647" s="200" t="s">
        <v>880</v>
      </c>
      <c r="B647" s="359" t="str">
        <f t="shared" si="111"/>
        <v>MgO</v>
      </c>
      <c r="C647" s="141">
        <f t="shared" si="112"/>
        <v>2.89</v>
      </c>
      <c r="D647" s="277">
        <f t="shared" si="113"/>
        <v>456.65666569805899</v>
      </c>
      <c r="E647" s="20">
        <f t="shared" si="114"/>
        <v>11</v>
      </c>
      <c r="F647" s="20">
        <f t="shared" si="115"/>
        <v>1.56</v>
      </c>
      <c r="G647" s="277">
        <f t="shared" si="116"/>
        <v>131.97377638673908</v>
      </c>
      <c r="H647" s="3">
        <f t="shared" si="110"/>
        <v>0.88100000000000001</v>
      </c>
      <c r="I647" s="277">
        <f t="shared" si="117"/>
        <v>14517.115402541298</v>
      </c>
      <c r="J647" s="359" t="s">
        <v>814</v>
      </c>
      <c r="K647" s="67" t="s">
        <v>45</v>
      </c>
      <c r="L647" s="67"/>
      <c r="M647" s="371" t="s">
        <v>135</v>
      </c>
      <c r="N647" s="309">
        <v>41215</v>
      </c>
      <c r="O647" s="67">
        <v>231</v>
      </c>
      <c r="P647" s="67" t="s">
        <v>46</v>
      </c>
      <c r="Q647" s="67"/>
      <c r="R647" s="67"/>
      <c r="S647" s="67">
        <v>800</v>
      </c>
      <c r="T647" s="359">
        <v>42</v>
      </c>
      <c r="U647" s="67">
        <v>400</v>
      </c>
      <c r="V647" s="67">
        <v>5.3</v>
      </c>
      <c r="W647" s="67">
        <v>26.5</v>
      </c>
      <c r="X647" s="67">
        <v>3.2</v>
      </c>
      <c r="Y647" s="67">
        <v>40</v>
      </c>
      <c r="Z647" s="67"/>
      <c r="AA647" s="159"/>
      <c r="AB647" s="182">
        <v>0.16900000000000001</v>
      </c>
      <c r="AC647" s="67">
        <v>0.65290000000000004</v>
      </c>
      <c r="AD647" s="67">
        <v>0.17810000000000001</v>
      </c>
      <c r="AE647" s="359" t="s">
        <v>47</v>
      </c>
      <c r="AF647" s="67">
        <v>2.89</v>
      </c>
      <c r="AG647" s="315"/>
      <c r="AH647" s="66">
        <v>456.65666569805899</v>
      </c>
      <c r="AI647" s="216">
        <v>481</v>
      </c>
      <c r="AJ647" s="216">
        <v>11</v>
      </c>
      <c r="AK647" s="216">
        <v>1.56</v>
      </c>
      <c r="AL647" s="216">
        <v>0.88100000000000001</v>
      </c>
      <c r="AM647" s="359" t="s">
        <v>54</v>
      </c>
      <c r="AN647" s="24">
        <f t="shared" si="118"/>
        <v>131.97377638673908</v>
      </c>
      <c r="AO647" s="54">
        <f t="shared" si="119"/>
        <v>14517.115402541298</v>
      </c>
      <c r="AP647" s="261">
        <f t="shared" si="120"/>
        <v>4.1285714285714281</v>
      </c>
      <c r="AQ647" s="338"/>
      <c r="AR647" s="41"/>
      <c r="AS647" s="67"/>
      <c r="AT647" s="67"/>
    </row>
    <row r="648" spans="1:46" ht="12">
      <c r="A648" s="200" t="s">
        <v>881</v>
      </c>
      <c r="B648" s="359" t="str">
        <f t="shared" si="111"/>
        <v>MgO</v>
      </c>
      <c r="C648" s="141">
        <f t="shared" si="112"/>
        <v>2.76</v>
      </c>
      <c r="D648" s="277">
        <f t="shared" si="113"/>
        <v>592.96676243309196</v>
      </c>
      <c r="E648" s="20">
        <f t="shared" si="114"/>
        <v>11.18</v>
      </c>
      <c r="F648" s="20">
        <f t="shared" si="115"/>
        <v>1.78</v>
      </c>
      <c r="G648" s="277">
        <f t="shared" si="116"/>
        <v>163.65882643153336</v>
      </c>
      <c r="H648" s="3">
        <f t="shared" si="110"/>
        <v>0.81599999999999995</v>
      </c>
      <c r="I648" s="277">
        <f t="shared" si="117"/>
        <v>18297.056795045428</v>
      </c>
      <c r="J648" s="359" t="s">
        <v>814</v>
      </c>
      <c r="K648" s="67" t="s">
        <v>45</v>
      </c>
      <c r="L648" s="67"/>
      <c r="M648" s="371" t="s">
        <v>135</v>
      </c>
      <c r="N648" s="309">
        <v>41215</v>
      </c>
      <c r="O648" s="67">
        <v>231</v>
      </c>
      <c r="P648" s="67" t="s">
        <v>46</v>
      </c>
      <c r="Q648" s="67"/>
      <c r="R648" s="67"/>
      <c r="S648" s="67">
        <v>800</v>
      </c>
      <c r="T648" s="359">
        <v>42</v>
      </c>
      <c r="U648" s="67">
        <v>400</v>
      </c>
      <c r="V648" s="67">
        <v>5.3</v>
      </c>
      <c r="W648" s="67">
        <v>26.5</v>
      </c>
      <c r="X648" s="67">
        <v>3.2</v>
      </c>
      <c r="Y648" s="67">
        <v>40</v>
      </c>
      <c r="Z648" s="67"/>
      <c r="AA648" s="159"/>
      <c r="AB648" s="182">
        <v>0.1681</v>
      </c>
      <c r="AC648" s="67">
        <v>0.66100000000000003</v>
      </c>
      <c r="AD648" s="67">
        <v>0.1709</v>
      </c>
      <c r="AE648" s="359" t="s">
        <v>47</v>
      </c>
      <c r="AF648" s="67">
        <v>2.76</v>
      </c>
      <c r="AG648" s="315"/>
      <c r="AH648" s="66">
        <v>592.96676243309196</v>
      </c>
      <c r="AI648" s="216">
        <v>630</v>
      </c>
      <c r="AJ648" s="216">
        <v>11.18</v>
      </c>
      <c r="AK648" s="216">
        <v>1.78</v>
      </c>
      <c r="AL648" s="216">
        <v>0.81599999999999995</v>
      </c>
      <c r="AM648" s="359" t="s">
        <v>54</v>
      </c>
      <c r="AN648" s="24">
        <f t="shared" si="118"/>
        <v>163.65882643153336</v>
      </c>
      <c r="AO648" s="54">
        <f t="shared" si="119"/>
        <v>18297.056795045428</v>
      </c>
      <c r="AP648" s="261">
        <f t="shared" si="120"/>
        <v>3.9428571428571426</v>
      </c>
      <c r="AQ648" s="338"/>
      <c r="AR648" s="41"/>
      <c r="AS648" s="67"/>
      <c r="AT648" s="67"/>
    </row>
    <row r="649" spans="1:46" ht="12">
      <c r="A649" s="200" t="s">
        <v>882</v>
      </c>
      <c r="B649" s="359" t="str">
        <f t="shared" si="111"/>
        <v>MgO</v>
      </c>
      <c r="C649" s="141">
        <f t="shared" si="112"/>
        <v>2.88</v>
      </c>
      <c r="D649" s="277">
        <f t="shared" si="113"/>
        <v>461.20628280112601</v>
      </c>
      <c r="E649" s="20">
        <f t="shared" si="114"/>
        <v>10.96</v>
      </c>
      <c r="F649" s="20">
        <f t="shared" si="115"/>
        <v>1.52</v>
      </c>
      <c r="G649" s="277">
        <f t="shared" si="116"/>
        <v>132.82740944672429</v>
      </c>
      <c r="H649" s="3">
        <f t="shared" si="110"/>
        <v>0.879</v>
      </c>
      <c r="I649" s="277">
        <f t="shared" si="117"/>
        <v>14557.884075360982</v>
      </c>
      <c r="J649" s="359" t="s">
        <v>814</v>
      </c>
      <c r="K649" s="67"/>
      <c r="L649" s="67"/>
      <c r="M649" s="371"/>
      <c r="N649" s="309">
        <v>41215</v>
      </c>
      <c r="O649" s="67">
        <v>231</v>
      </c>
      <c r="P649" s="67" t="s">
        <v>46</v>
      </c>
      <c r="Q649" s="67"/>
      <c r="R649" s="67"/>
      <c r="S649" s="67">
        <v>800</v>
      </c>
      <c r="T649" s="359">
        <v>42</v>
      </c>
      <c r="U649" s="67">
        <v>400</v>
      </c>
      <c r="V649" s="67">
        <v>5.3</v>
      </c>
      <c r="W649" s="67">
        <v>26.5</v>
      </c>
      <c r="X649" s="67">
        <v>3.2</v>
      </c>
      <c r="Y649" s="67">
        <v>40</v>
      </c>
      <c r="Z649" s="67"/>
      <c r="AA649" s="159"/>
      <c r="AB649" s="182">
        <v>0.16880000000000001</v>
      </c>
      <c r="AC649" s="67">
        <v>0.65390000000000004</v>
      </c>
      <c r="AD649" s="67">
        <v>0.1774</v>
      </c>
      <c r="AE649" s="359" t="s">
        <v>47</v>
      </c>
      <c r="AF649" s="67">
        <v>2.88</v>
      </c>
      <c r="AG649" s="315"/>
      <c r="AH649" s="66">
        <v>461.20628280112601</v>
      </c>
      <c r="AI649" s="216">
        <v>487</v>
      </c>
      <c r="AJ649" s="216">
        <v>10.96</v>
      </c>
      <c r="AK649" s="216">
        <v>1.52</v>
      </c>
      <c r="AL649" s="216">
        <v>0.879</v>
      </c>
      <c r="AM649" s="359" t="s">
        <v>54</v>
      </c>
      <c r="AN649" s="24">
        <f t="shared" si="118"/>
        <v>132.82740944672429</v>
      </c>
      <c r="AO649" s="54">
        <f t="shared" si="119"/>
        <v>14557.884075360982</v>
      </c>
      <c r="AP649" s="261">
        <f t="shared" si="120"/>
        <v>4.1142857142857148</v>
      </c>
      <c r="AQ649" s="338"/>
      <c r="AR649" s="41"/>
      <c r="AS649" s="67"/>
      <c r="AT649" s="67"/>
    </row>
    <row r="650" spans="1:46" ht="12">
      <c r="A650" s="200" t="s">
        <v>883</v>
      </c>
      <c r="B650" s="359" t="str">
        <f t="shared" si="111"/>
        <v>MgO</v>
      </c>
      <c r="C650" s="141">
        <f t="shared" si="112"/>
        <v>2.89</v>
      </c>
      <c r="D650" s="277">
        <f t="shared" si="113"/>
        <v>408.03820842018399</v>
      </c>
      <c r="E650" s="20">
        <f t="shared" si="114"/>
        <v>11.87</v>
      </c>
      <c r="F650" s="20">
        <f t="shared" si="115"/>
        <v>1.4</v>
      </c>
      <c r="G650" s="277">
        <f t="shared" si="116"/>
        <v>117.92304223343316</v>
      </c>
      <c r="H650" s="3">
        <f t="shared" si="110"/>
        <v>0.90300000000000002</v>
      </c>
      <c r="I650" s="277">
        <f t="shared" si="117"/>
        <v>13997.465113108516</v>
      </c>
      <c r="J650" s="359" t="s">
        <v>814</v>
      </c>
      <c r="K650" s="359" t="s">
        <v>884</v>
      </c>
      <c r="L650" s="359"/>
      <c r="M650" s="338"/>
      <c r="N650" s="309">
        <v>41215</v>
      </c>
      <c r="O650" s="359">
        <v>232</v>
      </c>
      <c r="P650" s="67" t="s">
        <v>46</v>
      </c>
      <c r="Q650" s="67"/>
      <c r="R650" s="67"/>
      <c r="S650" s="67">
        <v>800</v>
      </c>
      <c r="T650" s="359">
        <v>42</v>
      </c>
      <c r="U650" s="67">
        <v>400</v>
      </c>
      <c r="V650" s="67">
        <v>5.3</v>
      </c>
      <c r="W650" s="67">
        <v>26.5</v>
      </c>
      <c r="X650" s="67">
        <v>3.2</v>
      </c>
      <c r="Y650" s="67">
        <v>40</v>
      </c>
      <c r="Z650" s="359"/>
      <c r="AA650" s="210"/>
      <c r="AB650" s="248">
        <v>0.17050000000000001</v>
      </c>
      <c r="AC650" s="359">
        <v>0.65290000000000004</v>
      </c>
      <c r="AD650" s="359">
        <v>0.17660000000000001</v>
      </c>
      <c r="AE650" s="359" t="s">
        <v>47</v>
      </c>
      <c r="AF650" s="359">
        <v>2.89</v>
      </c>
      <c r="AG650" s="153"/>
      <c r="AH650" s="346">
        <v>408.03820842018399</v>
      </c>
      <c r="AI650" s="24">
        <v>438</v>
      </c>
      <c r="AJ650" s="24">
        <v>11.87</v>
      </c>
      <c r="AK650" s="24">
        <v>1.4</v>
      </c>
      <c r="AL650" s="24">
        <v>0.90300000000000002</v>
      </c>
      <c r="AM650" s="359" t="s">
        <v>54</v>
      </c>
      <c r="AN650" s="24">
        <f t="shared" si="118"/>
        <v>117.92304223343316</v>
      </c>
      <c r="AO650" s="54">
        <f t="shared" si="119"/>
        <v>13997.465113108516</v>
      </c>
      <c r="AP650" s="261">
        <f t="shared" si="120"/>
        <v>4.1285714285714281</v>
      </c>
      <c r="AQ650" s="338"/>
      <c r="AR650" s="45"/>
      <c r="AS650" s="359"/>
      <c r="AT650" s="359"/>
    </row>
    <row r="651" spans="1:46" ht="12">
      <c r="A651" s="200" t="s">
        <v>885</v>
      </c>
      <c r="B651" s="359" t="str">
        <f t="shared" si="111"/>
        <v>MgO</v>
      </c>
      <c r="C651" s="141">
        <f t="shared" si="112"/>
        <v>2.92</v>
      </c>
      <c r="D651" s="277">
        <f t="shared" si="113"/>
        <v>422.40072515731799</v>
      </c>
      <c r="E651" s="20">
        <f t="shared" si="114"/>
        <v>11.39</v>
      </c>
      <c r="F651" s="20">
        <f t="shared" si="115"/>
        <v>1.46</v>
      </c>
      <c r="G651" s="277">
        <f t="shared" si="116"/>
        <v>123.34101174593687</v>
      </c>
      <c r="H651" s="3">
        <f t="shared" si="110"/>
        <v>0.90300000000000002</v>
      </c>
      <c r="I651" s="277">
        <f t="shared" si="117"/>
        <v>14048.54123786221</v>
      </c>
      <c r="J651" s="359" t="s">
        <v>814</v>
      </c>
      <c r="K651" s="359" t="s">
        <v>877</v>
      </c>
      <c r="L651" s="359"/>
      <c r="M651" s="338" t="s">
        <v>141</v>
      </c>
      <c r="N651" s="309">
        <v>41215</v>
      </c>
      <c r="O651" s="359">
        <v>232</v>
      </c>
      <c r="P651" s="67" t="s">
        <v>46</v>
      </c>
      <c r="Q651" s="67"/>
      <c r="R651" s="67"/>
      <c r="S651" s="67">
        <v>800</v>
      </c>
      <c r="T651" s="359">
        <v>42</v>
      </c>
      <c r="U651" s="67">
        <v>400</v>
      </c>
      <c r="V651" s="67">
        <v>5.3</v>
      </c>
      <c r="W651" s="67">
        <v>26.5</v>
      </c>
      <c r="X651" s="67">
        <v>3.2</v>
      </c>
      <c r="Y651" s="67">
        <v>40</v>
      </c>
      <c r="Z651" s="359"/>
      <c r="AA651" s="210"/>
      <c r="AB651" s="248">
        <v>0.1729</v>
      </c>
      <c r="AC651" s="359">
        <v>0.65129999999999999</v>
      </c>
      <c r="AD651" s="359">
        <v>0.17580000000000001</v>
      </c>
      <c r="AE651" s="359" t="s">
        <v>47</v>
      </c>
      <c r="AF651" s="359">
        <v>2.92</v>
      </c>
      <c r="AG651" s="153"/>
      <c r="AH651" s="346">
        <v>422.40072515731799</v>
      </c>
      <c r="AI651" s="24">
        <v>448</v>
      </c>
      <c r="AJ651" s="24">
        <v>11.39</v>
      </c>
      <c r="AK651" s="24">
        <v>1.46</v>
      </c>
      <c r="AL651" s="24">
        <v>0.90300000000000002</v>
      </c>
      <c r="AM651" s="359" t="s">
        <v>54</v>
      </c>
      <c r="AN651" s="24">
        <f t="shared" si="118"/>
        <v>123.34101174593687</v>
      </c>
      <c r="AO651" s="54">
        <f t="shared" si="119"/>
        <v>14048.54123786221</v>
      </c>
      <c r="AP651" s="261">
        <f t="shared" si="120"/>
        <v>4.1714285714285708</v>
      </c>
      <c r="AQ651" s="338"/>
      <c r="AR651" s="45"/>
      <c r="AS651" s="359"/>
      <c r="AT651" s="359"/>
    </row>
    <row r="652" spans="1:46" ht="12">
      <c r="A652" s="200" t="s">
        <v>886</v>
      </c>
      <c r="B652" s="359" t="str">
        <f t="shared" si="111"/>
        <v>MgO</v>
      </c>
      <c r="C652" s="141">
        <f t="shared" si="112"/>
        <v>2.92</v>
      </c>
      <c r="D652" s="277">
        <f t="shared" si="113"/>
        <v>417.85110805425001</v>
      </c>
      <c r="E652" s="20">
        <f t="shared" si="114"/>
        <v>11.77</v>
      </c>
      <c r="F652" s="20">
        <f t="shared" si="115"/>
        <v>1.43</v>
      </c>
      <c r="G652" s="277">
        <f t="shared" si="116"/>
        <v>122.01252355184099</v>
      </c>
      <c r="H652" s="3">
        <f t="shared" si="110"/>
        <v>0.90200000000000002</v>
      </c>
      <c r="I652" s="277">
        <f t="shared" si="117"/>
        <v>14360.874022051685</v>
      </c>
      <c r="J652" s="359" t="s">
        <v>814</v>
      </c>
      <c r="K652" s="359" t="s">
        <v>877</v>
      </c>
      <c r="L652" s="359"/>
      <c r="M652" s="338" t="s">
        <v>141</v>
      </c>
      <c r="N652" s="309">
        <v>41215</v>
      </c>
      <c r="O652" s="359">
        <v>232</v>
      </c>
      <c r="P652" s="67" t="s">
        <v>46</v>
      </c>
      <c r="Q652" s="67"/>
      <c r="R652" s="67"/>
      <c r="S652" s="67">
        <v>800</v>
      </c>
      <c r="T652" s="359">
        <v>42</v>
      </c>
      <c r="U652" s="67">
        <v>400</v>
      </c>
      <c r="V652" s="67">
        <v>5.3</v>
      </c>
      <c r="W652" s="67">
        <v>26.5</v>
      </c>
      <c r="X652" s="67">
        <v>3.2</v>
      </c>
      <c r="Y652" s="67">
        <v>40</v>
      </c>
      <c r="Z652" s="359"/>
      <c r="AA652" s="210"/>
      <c r="AB652" s="248">
        <v>0.1724</v>
      </c>
      <c r="AC652" s="359">
        <v>0.65129999999999999</v>
      </c>
      <c r="AD652" s="359">
        <v>0.17630000000000001</v>
      </c>
      <c r="AE652" s="359" t="s">
        <v>47</v>
      </c>
      <c r="AF652" s="359">
        <v>2.92</v>
      </c>
      <c r="AG652" s="153"/>
      <c r="AH652" s="346">
        <v>417.85110805425001</v>
      </c>
      <c r="AI652" s="24">
        <v>457</v>
      </c>
      <c r="AJ652" s="24">
        <v>11.77</v>
      </c>
      <c r="AK652" s="24">
        <v>1.43</v>
      </c>
      <c r="AL652" s="24">
        <v>0.90200000000000002</v>
      </c>
      <c r="AM652" s="359" t="s">
        <v>54</v>
      </c>
      <c r="AN652" s="24">
        <f t="shared" si="118"/>
        <v>122.01252355184099</v>
      </c>
      <c r="AO652" s="54">
        <f t="shared" si="119"/>
        <v>14360.874022051685</v>
      </c>
      <c r="AP652" s="261">
        <f t="shared" si="120"/>
        <v>4.1714285714285708</v>
      </c>
      <c r="AQ652" s="338"/>
      <c r="AR652" s="45"/>
      <c r="AS652" s="359"/>
      <c r="AT652" s="359"/>
    </row>
    <row r="653" spans="1:46" ht="12">
      <c r="A653" s="200" t="s">
        <v>887</v>
      </c>
      <c r="B653" s="359" t="str">
        <f t="shared" si="111"/>
        <v>MgO</v>
      </c>
      <c r="C653" s="141">
        <f t="shared" si="112"/>
        <v>2.88</v>
      </c>
      <c r="D653" s="277">
        <f t="shared" si="113"/>
        <v>429.35896307965601</v>
      </c>
      <c r="E653" s="20">
        <f t="shared" si="114"/>
        <v>11.35</v>
      </c>
      <c r="F653" s="20">
        <f t="shared" si="115"/>
        <v>1.48</v>
      </c>
      <c r="G653" s="277">
        <f t="shared" si="116"/>
        <v>123.65538136694093</v>
      </c>
      <c r="H653" s="3">
        <f t="shared" si="110"/>
        <v>0.89900000000000002</v>
      </c>
      <c r="I653" s="277">
        <f t="shared" si="117"/>
        <v>14034.885785147795</v>
      </c>
      <c r="J653" s="359" t="s">
        <v>814</v>
      </c>
      <c r="K653" s="359" t="s">
        <v>877</v>
      </c>
      <c r="L653" s="359"/>
      <c r="M653" s="338" t="s">
        <v>141</v>
      </c>
      <c r="N653" s="309">
        <v>41215</v>
      </c>
      <c r="O653" s="359">
        <v>232</v>
      </c>
      <c r="P653" s="67" t="s">
        <v>46</v>
      </c>
      <c r="Q653" s="67"/>
      <c r="R653" s="67"/>
      <c r="S653" s="67">
        <v>800</v>
      </c>
      <c r="T653" s="359">
        <v>42</v>
      </c>
      <c r="U653" s="67">
        <v>400</v>
      </c>
      <c r="V653" s="67">
        <v>5.3</v>
      </c>
      <c r="W653" s="67">
        <v>26.5</v>
      </c>
      <c r="X653" s="67">
        <v>3.2</v>
      </c>
      <c r="Y653" s="67">
        <v>40</v>
      </c>
      <c r="Z653" s="359"/>
      <c r="AA653" s="210"/>
      <c r="AB653" s="248">
        <v>0.17269999999999999</v>
      </c>
      <c r="AC653" s="359">
        <v>0.65390000000000004</v>
      </c>
      <c r="AD653" s="359">
        <v>0.17349999999999999</v>
      </c>
      <c r="AE653" s="359" t="s">
        <v>47</v>
      </c>
      <c r="AF653" s="359">
        <v>2.88</v>
      </c>
      <c r="AG653" s="153"/>
      <c r="AH653" s="346">
        <v>429.35896307965601</v>
      </c>
      <c r="AI653" s="24">
        <v>456</v>
      </c>
      <c r="AJ653" s="24">
        <v>11.35</v>
      </c>
      <c r="AK653" s="24">
        <v>1.48</v>
      </c>
      <c r="AL653" s="24">
        <v>0.89900000000000002</v>
      </c>
      <c r="AM653" s="359" t="s">
        <v>54</v>
      </c>
      <c r="AN653" s="24">
        <f t="shared" si="118"/>
        <v>123.65538136694093</v>
      </c>
      <c r="AO653" s="54">
        <f t="shared" si="119"/>
        <v>14034.885785147795</v>
      </c>
      <c r="AP653" s="261">
        <f t="shared" si="120"/>
        <v>4.1142857142857148</v>
      </c>
      <c r="AQ653" s="338"/>
      <c r="AR653" s="45"/>
      <c r="AS653" s="359"/>
      <c r="AT653" s="359"/>
    </row>
    <row r="654" spans="1:46" ht="12">
      <c r="A654" s="200" t="s">
        <v>888</v>
      </c>
      <c r="B654" s="359" t="str">
        <f t="shared" si="111"/>
        <v>MgO</v>
      </c>
      <c r="C654" s="141">
        <f t="shared" si="112"/>
        <v>2.75</v>
      </c>
      <c r="D654" s="277">
        <f t="shared" si="113"/>
        <v>553.44753936135101</v>
      </c>
      <c r="E654" s="20">
        <f t="shared" si="114"/>
        <v>0</v>
      </c>
      <c r="F654" s="20">
        <f t="shared" si="115"/>
        <v>0</v>
      </c>
      <c r="G654" s="277">
        <f t="shared" si="116"/>
        <v>152.19807332437153</v>
      </c>
      <c r="H654" s="3">
        <f t="shared" si="110"/>
        <v>0</v>
      </c>
      <c r="I654" s="277">
        <f t="shared" si="117"/>
        <v>0</v>
      </c>
      <c r="J654" s="359" t="s">
        <v>814</v>
      </c>
      <c r="K654" s="359" t="s">
        <v>889</v>
      </c>
      <c r="L654" s="359"/>
      <c r="M654" s="338"/>
      <c r="N654" s="89">
        <v>41218</v>
      </c>
      <c r="O654" s="359">
        <v>233</v>
      </c>
      <c r="P654" s="67" t="s">
        <v>46</v>
      </c>
      <c r="Q654" s="67"/>
      <c r="R654" s="67"/>
      <c r="S654" s="67">
        <v>800</v>
      </c>
      <c r="T654" s="359">
        <v>42</v>
      </c>
      <c r="U654" s="67">
        <v>400</v>
      </c>
      <c r="V654" s="67">
        <v>5.3</v>
      </c>
      <c r="W654" s="67">
        <v>26.5</v>
      </c>
      <c r="X654" s="67">
        <v>3.2</v>
      </c>
      <c r="Y654" s="67">
        <v>40</v>
      </c>
      <c r="Z654" s="359"/>
      <c r="AA654" s="210"/>
      <c r="AB654" s="248">
        <v>0.1711</v>
      </c>
      <c r="AC654" s="359">
        <v>0.66190000000000004</v>
      </c>
      <c r="AD654" s="359">
        <v>0.1671</v>
      </c>
      <c r="AE654" s="359" t="s">
        <v>47</v>
      </c>
      <c r="AF654" s="359">
        <v>2.75</v>
      </c>
      <c r="AG654" s="153"/>
      <c r="AH654" s="346">
        <v>553.44753936135101</v>
      </c>
      <c r="AI654" s="24"/>
      <c r="AJ654" s="24"/>
      <c r="AK654" s="24"/>
      <c r="AL654" s="24"/>
      <c r="AM654" s="359"/>
      <c r="AN654" s="24">
        <f t="shared" si="118"/>
        <v>152.19807332437153</v>
      </c>
      <c r="AO654" s="54">
        <f t="shared" si="119"/>
        <v>0</v>
      </c>
      <c r="AP654" s="261">
        <f t="shared" si="120"/>
        <v>3.9285714285714288</v>
      </c>
      <c r="AQ654" s="338"/>
      <c r="AR654" s="45"/>
      <c r="AS654" s="359"/>
      <c r="AT654" s="359"/>
    </row>
    <row r="655" spans="1:46" ht="12">
      <c r="A655" s="200" t="s">
        <v>890</v>
      </c>
      <c r="B655" s="359" t="str">
        <f t="shared" si="111"/>
        <v>MgO</v>
      </c>
      <c r="C655" s="141">
        <f t="shared" si="112"/>
        <v>2.84</v>
      </c>
      <c r="D655" s="277">
        <f t="shared" si="113"/>
        <v>525.61458767199895</v>
      </c>
      <c r="E655" s="20">
        <f t="shared" si="114"/>
        <v>0</v>
      </c>
      <c r="F655" s="20">
        <f t="shared" si="115"/>
        <v>0</v>
      </c>
      <c r="G655" s="277">
        <f t="shared" si="116"/>
        <v>149.2745428988477</v>
      </c>
      <c r="H655" s="3">
        <f t="shared" si="110"/>
        <v>0</v>
      </c>
      <c r="I655" s="277">
        <f t="shared" si="117"/>
        <v>0</v>
      </c>
      <c r="J655" s="359" t="s">
        <v>814</v>
      </c>
      <c r="K655" s="359" t="s">
        <v>889</v>
      </c>
      <c r="L655" s="359"/>
      <c r="M655" s="338"/>
      <c r="N655" s="89">
        <v>41218</v>
      </c>
      <c r="O655" s="359">
        <v>233</v>
      </c>
      <c r="P655" s="67" t="s">
        <v>46</v>
      </c>
      <c r="Q655" s="67"/>
      <c r="R655" s="67"/>
      <c r="S655" s="67">
        <v>800</v>
      </c>
      <c r="T655" s="359">
        <v>42</v>
      </c>
      <c r="U655" s="67">
        <v>400</v>
      </c>
      <c r="V655" s="67">
        <v>5.3</v>
      </c>
      <c r="W655" s="67">
        <v>26.5</v>
      </c>
      <c r="X655" s="67">
        <v>3.2</v>
      </c>
      <c r="Y655" s="67">
        <v>40</v>
      </c>
      <c r="Z655" s="359"/>
      <c r="AA655" s="210"/>
      <c r="AB655" s="248">
        <v>0.17130000000000001</v>
      </c>
      <c r="AC655" s="359">
        <v>0.65639999999999998</v>
      </c>
      <c r="AD655" s="359">
        <v>0.17230000000000001</v>
      </c>
      <c r="AE655" s="359" t="s">
        <v>47</v>
      </c>
      <c r="AF655" s="359">
        <v>2.84</v>
      </c>
      <c r="AG655" s="153"/>
      <c r="AH655" s="346">
        <v>525.61458767199895</v>
      </c>
      <c r="AI655" s="24"/>
      <c r="AJ655" s="24"/>
      <c r="AK655" s="24"/>
      <c r="AL655" s="24"/>
      <c r="AM655" s="359"/>
      <c r="AN655" s="24">
        <f t="shared" si="118"/>
        <v>149.2745428988477</v>
      </c>
      <c r="AO655" s="54">
        <f t="shared" si="119"/>
        <v>0</v>
      </c>
      <c r="AP655" s="261">
        <f t="shared" si="120"/>
        <v>4.0571428571428569</v>
      </c>
      <c r="AQ655" s="338"/>
      <c r="AR655" s="45"/>
      <c r="AS655" s="359"/>
      <c r="AT655" s="359"/>
    </row>
    <row r="656" spans="1:46" ht="12">
      <c r="A656" s="200" t="s">
        <v>891</v>
      </c>
      <c r="B656" s="359" t="str">
        <f t="shared" si="111"/>
        <v>MgO</v>
      </c>
      <c r="C656" s="141">
        <f t="shared" si="112"/>
        <v>2.84</v>
      </c>
      <c r="D656" s="277">
        <f t="shared" si="113"/>
        <v>429.80500397211301</v>
      </c>
      <c r="E656" s="20">
        <f t="shared" si="114"/>
        <v>0</v>
      </c>
      <c r="F656" s="20">
        <f t="shared" si="115"/>
        <v>0</v>
      </c>
      <c r="G656" s="277">
        <f t="shared" si="116"/>
        <v>122.06462112808008</v>
      </c>
      <c r="H656" s="3">
        <f t="shared" si="110"/>
        <v>0</v>
      </c>
      <c r="I656" s="277">
        <f t="shared" si="117"/>
        <v>0</v>
      </c>
      <c r="J656" s="359" t="s">
        <v>814</v>
      </c>
      <c r="K656" s="359" t="s">
        <v>889</v>
      </c>
      <c r="L656" s="359"/>
      <c r="M656" s="338"/>
      <c r="N656" s="89">
        <v>41218</v>
      </c>
      <c r="O656" s="359">
        <v>233</v>
      </c>
      <c r="P656" s="67" t="s">
        <v>46</v>
      </c>
      <c r="Q656" s="67"/>
      <c r="R656" s="67"/>
      <c r="S656" s="67">
        <v>800</v>
      </c>
      <c r="T656" s="359">
        <v>42</v>
      </c>
      <c r="U656" s="67">
        <v>400</v>
      </c>
      <c r="V656" s="67">
        <v>5.3</v>
      </c>
      <c r="W656" s="67">
        <v>26.5</v>
      </c>
      <c r="X656" s="67">
        <v>3.2</v>
      </c>
      <c r="Y656" s="67">
        <v>40</v>
      </c>
      <c r="Z656" s="359"/>
      <c r="AA656" s="210"/>
      <c r="AB656" s="248">
        <v>0.17419999999999999</v>
      </c>
      <c r="AC656" s="359">
        <v>0.65639999999999998</v>
      </c>
      <c r="AD656" s="359">
        <v>0.1694</v>
      </c>
      <c r="AE656" s="359" t="s">
        <v>47</v>
      </c>
      <c r="AF656" s="359">
        <v>2.84</v>
      </c>
      <c r="AG656" s="153"/>
      <c r="AH656" s="346">
        <v>429.80500397211301</v>
      </c>
      <c r="AI656" s="24"/>
      <c r="AJ656" s="24"/>
      <c r="AK656" s="24"/>
      <c r="AL656" s="24"/>
      <c r="AM656" s="359"/>
      <c r="AN656" s="24">
        <f t="shared" si="118"/>
        <v>122.06462112808008</v>
      </c>
      <c r="AO656" s="54">
        <f t="shared" si="119"/>
        <v>0</v>
      </c>
      <c r="AP656" s="261">
        <f t="shared" si="120"/>
        <v>4.0571428571428569</v>
      </c>
      <c r="AQ656" s="338"/>
      <c r="AR656" s="45"/>
      <c r="AS656" s="359"/>
      <c r="AT656" s="359"/>
    </row>
    <row r="657" spans="1:46" ht="12">
      <c r="A657" s="200" t="s">
        <v>892</v>
      </c>
      <c r="B657" s="359" t="str">
        <f t="shared" si="111"/>
        <v>MgO</v>
      </c>
      <c r="C657" s="141">
        <f t="shared" si="112"/>
        <v>2.9</v>
      </c>
      <c r="D657" s="277">
        <f t="shared" si="113"/>
        <v>468.16452072346402</v>
      </c>
      <c r="E657" s="20">
        <f t="shared" si="114"/>
        <v>10.72</v>
      </c>
      <c r="F657" s="20">
        <f t="shared" si="115"/>
        <v>1.63</v>
      </c>
      <c r="G657" s="277">
        <f t="shared" si="116"/>
        <v>135.76771100980457</v>
      </c>
      <c r="H657" s="3">
        <f t="shared" si="110"/>
        <v>0.873</v>
      </c>
      <c r="I657" s="277">
        <f t="shared" si="117"/>
        <v>14554.298620251051</v>
      </c>
      <c r="J657" s="359" t="s">
        <v>814</v>
      </c>
      <c r="K657" s="359" t="s">
        <v>889</v>
      </c>
      <c r="L657" s="359"/>
      <c r="M657" s="338"/>
      <c r="N657" s="89">
        <v>41218</v>
      </c>
      <c r="O657" s="359">
        <v>233</v>
      </c>
      <c r="P657" s="67" t="s">
        <v>46</v>
      </c>
      <c r="Q657" s="67"/>
      <c r="R657" s="67"/>
      <c r="S657" s="67">
        <v>800</v>
      </c>
      <c r="T657" s="359">
        <v>42</v>
      </c>
      <c r="U657" s="67">
        <v>400</v>
      </c>
      <c r="V657" s="67">
        <v>5.3</v>
      </c>
      <c r="W657" s="67">
        <v>26.5</v>
      </c>
      <c r="X657" s="67">
        <v>3.2</v>
      </c>
      <c r="Y657" s="67">
        <v>40</v>
      </c>
      <c r="Z657" s="359"/>
      <c r="AA657" s="210"/>
      <c r="AB657" s="248">
        <v>0.1777</v>
      </c>
      <c r="AC657" s="359">
        <v>0.65229999999999999</v>
      </c>
      <c r="AD657" s="359">
        <v>0.17</v>
      </c>
      <c r="AE657" s="359" t="s">
        <v>47</v>
      </c>
      <c r="AF657" s="359">
        <v>2.9</v>
      </c>
      <c r="AG657" s="153"/>
      <c r="AH657" s="346">
        <v>468.16452072346402</v>
      </c>
      <c r="AI657" s="24">
        <v>524</v>
      </c>
      <c r="AJ657" s="24">
        <v>10.72</v>
      </c>
      <c r="AK657" s="24">
        <v>1.63</v>
      </c>
      <c r="AL657" s="24">
        <v>0.873</v>
      </c>
      <c r="AM657" s="359" t="s">
        <v>54</v>
      </c>
      <c r="AN657" s="24">
        <f t="shared" si="118"/>
        <v>135.76771100980457</v>
      </c>
      <c r="AO657" s="54">
        <f t="shared" si="119"/>
        <v>14554.298620251051</v>
      </c>
      <c r="AP657" s="261">
        <f t="shared" si="120"/>
        <v>4.1428571428571432</v>
      </c>
      <c r="AQ657" s="338"/>
      <c r="AR657" s="45"/>
      <c r="AS657" s="359"/>
      <c r="AT657" s="359"/>
    </row>
    <row r="658" spans="1:46" ht="12">
      <c r="A658" s="200" t="s">
        <v>893</v>
      </c>
      <c r="B658" s="359" t="str">
        <f t="shared" si="111"/>
        <v>MgO</v>
      </c>
      <c r="C658" s="141">
        <f t="shared" si="112"/>
        <v>2.09</v>
      </c>
      <c r="D658" s="277">
        <f t="shared" si="113"/>
        <v>641.31759517549199</v>
      </c>
      <c r="E658" s="20">
        <f t="shared" si="114"/>
        <v>9.94</v>
      </c>
      <c r="F658" s="20">
        <f t="shared" si="115"/>
        <v>2.0499999999999998</v>
      </c>
      <c r="G658" s="277">
        <f t="shared" si="116"/>
        <v>134.03537739167783</v>
      </c>
      <c r="H658" s="3">
        <f t="shared" si="110"/>
        <v>0.81299999999999994</v>
      </c>
      <c r="I658" s="277">
        <f t="shared" si="117"/>
        <v>13323.116512732775</v>
      </c>
      <c r="J658" s="359" t="s">
        <v>814</v>
      </c>
      <c r="K658" s="359" t="s">
        <v>877</v>
      </c>
      <c r="L658" s="359"/>
      <c r="M658" s="338" t="s">
        <v>141</v>
      </c>
      <c r="N658" s="89">
        <v>41220</v>
      </c>
      <c r="O658" s="359">
        <v>234</v>
      </c>
      <c r="P658" s="67" t="s">
        <v>46</v>
      </c>
      <c r="Q658" s="67"/>
      <c r="R658" s="67"/>
      <c r="S658" s="67">
        <v>800</v>
      </c>
      <c r="T658" s="359">
        <v>33</v>
      </c>
      <c r="U658" s="67">
        <v>400</v>
      </c>
      <c r="V658" s="67">
        <v>5.3</v>
      </c>
      <c r="W658" s="67">
        <v>26.5</v>
      </c>
      <c r="X658" s="67">
        <v>3.2</v>
      </c>
      <c r="Y658" s="67">
        <v>40</v>
      </c>
      <c r="Z658" s="359"/>
      <c r="AA658" s="210"/>
      <c r="AB658" s="248">
        <v>0.15670000000000001</v>
      </c>
      <c r="AC658" s="359">
        <v>0.70320000000000005</v>
      </c>
      <c r="AD658" s="359">
        <v>0.1401</v>
      </c>
      <c r="AE658" s="359" t="s">
        <v>47</v>
      </c>
      <c r="AF658" s="359">
        <v>2.09</v>
      </c>
      <c r="AG658" s="153"/>
      <c r="AH658" s="346">
        <v>641.31759517549199</v>
      </c>
      <c r="AI658" s="24">
        <v>720</v>
      </c>
      <c r="AJ658" s="24">
        <v>9.94</v>
      </c>
      <c r="AK658" s="24">
        <v>2.0499999999999998</v>
      </c>
      <c r="AL658" s="24">
        <v>0.81299999999999994</v>
      </c>
      <c r="AM658" s="359" t="s">
        <v>54</v>
      </c>
      <c r="AN658" s="24">
        <f t="shared" si="118"/>
        <v>134.03537739167783</v>
      </c>
      <c r="AO658" s="54">
        <f t="shared" si="119"/>
        <v>13323.116512732775</v>
      </c>
      <c r="AP658" s="261">
        <f t="shared" si="120"/>
        <v>3.7999999999999994</v>
      </c>
      <c r="AQ658" s="338"/>
      <c r="AR658" s="45"/>
      <c r="AS658" s="359"/>
      <c r="AT658" s="359"/>
    </row>
    <row r="659" spans="1:46" ht="12">
      <c r="A659" s="200" t="s">
        <v>894</v>
      </c>
      <c r="B659" s="359" t="str">
        <f t="shared" si="111"/>
        <v>MgO</v>
      </c>
      <c r="C659" s="141">
        <f t="shared" si="112"/>
        <v>2.1</v>
      </c>
      <c r="D659" s="277">
        <f t="shared" si="113"/>
        <v>642.12046878191597</v>
      </c>
      <c r="E659" s="20">
        <f t="shared" si="114"/>
        <v>9.82</v>
      </c>
      <c r="F659" s="20">
        <f t="shared" si="115"/>
        <v>2.0699999999999998</v>
      </c>
      <c r="G659" s="277">
        <f t="shared" si="116"/>
        <v>134.84529844420234</v>
      </c>
      <c r="H659" s="3">
        <f t="shared" si="110"/>
        <v>0.81200000000000006</v>
      </c>
      <c r="I659" s="277">
        <f t="shared" si="117"/>
        <v>13241.808307220672</v>
      </c>
      <c r="J659" s="359" t="s">
        <v>814</v>
      </c>
      <c r="K659" s="359" t="s">
        <v>877</v>
      </c>
      <c r="L659" s="359"/>
      <c r="M659" s="338" t="s">
        <v>141</v>
      </c>
      <c r="N659" s="89">
        <v>41220</v>
      </c>
      <c r="O659" s="359">
        <v>234</v>
      </c>
      <c r="P659" s="67" t="s">
        <v>46</v>
      </c>
      <c r="Q659" s="67"/>
      <c r="R659" s="67"/>
      <c r="S659" s="67">
        <v>800</v>
      </c>
      <c r="T659" s="359">
        <v>33</v>
      </c>
      <c r="U659" s="67">
        <v>400</v>
      </c>
      <c r="V659" s="67">
        <v>5.3</v>
      </c>
      <c r="W659" s="67">
        <v>26.5</v>
      </c>
      <c r="X659" s="67">
        <v>3.2</v>
      </c>
      <c r="Y659" s="67">
        <v>40</v>
      </c>
      <c r="Z659" s="359"/>
      <c r="AA659" s="210"/>
      <c r="AB659" s="248">
        <v>0.15759999999999999</v>
      </c>
      <c r="AC659" s="359">
        <v>0.70230000000000004</v>
      </c>
      <c r="AD659" s="359">
        <v>0.1401</v>
      </c>
      <c r="AE659" s="359" t="s">
        <v>47</v>
      </c>
      <c r="AF659" s="359">
        <v>2.1</v>
      </c>
      <c r="AG659" s="153"/>
      <c r="AH659" s="346">
        <v>642.12046878191597</v>
      </c>
      <c r="AI659" s="24">
        <v>745</v>
      </c>
      <c r="AJ659" s="24">
        <v>9.82</v>
      </c>
      <c r="AK659" s="24">
        <v>2.0699999999999998</v>
      </c>
      <c r="AL659" s="24">
        <v>0.81200000000000006</v>
      </c>
      <c r="AM659" s="359" t="s">
        <v>54</v>
      </c>
      <c r="AN659" s="24">
        <f t="shared" si="118"/>
        <v>134.84529844420234</v>
      </c>
      <c r="AO659" s="54">
        <f t="shared" si="119"/>
        <v>13241.808307220672</v>
      </c>
      <c r="AP659" s="261">
        <f t="shared" si="120"/>
        <v>3.8181818181818188</v>
      </c>
      <c r="AQ659" s="338"/>
      <c r="AR659" s="45"/>
      <c r="AS659" s="359"/>
      <c r="AT659" s="359"/>
    </row>
    <row r="660" spans="1:46" ht="12">
      <c r="A660" s="200" t="s">
        <v>895</v>
      </c>
      <c r="B660" s="359" t="str">
        <f t="shared" si="111"/>
        <v>MgO</v>
      </c>
      <c r="C660" s="141">
        <f t="shared" si="112"/>
        <v>2.15</v>
      </c>
      <c r="D660" s="277">
        <f t="shared" si="113"/>
        <v>610.45156541742904</v>
      </c>
      <c r="E660" s="20">
        <f t="shared" si="114"/>
        <v>9.8699999999999992</v>
      </c>
      <c r="F660" s="20">
        <f t="shared" si="115"/>
        <v>1.99</v>
      </c>
      <c r="G660" s="277">
        <f t="shared" si="116"/>
        <v>131.24708656474724</v>
      </c>
      <c r="H660" s="3">
        <f t="shared" si="110"/>
        <v>0.86099999999999999</v>
      </c>
      <c r="I660" s="277">
        <f t="shared" si="117"/>
        <v>12954.087443940552</v>
      </c>
      <c r="J660" s="359" t="s">
        <v>814</v>
      </c>
      <c r="K660" s="359" t="s">
        <v>877</v>
      </c>
      <c r="L660" s="359"/>
      <c r="M660" s="338" t="s">
        <v>141</v>
      </c>
      <c r="N660" s="89">
        <v>41220</v>
      </c>
      <c r="O660" s="359">
        <v>234</v>
      </c>
      <c r="P660" s="67" t="s">
        <v>46</v>
      </c>
      <c r="Q660" s="67"/>
      <c r="R660" s="67"/>
      <c r="S660" s="67">
        <v>800</v>
      </c>
      <c r="T660" s="359">
        <v>33</v>
      </c>
      <c r="U660" s="67">
        <v>400</v>
      </c>
      <c r="V660" s="67">
        <v>5.3</v>
      </c>
      <c r="W660" s="67">
        <v>26.5</v>
      </c>
      <c r="X660" s="67">
        <v>3.2</v>
      </c>
      <c r="Y660" s="67">
        <v>40</v>
      </c>
      <c r="Z660" s="359"/>
      <c r="AA660" s="210"/>
      <c r="AB660" s="248">
        <v>0.1552</v>
      </c>
      <c r="AC660" s="359">
        <v>0.69889999999999997</v>
      </c>
      <c r="AD660" s="359">
        <v>0.14599999999999999</v>
      </c>
      <c r="AE660" s="359" t="s">
        <v>47</v>
      </c>
      <c r="AF660" s="359">
        <v>2.15</v>
      </c>
      <c r="AG660" s="153"/>
      <c r="AH660" s="346">
        <v>610.45156541742904</v>
      </c>
      <c r="AI660" s="24">
        <v>686</v>
      </c>
      <c r="AJ660" s="24">
        <v>9.8699999999999992</v>
      </c>
      <c r="AK660" s="24">
        <v>1.99</v>
      </c>
      <c r="AL660" s="24">
        <v>0.86099999999999999</v>
      </c>
      <c r="AM660" s="359" t="s">
        <v>54</v>
      </c>
      <c r="AN660" s="24">
        <f t="shared" si="118"/>
        <v>131.24708656474724</v>
      </c>
      <c r="AO660" s="54">
        <f t="shared" si="119"/>
        <v>12954.087443940552</v>
      </c>
      <c r="AP660" s="261">
        <f t="shared" si="120"/>
        <v>3.9090909090909092</v>
      </c>
      <c r="AQ660" s="338"/>
      <c r="AR660" s="45"/>
      <c r="AS660" s="359"/>
      <c r="AT660" s="359"/>
    </row>
    <row r="661" spans="1:46" ht="12">
      <c r="A661" s="200" t="s">
        <v>896</v>
      </c>
      <c r="B661" s="359" t="str">
        <f t="shared" si="111"/>
        <v>MgO</v>
      </c>
      <c r="C661" s="141">
        <f t="shared" si="112"/>
        <v>2.09</v>
      </c>
      <c r="D661" s="277">
        <f t="shared" si="113"/>
        <v>657.10744276849005</v>
      </c>
      <c r="E661" s="20">
        <f t="shared" si="114"/>
        <v>9.94</v>
      </c>
      <c r="F661" s="20">
        <f t="shared" si="115"/>
        <v>2.0699999999999998</v>
      </c>
      <c r="G661" s="277">
        <f t="shared" si="116"/>
        <v>137.33545553861441</v>
      </c>
      <c r="H661" s="3">
        <f t="shared" si="110"/>
        <v>0.81</v>
      </c>
      <c r="I661" s="277">
        <f t="shared" si="117"/>
        <v>13651.144280538272</v>
      </c>
      <c r="J661" s="359" t="s">
        <v>814</v>
      </c>
      <c r="K661" s="359" t="s">
        <v>877</v>
      </c>
      <c r="L661" s="359"/>
      <c r="M661" s="338" t="s">
        <v>141</v>
      </c>
      <c r="N661" s="89">
        <v>41220</v>
      </c>
      <c r="O661" s="359">
        <v>234</v>
      </c>
      <c r="P661" s="67" t="s">
        <v>46</v>
      </c>
      <c r="Q661" s="67"/>
      <c r="R661" s="67"/>
      <c r="S661" s="67">
        <v>800</v>
      </c>
      <c r="T661" s="359">
        <v>33</v>
      </c>
      <c r="U661" s="67">
        <v>400</v>
      </c>
      <c r="V661" s="67">
        <v>5.3</v>
      </c>
      <c r="W661" s="67">
        <v>26.5</v>
      </c>
      <c r="X661" s="67">
        <v>3.2</v>
      </c>
      <c r="Y661" s="67">
        <v>40</v>
      </c>
      <c r="Z661" s="359"/>
      <c r="AA661" s="210"/>
      <c r="AB661" s="248">
        <v>0.15670000000000001</v>
      </c>
      <c r="AC661" s="359">
        <v>0.70309999999999995</v>
      </c>
      <c r="AD661" s="359">
        <v>0.14019999999999999</v>
      </c>
      <c r="AE661" s="359" t="s">
        <v>47</v>
      </c>
      <c r="AF661" s="359">
        <v>2.09</v>
      </c>
      <c r="AG661" s="153"/>
      <c r="AH661" s="346">
        <v>657.10744276849005</v>
      </c>
      <c r="AI661" s="24">
        <v>758</v>
      </c>
      <c r="AJ661" s="24">
        <v>9.94</v>
      </c>
      <c r="AK661" s="24">
        <v>2.0699999999999998</v>
      </c>
      <c r="AL661" s="24">
        <v>0.81</v>
      </c>
      <c r="AM661" s="359" t="s">
        <v>54</v>
      </c>
      <c r="AN661" s="24">
        <f t="shared" si="118"/>
        <v>137.33545553861441</v>
      </c>
      <c r="AO661" s="54">
        <f t="shared" si="119"/>
        <v>13651.144280538272</v>
      </c>
      <c r="AP661" s="261">
        <f t="shared" si="120"/>
        <v>3.7999999999999994</v>
      </c>
      <c r="AQ661" s="338"/>
      <c r="AR661" s="45"/>
      <c r="AS661" s="359"/>
      <c r="AT661" s="359"/>
    </row>
    <row r="662" spans="1:46" ht="12">
      <c r="A662" s="200" t="s">
        <v>897</v>
      </c>
      <c r="B662" s="359" t="str">
        <f t="shared" si="111"/>
        <v>SINx</v>
      </c>
      <c r="C662" s="141">
        <f t="shared" si="112"/>
        <v>0</v>
      </c>
      <c r="D662" s="277">
        <f t="shared" si="113"/>
        <v>428.020840402283</v>
      </c>
      <c r="E662" s="20">
        <f t="shared" si="114"/>
        <v>9.26</v>
      </c>
      <c r="F662" s="20">
        <f t="shared" si="115"/>
        <v>1.43</v>
      </c>
      <c r="G662" s="277">
        <f t="shared" si="116"/>
        <v>0</v>
      </c>
      <c r="H662" s="3">
        <f t="shared" si="110"/>
        <v>0.86699999999999999</v>
      </c>
      <c r="I662" s="277">
        <f t="shared" si="117"/>
        <v>0</v>
      </c>
      <c r="J662" s="359" t="s">
        <v>814</v>
      </c>
      <c r="K662" s="359" t="s">
        <v>898</v>
      </c>
      <c r="L662" s="359"/>
      <c r="M662" s="338"/>
      <c r="N662" s="89">
        <v>41221</v>
      </c>
      <c r="O662" s="359">
        <v>235</v>
      </c>
      <c r="P662" s="359" t="s">
        <v>899</v>
      </c>
      <c r="Q662" s="359"/>
      <c r="R662" s="359"/>
      <c r="S662" s="67">
        <v>800</v>
      </c>
      <c r="T662" s="359">
        <v>72</v>
      </c>
      <c r="U662" s="67">
        <v>400</v>
      </c>
      <c r="V662" s="67">
        <v>5.3</v>
      </c>
      <c r="W662" s="67">
        <v>26.5</v>
      </c>
      <c r="X662" s="67">
        <v>3.2</v>
      </c>
      <c r="Y662" s="67">
        <v>40</v>
      </c>
      <c r="Z662" s="359"/>
      <c r="AA662" s="210"/>
      <c r="AB662" s="248"/>
      <c r="AC662" s="359"/>
      <c r="AD662" s="359"/>
      <c r="AE662" s="359"/>
      <c r="AF662" s="359"/>
      <c r="AG662" s="153"/>
      <c r="AH662" s="346">
        <v>428.020840402283</v>
      </c>
      <c r="AI662" s="24">
        <v>439</v>
      </c>
      <c r="AJ662" s="24">
        <v>9.26</v>
      </c>
      <c r="AK662" s="24">
        <v>1.43</v>
      </c>
      <c r="AL662" s="24">
        <v>0.86699999999999999</v>
      </c>
      <c r="AM662" s="359" t="s">
        <v>54</v>
      </c>
      <c r="AN662" s="24">
        <f t="shared" si="118"/>
        <v>0</v>
      </c>
      <c r="AO662" s="54">
        <f t="shared" si="119"/>
        <v>0</v>
      </c>
      <c r="AP662" s="261">
        <f t="shared" si="120"/>
        <v>0</v>
      </c>
      <c r="AQ662" s="338"/>
      <c r="AR662" s="45"/>
      <c r="AS662" s="359"/>
      <c r="AT662" s="359"/>
    </row>
    <row r="663" spans="1:46" ht="12">
      <c r="A663" s="200" t="s">
        <v>900</v>
      </c>
      <c r="B663" s="359" t="str">
        <f t="shared" si="111"/>
        <v>MgO</v>
      </c>
      <c r="C663" s="141">
        <f t="shared" si="112"/>
        <v>5.1100000000000003</v>
      </c>
      <c r="D663" s="277">
        <f t="shared" si="113"/>
        <v>217.667955519294</v>
      </c>
      <c r="E663" s="20">
        <f t="shared" si="114"/>
        <v>0</v>
      </c>
      <c r="F663" s="20">
        <f t="shared" si="115"/>
        <v>0</v>
      </c>
      <c r="G663" s="277">
        <f t="shared" si="116"/>
        <v>111.22832527035924</v>
      </c>
      <c r="H663" s="3">
        <f t="shared" si="110"/>
        <v>0</v>
      </c>
      <c r="I663" s="277">
        <f t="shared" si="117"/>
        <v>0</v>
      </c>
      <c r="J663" s="359" t="s">
        <v>814</v>
      </c>
      <c r="K663" s="359" t="s">
        <v>898</v>
      </c>
      <c r="L663" s="359"/>
      <c r="M663" s="338"/>
      <c r="N663" s="89">
        <v>41221</v>
      </c>
      <c r="O663" s="359">
        <v>235</v>
      </c>
      <c r="P663" s="359" t="s">
        <v>46</v>
      </c>
      <c r="Q663" s="359"/>
      <c r="R663" s="359"/>
      <c r="S663" s="67">
        <v>800</v>
      </c>
      <c r="T663" s="359">
        <v>72</v>
      </c>
      <c r="U663" s="67">
        <v>400</v>
      </c>
      <c r="V663" s="67">
        <v>5.3</v>
      </c>
      <c r="W663" s="67">
        <v>26.5</v>
      </c>
      <c r="X663" s="67">
        <v>3.2</v>
      </c>
      <c r="Y663" s="67">
        <v>40</v>
      </c>
      <c r="Z663" s="359"/>
      <c r="AA663" s="210"/>
      <c r="AB663" s="248">
        <v>0.2046</v>
      </c>
      <c r="AC663" s="359">
        <v>0.53839999999999999</v>
      </c>
      <c r="AD663" s="359">
        <v>0.25700000000000001</v>
      </c>
      <c r="AE663" s="359" t="s">
        <v>47</v>
      </c>
      <c r="AF663" s="359">
        <v>5.1100000000000003</v>
      </c>
      <c r="AG663" s="153"/>
      <c r="AH663" s="346">
        <v>217.667955519294</v>
      </c>
      <c r="AI663" s="24"/>
      <c r="AJ663" s="24"/>
      <c r="AK663" s="24"/>
      <c r="AL663" s="24"/>
      <c r="AM663" s="359"/>
      <c r="AN663" s="24">
        <f t="shared" si="118"/>
        <v>111.22832527035924</v>
      </c>
      <c r="AO663" s="54">
        <f t="shared" si="119"/>
        <v>0</v>
      </c>
      <c r="AP663" s="261">
        <f t="shared" si="120"/>
        <v>4.2583333333333337</v>
      </c>
      <c r="AQ663" s="338"/>
      <c r="AR663" s="45"/>
      <c r="AS663" s="359"/>
      <c r="AT663" s="359"/>
    </row>
    <row r="664" spans="1:46" ht="12">
      <c r="A664" s="200" t="s">
        <v>901</v>
      </c>
      <c r="B664" s="359" t="str">
        <f t="shared" si="111"/>
        <v>SiNx</v>
      </c>
      <c r="C664" s="141">
        <f t="shared" si="112"/>
        <v>0</v>
      </c>
      <c r="D664" s="277">
        <f t="shared" si="113"/>
        <v>426.77192590340201</v>
      </c>
      <c r="E664" s="20">
        <f t="shared" si="114"/>
        <v>9.32</v>
      </c>
      <c r="F664" s="20">
        <f t="shared" si="115"/>
        <v>1.42</v>
      </c>
      <c r="G664" s="277">
        <f t="shared" si="116"/>
        <v>0</v>
      </c>
      <c r="H664" s="3">
        <f t="shared" si="110"/>
        <v>0.86899999999999999</v>
      </c>
      <c r="I664" s="277">
        <f t="shared" si="117"/>
        <v>0</v>
      </c>
      <c r="J664" s="359" t="s">
        <v>814</v>
      </c>
      <c r="K664" s="359" t="s">
        <v>898</v>
      </c>
      <c r="L664" s="359"/>
      <c r="M664" s="338"/>
      <c r="N664" s="89">
        <v>41221</v>
      </c>
      <c r="O664" s="359">
        <v>235</v>
      </c>
      <c r="P664" s="359" t="s">
        <v>187</v>
      </c>
      <c r="Q664" s="359"/>
      <c r="R664" s="359"/>
      <c r="S664" s="67">
        <v>800</v>
      </c>
      <c r="T664" s="359">
        <v>72</v>
      </c>
      <c r="U664" s="67">
        <v>400</v>
      </c>
      <c r="V664" s="67">
        <v>5.3</v>
      </c>
      <c r="W664" s="67">
        <v>26.5</v>
      </c>
      <c r="X664" s="67">
        <v>3.2</v>
      </c>
      <c r="Y664" s="67">
        <v>40</v>
      </c>
      <c r="Z664" s="359"/>
      <c r="AA664" s="210"/>
      <c r="AB664" s="248"/>
      <c r="AC664" s="359"/>
      <c r="AD664" s="359"/>
      <c r="AE664" s="359"/>
      <c r="AF664" s="359"/>
      <c r="AG664" s="153"/>
      <c r="AH664" s="346">
        <v>426.77192590340201</v>
      </c>
      <c r="AI664" s="24">
        <v>436</v>
      </c>
      <c r="AJ664" s="24">
        <v>9.32</v>
      </c>
      <c r="AK664" s="24">
        <v>1.42</v>
      </c>
      <c r="AL664" s="24">
        <v>0.86899999999999999</v>
      </c>
      <c r="AM664" s="359" t="s">
        <v>54</v>
      </c>
      <c r="AN664" s="24">
        <f t="shared" si="118"/>
        <v>0</v>
      </c>
      <c r="AO664" s="54">
        <f t="shared" si="119"/>
        <v>0</v>
      </c>
      <c r="AP664" s="261">
        <f t="shared" si="120"/>
        <v>0</v>
      </c>
      <c r="AQ664" s="338"/>
      <c r="AR664" s="45"/>
      <c r="AS664" s="359"/>
      <c r="AT664" s="359"/>
    </row>
    <row r="665" spans="1:46" ht="12">
      <c r="A665" s="200" t="s">
        <v>902</v>
      </c>
      <c r="B665" s="359" t="str">
        <f t="shared" si="111"/>
        <v>SiNx</v>
      </c>
      <c r="C665" s="141">
        <f t="shared" si="112"/>
        <v>0</v>
      </c>
      <c r="D665" s="277">
        <f t="shared" si="113"/>
        <v>426.32588501094398</v>
      </c>
      <c r="E665" s="20">
        <f t="shared" si="114"/>
        <v>9.31</v>
      </c>
      <c r="F665" s="20">
        <f t="shared" si="115"/>
        <v>1.42</v>
      </c>
      <c r="G665" s="277">
        <f t="shared" si="116"/>
        <v>0</v>
      </c>
      <c r="H665" s="3">
        <f t="shared" si="110"/>
        <v>0.86499999999999999</v>
      </c>
      <c r="I665" s="277">
        <f t="shared" si="117"/>
        <v>0</v>
      </c>
      <c r="J665" s="359" t="s">
        <v>814</v>
      </c>
      <c r="K665" s="359" t="s">
        <v>898</v>
      </c>
      <c r="L665" s="359"/>
      <c r="M665" s="338"/>
      <c r="N665" s="89">
        <v>41221</v>
      </c>
      <c r="O665" s="359">
        <v>235</v>
      </c>
      <c r="P665" s="359" t="s">
        <v>187</v>
      </c>
      <c r="Q665" s="359"/>
      <c r="R665" s="359"/>
      <c r="S665" s="67">
        <v>800</v>
      </c>
      <c r="T665" s="359">
        <v>72</v>
      </c>
      <c r="U665" s="67">
        <v>400</v>
      </c>
      <c r="V665" s="67">
        <v>5.3</v>
      </c>
      <c r="W665" s="67">
        <v>26.5</v>
      </c>
      <c r="X665" s="67">
        <v>3.2</v>
      </c>
      <c r="Y665" s="67">
        <v>40</v>
      </c>
      <c r="Z665" s="359"/>
      <c r="AA665" s="210"/>
      <c r="AB665" s="248"/>
      <c r="AC665" s="359"/>
      <c r="AD665" s="359"/>
      <c r="AE665" s="359"/>
      <c r="AF665" s="359"/>
      <c r="AG665" s="153"/>
      <c r="AH665" s="346">
        <v>426.32588501094398</v>
      </c>
      <c r="AI665" s="24">
        <v>441</v>
      </c>
      <c r="AJ665" s="24">
        <v>9.31</v>
      </c>
      <c r="AK665" s="24">
        <v>1.42</v>
      </c>
      <c r="AL665" s="24">
        <v>0.86499999999999999</v>
      </c>
      <c r="AM665" s="359" t="s">
        <v>54</v>
      </c>
      <c r="AN665" s="24">
        <f t="shared" si="118"/>
        <v>0</v>
      </c>
      <c r="AO665" s="54">
        <f t="shared" si="119"/>
        <v>0</v>
      </c>
      <c r="AP665" s="261">
        <f t="shared" si="120"/>
        <v>0</v>
      </c>
      <c r="AQ665" s="338"/>
      <c r="AR665" s="45"/>
      <c r="AS665" s="359"/>
      <c r="AT665" s="359"/>
    </row>
    <row r="666" spans="1:46" ht="12">
      <c r="A666" s="200" t="s">
        <v>903</v>
      </c>
      <c r="B666" s="359" t="str">
        <f t="shared" si="111"/>
        <v>SiNx</v>
      </c>
      <c r="C666" s="141">
        <f t="shared" si="112"/>
        <v>0</v>
      </c>
      <c r="D666" s="277">
        <f t="shared" si="113"/>
        <v>39.046419725735603</v>
      </c>
      <c r="E666" s="20">
        <f t="shared" si="114"/>
        <v>0</v>
      </c>
      <c r="F666" s="20">
        <f t="shared" si="115"/>
        <v>0</v>
      </c>
      <c r="G666" s="277">
        <f t="shared" si="116"/>
        <v>0</v>
      </c>
      <c r="H666" s="3">
        <f t="shared" si="110"/>
        <v>0</v>
      </c>
      <c r="I666" s="277">
        <f t="shared" si="117"/>
        <v>0</v>
      </c>
      <c r="J666" s="359" t="s">
        <v>814</v>
      </c>
      <c r="K666" s="359"/>
      <c r="L666" s="359"/>
      <c r="M666" s="338"/>
      <c r="N666" s="89">
        <v>41222</v>
      </c>
      <c r="O666" s="359">
        <v>236</v>
      </c>
      <c r="P666" s="359" t="s">
        <v>187</v>
      </c>
      <c r="Q666" s="359"/>
      <c r="R666" s="359"/>
      <c r="S666" s="67">
        <v>800</v>
      </c>
      <c r="T666" s="359">
        <v>600</v>
      </c>
      <c r="U666" s="67">
        <v>400</v>
      </c>
      <c r="V666" s="67">
        <v>5.3</v>
      </c>
      <c r="W666" s="67">
        <v>26.5</v>
      </c>
      <c r="X666" s="67">
        <v>3.2</v>
      </c>
      <c r="Y666" s="67">
        <v>40</v>
      </c>
      <c r="Z666" s="359"/>
      <c r="AA666" s="210"/>
      <c r="AB666" s="248"/>
      <c r="AC666" s="359"/>
      <c r="AD666" s="359"/>
      <c r="AE666" s="359"/>
      <c r="AF666" s="359"/>
      <c r="AG666" s="153"/>
      <c r="AH666" s="346">
        <v>39.046419725735603</v>
      </c>
      <c r="AI666" s="24"/>
      <c r="AJ666" s="24"/>
      <c r="AK666" s="24"/>
      <c r="AL666" s="24"/>
      <c r="AM666" s="359"/>
      <c r="AN666" s="24">
        <f t="shared" si="118"/>
        <v>0</v>
      </c>
      <c r="AO666" s="54">
        <f t="shared" si="119"/>
        <v>0</v>
      </c>
      <c r="AP666" s="261">
        <f t="shared" si="120"/>
        <v>0</v>
      </c>
      <c r="AQ666" s="338"/>
      <c r="AR666" s="45"/>
      <c r="AS666" s="359"/>
      <c r="AT666" s="359"/>
    </row>
    <row r="667" spans="1:46" ht="12">
      <c r="A667" s="200" t="s">
        <v>904</v>
      </c>
      <c r="B667" s="359" t="str">
        <f t="shared" si="111"/>
        <v>SiNx</v>
      </c>
      <c r="C667" s="141">
        <f t="shared" si="112"/>
        <v>0</v>
      </c>
      <c r="D667" s="277">
        <f t="shared" si="113"/>
        <v>39.305123443360998</v>
      </c>
      <c r="E667" s="20">
        <f t="shared" si="114"/>
        <v>11.23</v>
      </c>
      <c r="F667" s="20">
        <f t="shared" si="115"/>
        <v>0</v>
      </c>
      <c r="G667" s="277">
        <f t="shared" si="116"/>
        <v>0</v>
      </c>
      <c r="H667" s="3">
        <f t="shared" si="110"/>
        <v>0</v>
      </c>
      <c r="I667" s="277">
        <f t="shared" si="117"/>
        <v>0</v>
      </c>
      <c r="J667" s="359" t="s">
        <v>814</v>
      </c>
      <c r="K667" s="359"/>
      <c r="L667" s="359"/>
      <c r="M667" s="338" t="s">
        <v>582</v>
      </c>
      <c r="N667" s="89">
        <v>41222</v>
      </c>
      <c r="O667" s="359">
        <v>236</v>
      </c>
      <c r="P667" s="359" t="s">
        <v>187</v>
      </c>
      <c r="Q667" s="359"/>
      <c r="R667" s="359"/>
      <c r="S667" s="67">
        <v>800</v>
      </c>
      <c r="T667" s="359">
        <v>600</v>
      </c>
      <c r="U667" s="67">
        <v>400</v>
      </c>
      <c r="V667" s="67">
        <v>5.3</v>
      </c>
      <c r="W667" s="67">
        <v>26.5</v>
      </c>
      <c r="X667" s="67">
        <v>3.2</v>
      </c>
      <c r="Y667" s="67">
        <v>40</v>
      </c>
      <c r="Z667" s="359"/>
      <c r="AA667" s="210"/>
      <c r="AB667" s="248"/>
      <c r="AC667" s="359"/>
      <c r="AD667" s="359"/>
      <c r="AE667" s="359"/>
      <c r="AF667" s="359"/>
      <c r="AG667" s="153"/>
      <c r="AH667" s="346">
        <v>39.305123443360998</v>
      </c>
      <c r="AI667" s="24">
        <v>39</v>
      </c>
      <c r="AJ667" s="24">
        <v>11.23</v>
      </c>
      <c r="AK667" s="24"/>
      <c r="AL667" s="24"/>
      <c r="AM667" s="359" t="s">
        <v>54</v>
      </c>
      <c r="AN667" s="24">
        <f t="shared" si="118"/>
        <v>0</v>
      </c>
      <c r="AO667" s="54">
        <f t="shared" si="119"/>
        <v>0</v>
      </c>
      <c r="AP667" s="261">
        <f t="shared" si="120"/>
        <v>0</v>
      </c>
      <c r="AQ667" s="338"/>
      <c r="AR667" s="45"/>
      <c r="AS667" s="359"/>
      <c r="AT667" s="359"/>
    </row>
    <row r="668" spans="1:46" ht="12">
      <c r="A668" s="200" t="s">
        <v>905</v>
      </c>
      <c r="B668" s="359" t="str">
        <f t="shared" si="111"/>
        <v>SiNx</v>
      </c>
      <c r="C668" s="141">
        <f t="shared" si="112"/>
        <v>0</v>
      </c>
      <c r="D668" s="277">
        <f t="shared" si="113"/>
        <v>38.957211547244</v>
      </c>
      <c r="E668" s="20">
        <f t="shared" si="114"/>
        <v>0</v>
      </c>
      <c r="F668" s="20">
        <f t="shared" si="115"/>
        <v>0</v>
      </c>
      <c r="G668" s="277">
        <f t="shared" si="116"/>
        <v>0</v>
      </c>
      <c r="H668" s="3">
        <f t="shared" si="110"/>
        <v>0</v>
      </c>
      <c r="I668" s="277">
        <f t="shared" si="117"/>
        <v>0</v>
      </c>
      <c r="J668" s="359" t="s">
        <v>814</v>
      </c>
      <c r="K668" s="359"/>
      <c r="L668" s="359"/>
      <c r="M668" s="338"/>
      <c r="N668" s="89">
        <v>41222</v>
      </c>
      <c r="O668" s="359">
        <v>236</v>
      </c>
      <c r="P668" s="359" t="s">
        <v>187</v>
      </c>
      <c r="Q668" s="359"/>
      <c r="R668" s="359"/>
      <c r="S668" s="67">
        <v>800</v>
      </c>
      <c r="T668" s="359">
        <v>600</v>
      </c>
      <c r="U668" s="67">
        <v>400</v>
      </c>
      <c r="V668" s="67">
        <v>5.3</v>
      </c>
      <c r="W668" s="67">
        <v>26.5</v>
      </c>
      <c r="X668" s="67">
        <v>3.2</v>
      </c>
      <c r="Y668" s="67">
        <v>40</v>
      </c>
      <c r="Z668" s="359"/>
      <c r="AA668" s="210"/>
      <c r="AB668" s="248"/>
      <c r="AC668" s="359"/>
      <c r="AD668" s="359"/>
      <c r="AE668" s="359"/>
      <c r="AF668" s="359"/>
      <c r="AG668" s="153"/>
      <c r="AH668" s="346">
        <v>38.957211547244</v>
      </c>
      <c r="AI668" s="24"/>
      <c r="AJ668" s="24"/>
      <c r="AK668" s="24"/>
      <c r="AL668" s="24"/>
      <c r="AM668" s="359"/>
      <c r="AN668" s="24">
        <f t="shared" si="118"/>
        <v>0</v>
      </c>
      <c r="AO668" s="54">
        <f t="shared" si="119"/>
        <v>0</v>
      </c>
      <c r="AP668" s="261">
        <f t="shared" si="120"/>
        <v>0</v>
      </c>
      <c r="AQ668" s="338"/>
      <c r="AR668" s="45"/>
      <c r="AS668" s="359"/>
      <c r="AT668" s="359"/>
    </row>
    <row r="669" spans="1:46" ht="12">
      <c r="A669" s="200" t="s">
        <v>906</v>
      </c>
      <c r="B669" s="359" t="str">
        <f t="shared" si="111"/>
        <v>MgO</v>
      </c>
      <c r="C669" s="141">
        <f t="shared" si="112"/>
        <v>23.2</v>
      </c>
      <c r="D669" s="277">
        <f t="shared" si="113"/>
        <v>46.575589990419303</v>
      </c>
      <c r="E669" s="20">
        <f t="shared" si="114"/>
        <v>14.3</v>
      </c>
      <c r="F669" s="20">
        <f t="shared" si="115"/>
        <v>0.27</v>
      </c>
      <c r="G669" s="277">
        <f t="shared" si="116"/>
        <v>108.05536877777278</v>
      </c>
      <c r="H669" s="3">
        <f t="shared" si="110"/>
        <v>0</v>
      </c>
      <c r="I669" s="277">
        <f t="shared" si="117"/>
        <v>15451.91773522151</v>
      </c>
      <c r="J669" s="359" t="s">
        <v>814</v>
      </c>
      <c r="K669" s="359"/>
      <c r="L669" s="359"/>
      <c r="M669" s="338"/>
      <c r="N669" s="89">
        <v>41222</v>
      </c>
      <c r="O669" s="359">
        <v>236</v>
      </c>
      <c r="P669" s="359" t="s">
        <v>46</v>
      </c>
      <c r="Q669" s="359"/>
      <c r="R669" s="359"/>
      <c r="S669" s="67">
        <v>800</v>
      </c>
      <c r="T669" s="359">
        <v>600</v>
      </c>
      <c r="U669" s="67">
        <v>400</v>
      </c>
      <c r="V669" s="67">
        <v>5.3</v>
      </c>
      <c r="W669" s="67">
        <v>26.5</v>
      </c>
      <c r="X669" s="67">
        <v>3.2</v>
      </c>
      <c r="Y669" s="67">
        <v>40</v>
      </c>
      <c r="Z669" s="359"/>
      <c r="AA669" s="210"/>
      <c r="AB669" s="248">
        <v>0.49940000000000001</v>
      </c>
      <c r="AC669" s="359">
        <v>0.1532</v>
      </c>
      <c r="AD669" s="359">
        <v>0.34739999999999999</v>
      </c>
      <c r="AE669" s="359" t="s">
        <v>47</v>
      </c>
      <c r="AF669" s="359">
        <v>23.2</v>
      </c>
      <c r="AG669" s="153"/>
      <c r="AH669" s="346">
        <v>46.575589990419303</v>
      </c>
      <c r="AI669" s="24">
        <v>46</v>
      </c>
      <c r="AJ669" s="24">
        <v>14.3</v>
      </c>
      <c r="AK669" s="24">
        <v>0.27</v>
      </c>
      <c r="AL669" s="24"/>
      <c r="AM669" s="359" t="s">
        <v>54</v>
      </c>
      <c r="AN669" s="24">
        <f t="shared" si="118"/>
        <v>108.05536877777278</v>
      </c>
      <c r="AO669" s="54">
        <f t="shared" si="119"/>
        <v>15451.91773522151</v>
      </c>
      <c r="AP669" s="261">
        <f t="shared" si="120"/>
        <v>2.3200000000000003</v>
      </c>
      <c r="AQ669" s="338"/>
      <c r="AR669" s="45"/>
      <c r="AS669" s="359"/>
      <c r="AT669" s="359"/>
    </row>
    <row r="670" spans="1:46" ht="12">
      <c r="A670" s="200" t="s">
        <v>907</v>
      </c>
      <c r="B670" s="359" t="str">
        <f t="shared" si="111"/>
        <v>MgO</v>
      </c>
      <c r="C670" s="141">
        <f t="shared" si="112"/>
        <v>2.66</v>
      </c>
      <c r="D670" s="277">
        <f t="shared" si="113"/>
        <v>465.042234476261</v>
      </c>
      <c r="E670" s="20">
        <f t="shared" si="114"/>
        <v>11.42</v>
      </c>
      <c r="F670" s="20">
        <f t="shared" si="115"/>
        <v>1.53</v>
      </c>
      <c r="G670" s="277">
        <f t="shared" si="116"/>
        <v>123.70123437068544</v>
      </c>
      <c r="H670" s="3">
        <f t="shared" si="110"/>
        <v>0.83399999999999996</v>
      </c>
      <c r="I670" s="277">
        <f t="shared" si="117"/>
        <v>14126.680965132276</v>
      </c>
      <c r="J670" s="359" t="s">
        <v>814</v>
      </c>
      <c r="K670" s="359"/>
      <c r="L670" s="359"/>
      <c r="M670" s="338"/>
      <c r="N670" s="89">
        <v>41239</v>
      </c>
      <c r="O670" s="359">
        <v>242</v>
      </c>
      <c r="P670" s="359" t="s">
        <v>46</v>
      </c>
      <c r="Q670" s="359"/>
      <c r="R670" s="359"/>
      <c r="S670" s="67">
        <v>800</v>
      </c>
      <c r="T670" s="359">
        <v>42</v>
      </c>
      <c r="U670" s="67">
        <v>400</v>
      </c>
      <c r="V670" s="67">
        <v>5.3</v>
      </c>
      <c r="W670" s="67">
        <v>26.5</v>
      </c>
      <c r="X670" s="67">
        <v>3.2</v>
      </c>
      <c r="Y670" s="67">
        <v>40</v>
      </c>
      <c r="Z670" s="359"/>
      <c r="AA670" s="210"/>
      <c r="AB670" s="248">
        <v>0.1671</v>
      </c>
      <c r="AC670" s="359">
        <v>0.66759999999999997</v>
      </c>
      <c r="AD670" s="359">
        <v>0.1653</v>
      </c>
      <c r="AE670" s="359" t="s">
        <v>47</v>
      </c>
      <c r="AF670" s="359">
        <v>2.66</v>
      </c>
      <c r="AG670" s="153"/>
      <c r="AH670" s="346">
        <v>465.042234476261</v>
      </c>
      <c r="AI670" s="24">
        <v>499.92</v>
      </c>
      <c r="AJ670" s="24">
        <v>11.42</v>
      </c>
      <c r="AK670" s="24">
        <v>1.53</v>
      </c>
      <c r="AL670" s="24">
        <v>0.83399999999999996</v>
      </c>
      <c r="AM670" s="359" t="s">
        <v>54</v>
      </c>
      <c r="AN670" s="24">
        <f t="shared" si="118"/>
        <v>123.70123437068544</v>
      </c>
      <c r="AO670" s="54">
        <f t="shared" si="119"/>
        <v>14126.680965132276</v>
      </c>
      <c r="AP670" s="261">
        <f t="shared" si="120"/>
        <v>3.8000000000000003</v>
      </c>
      <c r="AQ670" s="338"/>
      <c r="AR670" s="45"/>
      <c r="AS670" s="359"/>
      <c r="AT670" s="359"/>
    </row>
    <row r="671" spans="1:46" ht="12">
      <c r="A671" s="200" t="s">
        <v>908</v>
      </c>
      <c r="B671" s="359" t="str">
        <f t="shared" si="111"/>
        <v>MgO</v>
      </c>
      <c r="C671" s="141">
        <f t="shared" si="112"/>
        <v>2.68</v>
      </c>
      <c r="D671" s="277">
        <f t="shared" si="113"/>
        <v>452.55308948744897</v>
      </c>
      <c r="E671" s="20">
        <f t="shared" si="114"/>
        <v>0</v>
      </c>
      <c r="F671" s="20">
        <f t="shared" si="115"/>
        <v>0</v>
      </c>
      <c r="G671" s="277">
        <f t="shared" si="116"/>
        <v>121.28422798263632</v>
      </c>
      <c r="H671" s="3">
        <f t="shared" si="110"/>
        <v>0</v>
      </c>
      <c r="I671" s="277">
        <f t="shared" si="117"/>
        <v>0</v>
      </c>
      <c r="J671" s="359" t="s">
        <v>814</v>
      </c>
      <c r="K671" s="359" t="s">
        <v>909</v>
      </c>
      <c r="L671" s="359"/>
      <c r="M671" s="338"/>
      <c r="N671" s="89">
        <v>41239</v>
      </c>
      <c r="O671" s="359">
        <v>242</v>
      </c>
      <c r="P671" s="359" t="s">
        <v>46</v>
      </c>
      <c r="Q671" s="359"/>
      <c r="R671" s="359"/>
      <c r="S671" s="67">
        <v>800</v>
      </c>
      <c r="T671" s="359">
        <v>42</v>
      </c>
      <c r="U671" s="67">
        <v>400</v>
      </c>
      <c r="V671" s="67">
        <v>5.3</v>
      </c>
      <c r="W671" s="67">
        <v>26.5</v>
      </c>
      <c r="X671" s="67">
        <v>3.2</v>
      </c>
      <c r="Y671" s="67">
        <v>40</v>
      </c>
      <c r="Z671" s="359"/>
      <c r="AA671" s="210"/>
      <c r="AB671" s="248">
        <v>0.16550000000000001</v>
      </c>
      <c r="AC671" s="359">
        <v>0.6663</v>
      </c>
      <c r="AD671" s="359">
        <v>0.16819999999999999</v>
      </c>
      <c r="AE671" s="359" t="s">
        <v>47</v>
      </c>
      <c r="AF671" s="359">
        <v>2.68</v>
      </c>
      <c r="AG671" s="153"/>
      <c r="AH671" s="346">
        <v>452.55308948744897</v>
      </c>
      <c r="AI671" s="24"/>
      <c r="AJ671" s="24"/>
      <c r="AK671" s="24"/>
      <c r="AL671" s="24"/>
      <c r="AM671" s="359"/>
      <c r="AN671" s="24">
        <f t="shared" si="118"/>
        <v>121.28422798263632</v>
      </c>
      <c r="AO671" s="54">
        <f t="shared" si="119"/>
        <v>0</v>
      </c>
      <c r="AP671" s="261">
        <f t="shared" si="120"/>
        <v>3.8285714285714292</v>
      </c>
      <c r="AQ671" s="61"/>
      <c r="AR671" s="45"/>
      <c r="AS671" s="359"/>
      <c r="AT671" s="359"/>
    </row>
    <row r="672" spans="1:46" ht="12">
      <c r="A672" s="200" t="s">
        <v>910</v>
      </c>
      <c r="B672" s="359" t="str">
        <f t="shared" si="111"/>
        <v>MgO</v>
      </c>
      <c r="C672" s="141">
        <f t="shared" si="112"/>
        <v>2.71</v>
      </c>
      <c r="D672" s="277">
        <f t="shared" si="113"/>
        <v>539.53106351667498</v>
      </c>
      <c r="E672" s="20">
        <f t="shared" si="114"/>
        <v>0</v>
      </c>
      <c r="F672" s="20">
        <f t="shared" si="115"/>
        <v>0</v>
      </c>
      <c r="G672" s="277">
        <f t="shared" si="116"/>
        <v>146.2129182130189</v>
      </c>
      <c r="H672" s="3">
        <f t="shared" ref="H672:H735" si="121">AL672</f>
        <v>0</v>
      </c>
      <c r="I672" s="277">
        <f t="shared" si="117"/>
        <v>0</v>
      </c>
      <c r="J672" s="359" t="s">
        <v>814</v>
      </c>
      <c r="K672" s="359" t="s">
        <v>909</v>
      </c>
      <c r="L672" s="359"/>
      <c r="M672" s="338"/>
      <c r="N672" s="89">
        <v>41239</v>
      </c>
      <c r="O672" s="359">
        <v>242</v>
      </c>
      <c r="P672" s="359" t="s">
        <v>46</v>
      </c>
      <c r="Q672" s="359"/>
      <c r="R672" s="359"/>
      <c r="S672" s="67">
        <v>800</v>
      </c>
      <c r="T672" s="359">
        <v>42</v>
      </c>
      <c r="U672" s="67">
        <v>400</v>
      </c>
      <c r="V672" s="67">
        <v>5.3</v>
      </c>
      <c r="W672" s="67">
        <v>26.5</v>
      </c>
      <c r="X672" s="67">
        <v>3.2</v>
      </c>
      <c r="Y672" s="67">
        <v>40</v>
      </c>
      <c r="Z672" s="359"/>
      <c r="AA672" s="210"/>
      <c r="AB672" s="248">
        <v>0.16289999999999999</v>
      </c>
      <c r="AC672" s="359">
        <v>0.66449999999999998</v>
      </c>
      <c r="AD672" s="359">
        <v>0.1726</v>
      </c>
      <c r="AE672" s="359" t="s">
        <v>47</v>
      </c>
      <c r="AF672" s="359">
        <v>2.71</v>
      </c>
      <c r="AG672" s="153"/>
      <c r="AH672" s="346">
        <v>539.53106351667498</v>
      </c>
      <c r="AI672" s="24"/>
      <c r="AJ672" s="24"/>
      <c r="AK672" s="24"/>
      <c r="AL672" s="24"/>
      <c r="AM672" s="359"/>
      <c r="AN672" s="24">
        <f t="shared" si="118"/>
        <v>146.2129182130189</v>
      </c>
      <c r="AO672" s="54">
        <f t="shared" si="119"/>
        <v>0</v>
      </c>
      <c r="AP672" s="261">
        <f t="shared" si="120"/>
        <v>3.8714285714285714</v>
      </c>
      <c r="AQ672" s="61"/>
      <c r="AR672" s="45"/>
      <c r="AS672" s="359"/>
      <c r="AT672" s="359"/>
    </row>
    <row r="673" spans="1:46" ht="12">
      <c r="A673" s="200" t="s">
        <v>911</v>
      </c>
      <c r="B673" s="359" t="str">
        <f t="shared" si="111"/>
        <v>MgO</v>
      </c>
      <c r="C673" s="141">
        <f t="shared" si="112"/>
        <v>2.68</v>
      </c>
      <c r="D673" s="277">
        <f t="shared" si="113"/>
        <v>464.68540176229499</v>
      </c>
      <c r="E673" s="20">
        <f t="shared" si="114"/>
        <v>0</v>
      </c>
      <c r="F673" s="20">
        <f t="shared" si="115"/>
        <v>0</v>
      </c>
      <c r="G673" s="277">
        <f t="shared" si="116"/>
        <v>124.53568767229505</v>
      </c>
      <c r="H673" s="3">
        <f t="shared" si="121"/>
        <v>0</v>
      </c>
      <c r="I673" s="277">
        <f t="shared" si="117"/>
        <v>0</v>
      </c>
      <c r="J673" s="359" t="s">
        <v>814</v>
      </c>
      <c r="K673" s="359"/>
      <c r="L673" s="359"/>
      <c r="M673" s="338"/>
      <c r="N673" s="89">
        <v>41239</v>
      </c>
      <c r="O673" s="359">
        <v>242</v>
      </c>
      <c r="P673" s="359" t="s">
        <v>46</v>
      </c>
      <c r="Q673" s="359"/>
      <c r="R673" s="359"/>
      <c r="S673" s="67">
        <v>800</v>
      </c>
      <c r="T673" s="359">
        <v>42</v>
      </c>
      <c r="U673" s="67">
        <v>400</v>
      </c>
      <c r="V673" s="67">
        <v>5.3</v>
      </c>
      <c r="W673" s="67">
        <v>26.5</v>
      </c>
      <c r="X673" s="67">
        <v>3.2</v>
      </c>
      <c r="Y673" s="67">
        <v>40</v>
      </c>
      <c r="Z673" s="359"/>
      <c r="AA673" s="210"/>
      <c r="AB673" s="248">
        <v>0.16830000000000001</v>
      </c>
      <c r="AC673" s="359">
        <v>0.6663</v>
      </c>
      <c r="AD673" s="359">
        <v>0.16539999999999999</v>
      </c>
      <c r="AE673" s="359" t="s">
        <v>47</v>
      </c>
      <c r="AF673" s="359">
        <v>2.68</v>
      </c>
      <c r="AG673" s="153"/>
      <c r="AH673" s="346">
        <v>464.68540176229499</v>
      </c>
      <c r="AI673" s="24"/>
      <c r="AJ673" s="24"/>
      <c r="AK673" s="24"/>
      <c r="AL673" s="24"/>
      <c r="AM673" s="359"/>
      <c r="AN673" s="24">
        <f t="shared" si="118"/>
        <v>124.53568767229505</v>
      </c>
      <c r="AO673" s="54">
        <f t="shared" si="119"/>
        <v>0</v>
      </c>
      <c r="AP673" s="261">
        <f t="shared" si="120"/>
        <v>3.8285714285714292</v>
      </c>
      <c r="AQ673" s="61"/>
      <c r="AR673" s="45"/>
      <c r="AS673" s="359"/>
      <c r="AT673" s="359"/>
    </row>
    <row r="674" spans="1:46" ht="12">
      <c r="A674" s="200" t="s">
        <v>912</v>
      </c>
      <c r="B674" s="359" t="str">
        <f t="shared" si="111"/>
        <v>MgO</v>
      </c>
      <c r="C674" s="141">
        <f t="shared" si="112"/>
        <v>2.8</v>
      </c>
      <c r="D674" s="277">
        <f t="shared" si="113"/>
        <v>452.46388130895798</v>
      </c>
      <c r="E674" s="20">
        <f t="shared" si="114"/>
        <v>11.85</v>
      </c>
      <c r="F674" s="20">
        <f t="shared" si="115"/>
        <v>1.7110000000000001</v>
      </c>
      <c r="G674" s="277">
        <f t="shared" si="116"/>
        <v>126.68988676650822</v>
      </c>
      <c r="H674" s="3">
        <f t="shared" si="121"/>
        <v>0.80300000000000005</v>
      </c>
      <c r="I674" s="277">
        <f t="shared" si="117"/>
        <v>15012.751581831224</v>
      </c>
      <c r="J674" s="359" t="s">
        <v>814</v>
      </c>
      <c r="K674" s="359"/>
      <c r="L674" s="359"/>
      <c r="M674" s="338"/>
      <c r="N674" s="89">
        <v>41240</v>
      </c>
      <c r="O674" s="359">
        <v>244</v>
      </c>
      <c r="P674" s="359" t="s">
        <v>46</v>
      </c>
      <c r="Q674" s="359"/>
      <c r="R674" s="359"/>
      <c r="S674" s="359">
        <v>600</v>
      </c>
      <c r="T674" s="359">
        <v>42</v>
      </c>
      <c r="U674" s="67">
        <v>400</v>
      </c>
      <c r="V674" s="67">
        <v>5.3</v>
      </c>
      <c r="W674" s="67">
        <v>26.5</v>
      </c>
      <c r="X674" s="67">
        <v>3.2</v>
      </c>
      <c r="Y674" s="67">
        <v>40</v>
      </c>
      <c r="Z674" s="359"/>
      <c r="AA674" s="210"/>
      <c r="AB674" s="248">
        <v>0.1701</v>
      </c>
      <c r="AC674" s="359">
        <v>0.65849999999999997</v>
      </c>
      <c r="AD674" s="359">
        <v>0.1714</v>
      </c>
      <c r="AE674" s="359" t="s">
        <v>47</v>
      </c>
      <c r="AF674" s="359">
        <v>2.8</v>
      </c>
      <c r="AG674" s="153"/>
      <c r="AH674" s="30">
        <v>452.46388130895798</v>
      </c>
      <c r="AI674" s="261">
        <v>475.658007716751</v>
      </c>
      <c r="AJ674" s="24">
        <v>11.85</v>
      </c>
      <c r="AK674" s="24">
        <v>1.7110000000000001</v>
      </c>
      <c r="AL674" s="24">
        <v>0.80300000000000005</v>
      </c>
      <c r="AM674" s="359" t="s">
        <v>913</v>
      </c>
      <c r="AN674" s="24">
        <f t="shared" si="118"/>
        <v>126.68988676650822</v>
      </c>
      <c r="AO674" s="54">
        <f t="shared" si="119"/>
        <v>15012.751581831224</v>
      </c>
      <c r="AP674" s="261">
        <f t="shared" si="120"/>
        <v>4</v>
      </c>
      <c r="AQ674" s="61"/>
      <c r="AR674" s="45"/>
      <c r="AS674" s="359"/>
      <c r="AT674" s="359"/>
    </row>
    <row r="675" spans="1:46" ht="12">
      <c r="A675" s="200" t="s">
        <v>914</v>
      </c>
      <c r="B675" s="359" t="str">
        <f t="shared" si="111"/>
        <v>MgO</v>
      </c>
      <c r="C675" s="141">
        <f t="shared" si="112"/>
        <v>2.78</v>
      </c>
      <c r="D675" s="277">
        <f t="shared" si="113"/>
        <v>498.58450958907002</v>
      </c>
      <c r="E675" s="20">
        <f t="shared" si="114"/>
        <v>11.34</v>
      </c>
      <c r="F675" s="20">
        <f t="shared" si="115"/>
        <v>1.88</v>
      </c>
      <c r="G675" s="277">
        <f t="shared" si="116"/>
        <v>138.60649366576146</v>
      </c>
      <c r="H675" s="3">
        <f t="shared" si="121"/>
        <v>0.80200000000000005</v>
      </c>
      <c r="I675" s="277">
        <f t="shared" si="117"/>
        <v>15717.97638169735</v>
      </c>
      <c r="J675" s="359" t="s">
        <v>814</v>
      </c>
      <c r="K675" s="359"/>
      <c r="L675" s="359"/>
      <c r="M675" s="338"/>
      <c r="N675" s="89">
        <v>41240</v>
      </c>
      <c r="O675" s="359">
        <v>244</v>
      </c>
      <c r="P675" s="359" t="s">
        <v>46</v>
      </c>
      <c r="Q675" s="359"/>
      <c r="R675" s="359"/>
      <c r="S675" s="359">
        <v>600</v>
      </c>
      <c r="T675" s="359">
        <v>42</v>
      </c>
      <c r="U675" s="67">
        <v>400</v>
      </c>
      <c r="V675" s="67">
        <v>5.3</v>
      </c>
      <c r="W675" s="67">
        <v>26.5</v>
      </c>
      <c r="X675" s="67">
        <v>3.2</v>
      </c>
      <c r="Y675" s="67">
        <v>40</v>
      </c>
      <c r="Z675" s="359"/>
      <c r="AA675" s="210"/>
      <c r="AB675" s="248">
        <v>0.17030000000000001</v>
      </c>
      <c r="AC675" s="359">
        <v>0.65980000000000005</v>
      </c>
      <c r="AD675" s="359">
        <v>0.1699</v>
      </c>
      <c r="AE675" s="359" t="s">
        <v>47</v>
      </c>
      <c r="AF675" s="359">
        <v>2.78</v>
      </c>
      <c r="AG675" s="153"/>
      <c r="AH675" s="30">
        <v>498.58450958907002</v>
      </c>
      <c r="AI675" s="261">
        <v>532.037576523388</v>
      </c>
      <c r="AJ675" s="24">
        <v>11.34</v>
      </c>
      <c r="AK675" s="24">
        <v>1.88</v>
      </c>
      <c r="AL675" s="24">
        <v>0.80200000000000005</v>
      </c>
      <c r="AM675" s="359" t="s">
        <v>913</v>
      </c>
      <c r="AN675" s="24">
        <f t="shared" si="118"/>
        <v>138.60649366576146</v>
      </c>
      <c r="AO675" s="54">
        <f t="shared" si="119"/>
        <v>15717.97638169735</v>
      </c>
      <c r="AP675" s="261">
        <f t="shared" si="120"/>
        <v>3.9714285714285715</v>
      </c>
      <c r="AQ675" s="338"/>
      <c r="AR675" s="45"/>
      <c r="AS675" s="359"/>
      <c r="AT675" s="359"/>
    </row>
    <row r="676" spans="1:46" ht="12">
      <c r="A676" s="200" t="s">
        <v>915</v>
      </c>
      <c r="B676" s="359" t="str">
        <f t="shared" si="111"/>
        <v>MgO</v>
      </c>
      <c r="C676" s="141">
        <f t="shared" si="112"/>
        <v>2.79</v>
      </c>
      <c r="D676" s="277">
        <f t="shared" si="113"/>
        <v>501.40348802940201</v>
      </c>
      <c r="E676" s="20">
        <f t="shared" si="114"/>
        <v>11.38</v>
      </c>
      <c r="F676" s="20">
        <f t="shared" si="115"/>
        <v>1.62</v>
      </c>
      <c r="G676" s="277">
        <f t="shared" si="116"/>
        <v>139.89157316020317</v>
      </c>
      <c r="H676" s="3">
        <f t="shared" si="121"/>
        <v>0.89500000000000002</v>
      </c>
      <c r="I676" s="277">
        <f t="shared" si="117"/>
        <v>15919.661025631121</v>
      </c>
      <c r="J676" s="359" t="s">
        <v>814</v>
      </c>
      <c r="K676" s="359"/>
      <c r="L676" s="359"/>
      <c r="M676" s="338"/>
      <c r="N676" s="89">
        <v>41240</v>
      </c>
      <c r="O676" s="359">
        <v>244</v>
      </c>
      <c r="P676" s="359" t="s">
        <v>46</v>
      </c>
      <c r="Q676" s="359"/>
      <c r="R676" s="359"/>
      <c r="S676" s="359">
        <v>600</v>
      </c>
      <c r="T676" s="359">
        <v>42</v>
      </c>
      <c r="U676" s="67">
        <v>400</v>
      </c>
      <c r="V676" s="67">
        <v>5.3</v>
      </c>
      <c r="W676" s="67">
        <v>26.5</v>
      </c>
      <c r="X676" s="67">
        <v>3.2</v>
      </c>
      <c r="Y676" s="67">
        <v>40</v>
      </c>
      <c r="Z676" s="359"/>
      <c r="AA676" s="210"/>
      <c r="AB676" s="248">
        <v>0.17130000000000001</v>
      </c>
      <c r="AC676" s="359">
        <v>0.65949999999999998</v>
      </c>
      <c r="AD676" s="359">
        <v>0.16919999999999999</v>
      </c>
      <c r="AE676" s="359" t="s">
        <v>47</v>
      </c>
      <c r="AF676" s="359">
        <v>2.79</v>
      </c>
      <c r="AG676" s="153"/>
      <c r="AH676" s="376">
        <v>501.40348802940201</v>
      </c>
      <c r="AI676" s="341">
        <v>501.40348802940201</v>
      </c>
      <c r="AJ676" s="24">
        <v>11.38</v>
      </c>
      <c r="AK676" s="24">
        <v>1.62</v>
      </c>
      <c r="AL676" s="24">
        <v>0.89500000000000002</v>
      </c>
      <c r="AM676" s="359" t="s">
        <v>54</v>
      </c>
      <c r="AN676" s="24">
        <f t="shared" si="118"/>
        <v>139.89157316020317</v>
      </c>
      <c r="AO676" s="54">
        <f t="shared" si="119"/>
        <v>15919.661025631121</v>
      </c>
      <c r="AP676" s="261">
        <f t="shared" si="120"/>
        <v>3.9857142857142862</v>
      </c>
      <c r="AQ676" s="338"/>
      <c r="AR676" s="45"/>
      <c r="AS676" s="359"/>
      <c r="AT676" s="359"/>
    </row>
    <row r="677" spans="1:46" ht="12">
      <c r="A677" s="200" t="s">
        <v>916</v>
      </c>
      <c r="B677" s="359" t="str">
        <f t="shared" si="111"/>
        <v>MgO</v>
      </c>
      <c r="C677" s="141">
        <f t="shared" si="112"/>
        <v>2.83</v>
      </c>
      <c r="D677" s="277">
        <f t="shared" si="113"/>
        <v>497.96005233963001</v>
      </c>
      <c r="E677" s="20">
        <f t="shared" si="114"/>
        <v>11.35</v>
      </c>
      <c r="F677" s="20">
        <f t="shared" si="115"/>
        <v>1.91</v>
      </c>
      <c r="G677" s="277">
        <f t="shared" si="116"/>
        <v>140.92269481211528</v>
      </c>
      <c r="H677" s="3">
        <f t="shared" si="121"/>
        <v>0.80500000000000005</v>
      </c>
      <c r="I677" s="277">
        <f t="shared" si="117"/>
        <v>15994.725861175084</v>
      </c>
      <c r="J677" s="359" t="s">
        <v>814</v>
      </c>
      <c r="K677" s="359"/>
      <c r="L677" s="359"/>
      <c r="M677" s="338"/>
      <c r="N677" s="89">
        <v>41240</v>
      </c>
      <c r="O677" s="359">
        <v>244</v>
      </c>
      <c r="P677" s="359" t="s">
        <v>46</v>
      </c>
      <c r="Q677" s="359"/>
      <c r="R677" s="359"/>
      <c r="S677" s="359">
        <v>600</v>
      </c>
      <c r="T677" s="359">
        <v>42</v>
      </c>
      <c r="U677" s="67">
        <v>400</v>
      </c>
      <c r="V677" s="67">
        <v>5.3</v>
      </c>
      <c r="W677" s="67">
        <v>26.5</v>
      </c>
      <c r="X677" s="67">
        <v>3.2</v>
      </c>
      <c r="Y677" s="67">
        <v>40</v>
      </c>
      <c r="Z677" s="359"/>
      <c r="AA677" s="210"/>
      <c r="AB677" s="248">
        <v>0.17150000000000001</v>
      </c>
      <c r="AC677" s="359">
        <v>0.65690000000000004</v>
      </c>
      <c r="AD677" s="359">
        <v>0.1716</v>
      </c>
      <c r="AE677" s="359" t="s">
        <v>47</v>
      </c>
      <c r="AF677" s="359">
        <v>2.83</v>
      </c>
      <c r="AG677" s="153"/>
      <c r="AH677" s="30">
        <v>497.96005233963001</v>
      </c>
      <c r="AI677" s="261">
        <v>536.67640180494698</v>
      </c>
      <c r="AJ677" s="24">
        <v>11.35</v>
      </c>
      <c r="AK677" s="24">
        <v>1.91</v>
      </c>
      <c r="AL677" s="24">
        <v>0.80500000000000005</v>
      </c>
      <c r="AM677" s="359" t="s">
        <v>913</v>
      </c>
      <c r="AN677" s="24">
        <f t="shared" si="118"/>
        <v>140.92269481211528</v>
      </c>
      <c r="AO677" s="54">
        <f t="shared" si="119"/>
        <v>15994.725861175084</v>
      </c>
      <c r="AP677" s="261">
        <f t="shared" si="120"/>
        <v>4.0428571428571436</v>
      </c>
      <c r="AQ677" s="338"/>
      <c r="AR677" s="45"/>
      <c r="AS677" s="359"/>
      <c r="AT677" s="359"/>
    </row>
    <row r="678" spans="1:46" ht="12">
      <c r="A678" s="200" t="s">
        <v>917</v>
      </c>
      <c r="B678" s="359" t="str">
        <f t="shared" si="111"/>
        <v>MgO</v>
      </c>
      <c r="C678" s="141">
        <f t="shared" si="112"/>
        <v>2.75</v>
      </c>
      <c r="D678" s="277">
        <f t="shared" si="113"/>
        <v>453.44517127236401</v>
      </c>
      <c r="E678" s="20">
        <f t="shared" si="114"/>
        <v>0</v>
      </c>
      <c r="F678" s="20">
        <f t="shared" si="115"/>
        <v>0</v>
      </c>
      <c r="G678" s="277">
        <f t="shared" si="116"/>
        <v>124.69742209990011</v>
      </c>
      <c r="H678" s="3">
        <f t="shared" si="121"/>
        <v>0</v>
      </c>
      <c r="I678" s="277">
        <f t="shared" si="117"/>
        <v>0</v>
      </c>
      <c r="J678" s="359" t="s">
        <v>814</v>
      </c>
      <c r="K678" s="359"/>
      <c r="L678" s="359"/>
      <c r="M678" s="338"/>
      <c r="N678" s="89">
        <v>41241</v>
      </c>
      <c r="O678" s="359">
        <v>245</v>
      </c>
      <c r="P678" s="359" t="s">
        <v>46</v>
      </c>
      <c r="Q678" s="359"/>
      <c r="R678" s="359"/>
      <c r="S678" s="359">
        <v>600</v>
      </c>
      <c r="T678" s="359">
        <v>42</v>
      </c>
      <c r="U678" s="67">
        <v>400</v>
      </c>
      <c r="V678" s="67">
        <v>5.3</v>
      </c>
      <c r="W678" s="67">
        <v>26.5</v>
      </c>
      <c r="X678" s="67">
        <v>3.2</v>
      </c>
      <c r="Y678" s="67">
        <v>40</v>
      </c>
      <c r="Z678" s="359"/>
      <c r="AA678" s="210"/>
      <c r="AB678" s="248">
        <v>0.191</v>
      </c>
      <c r="AC678" s="359">
        <v>0.66210000000000002</v>
      </c>
      <c r="AD678" s="359">
        <v>0.1469</v>
      </c>
      <c r="AE678" s="359" t="s">
        <v>47</v>
      </c>
      <c r="AF678" s="359">
        <v>2.75</v>
      </c>
      <c r="AG678" s="153"/>
      <c r="AH678" s="346">
        <v>453.44517127236401</v>
      </c>
      <c r="AI678" s="24"/>
      <c r="AJ678" s="24"/>
      <c r="AK678" s="24"/>
      <c r="AL678" s="24"/>
      <c r="AM678" s="359"/>
      <c r="AN678" s="24">
        <f t="shared" si="118"/>
        <v>124.69742209990011</v>
      </c>
      <c r="AO678" s="54">
        <f t="shared" si="119"/>
        <v>0</v>
      </c>
      <c r="AP678" s="261">
        <f t="shared" si="120"/>
        <v>3.9285714285714288</v>
      </c>
      <c r="AQ678" s="338"/>
      <c r="AR678" s="45"/>
      <c r="AS678" s="359"/>
      <c r="AT678" s="359"/>
    </row>
    <row r="679" spans="1:46" ht="12">
      <c r="A679" s="200" t="s">
        <v>918</v>
      </c>
      <c r="B679" s="359" t="str">
        <f t="shared" si="111"/>
        <v>MgO</v>
      </c>
      <c r="C679" s="141">
        <f t="shared" si="112"/>
        <v>2.65</v>
      </c>
      <c r="D679" s="277">
        <f t="shared" si="113"/>
        <v>435.24670286009598</v>
      </c>
      <c r="E679" s="20">
        <f t="shared" si="114"/>
        <v>0</v>
      </c>
      <c r="F679" s="20">
        <f t="shared" si="115"/>
        <v>0</v>
      </c>
      <c r="G679" s="277">
        <f t="shared" si="116"/>
        <v>115.34037625792544</v>
      </c>
      <c r="H679" s="3">
        <f t="shared" si="121"/>
        <v>0</v>
      </c>
      <c r="I679" s="277">
        <f t="shared" si="117"/>
        <v>0</v>
      </c>
      <c r="J679" s="359" t="s">
        <v>814</v>
      </c>
      <c r="K679" s="359"/>
      <c r="L679" s="359"/>
      <c r="M679" s="338"/>
      <c r="N679" s="89">
        <v>41241</v>
      </c>
      <c r="O679" s="359">
        <v>245</v>
      </c>
      <c r="P679" s="359" t="s">
        <v>46</v>
      </c>
      <c r="Q679" s="359"/>
      <c r="R679" s="359"/>
      <c r="S679" s="359">
        <v>600</v>
      </c>
      <c r="T679" s="359">
        <v>42</v>
      </c>
      <c r="U679" s="67">
        <v>400</v>
      </c>
      <c r="V679" s="67">
        <v>5.3</v>
      </c>
      <c r="W679" s="67">
        <v>26.5</v>
      </c>
      <c r="X679" s="67">
        <v>3.2</v>
      </c>
      <c r="Y679" s="67">
        <v>40</v>
      </c>
      <c r="Z679" s="359"/>
      <c r="AA679" s="210"/>
      <c r="AB679" s="248">
        <v>0.20610000000000001</v>
      </c>
      <c r="AC679" s="359">
        <v>0.66779999999999995</v>
      </c>
      <c r="AD679" s="359">
        <v>0.12609999999999999</v>
      </c>
      <c r="AE679" s="359" t="s">
        <v>47</v>
      </c>
      <c r="AF679" s="359">
        <v>2.65</v>
      </c>
      <c r="AG679" s="153"/>
      <c r="AH679" s="346">
        <v>435.24670286009598</v>
      </c>
      <c r="AI679" s="24"/>
      <c r="AJ679" s="24"/>
      <c r="AK679" s="24"/>
      <c r="AL679" s="24"/>
      <c r="AM679" s="359"/>
      <c r="AN679" s="24">
        <f t="shared" si="118"/>
        <v>115.34037625792544</v>
      </c>
      <c r="AO679" s="54">
        <f t="shared" si="119"/>
        <v>0</v>
      </c>
      <c r="AP679" s="261">
        <f t="shared" si="120"/>
        <v>3.7857142857142856</v>
      </c>
      <c r="AQ679" s="338"/>
      <c r="AR679" s="45"/>
      <c r="AS679" s="359"/>
      <c r="AT679" s="359"/>
    </row>
    <row r="680" spans="1:46" ht="12">
      <c r="A680" s="200" t="s">
        <v>919</v>
      </c>
      <c r="B680" s="359" t="str">
        <f t="shared" si="111"/>
        <v>MgO</v>
      </c>
      <c r="C680" s="141">
        <f t="shared" si="112"/>
        <v>2.69</v>
      </c>
      <c r="D680" s="277">
        <f t="shared" si="113"/>
        <v>432.48124932685897</v>
      </c>
      <c r="E680" s="20">
        <f t="shared" si="114"/>
        <v>11.87</v>
      </c>
      <c r="F680" s="20">
        <f t="shared" si="115"/>
        <v>1.796</v>
      </c>
      <c r="G680" s="277">
        <f t="shared" si="116"/>
        <v>116.33745606892505</v>
      </c>
      <c r="H680" s="3">
        <f t="shared" si="121"/>
        <v>0.81499999999999995</v>
      </c>
      <c r="I680" s="277">
        <f t="shared" si="117"/>
        <v>13809.256035381402</v>
      </c>
      <c r="J680" s="359" t="s">
        <v>814</v>
      </c>
      <c r="K680" s="359"/>
      <c r="L680" s="359"/>
      <c r="M680" s="338"/>
      <c r="N680" s="89">
        <v>41241</v>
      </c>
      <c r="O680" s="359">
        <v>245</v>
      </c>
      <c r="P680" s="359" t="s">
        <v>46</v>
      </c>
      <c r="Q680" s="359"/>
      <c r="R680" s="359"/>
      <c r="S680" s="359">
        <v>600</v>
      </c>
      <c r="T680" s="359">
        <v>42</v>
      </c>
      <c r="U680" s="67">
        <v>400</v>
      </c>
      <c r="V680" s="67">
        <v>5.3</v>
      </c>
      <c r="W680" s="67">
        <v>26.5</v>
      </c>
      <c r="X680" s="67">
        <v>3.2</v>
      </c>
      <c r="Y680" s="67">
        <v>40</v>
      </c>
      <c r="Z680" s="359"/>
      <c r="AA680" s="210"/>
      <c r="AB680" s="248">
        <v>0.19969999999999999</v>
      </c>
      <c r="AC680" s="359">
        <v>0.66559999999999997</v>
      </c>
      <c r="AD680" s="359">
        <v>0.13469999999999999</v>
      </c>
      <c r="AE680" s="359" t="s">
        <v>47</v>
      </c>
      <c r="AF680" s="359">
        <v>2.69</v>
      </c>
      <c r="AG680" s="153"/>
      <c r="AH680" s="30">
        <v>432.48124932685897</v>
      </c>
      <c r="AI680" s="261">
        <v>467.45085529553199</v>
      </c>
      <c r="AJ680" s="24">
        <v>11.87</v>
      </c>
      <c r="AK680" s="24">
        <v>1.796</v>
      </c>
      <c r="AL680" s="24">
        <v>0.81499999999999995</v>
      </c>
      <c r="AM680" s="359" t="s">
        <v>913</v>
      </c>
      <c r="AN680" s="24">
        <f t="shared" si="118"/>
        <v>116.33745606892505</v>
      </c>
      <c r="AO680" s="54">
        <f t="shared" si="119"/>
        <v>13809.256035381402</v>
      </c>
      <c r="AP680" s="261">
        <f t="shared" si="120"/>
        <v>3.842857142857143</v>
      </c>
      <c r="AQ680" s="338"/>
      <c r="AR680" s="45"/>
      <c r="AS680" s="359"/>
      <c r="AT680" s="359"/>
    </row>
    <row r="681" spans="1:46" ht="12">
      <c r="A681" s="200" t="s">
        <v>920</v>
      </c>
      <c r="B681" s="359" t="str">
        <f t="shared" si="111"/>
        <v>MgO</v>
      </c>
      <c r="C681" s="141">
        <f t="shared" si="112"/>
        <v>2.74</v>
      </c>
      <c r="D681" s="277">
        <f t="shared" si="113"/>
        <v>438.10136457182398</v>
      </c>
      <c r="E681" s="20">
        <f t="shared" si="114"/>
        <v>11.56</v>
      </c>
      <c r="F681" s="20">
        <f t="shared" si="115"/>
        <v>1.48</v>
      </c>
      <c r="G681" s="277">
        <f t="shared" si="116"/>
        <v>120.03977389267978</v>
      </c>
      <c r="H681" s="3">
        <f t="shared" si="121"/>
        <v>0.92110000000000003</v>
      </c>
      <c r="I681" s="277">
        <f t="shared" si="117"/>
        <v>13876.597861993783</v>
      </c>
      <c r="J681" s="359" t="s">
        <v>814</v>
      </c>
      <c r="K681" s="359"/>
      <c r="L681" s="359"/>
      <c r="M681" s="338"/>
      <c r="N681" s="89">
        <v>41241</v>
      </c>
      <c r="O681" s="359">
        <v>245</v>
      </c>
      <c r="P681" s="359" t="s">
        <v>46</v>
      </c>
      <c r="Q681" s="359"/>
      <c r="R681" s="359"/>
      <c r="S681" s="359">
        <v>600</v>
      </c>
      <c r="T681" s="359">
        <v>42</v>
      </c>
      <c r="U681" s="67">
        <v>400</v>
      </c>
      <c r="V681" s="67">
        <v>5.3</v>
      </c>
      <c r="W681" s="67">
        <v>26.5</v>
      </c>
      <c r="X681" s="67">
        <v>3.2</v>
      </c>
      <c r="Y681" s="67">
        <v>40</v>
      </c>
      <c r="Z681" s="359"/>
      <c r="AA681" s="210"/>
      <c r="AB681" s="248">
        <v>0.2041</v>
      </c>
      <c r="AC681" s="359">
        <v>0.6623</v>
      </c>
      <c r="AD681" s="359">
        <v>0.1336</v>
      </c>
      <c r="AE681" s="359" t="s">
        <v>47</v>
      </c>
      <c r="AF681" s="359">
        <v>2.74</v>
      </c>
      <c r="AG681" s="153"/>
      <c r="AH681" s="346">
        <v>438.10136457182398</v>
      </c>
      <c r="AI681" s="24">
        <v>464.95</v>
      </c>
      <c r="AJ681" s="24">
        <v>11.56</v>
      </c>
      <c r="AK681" s="24">
        <v>1.48</v>
      </c>
      <c r="AL681" s="24">
        <v>0.92110000000000003</v>
      </c>
      <c r="AM681" s="359" t="s">
        <v>54</v>
      </c>
      <c r="AN681" s="24">
        <f t="shared" si="118"/>
        <v>120.03977389267978</v>
      </c>
      <c r="AO681" s="54">
        <f t="shared" si="119"/>
        <v>13876.597861993783</v>
      </c>
      <c r="AP681" s="261">
        <f t="shared" si="120"/>
        <v>3.914285714285715</v>
      </c>
      <c r="AQ681" s="338"/>
      <c r="AR681" s="45"/>
      <c r="AS681" s="359"/>
      <c r="AT681" s="359"/>
    </row>
    <row r="682" spans="1:46" ht="12">
      <c r="A682" s="200" t="s">
        <v>921</v>
      </c>
      <c r="B682" s="359" t="str">
        <f t="shared" si="111"/>
        <v>MgO</v>
      </c>
      <c r="C682" s="141">
        <f t="shared" si="112"/>
        <v>2.4</v>
      </c>
      <c r="D682" s="277">
        <f t="shared" si="113"/>
        <v>597.33796317917597</v>
      </c>
      <c r="E682" s="20">
        <f t="shared" si="114"/>
        <v>10.6</v>
      </c>
      <c r="F682" s="20">
        <f t="shared" si="115"/>
        <v>1.9</v>
      </c>
      <c r="G682" s="277">
        <f t="shared" si="116"/>
        <v>143.36111116300225</v>
      </c>
      <c r="H682" s="3">
        <f t="shared" si="121"/>
        <v>0.86599999999999999</v>
      </c>
      <c r="I682" s="277">
        <f t="shared" si="117"/>
        <v>15196.277783278236</v>
      </c>
      <c r="J682" s="359" t="s">
        <v>814</v>
      </c>
      <c r="K682" s="359"/>
      <c r="L682" s="359"/>
      <c r="M682" s="338"/>
      <c r="N682" s="89">
        <v>41242</v>
      </c>
      <c r="O682" s="359">
        <v>246</v>
      </c>
      <c r="P682" s="359" t="s">
        <v>46</v>
      </c>
      <c r="Q682" s="359"/>
      <c r="R682" s="359"/>
      <c r="S682" s="359">
        <v>600</v>
      </c>
      <c r="T682" s="359">
        <v>36</v>
      </c>
      <c r="U682" s="67">
        <v>400</v>
      </c>
      <c r="V682" s="67">
        <v>5.3</v>
      </c>
      <c r="W682" s="67">
        <v>26.5</v>
      </c>
      <c r="X682" s="67">
        <v>3.2</v>
      </c>
      <c r="Y682" s="67">
        <v>40</v>
      </c>
      <c r="Z682" s="359"/>
      <c r="AA682" s="210"/>
      <c r="AB682" s="248">
        <v>0.1636</v>
      </c>
      <c r="AC682" s="359">
        <v>0.6835</v>
      </c>
      <c r="AD682" s="359">
        <v>0.15290000000000001</v>
      </c>
      <c r="AE682" s="359" t="s">
        <v>47</v>
      </c>
      <c r="AF682" s="359">
        <v>2.4</v>
      </c>
      <c r="AG682" s="153"/>
      <c r="AH682" s="346">
        <v>597.33796317917597</v>
      </c>
      <c r="AI682" s="24">
        <v>635.70000000000005</v>
      </c>
      <c r="AJ682" s="24">
        <v>10.6</v>
      </c>
      <c r="AK682" s="24">
        <v>1.9</v>
      </c>
      <c r="AL682" s="24">
        <v>0.86599999999999999</v>
      </c>
      <c r="AM682" s="359" t="s">
        <v>54</v>
      </c>
      <c r="AN682" s="24">
        <f t="shared" si="118"/>
        <v>143.36111116300225</v>
      </c>
      <c r="AO682" s="54">
        <f t="shared" si="119"/>
        <v>15196.277783278236</v>
      </c>
      <c r="AP682" s="261">
        <f t="shared" si="120"/>
        <v>4</v>
      </c>
      <c r="AQ682" s="338"/>
      <c r="AR682" s="45"/>
      <c r="AS682" s="359"/>
      <c r="AT682" s="359"/>
    </row>
    <row r="683" spans="1:46" ht="12">
      <c r="A683" s="200" t="s">
        <v>922</v>
      </c>
      <c r="B683" s="359" t="str">
        <f t="shared" si="111"/>
        <v>Al2O3</v>
      </c>
      <c r="C683" s="141">
        <f t="shared" si="112"/>
        <v>2.58</v>
      </c>
      <c r="D683" s="277">
        <f t="shared" si="113"/>
        <v>897.07744291066194</v>
      </c>
      <c r="E683" s="20">
        <f t="shared" si="114"/>
        <v>0</v>
      </c>
      <c r="F683" s="20">
        <f t="shared" si="115"/>
        <v>0</v>
      </c>
      <c r="G683" s="277">
        <f t="shared" si="116"/>
        <v>231.4459802709508</v>
      </c>
      <c r="H683" s="3">
        <f t="shared" si="121"/>
        <v>0.755</v>
      </c>
      <c r="I683" s="277">
        <f t="shared" si="117"/>
        <v>0</v>
      </c>
      <c r="J683" s="359" t="s">
        <v>814</v>
      </c>
      <c r="K683" s="359"/>
      <c r="L683" s="359"/>
      <c r="M683" s="338"/>
      <c r="N683" s="89">
        <v>41242</v>
      </c>
      <c r="O683" s="359">
        <v>246</v>
      </c>
      <c r="P683" s="359" t="s">
        <v>622</v>
      </c>
      <c r="Q683" s="359"/>
      <c r="R683" s="359"/>
      <c r="S683" s="359">
        <v>600</v>
      </c>
      <c r="T683" s="359">
        <v>36</v>
      </c>
      <c r="U683" s="67">
        <v>400</v>
      </c>
      <c r="V683" s="67">
        <v>5.3</v>
      </c>
      <c r="W683" s="67">
        <v>26.5</v>
      </c>
      <c r="X683" s="67">
        <v>3.2</v>
      </c>
      <c r="Y683" s="67">
        <v>40</v>
      </c>
      <c r="Z683" s="359"/>
      <c r="AA683" s="210"/>
      <c r="AB683" s="248">
        <v>0.1681</v>
      </c>
      <c r="AC683" s="359">
        <v>0.66859999999999997</v>
      </c>
      <c r="AD683" s="359">
        <v>0.16339999999999999</v>
      </c>
      <c r="AE683" s="359" t="s">
        <v>47</v>
      </c>
      <c r="AF683" s="359">
        <v>2.58</v>
      </c>
      <c r="AG683" s="153"/>
      <c r="AH683" s="346">
        <v>897.07744291066194</v>
      </c>
      <c r="AI683" s="24">
        <v>962.9</v>
      </c>
      <c r="AJ683" s="24">
        <v>0</v>
      </c>
      <c r="AK683" s="24"/>
      <c r="AL683" s="24">
        <v>0.755</v>
      </c>
      <c r="AM683" s="359" t="s">
        <v>54</v>
      </c>
      <c r="AN683" s="24">
        <f t="shared" si="118"/>
        <v>231.4459802709508</v>
      </c>
      <c r="AO683" s="54">
        <f t="shared" si="119"/>
        <v>0</v>
      </c>
      <c r="AP683" s="261">
        <f t="shared" si="120"/>
        <v>4.3</v>
      </c>
      <c r="AQ683" s="338"/>
      <c r="AR683" s="45"/>
      <c r="AS683" s="359"/>
      <c r="AT683" s="359"/>
    </row>
    <row r="684" spans="1:46" ht="12">
      <c r="A684" s="200" t="s">
        <v>923</v>
      </c>
      <c r="B684" s="359" t="str">
        <f t="shared" si="111"/>
        <v>MgO</v>
      </c>
      <c r="C684" s="141">
        <f t="shared" si="112"/>
        <v>2.2400000000000002</v>
      </c>
      <c r="D684" s="277">
        <f t="shared" si="113"/>
        <v>697.87558033911205</v>
      </c>
      <c r="E684" s="20">
        <f t="shared" si="114"/>
        <v>10.41</v>
      </c>
      <c r="F684" s="20">
        <f t="shared" si="115"/>
        <v>2.13</v>
      </c>
      <c r="G684" s="277">
        <f t="shared" si="116"/>
        <v>156.3241299959611</v>
      </c>
      <c r="H684" s="3">
        <f t="shared" si="121"/>
        <v>0.83199999999999996</v>
      </c>
      <c r="I684" s="277">
        <f t="shared" si="117"/>
        <v>16273.341932579551</v>
      </c>
      <c r="J684" s="359" t="s">
        <v>814</v>
      </c>
      <c r="K684" s="359"/>
      <c r="L684" s="359"/>
      <c r="M684" s="338"/>
      <c r="N684" s="89">
        <v>41242</v>
      </c>
      <c r="O684" s="359">
        <v>246</v>
      </c>
      <c r="P684" s="359" t="s">
        <v>46</v>
      </c>
      <c r="Q684" s="359"/>
      <c r="R684" s="359"/>
      <c r="S684" s="359">
        <v>600</v>
      </c>
      <c r="T684" s="359">
        <v>36</v>
      </c>
      <c r="U684" s="67">
        <v>400</v>
      </c>
      <c r="V684" s="67">
        <v>5.3</v>
      </c>
      <c r="W684" s="67">
        <v>26.5</v>
      </c>
      <c r="X684" s="67">
        <v>3.2</v>
      </c>
      <c r="Y684" s="67">
        <v>40</v>
      </c>
      <c r="Z684" s="359"/>
      <c r="AA684" s="210"/>
      <c r="AB684" s="248">
        <v>0.15770000000000001</v>
      </c>
      <c r="AC684" s="359">
        <v>0.69389999999999996</v>
      </c>
      <c r="AD684" s="359">
        <v>0.1484</v>
      </c>
      <c r="AE684" s="359" t="s">
        <v>47</v>
      </c>
      <c r="AF684" s="359">
        <v>2.2400000000000002</v>
      </c>
      <c r="AG684" s="153"/>
      <c r="AH684" s="346">
        <v>697.87558033911205</v>
      </c>
      <c r="AI684" s="24">
        <v>735.3</v>
      </c>
      <c r="AJ684" s="24">
        <v>10.41</v>
      </c>
      <c r="AK684" s="24">
        <v>2.13</v>
      </c>
      <c r="AL684" s="24">
        <v>0.83199999999999996</v>
      </c>
      <c r="AM684" s="359" t="s">
        <v>54</v>
      </c>
      <c r="AN684" s="24">
        <f t="shared" si="118"/>
        <v>156.3241299959611</v>
      </c>
      <c r="AO684" s="54">
        <f t="shared" si="119"/>
        <v>16273.341932579551</v>
      </c>
      <c r="AP684" s="261">
        <f t="shared" si="120"/>
        <v>3.7333333333333338</v>
      </c>
      <c r="AQ684" s="338"/>
      <c r="AR684" s="45"/>
      <c r="AS684" s="359"/>
      <c r="AT684" s="359"/>
    </row>
    <row r="685" spans="1:46" ht="12">
      <c r="A685" s="200" t="s">
        <v>924</v>
      </c>
      <c r="B685" s="359" t="str">
        <f t="shared" si="111"/>
        <v>Al2O3</v>
      </c>
      <c r="C685" s="141">
        <f t="shared" si="112"/>
        <v>2.58</v>
      </c>
      <c r="D685" s="277">
        <f t="shared" si="113"/>
        <v>927.58663995476002</v>
      </c>
      <c r="E685" s="20">
        <f t="shared" si="114"/>
        <v>0</v>
      </c>
      <c r="F685" s="20">
        <f t="shared" si="115"/>
        <v>0</v>
      </c>
      <c r="G685" s="277">
        <f t="shared" si="116"/>
        <v>239.31735310832809</v>
      </c>
      <c r="H685" s="3">
        <f t="shared" si="121"/>
        <v>0</v>
      </c>
      <c r="I685" s="277">
        <f t="shared" si="117"/>
        <v>0</v>
      </c>
      <c r="J685" s="359" t="s">
        <v>814</v>
      </c>
      <c r="K685" s="359"/>
      <c r="L685" s="359"/>
      <c r="M685" s="338"/>
      <c r="N685" s="89">
        <v>41242</v>
      </c>
      <c r="O685" s="359">
        <v>246</v>
      </c>
      <c r="P685" s="359" t="s">
        <v>622</v>
      </c>
      <c r="Q685" s="359"/>
      <c r="R685" s="359"/>
      <c r="S685" s="359">
        <v>600</v>
      </c>
      <c r="T685" s="359">
        <v>36</v>
      </c>
      <c r="U685" s="67">
        <v>400</v>
      </c>
      <c r="V685" s="67">
        <v>5.3</v>
      </c>
      <c r="W685" s="67">
        <v>26.5</v>
      </c>
      <c r="X685" s="67">
        <v>3.2</v>
      </c>
      <c r="Y685" s="67">
        <v>40</v>
      </c>
      <c r="Z685" s="134"/>
      <c r="AA685" s="124"/>
      <c r="AB685" s="253">
        <v>0.16650000000000001</v>
      </c>
      <c r="AC685" s="134">
        <v>0.66910000000000003</v>
      </c>
      <c r="AD685" s="134">
        <v>0.16439999999999999</v>
      </c>
      <c r="AE685" s="359" t="s">
        <v>47</v>
      </c>
      <c r="AF685" s="134">
        <v>2.58</v>
      </c>
      <c r="AG685" s="307"/>
      <c r="AH685" s="346">
        <v>927.58663995476002</v>
      </c>
      <c r="AI685" s="24"/>
      <c r="AJ685" s="24"/>
      <c r="AK685" s="24"/>
      <c r="AL685" s="24"/>
      <c r="AM685" s="359"/>
      <c r="AN685" s="24">
        <f t="shared" si="118"/>
        <v>239.31735310832809</v>
      </c>
      <c r="AO685" s="54">
        <f t="shared" si="119"/>
        <v>0</v>
      </c>
      <c r="AP685" s="261">
        <f t="shared" si="120"/>
        <v>4.3</v>
      </c>
      <c r="AQ685" s="338"/>
      <c r="AR685" s="45"/>
      <c r="AS685" s="359"/>
      <c r="AT685" s="359"/>
    </row>
    <row r="686" spans="1:46" ht="12">
      <c r="A686" s="200" t="s">
        <v>925</v>
      </c>
      <c r="B686" s="359" t="str">
        <f t="shared" si="111"/>
        <v>SiNx</v>
      </c>
      <c r="C686" s="141">
        <f t="shared" si="112"/>
        <v>0</v>
      </c>
      <c r="D686" s="277">
        <f t="shared" si="113"/>
        <v>439.70711178467099</v>
      </c>
      <c r="E686" s="20">
        <f t="shared" si="114"/>
        <v>10.77</v>
      </c>
      <c r="F686" s="20">
        <f t="shared" si="115"/>
        <v>1.47</v>
      </c>
      <c r="G686" s="277">
        <f t="shared" si="116"/>
        <v>0</v>
      </c>
      <c r="H686" s="3">
        <f t="shared" si="121"/>
        <v>0.81399999999999995</v>
      </c>
      <c r="I686" s="277">
        <f t="shared" si="117"/>
        <v>0</v>
      </c>
      <c r="J686" s="359" t="s">
        <v>814</v>
      </c>
      <c r="K686" s="359" t="s">
        <v>926</v>
      </c>
      <c r="L686" s="359"/>
      <c r="M686" s="338"/>
      <c r="N686" s="89">
        <v>41249</v>
      </c>
      <c r="O686" s="359">
        <v>247</v>
      </c>
      <c r="P686" s="359" t="s">
        <v>187</v>
      </c>
      <c r="Q686" s="359"/>
      <c r="R686" s="359"/>
      <c r="S686" s="359">
        <v>800</v>
      </c>
      <c r="T686" s="359">
        <v>72</v>
      </c>
      <c r="U686" s="67">
        <v>400</v>
      </c>
      <c r="V686" s="67">
        <v>5.3</v>
      </c>
      <c r="W686" s="67">
        <v>26.5</v>
      </c>
      <c r="X686" s="67">
        <v>3.2</v>
      </c>
      <c r="Y686" s="67">
        <v>40</v>
      </c>
      <c r="Z686" s="359"/>
      <c r="AA686" s="210"/>
      <c r="AB686" s="248"/>
      <c r="AC686" s="359"/>
      <c r="AD686" s="359"/>
      <c r="AE686" s="359"/>
      <c r="AF686" s="359"/>
      <c r="AG686" s="153"/>
      <c r="AH686" s="376">
        <v>439.70711178467099</v>
      </c>
      <c r="AI686" s="341">
        <v>439.70711178467099</v>
      </c>
      <c r="AJ686" s="24">
        <v>10.77</v>
      </c>
      <c r="AK686" s="24">
        <v>1.47</v>
      </c>
      <c r="AL686" s="24">
        <v>0.81399999999999995</v>
      </c>
      <c r="AM686" s="359" t="s">
        <v>54</v>
      </c>
      <c r="AN686" s="24">
        <f t="shared" si="118"/>
        <v>0</v>
      </c>
      <c r="AO686" s="54">
        <f t="shared" si="119"/>
        <v>0</v>
      </c>
      <c r="AP686" s="261">
        <f t="shared" si="120"/>
        <v>0</v>
      </c>
      <c r="AQ686" s="338"/>
      <c r="AR686" s="45"/>
      <c r="AS686" s="359"/>
      <c r="AT686" s="359"/>
    </row>
    <row r="687" spans="1:46" ht="12">
      <c r="A687" s="200" t="s">
        <v>927</v>
      </c>
      <c r="B687" s="359" t="str">
        <f t="shared" si="111"/>
        <v>SiNx</v>
      </c>
      <c r="C687" s="141">
        <f t="shared" si="112"/>
        <v>0</v>
      </c>
      <c r="D687" s="277">
        <f t="shared" si="113"/>
        <v>436.049576466519</v>
      </c>
      <c r="E687" s="20">
        <f t="shared" si="114"/>
        <v>10.75</v>
      </c>
      <c r="F687" s="20">
        <f t="shared" si="115"/>
        <v>1.42</v>
      </c>
      <c r="G687" s="277">
        <f t="shared" si="116"/>
        <v>0</v>
      </c>
      <c r="H687" s="3">
        <f t="shared" si="121"/>
        <v>0.81699999999999995</v>
      </c>
      <c r="I687" s="277">
        <f t="shared" si="117"/>
        <v>0</v>
      </c>
      <c r="J687" s="359" t="s">
        <v>814</v>
      </c>
      <c r="K687" s="359" t="s">
        <v>926</v>
      </c>
      <c r="L687" s="359"/>
      <c r="M687" s="338"/>
      <c r="N687" s="89">
        <v>41249</v>
      </c>
      <c r="O687" s="359">
        <v>247</v>
      </c>
      <c r="P687" s="359" t="s">
        <v>187</v>
      </c>
      <c r="Q687" s="359"/>
      <c r="R687" s="359"/>
      <c r="S687" s="359">
        <v>800</v>
      </c>
      <c r="T687" s="359">
        <v>72</v>
      </c>
      <c r="U687" s="67">
        <v>400</v>
      </c>
      <c r="V687" s="67">
        <v>5.3</v>
      </c>
      <c r="W687" s="67">
        <v>26.5</v>
      </c>
      <c r="X687" s="67">
        <v>3.2</v>
      </c>
      <c r="Y687" s="67">
        <v>40</v>
      </c>
      <c r="Z687" s="359"/>
      <c r="AA687" s="210"/>
      <c r="AB687" s="248"/>
      <c r="AC687" s="359"/>
      <c r="AD687" s="359"/>
      <c r="AE687" s="359"/>
      <c r="AF687" s="359"/>
      <c r="AG687" s="153"/>
      <c r="AH687" s="376">
        <v>436.049576466519</v>
      </c>
      <c r="AI687" s="341">
        <v>436.049576466519</v>
      </c>
      <c r="AJ687" s="24">
        <v>10.75</v>
      </c>
      <c r="AK687" s="24">
        <v>1.42</v>
      </c>
      <c r="AL687" s="24">
        <v>0.81699999999999995</v>
      </c>
      <c r="AM687" s="359" t="s">
        <v>54</v>
      </c>
      <c r="AN687" s="24">
        <f t="shared" si="118"/>
        <v>0</v>
      </c>
      <c r="AO687" s="54">
        <f t="shared" si="119"/>
        <v>0</v>
      </c>
      <c r="AP687" s="261">
        <f t="shared" si="120"/>
        <v>0</v>
      </c>
      <c r="AQ687" s="338"/>
      <c r="AR687" s="45"/>
      <c r="AS687" s="359"/>
      <c r="AT687" s="359"/>
    </row>
    <row r="688" spans="1:46" ht="12">
      <c r="A688" s="200" t="s">
        <v>928</v>
      </c>
      <c r="B688" s="359" t="str">
        <f t="shared" si="111"/>
        <v>MgO</v>
      </c>
      <c r="C688" s="141">
        <f t="shared" si="112"/>
        <v>4.62</v>
      </c>
      <c r="D688" s="277">
        <f t="shared" si="113"/>
        <v>295.27907080691</v>
      </c>
      <c r="E688" s="20">
        <f t="shared" si="114"/>
        <v>0</v>
      </c>
      <c r="F688" s="20">
        <f t="shared" si="115"/>
        <v>0</v>
      </c>
      <c r="G688" s="277">
        <f t="shared" si="116"/>
        <v>136.41893071279242</v>
      </c>
      <c r="H688" s="3">
        <f t="shared" si="121"/>
        <v>0</v>
      </c>
      <c r="I688" s="277">
        <f t="shared" si="117"/>
        <v>0</v>
      </c>
      <c r="J688" s="359" t="s">
        <v>814</v>
      </c>
      <c r="K688" s="359"/>
      <c r="L688" s="359"/>
      <c r="M688" s="338"/>
      <c r="N688" s="89">
        <v>41249</v>
      </c>
      <c r="O688" s="359">
        <v>247</v>
      </c>
      <c r="P688" s="359" t="s">
        <v>46</v>
      </c>
      <c r="Q688" s="359"/>
      <c r="R688" s="359"/>
      <c r="S688" s="359">
        <v>800</v>
      </c>
      <c r="T688" s="359">
        <v>72</v>
      </c>
      <c r="U688" s="67">
        <v>400</v>
      </c>
      <c r="V688" s="67">
        <v>5.3</v>
      </c>
      <c r="W688" s="67">
        <v>26.5</v>
      </c>
      <c r="X688" s="67">
        <v>3.2</v>
      </c>
      <c r="Y688" s="67">
        <v>40</v>
      </c>
      <c r="Z688" s="359"/>
      <c r="AA688" s="210"/>
      <c r="AB688" s="248">
        <v>0.1396</v>
      </c>
      <c r="AC688" s="359">
        <v>0.56169999999999998</v>
      </c>
      <c r="AD688" s="359">
        <v>0.29870000000000002</v>
      </c>
      <c r="AE688" s="359" t="s">
        <v>47</v>
      </c>
      <c r="AF688" s="359">
        <v>4.62</v>
      </c>
      <c r="AG688" s="153"/>
      <c r="AH688" s="346">
        <v>295.27907080691</v>
      </c>
      <c r="AI688" s="24"/>
      <c r="AJ688" s="24"/>
      <c r="AK688" s="24"/>
      <c r="AL688" s="24"/>
      <c r="AM688" s="359"/>
      <c r="AN688" s="24">
        <f t="shared" si="118"/>
        <v>136.41893071279242</v>
      </c>
      <c r="AO688" s="54">
        <f t="shared" si="119"/>
        <v>0</v>
      </c>
      <c r="AP688" s="261">
        <f t="shared" si="120"/>
        <v>3.8499999999999996</v>
      </c>
      <c r="AQ688" s="338"/>
      <c r="AR688" s="45"/>
      <c r="AS688" s="359"/>
      <c r="AT688" s="359"/>
    </row>
    <row r="689" spans="1:46" ht="12">
      <c r="A689" s="200" t="s">
        <v>929</v>
      </c>
      <c r="B689" s="359" t="str">
        <f t="shared" si="111"/>
        <v>SiNx</v>
      </c>
      <c r="C689" s="141">
        <f t="shared" si="112"/>
        <v>0</v>
      </c>
      <c r="D689" s="277">
        <f t="shared" si="113"/>
        <v>437.56611550087501</v>
      </c>
      <c r="E689" s="20">
        <f t="shared" si="114"/>
        <v>0</v>
      </c>
      <c r="F689" s="20">
        <f t="shared" si="115"/>
        <v>0</v>
      </c>
      <c r="G689" s="277">
        <f t="shared" si="116"/>
        <v>0</v>
      </c>
      <c r="H689" s="3">
        <f t="shared" si="121"/>
        <v>0</v>
      </c>
      <c r="I689" s="277">
        <f t="shared" si="117"/>
        <v>0</v>
      </c>
      <c r="J689" s="359" t="s">
        <v>814</v>
      </c>
      <c r="K689" s="359" t="s">
        <v>926</v>
      </c>
      <c r="L689" s="359"/>
      <c r="M689" s="338"/>
      <c r="N689" s="89">
        <v>41249</v>
      </c>
      <c r="O689" s="359">
        <v>247</v>
      </c>
      <c r="P689" s="359" t="s">
        <v>187</v>
      </c>
      <c r="Q689" s="359"/>
      <c r="R689" s="359"/>
      <c r="S689" s="359">
        <v>800</v>
      </c>
      <c r="T689" s="359">
        <v>72</v>
      </c>
      <c r="U689" s="67">
        <v>400</v>
      </c>
      <c r="V689" s="67">
        <v>5.3</v>
      </c>
      <c r="W689" s="67">
        <v>26.5</v>
      </c>
      <c r="X689" s="67">
        <v>3.2</v>
      </c>
      <c r="Y689" s="67">
        <v>40</v>
      </c>
      <c r="Z689" s="359"/>
      <c r="AA689" s="210"/>
      <c r="AB689" s="248"/>
      <c r="AC689" s="359"/>
      <c r="AD689" s="359"/>
      <c r="AE689" s="359"/>
      <c r="AF689" s="359"/>
      <c r="AG689" s="153"/>
      <c r="AH689" s="346">
        <v>437.56611550087501</v>
      </c>
      <c r="AI689" s="24"/>
      <c r="AJ689" s="24"/>
      <c r="AK689" s="24"/>
      <c r="AL689" s="24"/>
      <c r="AM689" s="359"/>
      <c r="AN689" s="24">
        <f t="shared" si="118"/>
        <v>0</v>
      </c>
      <c r="AO689" s="54">
        <f t="shared" si="119"/>
        <v>0</v>
      </c>
      <c r="AP689" s="261">
        <f t="shared" si="120"/>
        <v>0</v>
      </c>
      <c r="AQ689" s="338"/>
      <c r="AR689" s="45"/>
      <c r="AS689" s="359"/>
      <c r="AT689" s="359"/>
    </row>
    <row r="690" spans="1:46" ht="12">
      <c r="A690" s="200" t="s">
        <v>930</v>
      </c>
      <c r="B690" s="359" t="str">
        <f t="shared" si="111"/>
        <v>SiNx</v>
      </c>
      <c r="C690" s="141">
        <f t="shared" si="112"/>
        <v>0</v>
      </c>
      <c r="D690" s="277">
        <f t="shared" si="113"/>
        <v>512.32256907676299</v>
      </c>
      <c r="E690" s="20">
        <f t="shared" si="114"/>
        <v>10.41</v>
      </c>
      <c r="F690" s="20">
        <f t="shared" si="115"/>
        <v>1.68</v>
      </c>
      <c r="G690" s="277">
        <f t="shared" si="116"/>
        <v>0</v>
      </c>
      <c r="H690" s="3">
        <f t="shared" si="121"/>
        <v>0.81159999999999999</v>
      </c>
      <c r="I690" s="277">
        <f t="shared" si="117"/>
        <v>0</v>
      </c>
      <c r="J690" s="359" t="s">
        <v>814</v>
      </c>
      <c r="K690" s="359" t="s">
        <v>931</v>
      </c>
      <c r="L690" s="359"/>
      <c r="M690" s="338"/>
      <c r="N690" s="89">
        <v>41250</v>
      </c>
      <c r="O690" s="359">
        <v>249</v>
      </c>
      <c r="P690" s="359" t="s">
        <v>187</v>
      </c>
      <c r="Q690" s="359"/>
      <c r="R690" s="359"/>
      <c r="S690" s="359">
        <v>800</v>
      </c>
      <c r="T690" s="359">
        <v>66</v>
      </c>
      <c r="U690" s="67">
        <v>400</v>
      </c>
      <c r="V690" s="67">
        <v>5.3</v>
      </c>
      <c r="W690" s="67">
        <v>26.5</v>
      </c>
      <c r="X690" s="67">
        <v>3.2</v>
      </c>
      <c r="Y690" s="67">
        <v>40</v>
      </c>
      <c r="Z690" s="359"/>
      <c r="AA690" s="210"/>
      <c r="AB690" s="248"/>
      <c r="AC690" s="359"/>
      <c r="AD690" s="359"/>
      <c r="AE690" s="359"/>
      <c r="AF690" s="359"/>
      <c r="AG690" s="153"/>
      <c r="AH690" s="346">
        <v>512.32256907676299</v>
      </c>
      <c r="AI690" s="24">
        <v>516.79999999999995</v>
      </c>
      <c r="AJ690" s="24">
        <v>10.41</v>
      </c>
      <c r="AK690" s="24">
        <v>1.68</v>
      </c>
      <c r="AL690" s="24">
        <v>0.81159999999999999</v>
      </c>
      <c r="AM690" s="359" t="s">
        <v>54</v>
      </c>
      <c r="AN690" s="24">
        <f t="shared" si="118"/>
        <v>0</v>
      </c>
      <c r="AO690" s="54">
        <f t="shared" si="119"/>
        <v>0</v>
      </c>
      <c r="AP690" s="261">
        <f t="shared" si="120"/>
        <v>0</v>
      </c>
      <c r="AQ690" s="338"/>
      <c r="AR690" s="45"/>
      <c r="AS690" s="359"/>
      <c r="AT690" s="359"/>
    </row>
    <row r="691" spans="1:46" ht="12">
      <c r="A691" s="200" t="s">
        <v>932</v>
      </c>
      <c r="B691" s="359" t="str">
        <f t="shared" si="111"/>
        <v>SiNx</v>
      </c>
      <c r="C691" s="141">
        <f t="shared" si="112"/>
        <v>0</v>
      </c>
      <c r="D691" s="277">
        <f t="shared" si="113"/>
        <v>503.84779212006998</v>
      </c>
      <c r="E691" s="20">
        <f t="shared" si="114"/>
        <v>10.45</v>
      </c>
      <c r="F691" s="20">
        <f t="shared" si="115"/>
        <v>1.68</v>
      </c>
      <c r="G691" s="277">
        <f t="shared" si="116"/>
        <v>0</v>
      </c>
      <c r="H691" s="3">
        <f t="shared" si="121"/>
        <v>0.8145</v>
      </c>
      <c r="I691" s="277">
        <f t="shared" si="117"/>
        <v>0</v>
      </c>
      <c r="J691" s="359" t="s">
        <v>814</v>
      </c>
      <c r="K691" s="359" t="s">
        <v>931</v>
      </c>
      <c r="L691" s="359"/>
      <c r="M691" s="338"/>
      <c r="N691" s="89">
        <v>41250</v>
      </c>
      <c r="O691" s="359">
        <v>249</v>
      </c>
      <c r="P691" s="359" t="s">
        <v>187</v>
      </c>
      <c r="Q691" s="359"/>
      <c r="R691" s="359"/>
      <c r="S691" s="359">
        <v>800</v>
      </c>
      <c r="T691" s="359">
        <v>66</v>
      </c>
      <c r="U691" s="67">
        <v>400</v>
      </c>
      <c r="V691" s="67">
        <v>5.3</v>
      </c>
      <c r="W691" s="67">
        <v>26.5</v>
      </c>
      <c r="X691" s="67">
        <v>3.2</v>
      </c>
      <c r="Y691" s="67">
        <v>40</v>
      </c>
      <c r="Z691" s="359"/>
      <c r="AA691" s="210"/>
      <c r="AB691" s="248"/>
      <c r="AC691" s="359"/>
      <c r="AD691" s="359"/>
      <c r="AE691" s="359"/>
      <c r="AF691" s="359"/>
      <c r="AG691" s="153"/>
      <c r="AH691" s="346">
        <v>503.84779212006998</v>
      </c>
      <c r="AI691" s="24">
        <v>518.5</v>
      </c>
      <c r="AJ691" s="24">
        <v>10.45</v>
      </c>
      <c r="AK691" s="24">
        <v>1.68</v>
      </c>
      <c r="AL691" s="24">
        <v>0.8145</v>
      </c>
      <c r="AM691" s="359" t="s">
        <v>54</v>
      </c>
      <c r="AN691" s="24">
        <f t="shared" si="118"/>
        <v>0</v>
      </c>
      <c r="AO691" s="54">
        <f t="shared" si="119"/>
        <v>0</v>
      </c>
      <c r="AP691" s="261">
        <f t="shared" si="120"/>
        <v>0</v>
      </c>
      <c r="AQ691" s="338"/>
      <c r="AR691" s="45"/>
      <c r="AS691" s="359"/>
      <c r="AT691" s="359"/>
    </row>
    <row r="692" spans="1:46" ht="12">
      <c r="A692" s="200" t="s">
        <v>933</v>
      </c>
      <c r="B692" s="359" t="str">
        <f t="shared" si="111"/>
        <v>SiNx</v>
      </c>
      <c r="C692" s="141">
        <f t="shared" si="112"/>
        <v>0</v>
      </c>
      <c r="D692" s="277">
        <f t="shared" si="113"/>
        <v>512.41177725525495</v>
      </c>
      <c r="E692" s="20">
        <f t="shared" si="114"/>
        <v>10.35</v>
      </c>
      <c r="F692" s="20">
        <f t="shared" si="115"/>
        <v>1.65</v>
      </c>
      <c r="G692" s="277">
        <f t="shared" si="116"/>
        <v>0</v>
      </c>
      <c r="H692" s="3">
        <f t="shared" si="121"/>
        <v>0.80379999999999996</v>
      </c>
      <c r="I692" s="277">
        <f t="shared" si="117"/>
        <v>0</v>
      </c>
      <c r="J692" s="359" t="s">
        <v>814</v>
      </c>
      <c r="K692" s="359" t="s">
        <v>931</v>
      </c>
      <c r="L692" s="359"/>
      <c r="M692" s="338"/>
      <c r="N692" s="89">
        <v>41250</v>
      </c>
      <c r="O692" s="359">
        <v>249</v>
      </c>
      <c r="P692" s="359" t="s">
        <v>187</v>
      </c>
      <c r="Q692" s="359"/>
      <c r="R692" s="359"/>
      <c r="S692" s="359">
        <v>800</v>
      </c>
      <c r="T692" s="359">
        <v>66</v>
      </c>
      <c r="U692" s="67">
        <v>400</v>
      </c>
      <c r="V692" s="67">
        <v>5.3</v>
      </c>
      <c r="W692" s="67">
        <v>26.5</v>
      </c>
      <c r="X692" s="67">
        <v>3.2</v>
      </c>
      <c r="Y692" s="67">
        <v>40</v>
      </c>
      <c r="Z692" s="359"/>
      <c r="AA692" s="210"/>
      <c r="AB692" s="248"/>
      <c r="AC692" s="359"/>
      <c r="AD692" s="359"/>
      <c r="AE692" s="359"/>
      <c r="AF692" s="359"/>
      <c r="AG692" s="153"/>
      <c r="AH692" s="346">
        <v>512.41177725525495</v>
      </c>
      <c r="AI692" s="24">
        <v>515.5</v>
      </c>
      <c r="AJ692" s="24">
        <v>10.35</v>
      </c>
      <c r="AK692" s="24">
        <v>1.65</v>
      </c>
      <c r="AL692" s="24">
        <v>0.80379999999999996</v>
      </c>
      <c r="AM692" s="359" t="s">
        <v>54</v>
      </c>
      <c r="AN692" s="24">
        <f t="shared" si="118"/>
        <v>0</v>
      </c>
      <c r="AO692" s="54">
        <f t="shared" si="119"/>
        <v>0</v>
      </c>
      <c r="AP692" s="261">
        <f t="shared" si="120"/>
        <v>0</v>
      </c>
      <c r="AQ692" s="338"/>
      <c r="AR692" s="45"/>
      <c r="AS692" s="359"/>
      <c r="AT692" s="359"/>
    </row>
    <row r="693" spans="1:46" ht="12">
      <c r="A693" s="200" t="s">
        <v>934</v>
      </c>
      <c r="B693" s="359" t="str">
        <f t="shared" si="111"/>
        <v>Al2O3</v>
      </c>
      <c r="C693" s="141">
        <f t="shared" si="112"/>
        <v>4.84</v>
      </c>
      <c r="D693" s="277">
        <f t="shared" si="113"/>
        <v>354.51330132527602</v>
      </c>
      <c r="E693" s="20">
        <f t="shared" si="114"/>
        <v>12.45</v>
      </c>
      <c r="F693" s="20">
        <f t="shared" si="115"/>
        <v>1.24</v>
      </c>
      <c r="G693" s="277">
        <f t="shared" si="116"/>
        <v>171.58443784143358</v>
      </c>
      <c r="H693" s="3">
        <f t="shared" si="121"/>
        <v>0.85860000000000003</v>
      </c>
      <c r="I693" s="277">
        <f t="shared" si="117"/>
        <v>21362.262511258479</v>
      </c>
      <c r="J693" s="359" t="s">
        <v>814</v>
      </c>
      <c r="K693" s="359"/>
      <c r="L693" s="359"/>
      <c r="M693" s="338"/>
      <c r="N693" s="89">
        <v>41250</v>
      </c>
      <c r="O693" s="359">
        <v>249</v>
      </c>
      <c r="P693" s="359" t="s">
        <v>622</v>
      </c>
      <c r="Q693" s="359"/>
      <c r="R693" s="359"/>
      <c r="S693" s="359">
        <v>800</v>
      </c>
      <c r="T693" s="359">
        <v>66</v>
      </c>
      <c r="U693" s="67">
        <v>400</v>
      </c>
      <c r="V693" s="67">
        <v>5.3</v>
      </c>
      <c r="W693" s="67">
        <v>26.5</v>
      </c>
      <c r="X693" s="67">
        <v>3.2</v>
      </c>
      <c r="Y693" s="67">
        <v>40</v>
      </c>
      <c r="Z693" s="359"/>
      <c r="AA693" s="210"/>
      <c r="AB693" s="248">
        <v>0.21179999999999999</v>
      </c>
      <c r="AC693" s="359">
        <v>0.54900000000000004</v>
      </c>
      <c r="AD693" s="359">
        <v>0.2392</v>
      </c>
      <c r="AE693" s="359" t="s">
        <v>47</v>
      </c>
      <c r="AF693" s="359">
        <v>4.84</v>
      </c>
      <c r="AG693" s="153"/>
      <c r="AH693" s="346">
        <v>354.51330132527602</v>
      </c>
      <c r="AI693" s="24">
        <v>363.8</v>
      </c>
      <c r="AJ693" s="24">
        <v>12.45</v>
      </c>
      <c r="AK693" s="24">
        <v>1.24</v>
      </c>
      <c r="AL693" s="24">
        <v>0.85860000000000003</v>
      </c>
      <c r="AM693" s="359" t="s">
        <v>54</v>
      </c>
      <c r="AN693" s="24">
        <f t="shared" si="118"/>
        <v>171.58443784143358</v>
      </c>
      <c r="AO693" s="54">
        <f t="shared" si="119"/>
        <v>21362.262511258479</v>
      </c>
      <c r="AP693" s="261">
        <f t="shared" si="120"/>
        <v>4.4000000000000004</v>
      </c>
      <c r="AQ693" s="338"/>
      <c r="AR693" s="45"/>
      <c r="AS693" s="359"/>
      <c r="AT693" s="359"/>
    </row>
    <row r="694" spans="1:46" ht="12">
      <c r="A694" s="200" t="s">
        <v>935</v>
      </c>
      <c r="B694" s="359" t="str">
        <f t="shared" si="111"/>
        <v>MgO</v>
      </c>
      <c r="C694" s="141">
        <f t="shared" si="112"/>
        <v>2.77</v>
      </c>
      <c r="D694" s="277">
        <f t="shared" si="113"/>
        <v>476.19325678770002</v>
      </c>
      <c r="E694" s="20">
        <f t="shared" si="114"/>
        <v>0</v>
      </c>
      <c r="F694" s="20">
        <f t="shared" si="115"/>
        <v>0</v>
      </c>
      <c r="G694" s="277">
        <f t="shared" si="116"/>
        <v>131.90553213019291</v>
      </c>
      <c r="H694" s="3">
        <f t="shared" si="121"/>
        <v>0</v>
      </c>
      <c r="I694" s="277">
        <f t="shared" si="117"/>
        <v>0</v>
      </c>
      <c r="J694" s="359" t="s">
        <v>814</v>
      </c>
      <c r="K694" s="359" t="s">
        <v>936</v>
      </c>
      <c r="L694" s="359"/>
      <c r="M694" s="338"/>
      <c r="N694" s="89">
        <v>41253</v>
      </c>
      <c r="O694" s="359">
        <v>250</v>
      </c>
      <c r="P694" s="359" t="s">
        <v>46</v>
      </c>
      <c r="Q694" s="359"/>
      <c r="R694" s="359"/>
      <c r="S694" s="359">
        <v>800</v>
      </c>
      <c r="T694" s="359">
        <v>42</v>
      </c>
      <c r="U694" s="67">
        <v>400</v>
      </c>
      <c r="V694" s="67">
        <v>5.3</v>
      </c>
      <c r="W694" s="67">
        <v>26.5</v>
      </c>
      <c r="X694" s="67">
        <v>3.2</v>
      </c>
      <c r="Y694" s="67">
        <v>40</v>
      </c>
      <c r="Z694" s="359"/>
      <c r="AA694" s="210"/>
      <c r="AB694" s="248">
        <v>0.17330000000000001</v>
      </c>
      <c r="AC694" s="359">
        <v>0.66080000000000005</v>
      </c>
      <c r="AD694" s="359">
        <v>0.1658</v>
      </c>
      <c r="AE694" s="359" t="s">
        <v>47</v>
      </c>
      <c r="AF694" s="359">
        <v>2.77</v>
      </c>
      <c r="AG694" s="153"/>
      <c r="AH694" s="346">
        <v>476.19325678770002</v>
      </c>
      <c r="AI694" s="24"/>
      <c r="AJ694" s="24"/>
      <c r="AK694" s="24"/>
      <c r="AL694" s="24"/>
      <c r="AM694" s="359"/>
      <c r="AN694" s="24">
        <f t="shared" si="118"/>
        <v>131.90553213019291</v>
      </c>
      <c r="AO694" s="54">
        <f t="shared" si="119"/>
        <v>0</v>
      </c>
      <c r="AP694" s="261">
        <f t="shared" si="120"/>
        <v>3.9571428571428573</v>
      </c>
      <c r="AQ694" s="338"/>
      <c r="AR694" s="45"/>
      <c r="AS694" s="359"/>
      <c r="AT694" s="359"/>
    </row>
    <row r="695" spans="1:46" ht="12">
      <c r="A695" s="200" t="s">
        <v>937</v>
      </c>
      <c r="B695" s="359" t="str">
        <f t="shared" si="111"/>
        <v>MgO</v>
      </c>
      <c r="C695" s="141">
        <f t="shared" si="112"/>
        <v>2.76</v>
      </c>
      <c r="D695" s="277">
        <f t="shared" si="113"/>
        <v>431.58916754194399</v>
      </c>
      <c r="E695" s="20">
        <f t="shared" si="114"/>
        <v>0</v>
      </c>
      <c r="F695" s="20">
        <f t="shared" si="115"/>
        <v>0</v>
      </c>
      <c r="G695" s="277">
        <f t="shared" si="116"/>
        <v>119.11861024157653</v>
      </c>
      <c r="H695" s="3">
        <f t="shared" si="121"/>
        <v>0</v>
      </c>
      <c r="I695" s="277">
        <f t="shared" si="117"/>
        <v>0</v>
      </c>
      <c r="J695" s="359" t="s">
        <v>814</v>
      </c>
      <c r="K695" s="359" t="s">
        <v>936</v>
      </c>
      <c r="L695" s="359"/>
      <c r="M695" s="338"/>
      <c r="N695" s="89">
        <v>41253</v>
      </c>
      <c r="O695" s="359">
        <v>250</v>
      </c>
      <c r="P695" s="359" t="s">
        <v>46</v>
      </c>
      <c r="Q695" s="359"/>
      <c r="R695" s="359"/>
      <c r="S695" s="359">
        <v>800</v>
      </c>
      <c r="T695" s="359">
        <v>42</v>
      </c>
      <c r="U695" s="67">
        <v>400</v>
      </c>
      <c r="V695" s="67">
        <v>5.3</v>
      </c>
      <c r="W695" s="67">
        <v>26.5</v>
      </c>
      <c r="X695" s="67">
        <v>3.2</v>
      </c>
      <c r="Y695" s="67">
        <v>40</v>
      </c>
      <c r="Z695" s="359"/>
      <c r="AA695" s="210"/>
      <c r="AB695" s="248">
        <v>0.1739</v>
      </c>
      <c r="AC695" s="359">
        <v>0.66139999999999999</v>
      </c>
      <c r="AD695" s="359">
        <v>0.16470000000000001</v>
      </c>
      <c r="AE695" s="359" t="s">
        <v>47</v>
      </c>
      <c r="AF695" s="359">
        <v>2.76</v>
      </c>
      <c r="AG695" s="153"/>
      <c r="AH695" s="346">
        <v>431.58916754194399</v>
      </c>
      <c r="AI695" s="24"/>
      <c r="AJ695" s="24"/>
      <c r="AK695" s="24"/>
      <c r="AL695" s="24"/>
      <c r="AM695" s="359"/>
      <c r="AN695" s="24">
        <f t="shared" si="118"/>
        <v>119.11861024157653</v>
      </c>
      <c r="AO695" s="54">
        <f t="shared" si="119"/>
        <v>0</v>
      </c>
      <c r="AP695" s="261">
        <f t="shared" si="120"/>
        <v>3.9428571428571426</v>
      </c>
      <c r="AQ695" s="338"/>
      <c r="AR695" s="45"/>
      <c r="AS695" s="359"/>
      <c r="AT695" s="359"/>
    </row>
    <row r="696" spans="1:46" ht="12">
      <c r="A696" s="200" t="s">
        <v>938</v>
      </c>
      <c r="B696" s="359" t="str">
        <f t="shared" si="111"/>
        <v>MgO</v>
      </c>
      <c r="C696" s="141">
        <f t="shared" si="112"/>
        <v>2.77</v>
      </c>
      <c r="D696" s="277">
        <f t="shared" si="113"/>
        <v>469.85947611480299</v>
      </c>
      <c r="E696" s="20">
        <f t="shared" si="114"/>
        <v>0</v>
      </c>
      <c r="F696" s="20">
        <f t="shared" si="115"/>
        <v>0</v>
      </c>
      <c r="G696" s="277">
        <f t="shared" si="116"/>
        <v>130.15107488380042</v>
      </c>
      <c r="H696" s="3">
        <f t="shared" si="121"/>
        <v>0</v>
      </c>
      <c r="I696" s="277">
        <f t="shared" si="117"/>
        <v>0</v>
      </c>
      <c r="J696" s="359" t="s">
        <v>814</v>
      </c>
      <c r="K696" s="359" t="s">
        <v>939</v>
      </c>
      <c r="L696" s="359"/>
      <c r="M696" s="338"/>
      <c r="N696" s="89">
        <v>41253</v>
      </c>
      <c r="O696" s="359">
        <v>250</v>
      </c>
      <c r="P696" s="359" t="s">
        <v>46</v>
      </c>
      <c r="Q696" s="359"/>
      <c r="R696" s="359"/>
      <c r="S696" s="359">
        <v>800</v>
      </c>
      <c r="T696" s="359">
        <v>42</v>
      </c>
      <c r="U696" s="67">
        <v>400</v>
      </c>
      <c r="V696" s="67">
        <v>5.3</v>
      </c>
      <c r="W696" s="67">
        <v>26.5</v>
      </c>
      <c r="X696" s="67">
        <v>3.2</v>
      </c>
      <c r="Y696" s="67">
        <v>40</v>
      </c>
      <c r="Z696" s="359"/>
      <c r="AA696" s="210"/>
      <c r="AB696" s="248">
        <v>0.17319999999999999</v>
      </c>
      <c r="AC696" s="359">
        <v>0.66039999999999999</v>
      </c>
      <c r="AD696" s="359">
        <v>0.16639999999999999</v>
      </c>
      <c r="AE696" s="359" t="s">
        <v>47</v>
      </c>
      <c r="AF696" s="359">
        <v>2.77</v>
      </c>
      <c r="AG696" s="153"/>
      <c r="AH696" s="346">
        <v>469.85947611480299</v>
      </c>
      <c r="AI696" s="24"/>
      <c r="AJ696" s="24"/>
      <c r="AK696" s="24"/>
      <c r="AL696" s="24"/>
      <c r="AM696" s="359"/>
      <c r="AN696" s="24">
        <f t="shared" si="118"/>
        <v>130.15107488380042</v>
      </c>
      <c r="AO696" s="54">
        <f t="shared" si="119"/>
        <v>0</v>
      </c>
      <c r="AP696" s="261">
        <f t="shared" si="120"/>
        <v>3.9571428571428573</v>
      </c>
      <c r="AQ696" s="338"/>
      <c r="AR696" s="45"/>
      <c r="AS696" s="359"/>
      <c r="AT696" s="359"/>
    </row>
    <row r="697" spans="1:46" ht="12">
      <c r="A697" s="200" t="s">
        <v>940</v>
      </c>
      <c r="B697" s="359" t="str">
        <f t="shared" si="111"/>
        <v>MgO</v>
      </c>
      <c r="C697" s="141">
        <f t="shared" si="112"/>
        <v>2.75</v>
      </c>
      <c r="D697" s="277">
        <f t="shared" si="113"/>
        <v>429.62658761513001</v>
      </c>
      <c r="E697" s="20">
        <f t="shared" si="114"/>
        <v>0</v>
      </c>
      <c r="F697" s="20">
        <f t="shared" si="115"/>
        <v>0</v>
      </c>
      <c r="G697" s="277">
        <f t="shared" si="116"/>
        <v>118.14731159416075</v>
      </c>
      <c r="H697" s="3">
        <f t="shared" si="121"/>
        <v>0</v>
      </c>
      <c r="I697" s="277">
        <f t="shared" si="117"/>
        <v>0</v>
      </c>
      <c r="J697" s="359" t="s">
        <v>814</v>
      </c>
      <c r="K697" s="359"/>
      <c r="L697" s="359"/>
      <c r="M697" s="338"/>
      <c r="N697" s="89">
        <v>41253</v>
      </c>
      <c r="O697" s="359">
        <v>250</v>
      </c>
      <c r="P697" s="359" t="s">
        <v>46</v>
      </c>
      <c r="Q697" s="359"/>
      <c r="R697" s="359"/>
      <c r="S697" s="359">
        <v>800</v>
      </c>
      <c r="T697" s="359">
        <v>42</v>
      </c>
      <c r="U697" s="67">
        <v>400</v>
      </c>
      <c r="V697" s="67">
        <v>5.3</v>
      </c>
      <c r="W697" s="67">
        <v>26.5</v>
      </c>
      <c r="X697" s="67">
        <v>3.2</v>
      </c>
      <c r="Y697" s="67">
        <v>40</v>
      </c>
      <c r="Z697" s="359"/>
      <c r="AA697" s="210"/>
      <c r="AB697" s="248">
        <v>0.17460000000000001</v>
      </c>
      <c r="AC697" s="359">
        <v>0.66210000000000002</v>
      </c>
      <c r="AD697" s="359">
        <v>0.16339999999999999</v>
      </c>
      <c r="AE697" s="359" t="s">
        <v>47</v>
      </c>
      <c r="AF697" s="359">
        <v>2.75</v>
      </c>
      <c r="AG697" s="153"/>
      <c r="AH697" s="346">
        <v>429.62658761513001</v>
      </c>
      <c r="AI697" s="24"/>
      <c r="AJ697" s="24"/>
      <c r="AK697" s="24"/>
      <c r="AL697" s="24"/>
      <c r="AM697" s="359"/>
      <c r="AN697" s="24">
        <f t="shared" si="118"/>
        <v>118.14731159416075</v>
      </c>
      <c r="AO697" s="54">
        <f t="shared" si="119"/>
        <v>0</v>
      </c>
      <c r="AP697" s="261">
        <f t="shared" si="120"/>
        <v>3.9285714285714288</v>
      </c>
      <c r="AQ697" s="338"/>
      <c r="AR697" s="45"/>
      <c r="AS697" s="359"/>
      <c r="AT697" s="359"/>
    </row>
    <row r="698" spans="1:46" ht="12">
      <c r="A698" s="200" t="s">
        <v>941</v>
      </c>
      <c r="B698" s="359" t="str">
        <f t="shared" si="111"/>
        <v>MgO</v>
      </c>
      <c r="C698" s="141">
        <f t="shared" si="112"/>
        <v>0</v>
      </c>
      <c r="D698" s="277">
        <f t="shared" si="113"/>
        <v>0</v>
      </c>
      <c r="E698" s="20">
        <f t="shared" si="114"/>
        <v>0</v>
      </c>
      <c r="F698" s="20">
        <f t="shared" si="115"/>
        <v>0</v>
      </c>
      <c r="G698" s="277">
        <f t="shared" si="116"/>
        <v>0</v>
      </c>
      <c r="H698" s="3">
        <f t="shared" si="121"/>
        <v>0</v>
      </c>
      <c r="I698" s="277">
        <f t="shared" si="117"/>
        <v>0</v>
      </c>
      <c r="J698" s="359" t="s">
        <v>814</v>
      </c>
      <c r="K698" s="359"/>
      <c r="L698" s="359"/>
      <c r="M698" s="338"/>
      <c r="N698" s="89">
        <v>41255</v>
      </c>
      <c r="O698" s="359">
        <v>251</v>
      </c>
      <c r="P698" s="359" t="s">
        <v>46</v>
      </c>
      <c r="Q698" s="359"/>
      <c r="R698" s="359"/>
      <c r="S698" s="359">
        <v>800</v>
      </c>
      <c r="T698" s="359">
        <v>1500</v>
      </c>
      <c r="U698" s="67">
        <v>400</v>
      </c>
      <c r="V698" s="67">
        <v>5.3</v>
      </c>
      <c r="W698" s="67">
        <v>26.5</v>
      </c>
      <c r="X698" s="67">
        <v>3.2</v>
      </c>
      <c r="Y698" s="67">
        <v>40</v>
      </c>
      <c r="Z698" s="359"/>
      <c r="AA698" s="210"/>
      <c r="AB698" s="248"/>
      <c r="AC698" s="359"/>
      <c r="AD698" s="359"/>
      <c r="AE698" s="359"/>
      <c r="AF698" s="359"/>
      <c r="AG698" s="153"/>
      <c r="AH698" s="346"/>
      <c r="AI698" s="24"/>
      <c r="AJ698" s="24"/>
      <c r="AK698" s="24"/>
      <c r="AL698" s="24"/>
      <c r="AM698" s="359"/>
      <c r="AN698" s="24">
        <f t="shared" si="118"/>
        <v>0</v>
      </c>
      <c r="AO698" s="54">
        <f t="shared" si="119"/>
        <v>0</v>
      </c>
      <c r="AP698" s="261">
        <f t="shared" si="120"/>
        <v>0</v>
      </c>
      <c r="AQ698" s="338"/>
      <c r="AR698" s="45"/>
      <c r="AS698" s="359"/>
      <c r="AT698" s="359"/>
    </row>
    <row r="699" spans="1:46" ht="12">
      <c r="A699" s="200" t="s">
        <v>942</v>
      </c>
      <c r="B699" s="359" t="str">
        <f t="shared" si="111"/>
        <v>MgO</v>
      </c>
      <c r="C699" s="141">
        <f t="shared" si="112"/>
        <v>0</v>
      </c>
      <c r="D699" s="277">
        <f t="shared" si="113"/>
        <v>0</v>
      </c>
      <c r="E699" s="20">
        <f t="shared" si="114"/>
        <v>0</v>
      </c>
      <c r="F699" s="20">
        <f t="shared" si="115"/>
        <v>0</v>
      </c>
      <c r="G699" s="277">
        <f t="shared" si="116"/>
        <v>0</v>
      </c>
      <c r="H699" s="3">
        <f t="shared" si="121"/>
        <v>0</v>
      </c>
      <c r="I699" s="277">
        <f t="shared" si="117"/>
        <v>0</v>
      </c>
      <c r="J699" s="359" t="s">
        <v>814</v>
      </c>
      <c r="K699" s="359"/>
      <c r="L699" s="359"/>
      <c r="M699" s="338"/>
      <c r="N699" s="89">
        <v>41255</v>
      </c>
      <c r="O699" s="359">
        <v>251</v>
      </c>
      <c r="P699" s="359" t="s">
        <v>46</v>
      </c>
      <c r="Q699" s="359"/>
      <c r="R699" s="359"/>
      <c r="S699" s="359">
        <v>800</v>
      </c>
      <c r="T699" s="359">
        <v>1500</v>
      </c>
      <c r="U699" s="67">
        <v>400</v>
      </c>
      <c r="V699" s="67">
        <v>5.3</v>
      </c>
      <c r="W699" s="67">
        <v>26.5</v>
      </c>
      <c r="X699" s="67">
        <v>3.2</v>
      </c>
      <c r="Y699" s="67">
        <v>40</v>
      </c>
      <c r="Z699" s="359"/>
      <c r="AA699" s="210"/>
      <c r="AB699" s="248"/>
      <c r="AC699" s="359"/>
      <c r="AD699" s="359"/>
      <c r="AE699" s="359"/>
      <c r="AF699" s="359"/>
      <c r="AG699" s="153"/>
      <c r="AH699" s="346"/>
      <c r="AI699" s="24"/>
      <c r="AJ699" s="24"/>
      <c r="AK699" s="24"/>
      <c r="AL699" s="24"/>
      <c r="AM699" s="359"/>
      <c r="AN699" s="24">
        <f t="shared" si="118"/>
        <v>0</v>
      </c>
      <c r="AO699" s="54">
        <f t="shared" si="119"/>
        <v>0</v>
      </c>
      <c r="AP699" s="261">
        <f t="shared" si="120"/>
        <v>0</v>
      </c>
      <c r="AQ699" s="338"/>
      <c r="AR699" s="45"/>
      <c r="AS699" s="359"/>
      <c r="AT699" s="359"/>
    </row>
    <row r="700" spans="1:46" ht="12">
      <c r="A700" s="200" t="s">
        <v>943</v>
      </c>
      <c r="B700" s="359" t="str">
        <f t="shared" si="111"/>
        <v>MgO</v>
      </c>
      <c r="C700" s="141">
        <f t="shared" si="112"/>
        <v>0</v>
      </c>
      <c r="D700" s="277">
        <f t="shared" si="113"/>
        <v>0</v>
      </c>
      <c r="E700" s="20">
        <f t="shared" si="114"/>
        <v>0</v>
      </c>
      <c r="F700" s="20">
        <f t="shared" si="115"/>
        <v>0</v>
      </c>
      <c r="G700" s="277">
        <f t="shared" si="116"/>
        <v>0</v>
      </c>
      <c r="H700" s="3">
        <f t="shared" si="121"/>
        <v>0</v>
      </c>
      <c r="I700" s="277">
        <f t="shared" si="117"/>
        <v>0</v>
      </c>
      <c r="J700" s="359" t="s">
        <v>814</v>
      </c>
      <c r="K700" s="359"/>
      <c r="L700" s="359"/>
      <c r="M700" s="338"/>
      <c r="N700" s="89">
        <v>41255</v>
      </c>
      <c r="O700" s="359">
        <v>251</v>
      </c>
      <c r="P700" s="359" t="s">
        <v>46</v>
      </c>
      <c r="Q700" s="359"/>
      <c r="R700" s="359"/>
      <c r="S700" s="359">
        <v>800</v>
      </c>
      <c r="T700" s="359">
        <v>1500</v>
      </c>
      <c r="U700" s="67">
        <v>400</v>
      </c>
      <c r="V700" s="67">
        <v>5.3</v>
      </c>
      <c r="W700" s="67">
        <v>26.5</v>
      </c>
      <c r="X700" s="67">
        <v>3.2</v>
      </c>
      <c r="Y700" s="67">
        <v>40</v>
      </c>
      <c r="Z700" s="359"/>
      <c r="AA700" s="210"/>
      <c r="AB700" s="248"/>
      <c r="AC700" s="359"/>
      <c r="AD700" s="359"/>
      <c r="AE700" s="359"/>
      <c r="AF700" s="359"/>
      <c r="AG700" s="153"/>
      <c r="AH700" s="346"/>
      <c r="AI700" s="24"/>
      <c r="AJ700" s="24"/>
      <c r="AK700" s="24"/>
      <c r="AL700" s="24"/>
      <c r="AM700" s="359"/>
      <c r="AN700" s="24">
        <f t="shared" si="118"/>
        <v>0</v>
      </c>
      <c r="AO700" s="54">
        <f t="shared" si="119"/>
        <v>0</v>
      </c>
      <c r="AP700" s="261">
        <f t="shared" si="120"/>
        <v>0</v>
      </c>
      <c r="AQ700" s="338"/>
      <c r="AR700" s="45"/>
      <c r="AS700" s="359"/>
      <c r="AT700" s="359"/>
    </row>
    <row r="701" spans="1:46" ht="12">
      <c r="A701" s="200" t="s">
        <v>944</v>
      </c>
      <c r="B701" s="359" t="str">
        <f t="shared" si="111"/>
        <v>MgO</v>
      </c>
      <c r="C701" s="141">
        <f t="shared" si="112"/>
        <v>0</v>
      </c>
      <c r="D701" s="277">
        <f t="shared" si="113"/>
        <v>0</v>
      </c>
      <c r="E701" s="20">
        <f t="shared" si="114"/>
        <v>0</v>
      </c>
      <c r="F701" s="20">
        <f t="shared" si="115"/>
        <v>0</v>
      </c>
      <c r="G701" s="277">
        <f t="shared" si="116"/>
        <v>0</v>
      </c>
      <c r="H701" s="3">
        <f t="shared" si="121"/>
        <v>0</v>
      </c>
      <c r="I701" s="277">
        <f t="shared" si="117"/>
        <v>0</v>
      </c>
      <c r="J701" s="359" t="s">
        <v>814</v>
      </c>
      <c r="K701" s="359"/>
      <c r="L701" s="359"/>
      <c r="M701" s="338"/>
      <c r="N701" s="89">
        <v>41255</v>
      </c>
      <c r="O701" s="359">
        <v>251</v>
      </c>
      <c r="P701" s="359" t="s">
        <v>46</v>
      </c>
      <c r="Q701" s="359"/>
      <c r="R701" s="359"/>
      <c r="S701" s="359">
        <v>800</v>
      </c>
      <c r="T701" s="359">
        <v>1500</v>
      </c>
      <c r="U701" s="67">
        <v>400</v>
      </c>
      <c r="V701" s="67">
        <v>5.3</v>
      </c>
      <c r="W701" s="67">
        <v>26.5</v>
      </c>
      <c r="X701" s="67">
        <v>3.2</v>
      </c>
      <c r="Y701" s="67">
        <v>40</v>
      </c>
      <c r="Z701" s="359"/>
      <c r="AA701" s="210"/>
      <c r="AB701" s="248"/>
      <c r="AC701" s="359"/>
      <c r="AD701" s="359"/>
      <c r="AE701" s="359"/>
      <c r="AF701" s="359"/>
      <c r="AG701" s="153"/>
      <c r="AH701" s="346"/>
      <c r="AI701" s="24"/>
      <c r="AJ701" s="24"/>
      <c r="AK701" s="24"/>
      <c r="AL701" s="24"/>
      <c r="AM701" s="359"/>
      <c r="AN701" s="24">
        <f t="shared" si="118"/>
        <v>0</v>
      </c>
      <c r="AO701" s="54">
        <f t="shared" si="119"/>
        <v>0</v>
      </c>
      <c r="AP701" s="261">
        <f t="shared" si="120"/>
        <v>0</v>
      </c>
      <c r="AQ701" s="338"/>
      <c r="AR701" s="45"/>
      <c r="AS701" s="359"/>
      <c r="AT701" s="359"/>
    </row>
    <row r="702" spans="1:46" ht="12">
      <c r="A702" s="200" t="s">
        <v>945</v>
      </c>
      <c r="B702" s="359" t="str">
        <f t="shared" si="111"/>
        <v>MgO</v>
      </c>
      <c r="C702" s="141">
        <f t="shared" si="112"/>
        <v>0</v>
      </c>
      <c r="D702" s="277">
        <f t="shared" si="113"/>
        <v>0</v>
      </c>
      <c r="E702" s="20">
        <f t="shared" si="114"/>
        <v>0</v>
      </c>
      <c r="F702" s="20">
        <f t="shared" si="115"/>
        <v>0</v>
      </c>
      <c r="G702" s="277">
        <f t="shared" si="116"/>
        <v>0</v>
      </c>
      <c r="H702" s="3">
        <f t="shared" si="121"/>
        <v>0</v>
      </c>
      <c r="I702" s="277">
        <f t="shared" si="117"/>
        <v>0</v>
      </c>
      <c r="J702" s="359" t="s">
        <v>814</v>
      </c>
      <c r="K702" s="359" t="s">
        <v>946</v>
      </c>
      <c r="L702" s="359"/>
      <c r="M702" s="338"/>
      <c r="N702" s="89">
        <v>41261</v>
      </c>
      <c r="O702" s="359">
        <v>252</v>
      </c>
      <c r="P702" s="359" t="s">
        <v>46</v>
      </c>
      <c r="Q702" s="359"/>
      <c r="R702" s="359"/>
      <c r="S702" s="359">
        <v>800</v>
      </c>
      <c r="T702" s="359"/>
      <c r="U702" s="67">
        <v>400</v>
      </c>
      <c r="V702" s="67">
        <v>5.3</v>
      </c>
      <c r="W702" s="67">
        <v>26.5</v>
      </c>
      <c r="X702" s="67">
        <v>3.2</v>
      </c>
      <c r="Y702" s="67">
        <v>40</v>
      </c>
      <c r="Z702" s="359"/>
      <c r="AA702" s="210"/>
      <c r="AB702" s="248"/>
      <c r="AC702" s="359"/>
      <c r="AD702" s="359"/>
      <c r="AE702" s="359"/>
      <c r="AF702" s="359"/>
      <c r="AG702" s="153"/>
      <c r="AH702" s="346"/>
      <c r="AI702" s="24"/>
      <c r="AJ702" s="24"/>
      <c r="AK702" s="24"/>
      <c r="AL702" s="24"/>
      <c r="AM702" s="359"/>
      <c r="AN702" s="24">
        <f t="shared" si="118"/>
        <v>0</v>
      </c>
      <c r="AO702" s="54">
        <f t="shared" si="119"/>
        <v>0</v>
      </c>
      <c r="AP702" s="261" t="e">
        <f t="shared" si="120"/>
        <v>#DIV/0!</v>
      </c>
      <c r="AQ702" s="338"/>
      <c r="AR702" s="45"/>
      <c r="AS702" s="359"/>
      <c r="AT702" s="359"/>
    </row>
    <row r="703" spans="1:46" ht="12">
      <c r="A703" s="200" t="s">
        <v>947</v>
      </c>
      <c r="B703" s="359" t="str">
        <f t="shared" si="111"/>
        <v>SiNx</v>
      </c>
      <c r="C703" s="141">
        <f t="shared" si="112"/>
        <v>0</v>
      </c>
      <c r="D703" s="277">
        <f t="shared" si="113"/>
        <v>0</v>
      </c>
      <c r="E703" s="20">
        <f t="shared" si="114"/>
        <v>0</v>
      </c>
      <c r="F703" s="20">
        <f t="shared" si="115"/>
        <v>0</v>
      </c>
      <c r="G703" s="277">
        <f t="shared" si="116"/>
        <v>0</v>
      </c>
      <c r="H703" s="3">
        <f t="shared" si="121"/>
        <v>0</v>
      </c>
      <c r="I703" s="277">
        <f t="shared" si="117"/>
        <v>0</v>
      </c>
      <c r="J703" s="359" t="s">
        <v>814</v>
      </c>
      <c r="K703" s="359" t="s">
        <v>946</v>
      </c>
      <c r="L703" s="359"/>
      <c r="M703" s="338"/>
      <c r="N703" s="89">
        <v>41261</v>
      </c>
      <c r="O703" s="359">
        <v>252</v>
      </c>
      <c r="P703" s="359" t="s">
        <v>187</v>
      </c>
      <c r="Q703" s="359"/>
      <c r="R703" s="359"/>
      <c r="S703" s="359">
        <v>800</v>
      </c>
      <c r="T703" s="359"/>
      <c r="U703" s="67">
        <v>400</v>
      </c>
      <c r="V703" s="67">
        <v>5.3</v>
      </c>
      <c r="W703" s="67">
        <v>26.5</v>
      </c>
      <c r="X703" s="67">
        <v>3.2</v>
      </c>
      <c r="Y703" s="67">
        <v>40</v>
      </c>
      <c r="Z703" s="359"/>
      <c r="AA703" s="210"/>
      <c r="AB703" s="248"/>
      <c r="AC703" s="359"/>
      <c r="AD703" s="359"/>
      <c r="AE703" s="359"/>
      <c r="AF703" s="359"/>
      <c r="AG703" s="153"/>
      <c r="AH703" s="346"/>
      <c r="AI703" s="24"/>
      <c r="AJ703" s="24"/>
      <c r="AK703" s="24"/>
      <c r="AL703" s="24"/>
      <c r="AM703" s="359"/>
      <c r="AN703" s="24">
        <f t="shared" si="118"/>
        <v>0</v>
      </c>
      <c r="AO703" s="54">
        <f t="shared" si="119"/>
        <v>0</v>
      </c>
      <c r="AP703" s="261" t="e">
        <f t="shared" si="120"/>
        <v>#DIV/0!</v>
      </c>
      <c r="AQ703" s="338"/>
      <c r="AR703" s="45"/>
      <c r="AS703" s="359"/>
      <c r="AT703" s="359"/>
    </row>
    <row r="704" spans="1:46" ht="12">
      <c r="A704" s="200" t="s">
        <v>948</v>
      </c>
      <c r="B704" s="359" t="str">
        <f t="shared" si="111"/>
        <v>SiNx</v>
      </c>
      <c r="C704" s="141">
        <f t="shared" si="112"/>
        <v>0</v>
      </c>
      <c r="D704" s="277">
        <f t="shared" si="113"/>
        <v>0</v>
      </c>
      <c r="E704" s="20">
        <f t="shared" si="114"/>
        <v>0</v>
      </c>
      <c r="F704" s="20">
        <f t="shared" si="115"/>
        <v>0</v>
      </c>
      <c r="G704" s="277">
        <f t="shared" si="116"/>
        <v>0</v>
      </c>
      <c r="H704" s="3">
        <f t="shared" si="121"/>
        <v>0</v>
      </c>
      <c r="I704" s="277">
        <f t="shared" si="117"/>
        <v>0</v>
      </c>
      <c r="J704" s="359" t="s">
        <v>814</v>
      </c>
      <c r="K704" s="359" t="s">
        <v>946</v>
      </c>
      <c r="L704" s="359"/>
      <c r="M704" s="338"/>
      <c r="N704" s="89">
        <v>41261</v>
      </c>
      <c r="O704" s="359">
        <v>252</v>
      </c>
      <c r="P704" s="359" t="s">
        <v>187</v>
      </c>
      <c r="Q704" s="359"/>
      <c r="R704" s="359"/>
      <c r="S704" s="359">
        <v>800</v>
      </c>
      <c r="T704" s="359"/>
      <c r="U704" s="67">
        <v>400</v>
      </c>
      <c r="V704" s="67">
        <v>5.3</v>
      </c>
      <c r="W704" s="67">
        <v>26.5</v>
      </c>
      <c r="X704" s="67">
        <v>3.2</v>
      </c>
      <c r="Y704" s="67">
        <v>40</v>
      </c>
      <c r="Z704" s="359"/>
      <c r="AA704" s="210"/>
      <c r="AB704" s="248"/>
      <c r="AC704" s="359"/>
      <c r="AD704" s="359"/>
      <c r="AE704" s="359"/>
      <c r="AF704" s="359"/>
      <c r="AG704" s="153"/>
      <c r="AH704" s="346"/>
      <c r="AI704" s="24"/>
      <c r="AJ704" s="24"/>
      <c r="AK704" s="24"/>
      <c r="AL704" s="24"/>
      <c r="AM704" s="359"/>
      <c r="AN704" s="24">
        <f t="shared" si="118"/>
        <v>0</v>
      </c>
      <c r="AO704" s="54">
        <f t="shared" si="119"/>
        <v>0</v>
      </c>
      <c r="AP704" s="261" t="e">
        <f t="shared" si="120"/>
        <v>#DIV/0!</v>
      </c>
      <c r="AQ704" s="338"/>
      <c r="AR704" s="45"/>
      <c r="AS704" s="359"/>
      <c r="AT704" s="359"/>
    </row>
    <row r="705" spans="1:46" ht="12">
      <c r="A705" s="200" t="s">
        <v>949</v>
      </c>
      <c r="B705" s="359" t="str">
        <f t="shared" si="111"/>
        <v>SiNx</v>
      </c>
      <c r="C705" s="141">
        <f t="shared" si="112"/>
        <v>0</v>
      </c>
      <c r="D705" s="277">
        <f t="shared" si="113"/>
        <v>0</v>
      </c>
      <c r="E705" s="20">
        <f t="shared" si="114"/>
        <v>0</v>
      </c>
      <c r="F705" s="20">
        <f t="shared" si="115"/>
        <v>0</v>
      </c>
      <c r="G705" s="277">
        <f t="shared" si="116"/>
        <v>0</v>
      </c>
      <c r="H705" s="3">
        <f t="shared" si="121"/>
        <v>0</v>
      </c>
      <c r="I705" s="277">
        <f t="shared" si="117"/>
        <v>0</v>
      </c>
      <c r="J705" s="359" t="s">
        <v>814</v>
      </c>
      <c r="K705" s="359" t="s">
        <v>946</v>
      </c>
      <c r="L705" s="359"/>
      <c r="M705" s="338"/>
      <c r="N705" s="89">
        <v>41261</v>
      </c>
      <c r="O705" s="359">
        <v>252</v>
      </c>
      <c r="P705" s="359" t="s">
        <v>187</v>
      </c>
      <c r="Q705" s="359"/>
      <c r="R705" s="359"/>
      <c r="S705" s="359">
        <v>800</v>
      </c>
      <c r="T705" s="359"/>
      <c r="U705" s="67">
        <v>400</v>
      </c>
      <c r="V705" s="67">
        <v>5.3</v>
      </c>
      <c r="W705" s="67">
        <v>26.5</v>
      </c>
      <c r="X705" s="67">
        <v>3.2</v>
      </c>
      <c r="Y705" s="67">
        <v>40</v>
      </c>
      <c r="Z705" s="359"/>
      <c r="AA705" s="210"/>
      <c r="AB705" s="248"/>
      <c r="AC705" s="359"/>
      <c r="AD705" s="359"/>
      <c r="AE705" s="359"/>
      <c r="AF705" s="359"/>
      <c r="AG705" s="153"/>
      <c r="AH705" s="346"/>
      <c r="AI705" s="24"/>
      <c r="AJ705" s="24"/>
      <c r="AK705" s="24"/>
      <c r="AL705" s="24"/>
      <c r="AM705" s="359"/>
      <c r="AN705" s="24">
        <f t="shared" si="118"/>
        <v>0</v>
      </c>
      <c r="AO705" s="54">
        <f t="shared" si="119"/>
        <v>0</v>
      </c>
      <c r="AP705" s="261" t="e">
        <f t="shared" si="120"/>
        <v>#DIV/0!</v>
      </c>
      <c r="AQ705" s="338"/>
      <c r="AR705" s="45"/>
      <c r="AS705" s="359"/>
      <c r="AT705" s="359"/>
    </row>
    <row r="706" spans="1:46" ht="12">
      <c r="A706" s="200" t="s">
        <v>950</v>
      </c>
      <c r="B706" s="359" t="str">
        <f t="shared" si="111"/>
        <v>MgO</v>
      </c>
      <c r="C706" s="141">
        <f t="shared" si="112"/>
        <v>2.86</v>
      </c>
      <c r="D706" s="277">
        <f t="shared" si="113"/>
        <v>647.91900038386405</v>
      </c>
      <c r="E706" s="20">
        <f t="shared" si="114"/>
        <v>9.4120000000000008</v>
      </c>
      <c r="F706" s="20">
        <f t="shared" si="115"/>
        <v>2.069</v>
      </c>
      <c r="G706" s="277">
        <f t="shared" si="116"/>
        <v>185.30483410978511</v>
      </c>
      <c r="H706" s="3">
        <f t="shared" si="121"/>
        <v>0.84799999999999998</v>
      </c>
      <c r="I706" s="277">
        <f t="shared" si="117"/>
        <v>17440.890986412975</v>
      </c>
      <c r="J706" s="359" t="s">
        <v>814</v>
      </c>
      <c r="K706" s="359" t="s">
        <v>951</v>
      </c>
      <c r="L706" s="359"/>
      <c r="M706" s="338"/>
      <c r="N706" s="89">
        <v>41277</v>
      </c>
      <c r="O706" s="359">
        <v>257</v>
      </c>
      <c r="P706" s="359" t="s">
        <v>46</v>
      </c>
      <c r="Q706" s="359"/>
      <c r="R706" s="359"/>
      <c r="S706" s="359">
        <v>800</v>
      </c>
      <c r="T706" s="359">
        <v>42</v>
      </c>
      <c r="U706" s="67">
        <v>400</v>
      </c>
      <c r="V706" s="67">
        <v>5.3</v>
      </c>
      <c r="W706" s="67">
        <v>26.5</v>
      </c>
      <c r="X706" s="67">
        <v>3.2</v>
      </c>
      <c r="Y706" s="67">
        <v>40</v>
      </c>
      <c r="Z706" s="359"/>
      <c r="AA706" s="210"/>
      <c r="AB706" s="248">
        <v>0.17280000000000001</v>
      </c>
      <c r="AC706" s="359">
        <v>0.65529999999999999</v>
      </c>
      <c r="AD706" s="359">
        <v>0.1719</v>
      </c>
      <c r="AE706" s="359" t="s">
        <v>47</v>
      </c>
      <c r="AF706" s="359">
        <v>2.86</v>
      </c>
      <c r="AG706" s="153"/>
      <c r="AH706" s="346">
        <v>647.91900038386405</v>
      </c>
      <c r="AI706" s="24"/>
      <c r="AJ706" s="24">
        <v>9.4120000000000008</v>
      </c>
      <c r="AK706" s="24">
        <v>2.069</v>
      </c>
      <c r="AL706" s="24">
        <v>0.84799999999999998</v>
      </c>
      <c r="AM706" s="359" t="s">
        <v>913</v>
      </c>
      <c r="AN706" s="24">
        <f t="shared" si="118"/>
        <v>185.30483410978511</v>
      </c>
      <c r="AO706" s="54">
        <f t="shared" si="119"/>
        <v>17440.890986412975</v>
      </c>
      <c r="AP706" s="261">
        <f t="shared" si="120"/>
        <v>4.0857142857142854</v>
      </c>
      <c r="AQ706" s="338"/>
      <c r="AR706" s="45"/>
      <c r="AS706" s="359"/>
      <c r="AT706" s="359"/>
    </row>
    <row r="707" spans="1:46" ht="12">
      <c r="A707" s="200" t="s">
        <v>952</v>
      </c>
      <c r="B707" s="359" t="str">
        <f t="shared" ref="B707:B770" si="122">P707</f>
        <v>MgO</v>
      </c>
      <c r="C707" s="141">
        <f t="shared" ref="C707:C770" si="123">AF707</f>
        <v>3.04</v>
      </c>
      <c r="D707" s="277">
        <f t="shared" ref="D707:D770" si="124">AH707</f>
        <v>605.18828288642896</v>
      </c>
      <c r="E707" s="20">
        <f t="shared" ref="E707:E770" si="125">AJ707</f>
        <v>8.9410000000000007</v>
      </c>
      <c r="F707" s="20">
        <f t="shared" ref="F707:F770" si="126">AK707</f>
        <v>1.77</v>
      </c>
      <c r="G707" s="277">
        <f t="shared" ref="G707:G770" si="127">AN707</f>
        <v>183.97723799747442</v>
      </c>
      <c r="H707" s="3">
        <f t="shared" si="121"/>
        <v>0.86499999999999999</v>
      </c>
      <c r="I707" s="277">
        <f t="shared" ref="I707:I770" si="128">AO707</f>
        <v>16449.404849354189</v>
      </c>
      <c r="J707" s="359" t="s">
        <v>814</v>
      </c>
      <c r="K707" s="359" t="s">
        <v>951</v>
      </c>
      <c r="L707" s="359"/>
      <c r="M707" s="338"/>
      <c r="N707" s="89">
        <v>41277</v>
      </c>
      <c r="O707" s="359">
        <v>257</v>
      </c>
      <c r="P707" s="359" t="s">
        <v>46</v>
      </c>
      <c r="Q707" s="359"/>
      <c r="R707" s="359"/>
      <c r="S707" s="359">
        <v>800</v>
      </c>
      <c r="T707" s="359">
        <v>42</v>
      </c>
      <c r="U707" s="67">
        <v>400</v>
      </c>
      <c r="V707" s="67">
        <v>5.3</v>
      </c>
      <c r="W707" s="67">
        <v>26.5</v>
      </c>
      <c r="X707" s="67">
        <v>3.2</v>
      </c>
      <c r="Y707" s="67">
        <v>40</v>
      </c>
      <c r="Z707" s="359"/>
      <c r="AA707" s="210"/>
      <c r="AB707" s="248">
        <v>0.17630000000000001</v>
      </c>
      <c r="AC707" s="359">
        <v>0.64410000000000001</v>
      </c>
      <c r="AD707" s="359">
        <v>0.17949999999999999</v>
      </c>
      <c r="AE707" s="359" t="s">
        <v>47</v>
      </c>
      <c r="AF707" s="359">
        <v>3.04</v>
      </c>
      <c r="AG707" s="153"/>
      <c r="AH707" s="346">
        <v>605.18828288642896</v>
      </c>
      <c r="AI707" s="24"/>
      <c r="AJ707" s="24">
        <v>8.9410000000000007</v>
      </c>
      <c r="AK707" s="24">
        <v>1.77</v>
      </c>
      <c r="AL707" s="24">
        <v>0.86499999999999999</v>
      </c>
      <c r="AM707" s="359" t="s">
        <v>913</v>
      </c>
      <c r="AN707" s="24">
        <f t="shared" ref="AN707:AN770" si="129">((AH707*AF707)/10)</f>
        <v>183.97723799747442</v>
      </c>
      <c r="AO707" s="54">
        <f t="shared" ref="AO707:AO751" si="130">(AF707*AH707)*AJ707</f>
        <v>16449.404849354189</v>
      </c>
      <c r="AP707" s="261">
        <f t="shared" ref="AP707:AP770" si="131">(AF707/T707)*60</f>
        <v>4.3428571428571425</v>
      </c>
      <c r="AQ707" s="338"/>
      <c r="AR707" s="45"/>
      <c r="AS707" s="359"/>
      <c r="AT707" s="359"/>
    </row>
    <row r="708" spans="1:46" ht="12">
      <c r="A708" s="200" t="s">
        <v>953</v>
      </c>
      <c r="B708" s="359" t="str">
        <f t="shared" si="122"/>
        <v>MgO</v>
      </c>
      <c r="C708" s="141">
        <f t="shared" si="123"/>
        <v>2.81</v>
      </c>
      <c r="D708" s="277">
        <f t="shared" si="124"/>
        <v>668.88292232936999</v>
      </c>
      <c r="E708" s="20">
        <f t="shared" si="125"/>
        <v>9.3420000000000005</v>
      </c>
      <c r="F708" s="20">
        <f t="shared" si="126"/>
        <v>2.0569999999999999</v>
      </c>
      <c r="G708" s="277">
        <f t="shared" si="127"/>
        <v>187.95610117455297</v>
      </c>
      <c r="H708" s="3">
        <f t="shared" si="121"/>
        <v>0.84399999999999997</v>
      </c>
      <c r="I708" s="277">
        <f t="shared" si="128"/>
        <v>17558.858971726739</v>
      </c>
      <c r="J708" s="359" t="s">
        <v>814</v>
      </c>
      <c r="K708" s="359" t="s">
        <v>951</v>
      </c>
      <c r="L708" s="359"/>
      <c r="M708" s="338"/>
      <c r="N708" s="89">
        <v>41277</v>
      </c>
      <c r="O708" s="359">
        <v>257</v>
      </c>
      <c r="P708" s="359" t="s">
        <v>46</v>
      </c>
      <c r="Q708" s="359"/>
      <c r="R708" s="359"/>
      <c r="S708" s="359">
        <v>800</v>
      </c>
      <c r="T708" s="359">
        <v>42</v>
      </c>
      <c r="U708" s="67">
        <v>400</v>
      </c>
      <c r="V708" s="67">
        <v>5.3</v>
      </c>
      <c r="W708" s="67">
        <v>26.5</v>
      </c>
      <c r="X708" s="67">
        <v>3.2</v>
      </c>
      <c r="Y708" s="67">
        <v>40</v>
      </c>
      <c r="Z708" s="359"/>
      <c r="AA708" s="210"/>
      <c r="AB708" s="248">
        <v>0.16900000000000001</v>
      </c>
      <c r="AC708" s="359">
        <v>0.65790000000000004</v>
      </c>
      <c r="AD708" s="359">
        <v>0.1731</v>
      </c>
      <c r="AE708" s="359" t="s">
        <v>47</v>
      </c>
      <c r="AF708" s="359">
        <v>2.81</v>
      </c>
      <c r="AG708" s="153"/>
      <c r="AH708" s="346">
        <v>668.88292232936999</v>
      </c>
      <c r="AI708" s="24"/>
      <c r="AJ708" s="24">
        <v>9.3420000000000005</v>
      </c>
      <c r="AK708" s="24">
        <v>2.0569999999999999</v>
      </c>
      <c r="AL708" s="24">
        <v>0.84399999999999997</v>
      </c>
      <c r="AM708" s="359" t="s">
        <v>913</v>
      </c>
      <c r="AN708" s="24">
        <f t="shared" si="129"/>
        <v>187.95610117455297</v>
      </c>
      <c r="AO708" s="54">
        <f t="shared" si="130"/>
        <v>17558.858971726739</v>
      </c>
      <c r="AP708" s="261">
        <f t="shared" si="131"/>
        <v>4.0142857142857142</v>
      </c>
      <c r="AQ708" s="338"/>
      <c r="AR708" s="45"/>
      <c r="AS708" s="359"/>
      <c r="AT708" s="359"/>
    </row>
    <row r="709" spans="1:46" ht="12">
      <c r="A709" s="200" t="s">
        <v>954</v>
      </c>
      <c r="B709" s="359" t="str">
        <f t="shared" si="122"/>
        <v>MgO</v>
      </c>
      <c r="C709" s="141">
        <f t="shared" si="123"/>
        <v>3.19</v>
      </c>
      <c r="D709" s="277">
        <f t="shared" si="124"/>
        <v>599.12212674900604</v>
      </c>
      <c r="E709" s="20">
        <f t="shared" si="125"/>
        <v>8.6110000000000007</v>
      </c>
      <c r="F709" s="20">
        <f t="shared" si="126"/>
        <v>1.839</v>
      </c>
      <c r="G709" s="277">
        <f t="shared" si="127"/>
        <v>191.11995843293295</v>
      </c>
      <c r="H709" s="3">
        <f t="shared" si="121"/>
        <v>0.77700000000000002</v>
      </c>
      <c r="I709" s="277">
        <f t="shared" si="128"/>
        <v>16457.339620659855</v>
      </c>
      <c r="J709" s="359" t="s">
        <v>814</v>
      </c>
      <c r="K709" s="359" t="s">
        <v>951</v>
      </c>
      <c r="L709" s="359"/>
      <c r="M709" s="338"/>
      <c r="N709" s="89">
        <v>41277</v>
      </c>
      <c r="O709" s="359">
        <v>257</v>
      </c>
      <c r="P709" s="359" t="s">
        <v>46</v>
      </c>
      <c r="Q709" s="359"/>
      <c r="R709" s="359"/>
      <c r="S709" s="359">
        <v>800</v>
      </c>
      <c r="T709" s="359">
        <v>42</v>
      </c>
      <c r="U709" s="67">
        <v>400</v>
      </c>
      <c r="V709" s="67">
        <v>5.3</v>
      </c>
      <c r="W709" s="67">
        <v>26.5</v>
      </c>
      <c r="X709" s="67">
        <v>3.2</v>
      </c>
      <c r="Y709" s="67">
        <v>40</v>
      </c>
      <c r="Z709" s="359"/>
      <c r="AA709" s="210"/>
      <c r="AB709" s="248">
        <v>0.1807</v>
      </c>
      <c r="AC709" s="359">
        <v>0.63600000000000001</v>
      </c>
      <c r="AD709" s="359">
        <v>0.1832</v>
      </c>
      <c r="AE709" s="359" t="s">
        <v>47</v>
      </c>
      <c r="AF709" s="359">
        <v>3.19</v>
      </c>
      <c r="AG709" s="153"/>
      <c r="AH709" s="346">
        <v>599.12212674900604</v>
      </c>
      <c r="AI709" s="24"/>
      <c r="AJ709" s="24">
        <v>8.6110000000000007</v>
      </c>
      <c r="AK709" s="24">
        <v>1.839</v>
      </c>
      <c r="AL709" s="24">
        <v>0.77700000000000002</v>
      </c>
      <c r="AM709" s="359" t="s">
        <v>913</v>
      </c>
      <c r="AN709" s="24">
        <f t="shared" si="129"/>
        <v>191.11995843293295</v>
      </c>
      <c r="AO709" s="54">
        <f t="shared" si="130"/>
        <v>16457.339620659855</v>
      </c>
      <c r="AP709" s="261">
        <f t="shared" si="131"/>
        <v>4.5571428571428569</v>
      </c>
      <c r="AQ709" s="338"/>
      <c r="AR709" s="45"/>
      <c r="AS709" s="359"/>
      <c r="AT709" s="359"/>
    </row>
    <row r="710" spans="1:46" ht="12">
      <c r="A710" s="200" t="s">
        <v>955</v>
      </c>
      <c r="B710" s="359" t="str">
        <f t="shared" si="122"/>
        <v>SiNx</v>
      </c>
      <c r="C710" s="141">
        <f t="shared" si="123"/>
        <v>0</v>
      </c>
      <c r="D710" s="277">
        <f t="shared" si="124"/>
        <v>363.79095188839301</v>
      </c>
      <c r="E710" s="20">
        <f t="shared" si="125"/>
        <v>8.0299999999999994</v>
      </c>
      <c r="F710" s="20">
        <f t="shared" si="126"/>
        <v>1.252</v>
      </c>
      <c r="G710" s="277">
        <f t="shared" si="127"/>
        <v>0</v>
      </c>
      <c r="H710" s="3">
        <f t="shared" si="121"/>
        <v>0.79700000000000004</v>
      </c>
      <c r="I710" s="277">
        <f t="shared" si="128"/>
        <v>0</v>
      </c>
      <c r="J710" s="359" t="s">
        <v>814</v>
      </c>
      <c r="K710" s="359" t="s">
        <v>956</v>
      </c>
      <c r="L710" s="359"/>
      <c r="M710" s="338" t="s">
        <v>138</v>
      </c>
      <c r="N710" s="89">
        <v>41278</v>
      </c>
      <c r="O710" s="359">
        <v>258</v>
      </c>
      <c r="P710" s="359" t="s">
        <v>187</v>
      </c>
      <c r="Q710" s="359"/>
      <c r="R710" s="359"/>
      <c r="S710" s="359">
        <v>800</v>
      </c>
      <c r="T710" s="359">
        <v>87</v>
      </c>
      <c r="U710" s="67">
        <v>400</v>
      </c>
      <c r="V710" s="67">
        <v>5.3</v>
      </c>
      <c r="W710" s="67">
        <v>26.5</v>
      </c>
      <c r="X710" s="67">
        <v>3.2</v>
      </c>
      <c r="Y710" s="67">
        <v>40</v>
      </c>
      <c r="Z710" s="359"/>
      <c r="AA710" s="210"/>
      <c r="AB710" s="248"/>
      <c r="AC710" s="359"/>
      <c r="AD710" s="359"/>
      <c r="AE710" s="359"/>
      <c r="AF710" s="359"/>
      <c r="AG710" s="153"/>
      <c r="AH710" s="346">
        <v>363.79095188839301</v>
      </c>
      <c r="AI710" s="24"/>
      <c r="AJ710" s="24">
        <v>8.0299999999999994</v>
      </c>
      <c r="AK710" s="24">
        <v>1.252</v>
      </c>
      <c r="AL710" s="24">
        <v>0.79700000000000004</v>
      </c>
      <c r="AM710" s="359" t="s">
        <v>913</v>
      </c>
      <c r="AN710" s="24">
        <f t="shared" si="129"/>
        <v>0</v>
      </c>
      <c r="AO710" s="54">
        <f t="shared" si="130"/>
        <v>0</v>
      </c>
      <c r="AP710" s="261">
        <f t="shared" si="131"/>
        <v>0</v>
      </c>
      <c r="AQ710" s="338"/>
      <c r="AR710" s="45"/>
      <c r="AS710" s="359"/>
      <c r="AT710" s="359"/>
    </row>
    <row r="711" spans="1:46" ht="12">
      <c r="A711" s="200" t="s">
        <v>957</v>
      </c>
      <c r="B711" s="359" t="str">
        <f t="shared" si="122"/>
        <v>SiNx</v>
      </c>
      <c r="C711" s="141">
        <f t="shared" si="123"/>
        <v>0</v>
      </c>
      <c r="D711" s="277">
        <f t="shared" si="124"/>
        <v>364.593825494817</v>
      </c>
      <c r="E711" s="20">
        <f t="shared" si="125"/>
        <v>7.99</v>
      </c>
      <c r="F711" s="20">
        <f t="shared" si="126"/>
        <v>0</v>
      </c>
      <c r="G711" s="277">
        <f t="shared" si="127"/>
        <v>0</v>
      </c>
      <c r="H711" s="3">
        <f t="shared" si="121"/>
        <v>0.79700000000000004</v>
      </c>
      <c r="I711" s="277">
        <f t="shared" si="128"/>
        <v>0</v>
      </c>
      <c r="J711" s="359" t="s">
        <v>814</v>
      </c>
      <c r="K711" s="359" t="s">
        <v>951</v>
      </c>
      <c r="L711" s="359"/>
      <c r="M711" s="338" t="s">
        <v>138</v>
      </c>
      <c r="N711" s="89">
        <v>41278</v>
      </c>
      <c r="O711" s="359">
        <v>258</v>
      </c>
      <c r="P711" s="359" t="s">
        <v>187</v>
      </c>
      <c r="Q711" s="359"/>
      <c r="R711" s="359"/>
      <c r="S711" s="359">
        <v>800</v>
      </c>
      <c r="T711" s="359">
        <v>87</v>
      </c>
      <c r="U711" s="67">
        <v>400</v>
      </c>
      <c r="V711" s="67">
        <v>5.3</v>
      </c>
      <c r="W711" s="67">
        <v>26.5</v>
      </c>
      <c r="X711" s="67">
        <v>3.2</v>
      </c>
      <c r="Y711" s="67">
        <v>40</v>
      </c>
      <c r="Z711" s="359"/>
      <c r="AA711" s="210"/>
      <c r="AB711" s="248"/>
      <c r="AC711" s="359"/>
      <c r="AD711" s="359"/>
      <c r="AE711" s="359"/>
      <c r="AF711" s="359"/>
      <c r="AG711" s="153"/>
      <c r="AH711" s="346">
        <v>364.593825494817</v>
      </c>
      <c r="AI711" s="24"/>
      <c r="AJ711" s="24">
        <v>7.99</v>
      </c>
      <c r="AK711" s="24"/>
      <c r="AL711" s="24">
        <v>0.79700000000000004</v>
      </c>
      <c r="AM711" s="359" t="s">
        <v>913</v>
      </c>
      <c r="AN711" s="24">
        <f t="shared" si="129"/>
        <v>0</v>
      </c>
      <c r="AO711" s="54">
        <f t="shared" si="130"/>
        <v>0</v>
      </c>
      <c r="AP711" s="261">
        <f t="shared" si="131"/>
        <v>0</v>
      </c>
      <c r="AQ711" s="338"/>
      <c r="AR711" s="45"/>
      <c r="AS711" s="359"/>
      <c r="AT711" s="359"/>
    </row>
    <row r="712" spans="1:46" ht="12">
      <c r="A712" s="200" t="s">
        <v>958</v>
      </c>
      <c r="B712" s="359" t="str">
        <f t="shared" si="122"/>
        <v>SiNx</v>
      </c>
      <c r="C712" s="141">
        <f t="shared" si="123"/>
        <v>0</v>
      </c>
      <c r="D712" s="277">
        <f t="shared" si="124"/>
        <v>369.32185895486703</v>
      </c>
      <c r="E712" s="20">
        <f t="shared" si="125"/>
        <v>7.9640000000000004</v>
      </c>
      <c r="F712" s="20">
        <f t="shared" si="126"/>
        <v>1.3109999999999999</v>
      </c>
      <c r="G712" s="277">
        <f t="shared" si="127"/>
        <v>0</v>
      </c>
      <c r="H712" s="3">
        <f t="shared" si="121"/>
        <v>0.80300000000000005</v>
      </c>
      <c r="I712" s="277">
        <f t="shared" si="128"/>
        <v>0</v>
      </c>
      <c r="J712" s="359" t="s">
        <v>814</v>
      </c>
      <c r="K712" s="359" t="s">
        <v>951</v>
      </c>
      <c r="L712" s="359"/>
      <c r="M712" s="338" t="s">
        <v>138</v>
      </c>
      <c r="N712" s="89">
        <v>41278</v>
      </c>
      <c r="O712" s="359">
        <v>258</v>
      </c>
      <c r="P712" s="359" t="s">
        <v>187</v>
      </c>
      <c r="Q712" s="359"/>
      <c r="R712" s="359"/>
      <c r="S712" s="359">
        <v>800</v>
      </c>
      <c r="T712" s="359">
        <v>87</v>
      </c>
      <c r="U712" s="67">
        <v>400</v>
      </c>
      <c r="V712" s="67">
        <v>5.3</v>
      </c>
      <c r="W712" s="67">
        <v>26.5</v>
      </c>
      <c r="X712" s="67">
        <v>3.2</v>
      </c>
      <c r="Y712" s="67">
        <v>40</v>
      </c>
      <c r="Z712" s="359"/>
      <c r="AA712" s="210"/>
      <c r="AB712" s="248"/>
      <c r="AC712" s="359"/>
      <c r="AD712" s="359"/>
      <c r="AE712" s="359"/>
      <c r="AF712" s="359"/>
      <c r="AG712" s="153"/>
      <c r="AH712" s="346">
        <v>369.32185895486703</v>
      </c>
      <c r="AI712" s="24"/>
      <c r="AJ712" s="24">
        <v>7.9640000000000004</v>
      </c>
      <c r="AK712" s="24">
        <v>1.3109999999999999</v>
      </c>
      <c r="AL712" s="24">
        <v>0.80300000000000005</v>
      </c>
      <c r="AM712" s="359" t="s">
        <v>913</v>
      </c>
      <c r="AN712" s="24">
        <f t="shared" si="129"/>
        <v>0</v>
      </c>
      <c r="AO712" s="54">
        <f t="shared" si="130"/>
        <v>0</v>
      </c>
      <c r="AP712" s="261">
        <f t="shared" si="131"/>
        <v>0</v>
      </c>
      <c r="AQ712" s="338"/>
      <c r="AR712" s="45"/>
      <c r="AS712" s="359"/>
      <c r="AT712" s="359"/>
    </row>
    <row r="713" spans="1:46" ht="12">
      <c r="A713" s="360" t="s">
        <v>959</v>
      </c>
      <c r="B713" s="359" t="str">
        <f t="shared" si="122"/>
        <v>MgO</v>
      </c>
      <c r="C713" s="141">
        <f t="shared" si="123"/>
        <v>6.92</v>
      </c>
      <c r="D713" s="277">
        <f t="shared" si="124"/>
        <v>224.269360727666</v>
      </c>
      <c r="E713" s="20">
        <f t="shared" si="125"/>
        <v>11.505000000000001</v>
      </c>
      <c r="F713" s="20">
        <f t="shared" si="126"/>
        <v>0.54600000000000004</v>
      </c>
      <c r="G713" s="277">
        <f t="shared" si="127"/>
        <v>155.19439762354486</v>
      </c>
      <c r="H713" s="3">
        <f t="shared" si="121"/>
        <v>0.76600000000000001</v>
      </c>
      <c r="I713" s="277">
        <f t="shared" si="128"/>
        <v>17855.115446588839</v>
      </c>
      <c r="J713" s="250" t="s">
        <v>814</v>
      </c>
      <c r="K713" s="359" t="s">
        <v>951</v>
      </c>
      <c r="L713" s="250"/>
      <c r="M713" s="379"/>
      <c r="N713" s="255">
        <v>41278</v>
      </c>
      <c r="O713" s="250">
        <v>258</v>
      </c>
      <c r="P713" s="250" t="s">
        <v>46</v>
      </c>
      <c r="Q713" s="250"/>
      <c r="R713" s="250"/>
      <c r="S713" s="250">
        <v>800</v>
      </c>
      <c r="T713" s="250">
        <v>87</v>
      </c>
      <c r="U713" s="297">
        <v>400</v>
      </c>
      <c r="V713" s="297">
        <v>5.3</v>
      </c>
      <c r="W713" s="297">
        <v>26.5</v>
      </c>
      <c r="X713" s="297">
        <v>3.2</v>
      </c>
      <c r="Y713" s="297">
        <v>40</v>
      </c>
      <c r="Z713" s="250"/>
      <c r="AA713" s="327"/>
      <c r="AB713" s="267">
        <v>0.24940000000000001</v>
      </c>
      <c r="AC713" s="250">
        <v>0.4647</v>
      </c>
      <c r="AD713" s="250">
        <v>0.28589999999999999</v>
      </c>
      <c r="AE713" s="250" t="s">
        <v>47</v>
      </c>
      <c r="AF713" s="250">
        <v>6.92</v>
      </c>
      <c r="AG713" s="375"/>
      <c r="AH713" s="35">
        <v>224.269360727666</v>
      </c>
      <c r="AI713" s="404"/>
      <c r="AJ713" s="404">
        <v>11.505000000000001</v>
      </c>
      <c r="AK713" s="404">
        <v>0.54600000000000004</v>
      </c>
      <c r="AL713" s="404">
        <v>0.76600000000000001</v>
      </c>
      <c r="AM713" s="250" t="s">
        <v>913</v>
      </c>
      <c r="AN713" s="24">
        <f t="shared" si="129"/>
        <v>155.19439762354486</v>
      </c>
      <c r="AO713" s="7">
        <f t="shared" si="130"/>
        <v>17855.115446588839</v>
      </c>
      <c r="AP713" s="222">
        <f t="shared" si="131"/>
        <v>4.7724137931034489</v>
      </c>
      <c r="AQ713" s="379"/>
      <c r="AR713" s="295"/>
      <c r="AS713" s="250"/>
      <c r="AT713" s="250"/>
    </row>
    <row r="714" spans="1:46" ht="12">
      <c r="A714" s="221" t="s">
        <v>960</v>
      </c>
      <c r="B714" s="359" t="str">
        <f t="shared" si="122"/>
        <v>MgO</v>
      </c>
      <c r="C714" s="141">
        <f t="shared" si="123"/>
        <v>2.44</v>
      </c>
      <c r="D714" s="277">
        <f t="shared" si="124"/>
        <v>586.81139811717696</v>
      </c>
      <c r="E714" s="20">
        <f t="shared" si="125"/>
        <v>9.09</v>
      </c>
      <c r="F714" s="20">
        <f t="shared" si="126"/>
        <v>1.665</v>
      </c>
      <c r="G714" s="277">
        <f t="shared" si="127"/>
        <v>143.18198114059118</v>
      </c>
      <c r="H714" s="3">
        <f t="shared" si="121"/>
        <v>0</v>
      </c>
      <c r="I714" s="277">
        <f t="shared" si="128"/>
        <v>13015.242085679736</v>
      </c>
      <c r="J714" s="301" t="s">
        <v>814</v>
      </c>
      <c r="K714" s="359" t="s">
        <v>961</v>
      </c>
      <c r="L714" s="301"/>
      <c r="M714" s="90"/>
      <c r="N714" s="232">
        <v>41290</v>
      </c>
      <c r="O714" s="301">
        <v>259</v>
      </c>
      <c r="P714" s="301" t="s">
        <v>46</v>
      </c>
      <c r="Q714" s="301"/>
      <c r="R714" s="301"/>
      <c r="S714" s="301">
        <v>800</v>
      </c>
      <c r="T714" s="301">
        <v>42</v>
      </c>
      <c r="U714" s="181">
        <v>400</v>
      </c>
      <c r="V714" s="181">
        <v>5.3</v>
      </c>
      <c r="W714" s="181">
        <v>26.5</v>
      </c>
      <c r="X714" s="181">
        <v>3.2</v>
      </c>
      <c r="Y714" s="181">
        <v>40</v>
      </c>
      <c r="Z714" s="301"/>
      <c r="AA714" s="244"/>
      <c r="AB714" s="1">
        <v>0.1643</v>
      </c>
      <c r="AC714" s="301">
        <v>0.68089999999999995</v>
      </c>
      <c r="AD714" s="301">
        <v>0.15490000000000001</v>
      </c>
      <c r="AE714" s="301" t="s">
        <v>47</v>
      </c>
      <c r="AF714" s="301">
        <v>2.44</v>
      </c>
      <c r="AG714" s="106"/>
      <c r="AH714" s="101">
        <v>586.81139811717696</v>
      </c>
      <c r="AI714" s="380"/>
      <c r="AJ714" s="380">
        <v>9.09</v>
      </c>
      <c r="AK714" s="380">
        <v>1.665</v>
      </c>
      <c r="AL714" s="380"/>
      <c r="AM714" s="301"/>
      <c r="AN714" s="24">
        <f t="shared" si="129"/>
        <v>143.18198114059118</v>
      </c>
      <c r="AO714" s="177">
        <f t="shared" si="130"/>
        <v>13015.242085679736</v>
      </c>
      <c r="AP714" s="247">
        <f t="shared" si="131"/>
        <v>3.4857142857142858</v>
      </c>
      <c r="AQ714" s="90" t="s">
        <v>962</v>
      </c>
      <c r="AR714" s="331"/>
      <c r="AS714" s="301"/>
      <c r="AT714" s="301"/>
    </row>
    <row r="715" spans="1:46" ht="12">
      <c r="A715" s="200" t="s">
        <v>963</v>
      </c>
      <c r="B715" s="359" t="str">
        <f t="shared" si="122"/>
        <v>MgO</v>
      </c>
      <c r="C715" s="141">
        <f t="shared" si="123"/>
        <v>2.39</v>
      </c>
      <c r="D715" s="277">
        <f t="shared" si="124"/>
        <v>608.13215277664904</v>
      </c>
      <c r="E715" s="20">
        <f t="shared" si="125"/>
        <v>0</v>
      </c>
      <c r="F715" s="20">
        <f t="shared" si="126"/>
        <v>0</v>
      </c>
      <c r="G715" s="277">
        <f t="shared" si="127"/>
        <v>145.34358451361913</v>
      </c>
      <c r="H715" s="3">
        <f t="shared" si="121"/>
        <v>0</v>
      </c>
      <c r="I715" s="277">
        <f t="shared" si="128"/>
        <v>0</v>
      </c>
      <c r="J715" s="359" t="s">
        <v>814</v>
      </c>
      <c r="K715" s="359" t="s">
        <v>961</v>
      </c>
      <c r="L715" s="359"/>
      <c r="M715" s="338"/>
      <c r="N715" s="89">
        <v>41290</v>
      </c>
      <c r="O715" s="359">
        <v>259</v>
      </c>
      <c r="P715" s="359" t="s">
        <v>46</v>
      </c>
      <c r="Q715" s="359"/>
      <c r="R715" s="359"/>
      <c r="S715" s="359">
        <v>800</v>
      </c>
      <c r="T715" s="359">
        <v>42</v>
      </c>
      <c r="U715" s="67">
        <v>400</v>
      </c>
      <c r="V715" s="67">
        <v>5.3</v>
      </c>
      <c r="W715" s="67">
        <v>26.5</v>
      </c>
      <c r="X715" s="67">
        <v>3.2</v>
      </c>
      <c r="Y715" s="67">
        <v>40</v>
      </c>
      <c r="Z715" s="359"/>
      <c r="AA715" s="210"/>
      <c r="AB715" s="248">
        <v>0.1653</v>
      </c>
      <c r="AC715" s="359">
        <v>0.68440000000000001</v>
      </c>
      <c r="AD715" s="359">
        <v>0.15029999999999999</v>
      </c>
      <c r="AE715" s="359" t="s">
        <v>47</v>
      </c>
      <c r="AF715" s="359">
        <v>2.39</v>
      </c>
      <c r="AG715" s="153"/>
      <c r="AH715" s="346">
        <v>608.13215277664904</v>
      </c>
      <c r="AI715" s="24"/>
      <c r="AJ715" s="24">
        <v>0</v>
      </c>
      <c r="AK715" s="24"/>
      <c r="AL715" s="24"/>
      <c r="AM715" s="359"/>
      <c r="AN715" s="24">
        <f t="shared" si="129"/>
        <v>145.34358451361913</v>
      </c>
      <c r="AO715" s="54">
        <f t="shared" si="130"/>
        <v>0</v>
      </c>
      <c r="AP715" s="261">
        <f t="shared" si="131"/>
        <v>3.4142857142857146</v>
      </c>
      <c r="AQ715" s="338" t="s">
        <v>962</v>
      </c>
      <c r="AR715" s="45"/>
      <c r="AS715" s="359"/>
      <c r="AT715" s="359"/>
    </row>
    <row r="716" spans="1:46" ht="12">
      <c r="A716" s="200" t="s">
        <v>964</v>
      </c>
      <c r="B716" s="359" t="str">
        <f t="shared" si="122"/>
        <v>MgO</v>
      </c>
      <c r="C716" s="141">
        <f t="shared" si="123"/>
        <v>2.38</v>
      </c>
      <c r="D716" s="277">
        <f t="shared" si="124"/>
        <v>623.02991858473194</v>
      </c>
      <c r="E716" s="20">
        <f t="shared" si="125"/>
        <v>0</v>
      </c>
      <c r="F716" s="20">
        <f t="shared" si="126"/>
        <v>0</v>
      </c>
      <c r="G716" s="277">
        <f t="shared" si="127"/>
        <v>148.2811206231662</v>
      </c>
      <c r="H716" s="3">
        <f t="shared" si="121"/>
        <v>0</v>
      </c>
      <c r="I716" s="277">
        <f t="shared" si="128"/>
        <v>0</v>
      </c>
      <c r="J716" s="359" t="s">
        <v>814</v>
      </c>
      <c r="K716" s="359" t="s">
        <v>961</v>
      </c>
      <c r="L716" s="359"/>
      <c r="M716" s="338"/>
      <c r="N716" s="89">
        <v>41290</v>
      </c>
      <c r="O716" s="359">
        <v>259</v>
      </c>
      <c r="P716" s="359" t="s">
        <v>46</v>
      </c>
      <c r="Q716" s="359"/>
      <c r="R716" s="359"/>
      <c r="S716" s="359">
        <v>800</v>
      </c>
      <c r="T716" s="359">
        <v>42</v>
      </c>
      <c r="U716" s="67">
        <v>400</v>
      </c>
      <c r="V716" s="67">
        <v>5.3</v>
      </c>
      <c r="W716" s="67">
        <v>26.5</v>
      </c>
      <c r="X716" s="67">
        <v>3.2</v>
      </c>
      <c r="Y716" s="67">
        <v>40</v>
      </c>
      <c r="Z716" s="359"/>
      <c r="AA716" s="210"/>
      <c r="AB716" s="248">
        <v>0.16470000000000001</v>
      </c>
      <c r="AC716" s="359">
        <v>0.68469999999999998</v>
      </c>
      <c r="AD716" s="359">
        <v>0.15060000000000001</v>
      </c>
      <c r="AE716" s="359" t="s">
        <v>47</v>
      </c>
      <c r="AF716" s="359">
        <v>2.38</v>
      </c>
      <c r="AG716" s="153"/>
      <c r="AH716" s="346">
        <v>623.02991858473194</v>
      </c>
      <c r="AI716" s="24"/>
      <c r="AJ716" s="24">
        <v>0</v>
      </c>
      <c r="AK716" s="24"/>
      <c r="AL716" s="24"/>
      <c r="AM716" s="359"/>
      <c r="AN716" s="24">
        <f t="shared" si="129"/>
        <v>148.2811206231662</v>
      </c>
      <c r="AO716" s="54">
        <f t="shared" si="130"/>
        <v>0</v>
      </c>
      <c r="AP716" s="261">
        <f t="shared" si="131"/>
        <v>3.4</v>
      </c>
      <c r="AQ716" s="338" t="s">
        <v>962</v>
      </c>
      <c r="AR716" s="45"/>
      <c r="AS716" s="359"/>
      <c r="AT716" s="359"/>
    </row>
    <row r="717" spans="1:46" ht="12">
      <c r="A717" s="200" t="s">
        <v>965</v>
      </c>
      <c r="B717" s="359" t="str">
        <f t="shared" si="122"/>
        <v>MgO</v>
      </c>
      <c r="C717" s="141">
        <f t="shared" si="123"/>
        <v>4.8099999999999996</v>
      </c>
      <c r="D717" s="277">
        <f t="shared" si="124"/>
        <v>205.00039417349899</v>
      </c>
      <c r="E717" s="20">
        <f t="shared" si="125"/>
        <v>10.5</v>
      </c>
      <c r="F717" s="20">
        <f t="shared" si="126"/>
        <v>0.71</v>
      </c>
      <c r="G717" s="277">
        <f t="shared" si="127"/>
        <v>98.605189597453005</v>
      </c>
      <c r="H717" s="3">
        <f t="shared" si="121"/>
        <v>0</v>
      </c>
      <c r="I717" s="277">
        <f t="shared" si="128"/>
        <v>10353.544907732567</v>
      </c>
      <c r="J717" s="359" t="s">
        <v>814</v>
      </c>
      <c r="K717" s="359"/>
      <c r="L717" s="359"/>
      <c r="M717" s="338"/>
      <c r="N717" s="89">
        <v>41293</v>
      </c>
      <c r="O717" s="359">
        <v>260</v>
      </c>
      <c r="P717" s="359" t="s">
        <v>46</v>
      </c>
      <c r="Q717" s="359"/>
      <c r="R717" s="359"/>
      <c r="S717" s="359">
        <v>800</v>
      </c>
      <c r="T717" s="359">
        <v>84</v>
      </c>
      <c r="U717" s="67">
        <v>400</v>
      </c>
      <c r="V717" s="67">
        <v>5.3</v>
      </c>
      <c r="W717" s="67">
        <v>26.5</v>
      </c>
      <c r="X717" s="67">
        <v>3.2</v>
      </c>
      <c r="Y717" s="67">
        <v>40</v>
      </c>
      <c r="Z717" s="359"/>
      <c r="AA717" s="210"/>
      <c r="AB717" s="248">
        <v>0.2074</v>
      </c>
      <c r="AC717" s="359">
        <v>0.55210000000000004</v>
      </c>
      <c r="AD717" s="359">
        <v>0.2404</v>
      </c>
      <c r="AE717" s="359" t="s">
        <v>47</v>
      </c>
      <c r="AF717" s="359">
        <v>4.8099999999999996</v>
      </c>
      <c r="AG717" s="153"/>
      <c r="AH717" s="346">
        <v>205.00039417349899</v>
      </c>
      <c r="AI717" s="24"/>
      <c r="AJ717" s="24">
        <v>10.5</v>
      </c>
      <c r="AK717" s="24">
        <v>0.71</v>
      </c>
      <c r="AL717" s="24"/>
      <c r="AM717" s="359"/>
      <c r="AN717" s="24">
        <f t="shared" si="129"/>
        <v>98.605189597453005</v>
      </c>
      <c r="AO717" s="54">
        <f t="shared" si="130"/>
        <v>10353.544907732567</v>
      </c>
      <c r="AP717" s="261">
        <f t="shared" si="131"/>
        <v>3.4357142857142855</v>
      </c>
      <c r="AQ717" s="338"/>
      <c r="AR717" s="45"/>
      <c r="AS717" s="359"/>
      <c r="AT717" s="359"/>
    </row>
    <row r="718" spans="1:46" ht="12">
      <c r="A718" s="200" t="s">
        <v>966</v>
      </c>
      <c r="B718" s="359" t="str">
        <f t="shared" si="122"/>
        <v>MgO</v>
      </c>
      <c r="C718" s="141">
        <f t="shared" si="123"/>
        <v>4.8</v>
      </c>
      <c r="D718" s="277">
        <f t="shared" si="124"/>
        <v>201.610483390821</v>
      </c>
      <c r="E718" s="20">
        <f t="shared" si="125"/>
        <v>9.3800000000000008</v>
      </c>
      <c r="F718" s="20">
        <f t="shared" si="126"/>
        <v>0.74</v>
      </c>
      <c r="G718" s="277">
        <f t="shared" si="127"/>
        <v>96.773032027594084</v>
      </c>
      <c r="H718" s="3">
        <f t="shared" si="121"/>
        <v>0</v>
      </c>
      <c r="I718" s="277">
        <f t="shared" si="128"/>
        <v>9077.3104041883253</v>
      </c>
      <c r="J718" s="359" t="s">
        <v>814</v>
      </c>
      <c r="K718" s="359"/>
      <c r="L718" s="359"/>
      <c r="M718" s="338"/>
      <c r="N718" s="89">
        <v>41293</v>
      </c>
      <c r="O718" s="359">
        <v>260</v>
      </c>
      <c r="P718" s="359" t="s">
        <v>46</v>
      </c>
      <c r="Q718" s="359"/>
      <c r="R718" s="359"/>
      <c r="S718" s="359">
        <v>800</v>
      </c>
      <c r="T718" s="359">
        <v>84</v>
      </c>
      <c r="U718" s="67">
        <v>400</v>
      </c>
      <c r="V718" s="67">
        <v>5.3</v>
      </c>
      <c r="W718" s="67">
        <v>26.5</v>
      </c>
      <c r="X718" s="67">
        <v>3.2</v>
      </c>
      <c r="Y718" s="67">
        <v>40</v>
      </c>
      <c r="Z718" s="359"/>
      <c r="AA718" s="210"/>
      <c r="AB718" s="248">
        <v>0.2099</v>
      </c>
      <c r="AC718" s="359">
        <v>0.55269999999999997</v>
      </c>
      <c r="AD718" s="359">
        <v>0.2374</v>
      </c>
      <c r="AE718" s="359" t="s">
        <v>47</v>
      </c>
      <c r="AF718" s="359">
        <v>4.8</v>
      </c>
      <c r="AG718" s="153"/>
      <c r="AH718" s="346">
        <v>201.610483390821</v>
      </c>
      <c r="AI718" s="24"/>
      <c r="AJ718" s="24">
        <v>9.3800000000000008</v>
      </c>
      <c r="AK718" s="24">
        <v>0.74</v>
      </c>
      <c r="AL718" s="24"/>
      <c r="AM718" s="359"/>
      <c r="AN718" s="24">
        <f t="shared" si="129"/>
        <v>96.773032027594084</v>
      </c>
      <c r="AO718" s="54">
        <f t="shared" si="130"/>
        <v>9077.3104041883253</v>
      </c>
      <c r="AP718" s="261">
        <f t="shared" si="131"/>
        <v>3.4285714285714284</v>
      </c>
      <c r="AQ718" s="338"/>
      <c r="AR718" s="45"/>
      <c r="AS718" s="359"/>
      <c r="AT718" s="359"/>
    </row>
    <row r="719" spans="1:46" ht="12">
      <c r="A719" s="200" t="s">
        <v>967</v>
      </c>
      <c r="B719" s="359" t="str">
        <f t="shared" si="122"/>
        <v>MgO</v>
      </c>
      <c r="C719" s="141">
        <f t="shared" si="123"/>
        <v>2.83</v>
      </c>
      <c r="D719" s="277">
        <f t="shared" si="124"/>
        <v>435.24670286009598</v>
      </c>
      <c r="E719" s="20">
        <f t="shared" si="125"/>
        <v>0</v>
      </c>
      <c r="F719" s="20">
        <f t="shared" si="126"/>
        <v>0</v>
      </c>
      <c r="G719" s="277">
        <f t="shared" si="127"/>
        <v>123.17481690940717</v>
      </c>
      <c r="H719" s="3">
        <f t="shared" si="121"/>
        <v>0</v>
      </c>
      <c r="I719" s="277">
        <f t="shared" si="128"/>
        <v>0</v>
      </c>
      <c r="J719" s="359" t="s">
        <v>814</v>
      </c>
      <c r="K719" s="359"/>
      <c r="L719" s="359"/>
      <c r="M719" s="338"/>
      <c r="N719" s="89">
        <v>41296</v>
      </c>
      <c r="O719" s="359">
        <v>261</v>
      </c>
      <c r="P719" s="359" t="s">
        <v>46</v>
      </c>
      <c r="Q719" s="359"/>
      <c r="R719" s="359"/>
      <c r="S719" s="359">
        <v>800</v>
      </c>
      <c r="T719" s="359">
        <v>51</v>
      </c>
      <c r="U719" s="67">
        <v>400</v>
      </c>
      <c r="V719" s="67">
        <v>5.3</v>
      </c>
      <c r="W719" s="67">
        <v>26.5</v>
      </c>
      <c r="X719" s="67">
        <v>3.2</v>
      </c>
      <c r="Y719" s="67">
        <v>40</v>
      </c>
      <c r="Z719" s="359"/>
      <c r="AA719" s="210"/>
      <c r="AB719" s="248">
        <v>0.17810000000000001</v>
      </c>
      <c r="AC719" s="359">
        <v>0.65720000000000001</v>
      </c>
      <c r="AD719" s="359">
        <v>0.16470000000000001</v>
      </c>
      <c r="AE719" s="359" t="s">
        <v>47</v>
      </c>
      <c r="AF719" s="359">
        <v>2.83</v>
      </c>
      <c r="AG719" s="153"/>
      <c r="AH719" s="346">
        <v>435.24670286009598</v>
      </c>
      <c r="AI719" s="24"/>
      <c r="AJ719" s="24"/>
      <c r="AK719" s="24"/>
      <c r="AL719" s="24"/>
      <c r="AM719" s="359"/>
      <c r="AN719" s="24">
        <f t="shared" si="129"/>
        <v>123.17481690940717</v>
      </c>
      <c r="AO719" s="54">
        <f t="shared" si="130"/>
        <v>0</v>
      </c>
      <c r="AP719" s="261">
        <f t="shared" si="131"/>
        <v>3.3294117647058821</v>
      </c>
      <c r="AQ719" s="338"/>
      <c r="AR719" s="45"/>
      <c r="AS719" s="359"/>
      <c r="AT719" s="359"/>
    </row>
    <row r="720" spans="1:46" ht="12">
      <c r="A720" s="200" t="s">
        <v>968</v>
      </c>
      <c r="B720" s="359" t="str">
        <f t="shared" si="122"/>
        <v>MgO</v>
      </c>
      <c r="C720" s="141">
        <f t="shared" si="123"/>
        <v>2.9</v>
      </c>
      <c r="D720" s="277">
        <f t="shared" si="124"/>
        <v>428.55608947323202</v>
      </c>
      <c r="E720" s="20">
        <f t="shared" si="125"/>
        <v>0</v>
      </c>
      <c r="F720" s="20">
        <f t="shared" si="126"/>
        <v>0</v>
      </c>
      <c r="G720" s="277">
        <f t="shared" si="127"/>
        <v>124.28126594723729</v>
      </c>
      <c r="H720" s="3">
        <f t="shared" si="121"/>
        <v>0</v>
      </c>
      <c r="I720" s="277">
        <f t="shared" si="128"/>
        <v>0</v>
      </c>
      <c r="J720" s="359" t="s">
        <v>814</v>
      </c>
      <c r="K720" s="359"/>
      <c r="L720" s="359"/>
      <c r="M720" s="338"/>
      <c r="N720" s="89">
        <v>41296</v>
      </c>
      <c r="O720" s="359">
        <v>261</v>
      </c>
      <c r="P720" s="359" t="s">
        <v>46</v>
      </c>
      <c r="Q720" s="359"/>
      <c r="R720" s="359"/>
      <c r="S720" s="359">
        <v>800</v>
      </c>
      <c r="T720" s="359">
        <v>51</v>
      </c>
      <c r="U720" s="67">
        <v>400</v>
      </c>
      <c r="V720" s="67">
        <v>5.3</v>
      </c>
      <c r="W720" s="67">
        <v>26.5</v>
      </c>
      <c r="X720" s="67">
        <v>3.2</v>
      </c>
      <c r="Y720" s="67">
        <v>40</v>
      </c>
      <c r="Z720" s="359"/>
      <c r="AA720" s="210"/>
      <c r="AB720" s="248">
        <v>0.1779</v>
      </c>
      <c r="AC720" s="359">
        <v>0.65249999999999997</v>
      </c>
      <c r="AD720" s="359">
        <v>0.16969999999999999</v>
      </c>
      <c r="AE720" s="359" t="s">
        <v>47</v>
      </c>
      <c r="AF720" s="359">
        <v>2.9</v>
      </c>
      <c r="AG720" s="153"/>
      <c r="AH720" s="346">
        <v>428.55608947323202</v>
      </c>
      <c r="AI720" s="24"/>
      <c r="AJ720" s="24"/>
      <c r="AK720" s="24"/>
      <c r="AL720" s="24"/>
      <c r="AM720" s="359"/>
      <c r="AN720" s="24">
        <f t="shared" si="129"/>
        <v>124.28126594723729</v>
      </c>
      <c r="AO720" s="54">
        <f t="shared" si="130"/>
        <v>0</v>
      </c>
      <c r="AP720" s="261">
        <f t="shared" si="131"/>
        <v>3.4117647058823528</v>
      </c>
      <c r="AQ720" s="338"/>
      <c r="AR720" s="45"/>
      <c r="AS720" s="359"/>
      <c r="AT720" s="359"/>
    </row>
    <row r="721" spans="1:46" ht="12">
      <c r="A721" s="200" t="s">
        <v>969</v>
      </c>
      <c r="B721" s="359" t="str">
        <f t="shared" si="122"/>
        <v>MgO</v>
      </c>
      <c r="C721" s="141">
        <f t="shared" si="123"/>
        <v>2.79</v>
      </c>
      <c r="D721" s="277">
        <f t="shared" si="124"/>
        <v>404.73750581599802</v>
      </c>
      <c r="E721" s="20">
        <f t="shared" si="125"/>
        <v>0</v>
      </c>
      <c r="F721" s="20">
        <f t="shared" si="126"/>
        <v>0</v>
      </c>
      <c r="G721" s="277">
        <f t="shared" si="127"/>
        <v>112.92176412266345</v>
      </c>
      <c r="H721" s="3">
        <f t="shared" si="121"/>
        <v>0</v>
      </c>
      <c r="I721" s="277">
        <f t="shared" si="128"/>
        <v>0</v>
      </c>
      <c r="J721" s="359" t="s">
        <v>814</v>
      </c>
      <c r="K721" s="359"/>
      <c r="L721" s="359"/>
      <c r="M721" s="338"/>
      <c r="N721" s="89">
        <v>41296</v>
      </c>
      <c r="O721" s="359">
        <v>261</v>
      </c>
      <c r="P721" s="359" t="s">
        <v>46</v>
      </c>
      <c r="Q721" s="359"/>
      <c r="R721" s="359"/>
      <c r="S721" s="359">
        <v>800</v>
      </c>
      <c r="T721" s="359">
        <v>51</v>
      </c>
      <c r="U721" s="67">
        <v>400</v>
      </c>
      <c r="V721" s="67">
        <v>5.3</v>
      </c>
      <c r="W721" s="67">
        <v>26.5</v>
      </c>
      <c r="X721" s="67">
        <v>3.2</v>
      </c>
      <c r="Y721" s="67">
        <v>40</v>
      </c>
      <c r="Z721" s="359"/>
      <c r="AA721" s="210"/>
      <c r="AB721" s="248">
        <v>0.17230000000000001</v>
      </c>
      <c r="AC721" s="359">
        <v>0.67530000000000001</v>
      </c>
      <c r="AD721" s="359">
        <v>0.15240000000000001</v>
      </c>
      <c r="AE721" s="359" t="s">
        <v>47</v>
      </c>
      <c r="AF721" s="359">
        <v>2.79</v>
      </c>
      <c r="AG721" s="153"/>
      <c r="AH721" s="346">
        <v>404.73750581599802</v>
      </c>
      <c r="AI721" s="24"/>
      <c r="AJ721" s="24"/>
      <c r="AK721" s="24"/>
      <c r="AL721" s="24"/>
      <c r="AM721" s="359"/>
      <c r="AN721" s="24">
        <f t="shared" si="129"/>
        <v>112.92176412266345</v>
      </c>
      <c r="AO721" s="54">
        <f t="shared" si="130"/>
        <v>0</v>
      </c>
      <c r="AP721" s="261">
        <f t="shared" si="131"/>
        <v>3.2823529411764709</v>
      </c>
      <c r="AQ721" s="338"/>
      <c r="AR721" s="45"/>
      <c r="AS721" s="359"/>
      <c r="AT721" s="359"/>
    </row>
    <row r="722" spans="1:46" ht="12">
      <c r="A722" s="200" t="s">
        <v>970</v>
      </c>
      <c r="B722" s="359" t="str">
        <f t="shared" si="122"/>
        <v>SiNx</v>
      </c>
      <c r="C722" s="141">
        <f t="shared" si="123"/>
        <v>0</v>
      </c>
      <c r="D722" s="277">
        <f t="shared" si="124"/>
        <v>810.99155066635205</v>
      </c>
      <c r="E722" s="20">
        <f t="shared" si="125"/>
        <v>8.8699999999999992</v>
      </c>
      <c r="F722" s="20">
        <f t="shared" si="126"/>
        <v>2.16</v>
      </c>
      <c r="G722" s="277">
        <f t="shared" si="127"/>
        <v>0</v>
      </c>
      <c r="H722" s="3">
        <f t="shared" si="121"/>
        <v>0.68209424083769632</v>
      </c>
      <c r="I722" s="277">
        <f t="shared" si="128"/>
        <v>0</v>
      </c>
      <c r="J722" s="359" t="s">
        <v>814</v>
      </c>
      <c r="K722" s="359"/>
      <c r="L722" s="359"/>
      <c r="M722" s="338"/>
      <c r="N722" s="89">
        <v>41300</v>
      </c>
      <c r="O722" s="359">
        <v>262</v>
      </c>
      <c r="P722" s="359" t="s">
        <v>187</v>
      </c>
      <c r="Q722" s="359"/>
      <c r="R722" s="359"/>
      <c r="S722" s="359">
        <v>800</v>
      </c>
      <c r="T722" s="359">
        <v>60</v>
      </c>
      <c r="U722" s="67">
        <v>400</v>
      </c>
      <c r="V722" s="359">
        <v>6</v>
      </c>
      <c r="W722" s="359">
        <v>26.5</v>
      </c>
      <c r="X722" s="359">
        <v>3.5</v>
      </c>
      <c r="Y722" s="67">
        <v>40</v>
      </c>
      <c r="Z722" s="359"/>
      <c r="AA722" s="210"/>
      <c r="AB722" s="248"/>
      <c r="AC722" s="359"/>
      <c r="AD722" s="359"/>
      <c r="AE722" s="359" t="s">
        <v>47</v>
      </c>
      <c r="AF722" s="359"/>
      <c r="AG722" s="153"/>
      <c r="AH722" s="346">
        <v>810.99155066635205</v>
      </c>
      <c r="AI722" s="24"/>
      <c r="AJ722" s="24">
        <v>8.8699999999999992</v>
      </c>
      <c r="AK722" s="24">
        <v>2.16</v>
      </c>
      <c r="AL722" s="24">
        <f>325.7/477.5</f>
        <v>0.68209424083769632</v>
      </c>
      <c r="AM722" s="359"/>
      <c r="AN722" s="24">
        <f t="shared" si="129"/>
        <v>0</v>
      </c>
      <c r="AO722" s="54">
        <f t="shared" si="130"/>
        <v>0</v>
      </c>
      <c r="AP722" s="261">
        <f t="shared" si="131"/>
        <v>0</v>
      </c>
      <c r="AQ722" s="338"/>
      <c r="AR722" s="45"/>
      <c r="AS722" s="359"/>
      <c r="AT722" s="359"/>
    </row>
    <row r="723" spans="1:46" ht="12">
      <c r="A723" s="200" t="s">
        <v>971</v>
      </c>
      <c r="B723" s="359" t="str">
        <f t="shared" si="122"/>
        <v>MgO</v>
      </c>
      <c r="C723" s="141">
        <f t="shared" si="123"/>
        <v>3.07</v>
      </c>
      <c r="D723" s="277">
        <f t="shared" si="124"/>
        <v>472.71413782653099</v>
      </c>
      <c r="E723" s="20">
        <f t="shared" si="125"/>
        <v>0</v>
      </c>
      <c r="F723" s="20">
        <f t="shared" si="126"/>
        <v>0</v>
      </c>
      <c r="G723" s="277">
        <f t="shared" si="127"/>
        <v>145.123240312745</v>
      </c>
      <c r="H723" s="3">
        <f t="shared" si="121"/>
        <v>0.69192307692307697</v>
      </c>
      <c r="I723" s="277">
        <f t="shared" si="128"/>
        <v>0</v>
      </c>
      <c r="J723" s="359" t="s">
        <v>814</v>
      </c>
      <c r="K723" s="359"/>
      <c r="L723" s="359"/>
      <c r="M723" s="338"/>
      <c r="N723" s="89">
        <v>41300</v>
      </c>
      <c r="O723" s="359">
        <v>262</v>
      </c>
      <c r="P723" s="359" t="s">
        <v>46</v>
      </c>
      <c r="Q723" s="359"/>
      <c r="R723" s="359"/>
      <c r="S723" s="359">
        <v>800</v>
      </c>
      <c r="T723" s="359">
        <v>60</v>
      </c>
      <c r="U723" s="67">
        <v>400</v>
      </c>
      <c r="V723" s="359">
        <v>6</v>
      </c>
      <c r="W723" s="359">
        <v>26.5</v>
      </c>
      <c r="X723" s="359">
        <v>3.5</v>
      </c>
      <c r="Y723" s="67">
        <v>40</v>
      </c>
      <c r="Z723" s="359"/>
      <c r="AA723" s="210"/>
      <c r="AB723" s="248">
        <v>0.1744</v>
      </c>
      <c r="AC723" s="359">
        <v>0.64249999999999996</v>
      </c>
      <c r="AD723" s="359">
        <v>0.18310000000000001</v>
      </c>
      <c r="AE723" s="359" t="s">
        <v>47</v>
      </c>
      <c r="AF723" s="359">
        <v>3.07</v>
      </c>
      <c r="AG723" s="153"/>
      <c r="AH723" s="346">
        <v>472.71413782653099</v>
      </c>
      <c r="AI723" s="24"/>
      <c r="AJ723" s="24">
        <v>0</v>
      </c>
      <c r="AK723" s="24"/>
      <c r="AL723" s="24">
        <f>179.9/260</f>
        <v>0.69192307692307697</v>
      </c>
      <c r="AM723" s="359"/>
      <c r="AN723" s="24">
        <f t="shared" si="129"/>
        <v>145.123240312745</v>
      </c>
      <c r="AO723" s="54">
        <f t="shared" si="130"/>
        <v>0</v>
      </c>
      <c r="AP723" s="261">
        <f t="shared" si="131"/>
        <v>3.07</v>
      </c>
      <c r="AQ723" s="338"/>
      <c r="AR723" s="45"/>
      <c r="AS723" s="359"/>
      <c r="AT723" s="359"/>
    </row>
    <row r="724" spans="1:46" ht="12">
      <c r="A724" s="200" t="s">
        <v>972</v>
      </c>
      <c r="B724" s="359" t="str">
        <f t="shared" si="122"/>
        <v>MgO</v>
      </c>
      <c r="C724" s="141">
        <f t="shared" si="123"/>
        <v>3.13</v>
      </c>
      <c r="D724" s="277">
        <f t="shared" si="124"/>
        <v>501.08233858683298</v>
      </c>
      <c r="E724" s="20">
        <f t="shared" si="125"/>
        <v>0</v>
      </c>
      <c r="F724" s="20">
        <f t="shared" si="126"/>
        <v>0</v>
      </c>
      <c r="G724" s="277">
        <f t="shared" si="127"/>
        <v>156.83877197767873</v>
      </c>
      <c r="H724" s="3">
        <f t="shared" si="121"/>
        <v>0.70477941176470582</v>
      </c>
      <c r="I724" s="277">
        <f t="shared" si="128"/>
        <v>0</v>
      </c>
      <c r="J724" s="359" t="s">
        <v>814</v>
      </c>
      <c r="K724" s="359"/>
      <c r="L724" s="359"/>
      <c r="M724" s="338"/>
      <c r="N724" s="89">
        <v>41300</v>
      </c>
      <c r="O724" s="359">
        <v>262</v>
      </c>
      <c r="P724" s="359" t="s">
        <v>46</v>
      </c>
      <c r="Q724" s="359"/>
      <c r="R724" s="359"/>
      <c r="S724" s="359">
        <v>800</v>
      </c>
      <c r="T724" s="359">
        <v>60</v>
      </c>
      <c r="U724" s="67">
        <v>400</v>
      </c>
      <c r="V724" s="359">
        <v>6</v>
      </c>
      <c r="W724" s="359">
        <v>26.5</v>
      </c>
      <c r="X724" s="359">
        <v>3.5</v>
      </c>
      <c r="Y724" s="67">
        <v>40</v>
      </c>
      <c r="Z724" s="359"/>
      <c r="AA724" s="210"/>
      <c r="AB724" s="248">
        <v>0.1757</v>
      </c>
      <c r="AC724" s="359">
        <v>0.63919999999999999</v>
      </c>
      <c r="AD724" s="359">
        <v>0.1852</v>
      </c>
      <c r="AE724" s="359" t="s">
        <v>47</v>
      </c>
      <c r="AF724" s="359">
        <v>3.13</v>
      </c>
      <c r="AG724" s="153"/>
      <c r="AH724" s="346">
        <v>501.08233858683298</v>
      </c>
      <c r="AI724" s="24"/>
      <c r="AJ724" s="24">
        <v>0</v>
      </c>
      <c r="AK724" s="24"/>
      <c r="AL724" s="24">
        <f>191.7/272</f>
        <v>0.70477941176470582</v>
      </c>
      <c r="AM724" s="359"/>
      <c r="AN724" s="24">
        <f t="shared" si="129"/>
        <v>156.83877197767873</v>
      </c>
      <c r="AO724" s="54">
        <f t="shared" si="130"/>
        <v>0</v>
      </c>
      <c r="AP724" s="261">
        <f t="shared" si="131"/>
        <v>3.13</v>
      </c>
      <c r="AQ724" s="338"/>
      <c r="AR724" s="45"/>
      <c r="AS724" s="359"/>
      <c r="AT724" s="359"/>
    </row>
    <row r="725" spans="1:46" ht="12">
      <c r="A725" s="200" t="s">
        <v>973</v>
      </c>
      <c r="B725" s="359" t="str">
        <f t="shared" si="122"/>
        <v>MgO</v>
      </c>
      <c r="C725" s="141">
        <f t="shared" si="123"/>
        <v>3.07</v>
      </c>
      <c r="D725" s="277">
        <f t="shared" si="124"/>
        <v>488.95002631198702</v>
      </c>
      <c r="E725" s="20">
        <f t="shared" si="125"/>
        <v>0</v>
      </c>
      <c r="F725" s="20">
        <f t="shared" si="126"/>
        <v>0</v>
      </c>
      <c r="G725" s="277">
        <f t="shared" si="127"/>
        <v>150.10765807778</v>
      </c>
      <c r="H725" s="3">
        <f t="shared" si="121"/>
        <v>0.7095588235294118</v>
      </c>
      <c r="I725" s="277">
        <f t="shared" si="128"/>
        <v>0</v>
      </c>
      <c r="J725" s="359" t="s">
        <v>814</v>
      </c>
      <c r="K725" s="359"/>
      <c r="L725" s="359"/>
      <c r="M725" s="338"/>
      <c r="N725" s="89">
        <v>41300</v>
      </c>
      <c r="O725" s="359">
        <v>262</v>
      </c>
      <c r="P725" s="359" t="s">
        <v>46</v>
      </c>
      <c r="Q725" s="359"/>
      <c r="R725" s="359"/>
      <c r="S725" s="359">
        <v>800</v>
      </c>
      <c r="T725" s="359">
        <v>60</v>
      </c>
      <c r="U725" s="67">
        <v>400</v>
      </c>
      <c r="V725" s="359">
        <v>6</v>
      </c>
      <c r="W725" s="359">
        <v>26.5</v>
      </c>
      <c r="X725" s="359">
        <v>3.5</v>
      </c>
      <c r="Y725" s="67">
        <v>40</v>
      </c>
      <c r="Z725" s="359"/>
      <c r="AA725" s="210"/>
      <c r="AB725" s="248">
        <v>0.17760000000000001</v>
      </c>
      <c r="AC725" s="359">
        <v>0.64249999999999996</v>
      </c>
      <c r="AD725" s="359">
        <v>0.1799</v>
      </c>
      <c r="AE725" s="359" t="s">
        <v>47</v>
      </c>
      <c r="AF725" s="359">
        <v>3.07</v>
      </c>
      <c r="AG725" s="153"/>
      <c r="AH725" s="346">
        <v>488.95002631198702</v>
      </c>
      <c r="AI725" s="24"/>
      <c r="AJ725" s="24">
        <v>0</v>
      </c>
      <c r="AK725" s="24"/>
      <c r="AL725" s="24">
        <f>193/272</f>
        <v>0.7095588235294118</v>
      </c>
      <c r="AM725" s="359"/>
      <c r="AN725" s="24">
        <f t="shared" si="129"/>
        <v>150.10765807778</v>
      </c>
      <c r="AO725" s="54">
        <f t="shared" si="130"/>
        <v>0</v>
      </c>
      <c r="AP725" s="261">
        <f t="shared" si="131"/>
        <v>3.07</v>
      </c>
      <c r="AQ725" s="338"/>
      <c r="AR725" s="45"/>
      <c r="AS725" s="359"/>
      <c r="AT725" s="359"/>
    </row>
    <row r="726" spans="1:46" ht="12">
      <c r="A726" s="111" t="s">
        <v>974</v>
      </c>
      <c r="B726" s="359" t="str">
        <f t="shared" si="122"/>
        <v>MgO</v>
      </c>
      <c r="C726" s="141">
        <f t="shared" si="123"/>
        <v>5.23</v>
      </c>
      <c r="D726" s="277">
        <f t="shared" si="124"/>
        <v>185.64221944083999</v>
      </c>
      <c r="E726" s="20">
        <f t="shared" si="125"/>
        <v>13.38</v>
      </c>
      <c r="F726" s="20">
        <f t="shared" si="126"/>
        <v>0.73</v>
      </c>
      <c r="G726" s="277">
        <f t="shared" si="127"/>
        <v>97.090880767559327</v>
      </c>
      <c r="H726" s="3">
        <f t="shared" si="121"/>
        <v>0.640625</v>
      </c>
      <c r="I726" s="277">
        <f t="shared" si="128"/>
        <v>12990.759846699439</v>
      </c>
      <c r="J726" s="81" t="s">
        <v>814</v>
      </c>
      <c r="K726" s="81" t="s">
        <v>975</v>
      </c>
      <c r="L726" s="81"/>
      <c r="M726" s="52"/>
      <c r="N726" s="336">
        <v>41303</v>
      </c>
      <c r="O726" s="81">
        <v>265</v>
      </c>
      <c r="P726" s="81" t="s">
        <v>46</v>
      </c>
      <c r="Q726" s="81"/>
      <c r="R726" s="81"/>
      <c r="S726" s="81">
        <v>800</v>
      </c>
      <c r="T726" s="81">
        <v>90</v>
      </c>
      <c r="U726" s="256">
        <v>400</v>
      </c>
      <c r="V726" s="81">
        <v>6</v>
      </c>
      <c r="W726" s="81">
        <v>26.5</v>
      </c>
      <c r="X726" s="81">
        <v>3.5</v>
      </c>
      <c r="Y726" s="256">
        <v>40</v>
      </c>
      <c r="Z726" s="81"/>
      <c r="AA726" s="234"/>
      <c r="AB726" s="199">
        <v>0.22500000000000001</v>
      </c>
      <c r="AC726" s="81">
        <v>0.5333</v>
      </c>
      <c r="AD726" s="81">
        <v>0.24160000000000001</v>
      </c>
      <c r="AE726" s="81" t="s">
        <v>47</v>
      </c>
      <c r="AF726" s="81">
        <v>5.23</v>
      </c>
      <c r="AG726" s="95"/>
      <c r="AH726" s="97">
        <v>185.64221944083999</v>
      </c>
      <c r="AI726" s="20"/>
      <c r="AJ726" s="20">
        <v>13.38</v>
      </c>
      <c r="AK726" s="20">
        <v>0.73</v>
      </c>
      <c r="AL726" s="20">
        <f>61.5/96</f>
        <v>0.640625</v>
      </c>
      <c r="AM726" s="81"/>
      <c r="AN726" s="24">
        <f t="shared" si="129"/>
        <v>97.090880767559327</v>
      </c>
      <c r="AO726" s="189">
        <f t="shared" si="130"/>
        <v>12990.759846699439</v>
      </c>
      <c r="AP726" s="184">
        <f t="shared" si="131"/>
        <v>3.4866666666666668</v>
      </c>
      <c r="AQ726" s="52"/>
      <c r="AR726" s="357"/>
      <c r="AS726" s="81"/>
      <c r="AT726" s="81"/>
    </row>
    <row r="727" spans="1:46" ht="12">
      <c r="A727" s="111" t="s">
        <v>976</v>
      </c>
      <c r="B727" s="359" t="str">
        <f t="shared" si="122"/>
        <v>SiNx</v>
      </c>
      <c r="C727" s="141">
        <f t="shared" si="123"/>
        <v>0</v>
      </c>
      <c r="D727" s="277">
        <f t="shared" si="124"/>
        <v>299.47185519601197</v>
      </c>
      <c r="E727" s="20">
        <f t="shared" si="125"/>
        <v>11</v>
      </c>
      <c r="F727" s="20">
        <f t="shared" si="126"/>
        <v>1.0680000000000001</v>
      </c>
      <c r="G727" s="277">
        <f t="shared" si="127"/>
        <v>0</v>
      </c>
      <c r="H727" s="3">
        <f t="shared" si="121"/>
        <v>0.71524390243902436</v>
      </c>
      <c r="I727" s="277">
        <f t="shared" si="128"/>
        <v>0</v>
      </c>
      <c r="J727" s="81" t="s">
        <v>814</v>
      </c>
      <c r="K727" s="81" t="s">
        <v>975</v>
      </c>
      <c r="L727" s="81"/>
      <c r="M727" s="52"/>
      <c r="N727" s="336">
        <v>41303</v>
      </c>
      <c r="O727" s="81">
        <v>265</v>
      </c>
      <c r="P727" s="81" t="s">
        <v>187</v>
      </c>
      <c r="Q727" s="81"/>
      <c r="R727" s="81"/>
      <c r="S727" s="81">
        <v>800</v>
      </c>
      <c r="T727" s="81">
        <v>90</v>
      </c>
      <c r="U727" s="256">
        <v>400</v>
      </c>
      <c r="V727" s="81">
        <v>6</v>
      </c>
      <c r="W727" s="81">
        <v>26.5</v>
      </c>
      <c r="X727" s="81">
        <v>3.5</v>
      </c>
      <c r="Y727" s="256">
        <v>40</v>
      </c>
      <c r="Z727" s="81"/>
      <c r="AA727" s="234"/>
      <c r="AB727" s="199"/>
      <c r="AC727" s="81"/>
      <c r="AD727" s="81"/>
      <c r="AE727" s="81"/>
      <c r="AF727" s="81"/>
      <c r="AG727" s="95"/>
      <c r="AH727" s="97">
        <v>299.47185519601197</v>
      </c>
      <c r="AI727" s="20"/>
      <c r="AJ727" s="20">
        <v>11</v>
      </c>
      <c r="AK727" s="20">
        <v>1.0680000000000001</v>
      </c>
      <c r="AL727" s="20">
        <f>117.3/164</f>
        <v>0.71524390243902436</v>
      </c>
      <c r="AM727" s="81"/>
      <c r="AN727" s="24">
        <f t="shared" si="129"/>
        <v>0</v>
      </c>
      <c r="AO727" s="189">
        <f t="shared" si="130"/>
        <v>0</v>
      </c>
      <c r="AP727" s="184">
        <f t="shared" si="131"/>
        <v>0</v>
      </c>
      <c r="AQ727" s="52"/>
      <c r="AR727" s="357"/>
      <c r="AS727" s="81"/>
      <c r="AT727" s="81"/>
    </row>
    <row r="728" spans="1:46" ht="12">
      <c r="A728" s="111" t="s">
        <v>977</v>
      </c>
      <c r="B728" s="359" t="str">
        <f t="shared" si="122"/>
        <v>MgO</v>
      </c>
      <c r="C728" s="141">
        <f t="shared" si="123"/>
        <v>5.42</v>
      </c>
      <c r="D728" s="277">
        <f t="shared" si="124"/>
        <v>222.93123805029299</v>
      </c>
      <c r="E728" s="20">
        <f t="shared" si="125"/>
        <v>9.5</v>
      </c>
      <c r="F728" s="20">
        <f t="shared" si="126"/>
        <v>0.75</v>
      </c>
      <c r="G728" s="277">
        <f t="shared" si="127"/>
        <v>120.8287310232588</v>
      </c>
      <c r="H728" s="3">
        <f t="shared" si="121"/>
        <v>0.65045045045045047</v>
      </c>
      <c r="I728" s="277">
        <f t="shared" si="128"/>
        <v>11478.729447209585</v>
      </c>
      <c r="J728" s="81" t="s">
        <v>814</v>
      </c>
      <c r="K728" s="81" t="s">
        <v>975</v>
      </c>
      <c r="L728" s="81"/>
      <c r="M728" s="52"/>
      <c r="N728" s="336">
        <v>41303</v>
      </c>
      <c r="O728" s="81">
        <v>265</v>
      </c>
      <c r="P728" s="81" t="s">
        <v>46</v>
      </c>
      <c r="Q728" s="81"/>
      <c r="R728" s="81"/>
      <c r="S728" s="81">
        <v>800</v>
      </c>
      <c r="T728" s="81">
        <v>90</v>
      </c>
      <c r="U728" s="256">
        <v>400</v>
      </c>
      <c r="V728" s="81">
        <v>6</v>
      </c>
      <c r="W728" s="81">
        <v>26.5</v>
      </c>
      <c r="X728" s="81">
        <v>3.5</v>
      </c>
      <c r="Y728" s="256">
        <v>40</v>
      </c>
      <c r="Z728" s="81"/>
      <c r="AA728" s="234"/>
      <c r="AB728" s="199">
        <v>0.21909999999999999</v>
      </c>
      <c r="AC728" s="81">
        <v>0.52490000000000003</v>
      </c>
      <c r="AD728" s="81">
        <v>0.25600000000000001</v>
      </c>
      <c r="AE728" s="81" t="s">
        <v>47</v>
      </c>
      <c r="AF728" s="81">
        <v>5.42</v>
      </c>
      <c r="AG728" s="95"/>
      <c r="AH728" s="97">
        <v>222.93123805029299</v>
      </c>
      <c r="AI728" s="20"/>
      <c r="AJ728" s="20">
        <v>9.5</v>
      </c>
      <c r="AK728" s="20">
        <v>0.75</v>
      </c>
      <c r="AL728" s="20">
        <f>72.2/111</f>
        <v>0.65045045045045047</v>
      </c>
      <c r="AM728" s="81"/>
      <c r="AN728" s="24">
        <f t="shared" si="129"/>
        <v>120.8287310232588</v>
      </c>
      <c r="AO728" s="189">
        <f t="shared" si="130"/>
        <v>11478.729447209585</v>
      </c>
      <c r="AP728" s="184">
        <f t="shared" si="131"/>
        <v>3.6133333333333333</v>
      </c>
      <c r="AQ728" s="52"/>
      <c r="AR728" s="357"/>
      <c r="AS728" s="81"/>
      <c r="AT728" s="81"/>
    </row>
    <row r="729" spans="1:46" ht="12">
      <c r="A729" s="111" t="s">
        <v>978</v>
      </c>
      <c r="B729" s="359" t="str">
        <f t="shared" si="122"/>
        <v>MgO</v>
      </c>
      <c r="C729" s="141">
        <f t="shared" si="123"/>
        <v>5.26</v>
      </c>
      <c r="D729" s="277">
        <f t="shared" si="124"/>
        <v>199.469487107025</v>
      </c>
      <c r="E729" s="20">
        <f t="shared" si="125"/>
        <v>9.5</v>
      </c>
      <c r="F729" s="20">
        <f t="shared" si="126"/>
        <v>1.2599999999999998</v>
      </c>
      <c r="G729" s="277">
        <f t="shared" si="127"/>
        <v>104.92095021829513</v>
      </c>
      <c r="H729" s="3">
        <f t="shared" si="121"/>
        <v>0.63365384615384623</v>
      </c>
      <c r="I729" s="277">
        <f t="shared" si="128"/>
        <v>9967.4902707380388</v>
      </c>
      <c r="J729" s="81" t="s">
        <v>814</v>
      </c>
      <c r="K729" s="81" t="s">
        <v>975</v>
      </c>
      <c r="L729" s="81"/>
      <c r="M729" s="52"/>
      <c r="N729" s="336">
        <v>41303</v>
      </c>
      <c r="O729" s="81">
        <v>265</v>
      </c>
      <c r="P729" s="81" t="s">
        <v>46</v>
      </c>
      <c r="Q729" s="81"/>
      <c r="R729" s="81"/>
      <c r="S729" s="81">
        <v>800</v>
      </c>
      <c r="T729" s="81">
        <v>90</v>
      </c>
      <c r="U729" s="256">
        <v>400</v>
      </c>
      <c r="V729" s="81">
        <v>6</v>
      </c>
      <c r="W729" s="81">
        <v>26.5</v>
      </c>
      <c r="X729" s="81">
        <v>3.5</v>
      </c>
      <c r="Y729" s="256">
        <v>40</v>
      </c>
      <c r="Z729" s="81"/>
      <c r="AA729" s="234"/>
      <c r="AB729" s="199">
        <v>0.21060000000000001</v>
      </c>
      <c r="AC729" s="81">
        <v>0.53180000000000005</v>
      </c>
      <c r="AD729" s="81">
        <v>0.2576</v>
      </c>
      <c r="AE729" s="81" t="s">
        <v>47</v>
      </c>
      <c r="AF729" s="81">
        <v>5.26</v>
      </c>
      <c r="AG729" s="95"/>
      <c r="AH729" s="97">
        <v>199.469487107025</v>
      </c>
      <c r="AI729" s="20"/>
      <c r="AJ729" s="20">
        <v>9.5</v>
      </c>
      <c r="AK729" s="20">
        <f>9.86-8.6</f>
        <v>1.2599999999999998</v>
      </c>
      <c r="AL729" s="20">
        <f>65.9/104</f>
        <v>0.63365384615384623</v>
      </c>
      <c r="AM729" s="81"/>
      <c r="AN729" s="24">
        <f t="shared" si="129"/>
        <v>104.92095021829513</v>
      </c>
      <c r="AO729" s="189">
        <f t="shared" si="130"/>
        <v>9967.4902707380388</v>
      </c>
      <c r="AP729" s="184">
        <f t="shared" si="131"/>
        <v>3.5066666666666668</v>
      </c>
      <c r="AQ729" s="52"/>
      <c r="AR729" s="357"/>
      <c r="AS729" s="81"/>
      <c r="AT729" s="81"/>
    </row>
    <row r="730" spans="1:46" ht="12">
      <c r="A730" s="111" t="s">
        <v>979</v>
      </c>
      <c r="B730" s="359" t="str">
        <f t="shared" si="122"/>
        <v>MgO</v>
      </c>
      <c r="C730" s="141">
        <f t="shared" si="123"/>
        <v>5.03</v>
      </c>
      <c r="D730" s="277">
        <f t="shared" si="124"/>
        <v>248.89081799132299</v>
      </c>
      <c r="E730" s="20">
        <f t="shared" si="125"/>
        <v>12.9</v>
      </c>
      <c r="F730" s="20">
        <f t="shared" si="126"/>
        <v>1.2</v>
      </c>
      <c r="G730" s="277">
        <f t="shared" si="127"/>
        <v>125.19208144963548</v>
      </c>
      <c r="H730" s="3">
        <f t="shared" si="121"/>
        <v>0.6226277372262774</v>
      </c>
      <c r="I730" s="277">
        <f t="shared" si="128"/>
        <v>16149.778507002977</v>
      </c>
      <c r="J730" s="81" t="s">
        <v>814</v>
      </c>
      <c r="K730" s="81" t="s">
        <v>975</v>
      </c>
      <c r="L730" s="81"/>
      <c r="M730" s="52"/>
      <c r="N730" s="336">
        <v>41303</v>
      </c>
      <c r="O730" s="81">
        <v>266</v>
      </c>
      <c r="P730" s="81" t="s">
        <v>46</v>
      </c>
      <c r="Q730" s="81"/>
      <c r="R730" s="81"/>
      <c r="S730" s="81">
        <v>800</v>
      </c>
      <c r="T730" s="81">
        <v>90</v>
      </c>
      <c r="U730" s="256">
        <v>400</v>
      </c>
      <c r="V730" s="81">
        <v>8</v>
      </c>
      <c r="W730" s="81">
        <v>26.5</v>
      </c>
      <c r="X730" s="81">
        <v>2.5</v>
      </c>
      <c r="Y730" s="256">
        <v>40</v>
      </c>
      <c r="Z730" s="81"/>
      <c r="AA730" s="234"/>
      <c r="AB730" s="199">
        <v>0.21179999999999999</v>
      </c>
      <c r="AC730" s="81">
        <v>0.54200000000000004</v>
      </c>
      <c r="AD730" s="81">
        <v>0.24629999999999999</v>
      </c>
      <c r="AE730" s="81" t="s">
        <v>47</v>
      </c>
      <c r="AF730" s="81">
        <v>5.03</v>
      </c>
      <c r="AG730" s="95"/>
      <c r="AH730" s="97">
        <v>248.89081799132299</v>
      </c>
      <c r="AI730" s="20"/>
      <c r="AJ730" s="20">
        <v>12.9</v>
      </c>
      <c r="AK730" s="20">
        <v>1.2</v>
      </c>
      <c r="AL730" s="20">
        <f>85.3/137</f>
        <v>0.6226277372262774</v>
      </c>
      <c r="AM730" s="81"/>
      <c r="AN730" s="24">
        <f t="shared" si="129"/>
        <v>125.19208144963548</v>
      </c>
      <c r="AO730" s="189">
        <f t="shared" si="130"/>
        <v>16149.778507002977</v>
      </c>
      <c r="AP730" s="184">
        <f t="shared" si="131"/>
        <v>3.3533333333333335</v>
      </c>
      <c r="AQ730" s="52"/>
      <c r="AR730" s="357"/>
      <c r="AS730" s="81"/>
      <c r="AT730" s="81"/>
    </row>
    <row r="731" spans="1:46" ht="12">
      <c r="A731" s="111" t="s">
        <v>980</v>
      </c>
      <c r="B731" s="359" t="str">
        <f t="shared" si="122"/>
        <v>MgO</v>
      </c>
      <c r="C731" s="141">
        <f t="shared" si="123"/>
        <v>5.1100000000000003</v>
      </c>
      <c r="D731" s="277">
        <f t="shared" si="124"/>
        <v>243.98436817429001</v>
      </c>
      <c r="E731" s="20">
        <f t="shared" si="125"/>
        <v>10.72</v>
      </c>
      <c r="F731" s="20">
        <f t="shared" si="126"/>
        <v>0.68</v>
      </c>
      <c r="G731" s="277">
        <f t="shared" si="127"/>
        <v>124.6760121370622</v>
      </c>
      <c r="H731" s="3">
        <f t="shared" si="121"/>
        <v>0.6227272727272728</v>
      </c>
      <c r="I731" s="277">
        <f t="shared" si="128"/>
        <v>13365.268501093069</v>
      </c>
      <c r="J731" s="81" t="s">
        <v>814</v>
      </c>
      <c r="K731" s="81" t="s">
        <v>975</v>
      </c>
      <c r="L731" s="81"/>
      <c r="M731" s="52"/>
      <c r="N731" s="336">
        <v>41303</v>
      </c>
      <c r="O731" s="81">
        <v>266</v>
      </c>
      <c r="P731" s="81" t="s">
        <v>46</v>
      </c>
      <c r="Q731" s="81"/>
      <c r="R731" s="81"/>
      <c r="S731" s="81">
        <v>800</v>
      </c>
      <c r="T731" s="81">
        <v>90</v>
      </c>
      <c r="U731" s="256">
        <v>400</v>
      </c>
      <c r="V731" s="81">
        <v>8</v>
      </c>
      <c r="W731" s="81">
        <v>26.5</v>
      </c>
      <c r="X731" s="81">
        <v>2.5</v>
      </c>
      <c r="Y731" s="256">
        <v>40</v>
      </c>
      <c r="Z731" s="81"/>
      <c r="AA731" s="234"/>
      <c r="AB731" s="199">
        <v>0.2127</v>
      </c>
      <c r="AC731" s="81">
        <v>0.53839999999999999</v>
      </c>
      <c r="AD731" s="81">
        <v>0.24890000000000001</v>
      </c>
      <c r="AE731" s="81" t="s">
        <v>47</v>
      </c>
      <c r="AF731" s="81">
        <v>5.1100000000000003</v>
      </c>
      <c r="AG731" s="95"/>
      <c r="AH731" s="97">
        <v>243.98436817429001</v>
      </c>
      <c r="AI731" s="20"/>
      <c r="AJ731" s="20">
        <v>10.72</v>
      </c>
      <c r="AK731" s="20">
        <v>0.68</v>
      </c>
      <c r="AL731" s="20">
        <f>82.2/132</f>
        <v>0.6227272727272728</v>
      </c>
      <c r="AM731" s="81"/>
      <c r="AN731" s="24">
        <f t="shared" si="129"/>
        <v>124.6760121370622</v>
      </c>
      <c r="AO731" s="189">
        <f t="shared" si="130"/>
        <v>13365.268501093069</v>
      </c>
      <c r="AP731" s="184">
        <f t="shared" si="131"/>
        <v>3.4066666666666667</v>
      </c>
      <c r="AQ731" s="52"/>
      <c r="AR731" s="357"/>
      <c r="AS731" s="81"/>
      <c r="AT731" s="81"/>
    </row>
    <row r="732" spans="1:46" ht="12">
      <c r="A732" s="111" t="s">
        <v>981</v>
      </c>
      <c r="B732" s="359" t="str">
        <f t="shared" si="122"/>
        <v>SiNx</v>
      </c>
      <c r="C732" s="141">
        <f t="shared" si="123"/>
        <v>0</v>
      </c>
      <c r="D732" s="277">
        <f t="shared" si="124"/>
        <v>351.83705597053</v>
      </c>
      <c r="E732" s="20">
        <f t="shared" si="125"/>
        <v>11.32</v>
      </c>
      <c r="F732" s="20">
        <f t="shared" si="126"/>
        <v>1.19</v>
      </c>
      <c r="G732" s="277">
        <f t="shared" si="127"/>
        <v>0</v>
      </c>
      <c r="H732" s="3">
        <f t="shared" si="121"/>
        <v>0.73016759776536311</v>
      </c>
      <c r="I732" s="277">
        <f t="shared" si="128"/>
        <v>0</v>
      </c>
      <c r="J732" s="81" t="s">
        <v>814</v>
      </c>
      <c r="K732" s="81" t="s">
        <v>975</v>
      </c>
      <c r="L732" s="81"/>
      <c r="M732" s="52"/>
      <c r="N732" s="336">
        <v>41303</v>
      </c>
      <c r="O732" s="81">
        <v>266</v>
      </c>
      <c r="P732" s="81" t="s">
        <v>187</v>
      </c>
      <c r="Q732" s="81"/>
      <c r="R732" s="81"/>
      <c r="S732" s="81">
        <v>800</v>
      </c>
      <c r="T732" s="81">
        <v>90</v>
      </c>
      <c r="U732" s="256">
        <v>400</v>
      </c>
      <c r="V732" s="81">
        <v>8</v>
      </c>
      <c r="W732" s="81">
        <v>26.5</v>
      </c>
      <c r="X732" s="81">
        <v>2.5</v>
      </c>
      <c r="Y732" s="256">
        <v>40</v>
      </c>
      <c r="Z732" s="81"/>
      <c r="AA732" s="234"/>
      <c r="AB732" s="199"/>
      <c r="AC732" s="81"/>
      <c r="AD732" s="81"/>
      <c r="AE732" s="81"/>
      <c r="AF732" s="81"/>
      <c r="AG732" s="95"/>
      <c r="AH732" s="97">
        <v>351.83705597053</v>
      </c>
      <c r="AI732" s="20"/>
      <c r="AJ732" s="20">
        <v>11.32</v>
      </c>
      <c r="AK732" s="20">
        <v>1.19</v>
      </c>
      <c r="AL732" s="20">
        <f>130.7/179</f>
        <v>0.73016759776536311</v>
      </c>
      <c r="AM732" s="81"/>
      <c r="AN732" s="24">
        <f t="shared" si="129"/>
        <v>0</v>
      </c>
      <c r="AO732" s="189">
        <f t="shared" si="130"/>
        <v>0</v>
      </c>
      <c r="AP732" s="184">
        <f t="shared" si="131"/>
        <v>0</v>
      </c>
      <c r="AQ732" s="52"/>
      <c r="AR732" s="357"/>
      <c r="AS732" s="81"/>
      <c r="AT732" s="81"/>
    </row>
    <row r="733" spans="1:46" ht="12">
      <c r="A733" s="111" t="s">
        <v>982</v>
      </c>
      <c r="B733" s="359" t="str">
        <f t="shared" si="122"/>
        <v>MgO</v>
      </c>
      <c r="C733" s="141">
        <f t="shared" si="123"/>
        <v>5.29</v>
      </c>
      <c r="D733" s="277">
        <f t="shared" si="124"/>
        <v>262.27204476505</v>
      </c>
      <c r="E733" s="20">
        <f t="shared" si="125"/>
        <v>9.68</v>
      </c>
      <c r="F733" s="20">
        <f t="shared" si="126"/>
        <v>0.76900000000000002</v>
      </c>
      <c r="G733" s="277">
        <f t="shared" si="127"/>
        <v>138.74191168071144</v>
      </c>
      <c r="H733" s="3">
        <f t="shared" si="121"/>
        <v>0.63698630136986301</v>
      </c>
      <c r="I733" s="277">
        <f t="shared" si="128"/>
        <v>13430.217050692869</v>
      </c>
      <c r="J733" s="81" t="s">
        <v>814</v>
      </c>
      <c r="K733" s="81" t="s">
        <v>975</v>
      </c>
      <c r="L733" s="81"/>
      <c r="M733" s="52"/>
      <c r="N733" s="336">
        <v>41303</v>
      </c>
      <c r="O733" s="81">
        <v>266</v>
      </c>
      <c r="P733" s="81" t="s">
        <v>46</v>
      </c>
      <c r="Q733" s="81"/>
      <c r="R733" s="81"/>
      <c r="S733" s="81">
        <v>800</v>
      </c>
      <c r="T733" s="81">
        <v>90</v>
      </c>
      <c r="U733" s="256">
        <v>400</v>
      </c>
      <c r="V733" s="81">
        <v>8</v>
      </c>
      <c r="W733" s="81">
        <v>26.5</v>
      </c>
      <c r="X733" s="81">
        <v>2.5</v>
      </c>
      <c r="Y733" s="256">
        <v>40</v>
      </c>
      <c r="Z733" s="81"/>
      <c r="AA733" s="234"/>
      <c r="AB733" s="199">
        <v>0.21779999999999999</v>
      </c>
      <c r="AC733" s="81">
        <v>0.53069999999999995</v>
      </c>
      <c r="AD733" s="81">
        <v>0.25159999999999999</v>
      </c>
      <c r="AE733" s="81" t="s">
        <v>47</v>
      </c>
      <c r="AF733" s="81">
        <v>5.29</v>
      </c>
      <c r="AG733" s="95"/>
      <c r="AH733" s="97">
        <v>262.27204476505</v>
      </c>
      <c r="AI733" s="20"/>
      <c r="AJ733" s="20">
        <v>9.68</v>
      </c>
      <c r="AK733" s="20">
        <v>0.76900000000000002</v>
      </c>
      <c r="AL733" s="20">
        <f>93/146</f>
        <v>0.63698630136986301</v>
      </c>
      <c r="AM733" s="81"/>
      <c r="AN733" s="24">
        <f t="shared" si="129"/>
        <v>138.74191168071144</v>
      </c>
      <c r="AO733" s="189">
        <f t="shared" si="130"/>
        <v>13430.217050692869</v>
      </c>
      <c r="AP733" s="184">
        <f t="shared" si="131"/>
        <v>3.5266666666666664</v>
      </c>
      <c r="AQ733" s="52"/>
      <c r="AR733" s="357"/>
      <c r="AS733" s="81"/>
      <c r="AT733" s="81"/>
    </row>
    <row r="734" spans="1:46" ht="12">
      <c r="A734" s="111" t="s">
        <v>983</v>
      </c>
      <c r="B734" s="359" t="str">
        <f t="shared" si="122"/>
        <v>MgO</v>
      </c>
      <c r="C734" s="141">
        <f t="shared" si="123"/>
        <v>4.1399999999999997</v>
      </c>
      <c r="D734" s="277">
        <f t="shared" si="124"/>
        <v>366.64561360012101</v>
      </c>
      <c r="E734" s="20">
        <f t="shared" si="125"/>
        <v>9.0990000000000002</v>
      </c>
      <c r="F734" s="20">
        <f t="shared" si="126"/>
        <v>0.93200000000000005</v>
      </c>
      <c r="G734" s="277">
        <f t="shared" si="127"/>
        <v>151.79128403045007</v>
      </c>
      <c r="H734" s="3">
        <f t="shared" si="121"/>
        <v>0</v>
      </c>
      <c r="I734" s="277">
        <f t="shared" si="128"/>
        <v>13811.488933930654</v>
      </c>
      <c r="J734" s="81" t="s">
        <v>814</v>
      </c>
      <c r="K734" s="81" t="s">
        <v>975</v>
      </c>
      <c r="L734" s="81"/>
      <c r="M734" s="52"/>
      <c r="N734" s="336">
        <v>41303</v>
      </c>
      <c r="O734" s="81">
        <v>267</v>
      </c>
      <c r="P734" s="81" t="s">
        <v>46</v>
      </c>
      <c r="Q734" s="81"/>
      <c r="R734" s="81"/>
      <c r="S734" s="81">
        <v>800</v>
      </c>
      <c r="T734" s="81">
        <v>90</v>
      </c>
      <c r="U734" s="256">
        <v>400</v>
      </c>
      <c r="V734" s="81">
        <v>8</v>
      </c>
      <c r="W734" s="81">
        <v>26.5</v>
      </c>
      <c r="X734" s="81">
        <v>4.5</v>
      </c>
      <c r="Y734" s="256">
        <v>40</v>
      </c>
      <c r="Z734" s="81"/>
      <c r="AA734" s="234"/>
      <c r="AB734" s="199">
        <v>0.1908</v>
      </c>
      <c r="AC734" s="81">
        <v>0.58460000000000001</v>
      </c>
      <c r="AD734" s="81">
        <v>0.22459999999999999</v>
      </c>
      <c r="AE734" s="81" t="s">
        <v>47</v>
      </c>
      <c r="AF734" s="81">
        <v>4.1399999999999997</v>
      </c>
      <c r="AG734" s="95"/>
      <c r="AH734" s="97">
        <v>366.64561360012101</v>
      </c>
      <c r="AI734" s="20"/>
      <c r="AJ734" s="20">
        <v>9.0990000000000002</v>
      </c>
      <c r="AK734" s="20">
        <v>0.93200000000000005</v>
      </c>
      <c r="AL734" s="20"/>
      <c r="AM734" s="81"/>
      <c r="AN734" s="24">
        <f t="shared" si="129"/>
        <v>151.79128403045007</v>
      </c>
      <c r="AO734" s="189">
        <f t="shared" si="130"/>
        <v>13811.488933930654</v>
      </c>
      <c r="AP734" s="184">
        <f t="shared" si="131"/>
        <v>2.76</v>
      </c>
      <c r="AQ734" s="52"/>
      <c r="AR734" s="357"/>
      <c r="AS734" s="81"/>
      <c r="AT734" s="81"/>
    </row>
    <row r="735" spans="1:46" ht="12">
      <c r="A735" s="111" t="s">
        <v>984</v>
      </c>
      <c r="B735" s="359" t="str">
        <f t="shared" si="122"/>
        <v>MgO</v>
      </c>
      <c r="C735" s="141">
        <f t="shared" si="123"/>
        <v>4.38</v>
      </c>
      <c r="D735" s="277">
        <f t="shared" si="124"/>
        <v>404.11304856655698</v>
      </c>
      <c r="E735" s="20">
        <f t="shared" si="125"/>
        <v>6.57</v>
      </c>
      <c r="F735" s="20">
        <f t="shared" si="126"/>
        <v>0.89</v>
      </c>
      <c r="G735" s="277">
        <f t="shared" si="127"/>
        <v>177.00151527215195</v>
      </c>
      <c r="H735" s="3">
        <f t="shared" si="121"/>
        <v>0.56928838951310856</v>
      </c>
      <c r="I735" s="277">
        <f t="shared" si="128"/>
        <v>11628.999553380385</v>
      </c>
      <c r="J735" s="81" t="s">
        <v>814</v>
      </c>
      <c r="K735" s="81" t="s">
        <v>975</v>
      </c>
      <c r="L735" s="81"/>
      <c r="M735" s="52"/>
      <c r="N735" s="336">
        <v>41303</v>
      </c>
      <c r="O735" s="81">
        <v>267</v>
      </c>
      <c r="P735" s="81" t="s">
        <v>46</v>
      </c>
      <c r="Q735" s="81"/>
      <c r="R735" s="81"/>
      <c r="S735" s="81">
        <v>800</v>
      </c>
      <c r="T735" s="81">
        <v>90</v>
      </c>
      <c r="U735" s="256">
        <v>400</v>
      </c>
      <c r="V735" s="81">
        <v>8</v>
      </c>
      <c r="W735" s="81">
        <v>26.5</v>
      </c>
      <c r="X735" s="81">
        <v>4.5</v>
      </c>
      <c r="Y735" s="256">
        <v>40</v>
      </c>
      <c r="Z735" s="81"/>
      <c r="AA735" s="234"/>
      <c r="AB735" s="199">
        <v>0.19159999999999999</v>
      </c>
      <c r="AC735" s="81">
        <v>0.57340000000000002</v>
      </c>
      <c r="AD735" s="81">
        <v>0.2349</v>
      </c>
      <c r="AE735" s="81" t="s">
        <v>47</v>
      </c>
      <c r="AF735" s="81">
        <v>4.38</v>
      </c>
      <c r="AG735" s="95"/>
      <c r="AH735" s="97">
        <v>404.11304856655698</v>
      </c>
      <c r="AI735" s="20"/>
      <c r="AJ735" s="20">
        <v>6.57</v>
      </c>
      <c r="AK735" s="20">
        <v>0.89</v>
      </c>
      <c r="AL735" s="20">
        <f>152/267</f>
        <v>0.56928838951310856</v>
      </c>
      <c r="AM735" s="81"/>
      <c r="AN735" s="24">
        <f t="shared" si="129"/>
        <v>177.00151527215195</v>
      </c>
      <c r="AO735" s="189">
        <f t="shared" si="130"/>
        <v>11628.999553380385</v>
      </c>
      <c r="AP735" s="184">
        <f t="shared" si="131"/>
        <v>2.92</v>
      </c>
      <c r="AQ735" s="52"/>
      <c r="AR735" s="357"/>
      <c r="AS735" s="81"/>
      <c r="AT735" s="81"/>
    </row>
    <row r="736" spans="1:46" ht="12">
      <c r="A736" s="111" t="s">
        <v>985</v>
      </c>
      <c r="B736" s="359" t="str">
        <f t="shared" si="122"/>
        <v>MgO</v>
      </c>
      <c r="C736" s="141">
        <f t="shared" si="123"/>
        <v>4.2</v>
      </c>
      <c r="D736" s="277">
        <f t="shared" si="124"/>
        <v>369.58948349034199</v>
      </c>
      <c r="E736" s="20">
        <f t="shared" si="125"/>
        <v>6.3</v>
      </c>
      <c r="F736" s="20">
        <f t="shared" si="126"/>
        <v>1.2589999999999999</v>
      </c>
      <c r="G736" s="277">
        <f t="shared" si="127"/>
        <v>155.22758306594363</v>
      </c>
      <c r="H736" s="3">
        <f t="shared" ref="H736:H799" si="132">AL736</f>
        <v>0.55000000000000004</v>
      </c>
      <c r="I736" s="277">
        <f t="shared" si="128"/>
        <v>9779.3377331544489</v>
      </c>
      <c r="J736" s="81" t="s">
        <v>814</v>
      </c>
      <c r="K736" s="81" t="s">
        <v>975</v>
      </c>
      <c r="L736" s="81"/>
      <c r="M736" s="52"/>
      <c r="N736" s="336">
        <v>41303</v>
      </c>
      <c r="O736" s="81">
        <v>267</v>
      </c>
      <c r="P736" s="81" t="s">
        <v>46</v>
      </c>
      <c r="Q736" s="81"/>
      <c r="R736" s="81"/>
      <c r="S736" s="81">
        <v>800</v>
      </c>
      <c r="T736" s="81">
        <v>90</v>
      </c>
      <c r="U736" s="256">
        <v>400</v>
      </c>
      <c r="V736" s="81">
        <v>8</v>
      </c>
      <c r="W736" s="81">
        <v>26.5</v>
      </c>
      <c r="X736" s="81">
        <v>4.5</v>
      </c>
      <c r="Y736" s="256">
        <v>40</v>
      </c>
      <c r="Z736" s="81"/>
      <c r="AA736" s="234"/>
      <c r="AB736" s="199">
        <v>0.192</v>
      </c>
      <c r="AC736" s="81">
        <v>0.58179999999999998</v>
      </c>
      <c r="AD736" s="81">
        <v>0.22620000000000001</v>
      </c>
      <c r="AE736" s="81" t="s">
        <v>47</v>
      </c>
      <c r="AF736" s="81">
        <v>4.2</v>
      </c>
      <c r="AG736" s="95"/>
      <c r="AH736" s="97">
        <v>369.58948349034199</v>
      </c>
      <c r="AI736" s="20"/>
      <c r="AJ736" s="20">
        <v>6.3</v>
      </c>
      <c r="AK736" s="20">
        <v>1.2589999999999999</v>
      </c>
      <c r="AL736" s="20">
        <f>137.5/250</f>
        <v>0.55000000000000004</v>
      </c>
      <c r="AM736" s="81"/>
      <c r="AN736" s="24">
        <f t="shared" si="129"/>
        <v>155.22758306594363</v>
      </c>
      <c r="AO736" s="189">
        <f t="shared" si="130"/>
        <v>9779.3377331544489</v>
      </c>
      <c r="AP736" s="184">
        <f t="shared" si="131"/>
        <v>2.8000000000000003</v>
      </c>
      <c r="AQ736" s="52"/>
      <c r="AR736" s="357"/>
      <c r="AS736" s="81"/>
      <c r="AT736" s="81"/>
    </row>
    <row r="737" spans="1:46" ht="12">
      <c r="A737" s="111" t="s">
        <v>986</v>
      </c>
      <c r="B737" s="359" t="str">
        <f t="shared" si="122"/>
        <v>SiNx</v>
      </c>
      <c r="C737" s="141">
        <f t="shared" si="123"/>
        <v>0</v>
      </c>
      <c r="D737" s="277">
        <f t="shared" si="124"/>
        <v>539.35264715969197</v>
      </c>
      <c r="E737" s="20">
        <f t="shared" si="125"/>
        <v>9.4</v>
      </c>
      <c r="F737" s="20">
        <f t="shared" si="126"/>
        <v>1.6180000000000001</v>
      </c>
      <c r="G737" s="277">
        <f t="shared" si="127"/>
        <v>0</v>
      </c>
      <c r="H737" s="3">
        <f t="shared" si="132"/>
        <v>0.66978193146417442</v>
      </c>
      <c r="I737" s="277">
        <f t="shared" si="128"/>
        <v>0</v>
      </c>
      <c r="J737" s="81" t="s">
        <v>814</v>
      </c>
      <c r="K737" s="81" t="s">
        <v>975</v>
      </c>
      <c r="L737" s="81"/>
      <c r="M737" s="52"/>
      <c r="N737" s="336">
        <v>41303</v>
      </c>
      <c r="O737" s="81">
        <v>267</v>
      </c>
      <c r="P737" s="81" t="s">
        <v>187</v>
      </c>
      <c r="Q737" s="81"/>
      <c r="R737" s="81"/>
      <c r="S737" s="81">
        <v>800</v>
      </c>
      <c r="T737" s="81">
        <v>90</v>
      </c>
      <c r="U737" s="256">
        <v>400</v>
      </c>
      <c r="V737" s="81">
        <v>8</v>
      </c>
      <c r="W737" s="81">
        <v>26.5</v>
      </c>
      <c r="X737" s="81">
        <v>4.5</v>
      </c>
      <c r="Y737" s="256">
        <v>40</v>
      </c>
      <c r="Z737" s="81"/>
      <c r="AA737" s="234"/>
      <c r="AB737" s="199"/>
      <c r="AC737" s="81"/>
      <c r="AD737" s="81"/>
      <c r="AE737" s="81"/>
      <c r="AF737" s="81"/>
      <c r="AG737" s="95"/>
      <c r="AH737" s="97">
        <v>539.35264715969197</v>
      </c>
      <c r="AI737" s="20"/>
      <c r="AJ737" s="20">
        <v>9.4</v>
      </c>
      <c r="AK737" s="20">
        <v>1.6180000000000001</v>
      </c>
      <c r="AL737" s="20">
        <f>215/321</f>
        <v>0.66978193146417442</v>
      </c>
      <c r="AM737" s="81"/>
      <c r="AN737" s="24">
        <f t="shared" si="129"/>
        <v>0</v>
      </c>
      <c r="AO737" s="189">
        <f t="shared" si="130"/>
        <v>0</v>
      </c>
      <c r="AP737" s="184">
        <f t="shared" si="131"/>
        <v>0</v>
      </c>
      <c r="AQ737" s="52"/>
      <c r="AR737" s="357"/>
      <c r="AS737" s="81"/>
      <c r="AT737" s="81"/>
    </row>
    <row r="738" spans="1:46" ht="12">
      <c r="A738" s="111" t="s">
        <v>987</v>
      </c>
      <c r="B738" s="359" t="str">
        <f t="shared" si="122"/>
        <v>SiNx</v>
      </c>
      <c r="C738" s="141">
        <f t="shared" si="123"/>
        <v>0</v>
      </c>
      <c r="D738" s="277">
        <f t="shared" si="124"/>
        <v>388.50161733054199</v>
      </c>
      <c r="E738" s="20">
        <f t="shared" si="125"/>
        <v>6.69</v>
      </c>
      <c r="F738" s="20">
        <f t="shared" si="126"/>
        <v>0.71599999999999997</v>
      </c>
      <c r="G738" s="277">
        <f t="shared" si="127"/>
        <v>0</v>
      </c>
      <c r="H738" s="3">
        <f t="shared" si="132"/>
        <v>0.83276836158192091</v>
      </c>
      <c r="I738" s="277">
        <f t="shared" si="128"/>
        <v>0</v>
      </c>
      <c r="J738" s="81" t="s">
        <v>814</v>
      </c>
      <c r="K738" s="81" t="s">
        <v>975</v>
      </c>
      <c r="L738" s="81"/>
      <c r="M738" s="52"/>
      <c r="N738" s="336">
        <v>41304</v>
      </c>
      <c r="O738" s="81">
        <v>268</v>
      </c>
      <c r="P738" s="81" t="s">
        <v>187</v>
      </c>
      <c r="Q738" s="81"/>
      <c r="R738" s="81"/>
      <c r="S738" s="81">
        <v>800</v>
      </c>
      <c r="T738" s="81">
        <v>90</v>
      </c>
      <c r="U738" s="256">
        <v>400</v>
      </c>
      <c r="V738" s="81">
        <v>4</v>
      </c>
      <c r="W738" s="81">
        <v>26.5</v>
      </c>
      <c r="X738" s="81">
        <v>4.5</v>
      </c>
      <c r="Y738" s="256">
        <v>40</v>
      </c>
      <c r="Z738" s="81"/>
      <c r="AA738" s="234"/>
      <c r="AB738" s="199"/>
      <c r="AC738" s="81"/>
      <c r="AD738" s="81"/>
      <c r="AE738" s="81"/>
      <c r="AF738" s="81"/>
      <c r="AG738" s="95"/>
      <c r="AH738" s="97">
        <v>388.50161733054199</v>
      </c>
      <c r="AI738" s="20"/>
      <c r="AJ738" s="20">
        <v>6.69</v>
      </c>
      <c r="AK738" s="20">
        <v>0.71599999999999997</v>
      </c>
      <c r="AL738" s="20">
        <f>147.4/177</f>
        <v>0.83276836158192091</v>
      </c>
      <c r="AM738" s="81"/>
      <c r="AN738" s="24">
        <f t="shared" si="129"/>
        <v>0</v>
      </c>
      <c r="AO738" s="189">
        <f t="shared" si="130"/>
        <v>0</v>
      </c>
      <c r="AP738" s="184">
        <f t="shared" si="131"/>
        <v>0</v>
      </c>
      <c r="AQ738" s="52"/>
      <c r="AR738" s="357"/>
      <c r="AS738" s="81"/>
      <c r="AT738" s="81"/>
    </row>
    <row r="739" spans="1:46" ht="12">
      <c r="A739" s="111" t="s">
        <v>988</v>
      </c>
      <c r="B739" s="359" t="str">
        <f t="shared" si="122"/>
        <v>MgO</v>
      </c>
      <c r="C739" s="141">
        <f t="shared" si="123"/>
        <v>8.4700000000000006</v>
      </c>
      <c r="D739" s="277">
        <f t="shared" si="124"/>
        <v>204.019104210092</v>
      </c>
      <c r="E739" s="20">
        <f t="shared" si="125"/>
        <v>0</v>
      </c>
      <c r="F739" s="20">
        <f t="shared" si="126"/>
        <v>0</v>
      </c>
      <c r="G739" s="277">
        <f t="shared" si="127"/>
        <v>172.80418126594793</v>
      </c>
      <c r="H739" s="3">
        <f t="shared" si="132"/>
        <v>0</v>
      </c>
      <c r="I739" s="277">
        <f t="shared" si="128"/>
        <v>0</v>
      </c>
      <c r="J739" s="81" t="s">
        <v>814</v>
      </c>
      <c r="K739" s="81" t="s">
        <v>975</v>
      </c>
      <c r="L739" s="81"/>
      <c r="M739" s="52"/>
      <c r="N739" s="336">
        <v>41304</v>
      </c>
      <c r="O739" s="81">
        <v>268</v>
      </c>
      <c r="P739" s="81" t="s">
        <v>46</v>
      </c>
      <c r="Q739" s="81"/>
      <c r="R739" s="81"/>
      <c r="S739" s="81">
        <v>800</v>
      </c>
      <c r="T739" s="81">
        <v>90</v>
      </c>
      <c r="U739" s="256">
        <v>400</v>
      </c>
      <c r="V739" s="81">
        <v>4</v>
      </c>
      <c r="W739" s="81">
        <v>26.5</v>
      </c>
      <c r="X739" s="81">
        <v>4.5</v>
      </c>
      <c r="Y739" s="256">
        <v>40</v>
      </c>
      <c r="Z739" s="81"/>
      <c r="AA739" s="234"/>
      <c r="AB739" s="199">
        <v>0.2263</v>
      </c>
      <c r="AC739" s="81">
        <v>0.4123</v>
      </c>
      <c r="AD739" s="81">
        <v>0.3614</v>
      </c>
      <c r="AE739" s="81" t="s">
        <v>47</v>
      </c>
      <c r="AF739" s="81">
        <v>8.4700000000000006</v>
      </c>
      <c r="AG739" s="95"/>
      <c r="AH739" s="97">
        <v>204.019104210092</v>
      </c>
      <c r="AI739" s="20"/>
      <c r="AJ739" s="20">
        <v>0</v>
      </c>
      <c r="AK739" s="20"/>
      <c r="AL739" s="20"/>
      <c r="AM739" s="81"/>
      <c r="AN739" s="24">
        <f t="shared" si="129"/>
        <v>172.80418126594793</v>
      </c>
      <c r="AO739" s="189">
        <f t="shared" si="130"/>
        <v>0</v>
      </c>
      <c r="AP739" s="184">
        <f t="shared" si="131"/>
        <v>5.6466666666666674</v>
      </c>
      <c r="AQ739" s="52"/>
      <c r="AR739" s="357"/>
      <c r="AS739" s="81"/>
      <c r="AT739" s="81"/>
    </row>
    <row r="740" spans="1:46" ht="12">
      <c r="A740" s="111" t="s">
        <v>989</v>
      </c>
      <c r="B740" s="359" t="str">
        <f t="shared" si="122"/>
        <v>MgO</v>
      </c>
      <c r="C740" s="141">
        <f t="shared" si="123"/>
        <v>6.37</v>
      </c>
      <c r="D740" s="277">
        <f t="shared" si="124"/>
        <v>159.861055856793</v>
      </c>
      <c r="E740" s="20">
        <f t="shared" si="125"/>
        <v>0</v>
      </c>
      <c r="F740" s="20">
        <f t="shared" si="126"/>
        <v>0</v>
      </c>
      <c r="G740" s="277">
        <f t="shared" si="127"/>
        <v>101.83149258077715</v>
      </c>
      <c r="H740" s="3">
        <f t="shared" si="132"/>
        <v>0</v>
      </c>
      <c r="I740" s="277">
        <f t="shared" si="128"/>
        <v>0</v>
      </c>
      <c r="J740" s="81" t="s">
        <v>814</v>
      </c>
      <c r="K740" s="81" t="s">
        <v>975</v>
      </c>
      <c r="L740" s="81"/>
      <c r="M740" s="52"/>
      <c r="N740" s="336">
        <v>41304</v>
      </c>
      <c r="O740" s="81">
        <v>268</v>
      </c>
      <c r="P740" s="81" t="s">
        <v>46</v>
      </c>
      <c r="Q740" s="81"/>
      <c r="R740" s="81"/>
      <c r="S740" s="81">
        <v>800</v>
      </c>
      <c r="T740" s="81">
        <v>90</v>
      </c>
      <c r="U740" s="256">
        <v>400</v>
      </c>
      <c r="V740" s="81">
        <v>4</v>
      </c>
      <c r="W740" s="81">
        <v>26.5</v>
      </c>
      <c r="X740" s="81">
        <v>4.5</v>
      </c>
      <c r="Y740" s="256">
        <v>40</v>
      </c>
      <c r="Z740" s="81"/>
      <c r="AA740" s="234"/>
      <c r="AB740" s="199">
        <v>0.23860000000000001</v>
      </c>
      <c r="AC740" s="81">
        <v>0.4859</v>
      </c>
      <c r="AD740" s="81">
        <v>0.27550000000000002</v>
      </c>
      <c r="AE740" s="81" t="s">
        <v>47</v>
      </c>
      <c r="AF740" s="81">
        <v>6.37</v>
      </c>
      <c r="AG740" s="95"/>
      <c r="AH740" s="97">
        <v>159.861055856793</v>
      </c>
      <c r="AI740" s="20"/>
      <c r="AJ740" s="20">
        <v>0</v>
      </c>
      <c r="AK740" s="20"/>
      <c r="AL740" s="20"/>
      <c r="AM740" s="81"/>
      <c r="AN740" s="24">
        <f t="shared" si="129"/>
        <v>101.83149258077715</v>
      </c>
      <c r="AO740" s="189">
        <f t="shared" si="130"/>
        <v>0</v>
      </c>
      <c r="AP740" s="184">
        <f t="shared" si="131"/>
        <v>4.2466666666666661</v>
      </c>
      <c r="AQ740" s="52"/>
      <c r="AR740" s="357"/>
      <c r="AS740" s="81"/>
      <c r="AT740" s="81"/>
    </row>
    <row r="741" spans="1:46" ht="12">
      <c r="A741" s="111" t="s">
        <v>990</v>
      </c>
      <c r="B741" s="359" t="str">
        <f t="shared" si="122"/>
        <v>MgO</v>
      </c>
      <c r="C741" s="141">
        <f t="shared" si="123"/>
        <v>6.43</v>
      </c>
      <c r="D741" s="277">
        <f t="shared" si="124"/>
        <v>196.25799268132999</v>
      </c>
      <c r="E741" s="20">
        <f t="shared" si="125"/>
        <v>0</v>
      </c>
      <c r="F741" s="20">
        <f t="shared" si="126"/>
        <v>0</v>
      </c>
      <c r="G741" s="277">
        <f t="shared" si="127"/>
        <v>126.19388929409517</v>
      </c>
      <c r="H741" s="3">
        <f t="shared" si="132"/>
        <v>0</v>
      </c>
      <c r="I741" s="277">
        <f t="shared" si="128"/>
        <v>0</v>
      </c>
      <c r="J741" s="81" t="s">
        <v>814</v>
      </c>
      <c r="K741" s="81" t="s">
        <v>975</v>
      </c>
      <c r="L741" s="81"/>
      <c r="M741" s="52"/>
      <c r="N741" s="336">
        <v>41304</v>
      </c>
      <c r="O741" s="81">
        <v>268</v>
      </c>
      <c r="P741" s="81" t="s">
        <v>46</v>
      </c>
      <c r="Q741" s="81"/>
      <c r="R741" s="81"/>
      <c r="S741" s="81">
        <v>800</v>
      </c>
      <c r="T741" s="81">
        <v>90</v>
      </c>
      <c r="U741" s="256">
        <v>400</v>
      </c>
      <c r="V741" s="81">
        <v>4</v>
      </c>
      <c r="W741" s="81">
        <v>26.5</v>
      </c>
      <c r="X741" s="81">
        <v>4.5</v>
      </c>
      <c r="Y741" s="256">
        <v>40</v>
      </c>
      <c r="Z741" s="81"/>
      <c r="AA741" s="234"/>
      <c r="AB741" s="199">
        <v>0.23269999999999999</v>
      </c>
      <c r="AC741" s="81">
        <v>0.48330000000000001</v>
      </c>
      <c r="AD741" s="81">
        <v>0.28399999999999997</v>
      </c>
      <c r="AE741" s="81" t="s">
        <v>47</v>
      </c>
      <c r="AF741" s="81">
        <v>6.43</v>
      </c>
      <c r="AG741" s="95"/>
      <c r="AH741" s="97">
        <v>196.25799268132999</v>
      </c>
      <c r="AI741" s="20"/>
      <c r="AJ741" s="20">
        <v>0</v>
      </c>
      <c r="AK741" s="20"/>
      <c r="AL741" s="20"/>
      <c r="AM741" s="81"/>
      <c r="AN741" s="24">
        <f t="shared" si="129"/>
        <v>126.19388929409517</v>
      </c>
      <c r="AO741" s="189">
        <f t="shared" si="130"/>
        <v>0</v>
      </c>
      <c r="AP741" s="184">
        <f t="shared" si="131"/>
        <v>4.2866666666666662</v>
      </c>
      <c r="AQ741" s="52"/>
      <c r="AR741" s="357"/>
      <c r="AS741" s="81"/>
      <c r="AT741" s="81"/>
    </row>
    <row r="742" spans="1:46" ht="12">
      <c r="A742" s="111" t="s">
        <v>991</v>
      </c>
      <c r="B742" s="359" t="str">
        <f t="shared" si="122"/>
        <v>MgO</v>
      </c>
      <c r="C742" s="141">
        <f t="shared" si="123"/>
        <v>10.57</v>
      </c>
      <c r="D742" s="277">
        <f t="shared" si="124"/>
        <v>214.813293807565</v>
      </c>
      <c r="E742" s="20">
        <f t="shared" si="125"/>
        <v>0</v>
      </c>
      <c r="F742" s="20">
        <f t="shared" si="126"/>
        <v>0</v>
      </c>
      <c r="G742" s="277">
        <f t="shared" si="127"/>
        <v>227.05765155459622</v>
      </c>
      <c r="H742" s="3">
        <f t="shared" si="132"/>
        <v>0</v>
      </c>
      <c r="I742" s="277">
        <f t="shared" si="128"/>
        <v>0</v>
      </c>
      <c r="J742" s="81" t="s">
        <v>814</v>
      </c>
      <c r="K742" s="81" t="s">
        <v>975</v>
      </c>
      <c r="L742" s="81"/>
      <c r="M742" s="52"/>
      <c r="N742" s="336">
        <v>41304</v>
      </c>
      <c r="O742" s="81">
        <v>269</v>
      </c>
      <c r="P742" s="81" t="s">
        <v>46</v>
      </c>
      <c r="Q742" s="81"/>
      <c r="R742" s="81"/>
      <c r="S742" s="81">
        <v>800</v>
      </c>
      <c r="T742" s="81">
        <v>90</v>
      </c>
      <c r="U742" s="256">
        <v>400</v>
      </c>
      <c r="V742" s="81">
        <v>4</v>
      </c>
      <c r="W742" s="81">
        <v>26.5</v>
      </c>
      <c r="X742" s="81">
        <v>2.5</v>
      </c>
      <c r="Y742" s="256">
        <v>40</v>
      </c>
      <c r="Z742" s="81"/>
      <c r="AA742" s="234"/>
      <c r="AB742" s="199">
        <v>0.29559999999999997</v>
      </c>
      <c r="AC742" s="81">
        <v>0.35289999999999999</v>
      </c>
      <c r="AD742" s="81">
        <v>0.35149999999999998</v>
      </c>
      <c r="AE742" s="81" t="s">
        <v>47</v>
      </c>
      <c r="AF742" s="81">
        <v>10.57</v>
      </c>
      <c r="AG742" s="95"/>
      <c r="AH742" s="97">
        <v>214.813293807565</v>
      </c>
      <c r="AI742" s="20"/>
      <c r="AJ742" s="20">
        <v>0</v>
      </c>
      <c r="AK742" s="20"/>
      <c r="AL742" s="20"/>
      <c r="AM742" s="81"/>
      <c r="AN742" s="24">
        <f t="shared" si="129"/>
        <v>227.05765155459622</v>
      </c>
      <c r="AO742" s="189">
        <f t="shared" si="130"/>
        <v>0</v>
      </c>
      <c r="AP742" s="184">
        <f t="shared" si="131"/>
        <v>7.0466666666666669</v>
      </c>
      <c r="AQ742" s="52"/>
      <c r="AR742" s="357"/>
      <c r="AS742" s="81"/>
      <c r="AT742" s="81"/>
    </row>
    <row r="743" spans="1:46" ht="12">
      <c r="A743" s="111" t="s">
        <v>992</v>
      </c>
      <c r="B743" s="359" t="str">
        <f t="shared" si="122"/>
        <v>SiNx</v>
      </c>
      <c r="C743" s="141">
        <f t="shared" si="123"/>
        <v>0</v>
      </c>
      <c r="D743" s="277">
        <f t="shared" si="124"/>
        <v>300.54235333791001</v>
      </c>
      <c r="E743" s="20">
        <f t="shared" si="125"/>
        <v>0</v>
      </c>
      <c r="F743" s="20">
        <f t="shared" si="126"/>
        <v>0</v>
      </c>
      <c r="G743" s="277">
        <f t="shared" si="127"/>
        <v>0</v>
      </c>
      <c r="H743" s="3">
        <f t="shared" si="132"/>
        <v>0</v>
      </c>
      <c r="I743" s="277">
        <f t="shared" si="128"/>
        <v>0</v>
      </c>
      <c r="J743" s="81" t="s">
        <v>814</v>
      </c>
      <c r="K743" s="81" t="s">
        <v>975</v>
      </c>
      <c r="L743" s="81"/>
      <c r="M743" s="52"/>
      <c r="N743" s="336">
        <v>41304</v>
      </c>
      <c r="O743" s="81">
        <v>269</v>
      </c>
      <c r="P743" s="81" t="s">
        <v>187</v>
      </c>
      <c r="Q743" s="81"/>
      <c r="R743" s="81"/>
      <c r="S743" s="81">
        <v>800</v>
      </c>
      <c r="T743" s="81">
        <v>90</v>
      </c>
      <c r="U743" s="256">
        <v>400</v>
      </c>
      <c r="V743" s="81">
        <v>4</v>
      </c>
      <c r="W743" s="81">
        <v>26.5</v>
      </c>
      <c r="X743" s="81">
        <v>2.5</v>
      </c>
      <c r="Y743" s="256">
        <v>40</v>
      </c>
      <c r="Z743" s="81"/>
      <c r="AA743" s="234"/>
      <c r="AB743" s="199"/>
      <c r="AC743" s="81"/>
      <c r="AD743" s="81"/>
      <c r="AE743" s="81"/>
      <c r="AF743" s="81"/>
      <c r="AG743" s="95"/>
      <c r="AH743" s="97">
        <v>300.54235333791001</v>
      </c>
      <c r="AI743" s="20"/>
      <c r="AJ743" s="20">
        <v>0</v>
      </c>
      <c r="AK743" s="20"/>
      <c r="AL743" s="20"/>
      <c r="AM743" s="81"/>
      <c r="AN743" s="24">
        <f t="shared" si="129"/>
        <v>0</v>
      </c>
      <c r="AO743" s="189">
        <f t="shared" si="130"/>
        <v>0</v>
      </c>
      <c r="AP743" s="184">
        <f t="shared" si="131"/>
        <v>0</v>
      </c>
      <c r="AQ743" s="52"/>
      <c r="AR743" s="357"/>
      <c r="AS743" s="81"/>
      <c r="AT743" s="81"/>
    </row>
    <row r="744" spans="1:46" ht="12">
      <c r="A744" s="111" t="s">
        <v>993</v>
      </c>
      <c r="B744" s="359" t="str">
        <f t="shared" si="122"/>
        <v>MgO</v>
      </c>
      <c r="C744" s="141">
        <f t="shared" si="123"/>
        <v>10.4</v>
      </c>
      <c r="D744" s="277">
        <f t="shared" si="124"/>
        <v>223.555695299733</v>
      </c>
      <c r="E744" s="20">
        <f t="shared" si="125"/>
        <v>0</v>
      </c>
      <c r="F744" s="20">
        <f t="shared" si="126"/>
        <v>0</v>
      </c>
      <c r="G744" s="277">
        <f t="shared" si="127"/>
        <v>232.49792311172232</v>
      </c>
      <c r="H744" s="3">
        <f t="shared" si="132"/>
        <v>0</v>
      </c>
      <c r="I744" s="277">
        <f t="shared" si="128"/>
        <v>0</v>
      </c>
      <c r="J744" s="81" t="s">
        <v>814</v>
      </c>
      <c r="K744" s="81" t="s">
        <v>975</v>
      </c>
      <c r="L744" s="81"/>
      <c r="M744" s="52"/>
      <c r="N744" s="336">
        <v>41304</v>
      </c>
      <c r="O744" s="81">
        <v>269</v>
      </c>
      <c r="P744" s="81" t="s">
        <v>46</v>
      </c>
      <c r="Q744" s="81"/>
      <c r="R744" s="81"/>
      <c r="S744" s="81">
        <v>800</v>
      </c>
      <c r="T744" s="81">
        <v>90</v>
      </c>
      <c r="U744" s="256">
        <v>400</v>
      </c>
      <c r="V744" s="81">
        <v>4</v>
      </c>
      <c r="W744" s="81">
        <v>26.5</v>
      </c>
      <c r="X744" s="81">
        <v>2.5</v>
      </c>
      <c r="Y744" s="256">
        <v>40</v>
      </c>
      <c r="Z744" s="81"/>
      <c r="AA744" s="234"/>
      <c r="AB744" s="199">
        <v>0.31919999999999998</v>
      </c>
      <c r="AC744" s="81">
        <v>0.35730000000000001</v>
      </c>
      <c r="AD744" s="81">
        <v>0.32350000000000001</v>
      </c>
      <c r="AE744" s="81" t="s">
        <v>47</v>
      </c>
      <c r="AF744" s="81">
        <v>10.4</v>
      </c>
      <c r="AG744" s="95"/>
      <c r="AH744" s="97">
        <v>223.555695299733</v>
      </c>
      <c r="AI744" s="20"/>
      <c r="AJ744" s="20">
        <v>0</v>
      </c>
      <c r="AK744" s="20"/>
      <c r="AL744" s="20"/>
      <c r="AM744" s="81"/>
      <c r="AN744" s="24">
        <f t="shared" si="129"/>
        <v>232.49792311172232</v>
      </c>
      <c r="AO744" s="189">
        <f t="shared" si="130"/>
        <v>0</v>
      </c>
      <c r="AP744" s="184">
        <f t="shared" si="131"/>
        <v>6.9333333333333336</v>
      </c>
      <c r="AQ744" s="52"/>
      <c r="AR744" s="357"/>
      <c r="AS744" s="81"/>
      <c r="AT744" s="81"/>
    </row>
    <row r="745" spans="1:46" ht="12">
      <c r="A745" s="111" t="s">
        <v>994</v>
      </c>
      <c r="B745" s="359" t="str">
        <f t="shared" si="122"/>
        <v>MgO</v>
      </c>
      <c r="C745" s="141">
        <f t="shared" si="123"/>
        <v>10.4</v>
      </c>
      <c r="D745" s="277">
        <f t="shared" si="124"/>
        <v>228.81897783073299</v>
      </c>
      <c r="E745" s="20">
        <f t="shared" si="125"/>
        <v>0</v>
      </c>
      <c r="F745" s="20">
        <f t="shared" si="126"/>
        <v>0</v>
      </c>
      <c r="G745" s="277">
        <f t="shared" si="127"/>
        <v>237.97173694396233</v>
      </c>
      <c r="H745" s="3">
        <f t="shared" si="132"/>
        <v>0</v>
      </c>
      <c r="I745" s="277">
        <f t="shared" si="128"/>
        <v>0</v>
      </c>
      <c r="J745" s="81" t="s">
        <v>814</v>
      </c>
      <c r="K745" s="81" t="s">
        <v>975</v>
      </c>
      <c r="L745" s="81"/>
      <c r="M745" s="52"/>
      <c r="N745" s="336">
        <v>41304</v>
      </c>
      <c r="O745" s="81">
        <v>269</v>
      </c>
      <c r="P745" s="81" t="s">
        <v>46</v>
      </c>
      <c r="Q745" s="81"/>
      <c r="R745" s="81"/>
      <c r="S745" s="81">
        <v>800</v>
      </c>
      <c r="T745" s="81">
        <v>90</v>
      </c>
      <c r="U745" s="256">
        <v>400</v>
      </c>
      <c r="V745" s="81">
        <v>4</v>
      </c>
      <c r="W745" s="81">
        <v>26.5</v>
      </c>
      <c r="X745" s="81">
        <v>2.5</v>
      </c>
      <c r="Y745" s="256">
        <v>40</v>
      </c>
      <c r="Z745" s="81"/>
      <c r="AA745" s="234"/>
      <c r="AB745" s="199">
        <v>0.32800000000000001</v>
      </c>
      <c r="AC745" s="81">
        <v>0.35730000000000001</v>
      </c>
      <c r="AD745" s="81">
        <v>0.31480000000000002</v>
      </c>
      <c r="AE745" s="81" t="s">
        <v>47</v>
      </c>
      <c r="AF745" s="81">
        <v>10.4</v>
      </c>
      <c r="AG745" s="95"/>
      <c r="AH745" s="97">
        <v>228.81897783073299</v>
      </c>
      <c r="AI745" s="20"/>
      <c r="AJ745" s="20">
        <v>0</v>
      </c>
      <c r="AK745" s="20"/>
      <c r="AL745" s="20"/>
      <c r="AM745" s="81"/>
      <c r="AN745" s="24">
        <f t="shared" si="129"/>
        <v>237.97173694396233</v>
      </c>
      <c r="AO745" s="189">
        <f t="shared" si="130"/>
        <v>0</v>
      </c>
      <c r="AP745" s="184">
        <f t="shared" si="131"/>
        <v>6.9333333333333336</v>
      </c>
      <c r="AQ745" s="52"/>
      <c r="AR745" s="357"/>
      <c r="AS745" s="81"/>
      <c r="AT745" s="81"/>
    </row>
    <row r="746" spans="1:46" ht="12">
      <c r="A746" s="111" t="s">
        <v>995</v>
      </c>
      <c r="B746" s="359" t="str">
        <f t="shared" si="122"/>
        <v>SiNx</v>
      </c>
      <c r="C746" s="141">
        <f t="shared" si="123"/>
        <v>0</v>
      </c>
      <c r="D746" s="277">
        <f t="shared" si="124"/>
        <v>573.43017134344996</v>
      </c>
      <c r="E746" s="20">
        <f t="shared" si="125"/>
        <v>10.086</v>
      </c>
      <c r="F746" s="20">
        <f t="shared" si="126"/>
        <v>1.887</v>
      </c>
      <c r="G746" s="277">
        <f t="shared" si="127"/>
        <v>0</v>
      </c>
      <c r="H746" s="3">
        <f t="shared" si="132"/>
        <v>0.72523364485981312</v>
      </c>
      <c r="I746" s="277">
        <f t="shared" si="128"/>
        <v>0</v>
      </c>
      <c r="J746" s="81" t="s">
        <v>814</v>
      </c>
      <c r="K746" s="81"/>
      <c r="L746" s="81"/>
      <c r="M746" s="52"/>
      <c r="N746" s="336">
        <v>41305</v>
      </c>
      <c r="O746" s="81">
        <v>270</v>
      </c>
      <c r="P746" s="81" t="s">
        <v>187</v>
      </c>
      <c r="Q746" s="81"/>
      <c r="R746" s="81"/>
      <c r="S746" s="81">
        <v>800</v>
      </c>
      <c r="T746" s="81">
        <v>66</v>
      </c>
      <c r="U746" s="256">
        <v>400</v>
      </c>
      <c r="V746" s="81">
        <v>8</v>
      </c>
      <c r="W746" s="81">
        <v>26.5</v>
      </c>
      <c r="X746" s="81">
        <v>2.5</v>
      </c>
      <c r="Y746" s="256">
        <v>40</v>
      </c>
      <c r="Z746" s="81"/>
      <c r="AA746" s="234"/>
      <c r="AB746" s="199"/>
      <c r="AC746" s="81"/>
      <c r="AD746" s="81"/>
      <c r="AE746" s="81"/>
      <c r="AF746" s="81"/>
      <c r="AG746" s="95"/>
      <c r="AH746" s="97">
        <v>573.43017134344996</v>
      </c>
      <c r="AI746" s="20"/>
      <c r="AJ746" s="20">
        <v>10.086</v>
      </c>
      <c r="AK746" s="20">
        <v>1.887</v>
      </c>
      <c r="AL746" s="20">
        <f>232.8/321</f>
        <v>0.72523364485981312</v>
      </c>
      <c r="AM746" s="81"/>
      <c r="AN746" s="24">
        <f t="shared" si="129"/>
        <v>0</v>
      </c>
      <c r="AO746" s="189">
        <f t="shared" si="130"/>
        <v>0</v>
      </c>
      <c r="AP746" s="184">
        <f t="shared" si="131"/>
        <v>0</v>
      </c>
      <c r="AQ746" s="52"/>
      <c r="AR746" s="357"/>
      <c r="AS746" s="81"/>
      <c r="AT746" s="81"/>
    </row>
    <row r="747" spans="1:46" ht="12">
      <c r="A747" s="200" t="s">
        <v>996</v>
      </c>
      <c r="B747" s="359" t="str">
        <f t="shared" si="122"/>
        <v>SiNx</v>
      </c>
      <c r="C747" s="141">
        <f t="shared" si="123"/>
        <v>0</v>
      </c>
      <c r="D747" s="277">
        <f t="shared" si="124"/>
        <v>586.18694086773701</v>
      </c>
      <c r="E747" s="20">
        <f t="shared" si="125"/>
        <v>10.06</v>
      </c>
      <c r="F747" s="20">
        <f t="shared" si="126"/>
        <v>1.89</v>
      </c>
      <c r="G747" s="277">
        <f t="shared" si="127"/>
        <v>0</v>
      </c>
      <c r="H747" s="3">
        <f t="shared" si="132"/>
        <v>0.71292307692307688</v>
      </c>
      <c r="I747" s="277">
        <f t="shared" si="128"/>
        <v>0</v>
      </c>
      <c r="J747" s="359" t="s">
        <v>814</v>
      </c>
      <c r="K747" s="359"/>
      <c r="L747" s="359"/>
      <c r="M747" s="338"/>
      <c r="N747" s="89">
        <v>41305</v>
      </c>
      <c r="O747" s="359">
        <v>270</v>
      </c>
      <c r="P747" s="359" t="s">
        <v>187</v>
      </c>
      <c r="Q747" s="359"/>
      <c r="R747" s="359"/>
      <c r="S747" s="359">
        <v>800</v>
      </c>
      <c r="T747" s="359">
        <v>66</v>
      </c>
      <c r="U747" s="67">
        <v>400</v>
      </c>
      <c r="V747" s="359">
        <v>8</v>
      </c>
      <c r="W747" s="359">
        <v>26.5</v>
      </c>
      <c r="X747" s="359">
        <v>2.5</v>
      </c>
      <c r="Y747" s="67">
        <v>40</v>
      </c>
      <c r="Z747" s="359"/>
      <c r="AA747" s="210"/>
      <c r="AB747" s="248"/>
      <c r="AC747" s="359"/>
      <c r="AD747" s="359"/>
      <c r="AE747" s="359"/>
      <c r="AF747" s="81"/>
      <c r="AG747" s="282"/>
      <c r="AH747" s="346">
        <v>586.18694086773701</v>
      </c>
      <c r="AI747" s="24"/>
      <c r="AJ747" s="24">
        <v>10.06</v>
      </c>
      <c r="AK747" s="24">
        <v>1.89</v>
      </c>
      <c r="AL747" s="24">
        <f>231.7/325</f>
        <v>0.71292307692307688</v>
      </c>
      <c r="AM747" s="359"/>
      <c r="AN747" s="24">
        <f t="shared" si="129"/>
        <v>0</v>
      </c>
      <c r="AO747" s="54">
        <f t="shared" si="130"/>
        <v>0</v>
      </c>
      <c r="AP747" s="261">
        <f t="shared" si="131"/>
        <v>0</v>
      </c>
      <c r="AQ747" s="338"/>
      <c r="AR747" s="45"/>
      <c r="AS747" s="359"/>
      <c r="AT747" s="359"/>
    </row>
    <row r="748" spans="1:46" ht="12">
      <c r="A748" s="200" t="s">
        <v>997</v>
      </c>
      <c r="B748" s="359" t="str">
        <f t="shared" si="122"/>
        <v>SiNx</v>
      </c>
      <c r="C748" s="141">
        <f t="shared" si="123"/>
        <v>0</v>
      </c>
      <c r="D748" s="277">
        <f t="shared" si="124"/>
        <v>576.28483305517898</v>
      </c>
      <c r="E748" s="20">
        <f t="shared" si="125"/>
        <v>9.9589999999999996</v>
      </c>
      <c r="F748" s="20">
        <f t="shared" si="126"/>
        <v>1.8</v>
      </c>
      <c r="G748" s="277">
        <f t="shared" si="127"/>
        <v>0</v>
      </c>
      <c r="H748" s="3">
        <f t="shared" si="132"/>
        <v>0.74096774193548387</v>
      </c>
      <c r="I748" s="277">
        <f t="shared" si="128"/>
        <v>0</v>
      </c>
      <c r="J748" s="359" t="s">
        <v>814</v>
      </c>
      <c r="K748" s="359"/>
      <c r="L748" s="359"/>
      <c r="M748" s="338"/>
      <c r="N748" s="89">
        <v>41305</v>
      </c>
      <c r="O748" s="359">
        <v>270</v>
      </c>
      <c r="P748" s="359" t="s">
        <v>187</v>
      </c>
      <c r="Q748" s="359"/>
      <c r="R748" s="359"/>
      <c r="S748" s="359">
        <v>800</v>
      </c>
      <c r="T748" s="359">
        <v>66</v>
      </c>
      <c r="U748" s="67">
        <v>400</v>
      </c>
      <c r="V748" s="359">
        <v>8</v>
      </c>
      <c r="W748" s="359">
        <v>26.5</v>
      </c>
      <c r="X748" s="359">
        <v>2.5</v>
      </c>
      <c r="Y748" s="67">
        <v>40</v>
      </c>
      <c r="Z748" s="359"/>
      <c r="AA748" s="210"/>
      <c r="AB748" s="248"/>
      <c r="AC748" s="359"/>
      <c r="AD748" s="359"/>
      <c r="AE748" s="359"/>
      <c r="AF748" s="81"/>
      <c r="AG748" s="282"/>
      <c r="AH748" s="346">
        <v>576.28483305517898</v>
      </c>
      <c r="AI748" s="24"/>
      <c r="AJ748" s="24">
        <v>9.9589999999999996</v>
      </c>
      <c r="AK748" s="24">
        <v>1.8</v>
      </c>
      <c r="AL748" s="24">
        <f>229.7/310</f>
        <v>0.74096774193548387</v>
      </c>
      <c r="AM748" s="359"/>
      <c r="AN748" s="24">
        <f t="shared" si="129"/>
        <v>0</v>
      </c>
      <c r="AO748" s="54">
        <f t="shared" si="130"/>
        <v>0</v>
      </c>
      <c r="AP748" s="261">
        <f t="shared" si="131"/>
        <v>0</v>
      </c>
      <c r="AQ748" s="338"/>
      <c r="AR748" s="45"/>
      <c r="AS748" s="359"/>
      <c r="AT748" s="359"/>
    </row>
    <row r="749" spans="1:46" ht="12">
      <c r="A749" s="200" t="s">
        <v>998</v>
      </c>
      <c r="B749" s="359" t="str">
        <f t="shared" si="122"/>
        <v>SiNx</v>
      </c>
      <c r="C749" s="141">
        <f t="shared" si="123"/>
        <v>0</v>
      </c>
      <c r="D749" s="277">
        <f t="shared" si="124"/>
        <v>582.70782190656803</v>
      </c>
      <c r="E749" s="20">
        <f t="shared" si="125"/>
        <v>9.9570000000000007</v>
      </c>
      <c r="F749" s="20">
        <f t="shared" si="126"/>
        <v>1.8080000000000001</v>
      </c>
      <c r="G749" s="277">
        <f t="shared" si="127"/>
        <v>0</v>
      </c>
      <c r="H749" s="3">
        <f t="shared" si="132"/>
        <v>0.70502958579881658</v>
      </c>
      <c r="I749" s="277">
        <f t="shared" si="128"/>
        <v>0</v>
      </c>
      <c r="J749" s="359" t="s">
        <v>814</v>
      </c>
      <c r="K749" s="359"/>
      <c r="L749" s="359"/>
      <c r="M749" s="338"/>
      <c r="N749" s="89">
        <v>41305</v>
      </c>
      <c r="O749" s="359">
        <v>270</v>
      </c>
      <c r="P749" s="359" t="s">
        <v>187</v>
      </c>
      <c r="Q749" s="359"/>
      <c r="R749" s="359"/>
      <c r="S749" s="359">
        <v>800</v>
      </c>
      <c r="T749" s="359">
        <v>66</v>
      </c>
      <c r="U749" s="67">
        <v>400</v>
      </c>
      <c r="V749" s="359">
        <v>8</v>
      </c>
      <c r="W749" s="359">
        <v>26.5</v>
      </c>
      <c r="X749" s="359">
        <v>2.5</v>
      </c>
      <c r="Y749" s="67">
        <v>40</v>
      </c>
      <c r="Z749" s="359"/>
      <c r="AA749" s="210"/>
      <c r="AB749" s="248"/>
      <c r="AC749" s="359"/>
      <c r="AD749" s="359"/>
      <c r="AE749" s="359"/>
      <c r="AF749" s="81"/>
      <c r="AG749" s="282"/>
      <c r="AH749" s="346">
        <v>582.70782190656803</v>
      </c>
      <c r="AI749" s="24"/>
      <c r="AJ749" s="24">
        <v>9.9570000000000007</v>
      </c>
      <c r="AK749" s="24">
        <v>1.8080000000000001</v>
      </c>
      <c r="AL749" s="24">
        <f>238.3/338</f>
        <v>0.70502958579881658</v>
      </c>
      <c r="AM749" s="359"/>
      <c r="AN749" s="24">
        <f t="shared" si="129"/>
        <v>0</v>
      </c>
      <c r="AO749" s="54">
        <f t="shared" si="130"/>
        <v>0</v>
      </c>
      <c r="AP749" s="261">
        <f t="shared" si="131"/>
        <v>0</v>
      </c>
      <c r="AQ749" s="338"/>
      <c r="AR749" s="45"/>
      <c r="AS749" s="359"/>
      <c r="AT749" s="359"/>
    </row>
    <row r="750" spans="1:46" ht="12">
      <c r="A750" s="200" t="s">
        <v>999</v>
      </c>
      <c r="B750" s="359" t="str">
        <f t="shared" si="122"/>
        <v>SiNx</v>
      </c>
      <c r="C750" s="141">
        <f t="shared" si="123"/>
        <v>0</v>
      </c>
      <c r="D750" s="277">
        <f t="shared" si="124"/>
        <v>484.04357649495398</v>
      </c>
      <c r="E750" s="20">
        <f t="shared" si="125"/>
        <v>10.6</v>
      </c>
      <c r="F750" s="20">
        <f t="shared" si="126"/>
        <v>1.6970000000000001</v>
      </c>
      <c r="G750" s="277">
        <f t="shared" si="127"/>
        <v>0</v>
      </c>
      <c r="H750" s="3">
        <f t="shared" si="132"/>
        <v>0.71634980988593155</v>
      </c>
      <c r="I750" s="277">
        <f t="shared" si="128"/>
        <v>0</v>
      </c>
      <c r="J750" s="359" t="s">
        <v>814</v>
      </c>
      <c r="K750" s="359"/>
      <c r="L750" s="359"/>
      <c r="M750" s="338"/>
      <c r="N750" s="89">
        <v>41309</v>
      </c>
      <c r="O750" s="359">
        <v>271</v>
      </c>
      <c r="P750" s="359" t="s">
        <v>187</v>
      </c>
      <c r="Q750" s="359"/>
      <c r="R750" s="359"/>
      <c r="S750" s="359">
        <v>800</v>
      </c>
      <c r="T750" s="359">
        <v>75</v>
      </c>
      <c r="U750" s="67">
        <v>400</v>
      </c>
      <c r="V750" s="359">
        <v>8</v>
      </c>
      <c r="W750" s="359">
        <v>26.5</v>
      </c>
      <c r="X750" s="359">
        <v>2.5</v>
      </c>
      <c r="Y750" s="67">
        <v>40</v>
      </c>
      <c r="Z750" s="359"/>
      <c r="AA750" s="210"/>
      <c r="AB750" s="248"/>
      <c r="AC750" s="359"/>
      <c r="AD750" s="359"/>
      <c r="AE750" s="359"/>
      <c r="AF750" s="81"/>
      <c r="AG750" s="282"/>
      <c r="AH750" s="346">
        <v>484.04357649495398</v>
      </c>
      <c r="AI750" s="24"/>
      <c r="AJ750" s="24">
        <v>10.6</v>
      </c>
      <c r="AK750" s="24">
        <v>1.6970000000000001</v>
      </c>
      <c r="AL750" s="24">
        <f>188.4/263</f>
        <v>0.71634980988593155</v>
      </c>
      <c r="AM750" s="359"/>
      <c r="AN750" s="24">
        <f t="shared" si="129"/>
        <v>0</v>
      </c>
      <c r="AO750" s="54">
        <f t="shared" si="130"/>
        <v>0</v>
      </c>
      <c r="AP750" s="261">
        <f t="shared" si="131"/>
        <v>0</v>
      </c>
      <c r="AQ750" s="338"/>
      <c r="AR750" s="45"/>
      <c r="AS750" s="359"/>
      <c r="AT750" s="359"/>
    </row>
    <row r="751" spans="1:46" ht="12">
      <c r="A751" s="200" t="s">
        <v>1000</v>
      </c>
      <c r="B751" s="359" t="str">
        <f t="shared" si="122"/>
        <v>SiNx</v>
      </c>
      <c r="C751" s="141">
        <f t="shared" si="123"/>
        <v>0</v>
      </c>
      <c r="D751" s="277">
        <f t="shared" si="124"/>
        <v>488.860818133495</v>
      </c>
      <c r="E751" s="20">
        <f t="shared" si="125"/>
        <v>10.6</v>
      </c>
      <c r="F751" s="20">
        <f t="shared" si="126"/>
        <v>1.6910000000000001</v>
      </c>
      <c r="G751" s="277">
        <f t="shared" si="127"/>
        <v>0</v>
      </c>
      <c r="H751" s="3">
        <f t="shared" si="132"/>
        <v>0.72075471698113203</v>
      </c>
      <c r="I751" s="277">
        <f t="shared" si="128"/>
        <v>0</v>
      </c>
      <c r="J751" s="359" t="s">
        <v>814</v>
      </c>
      <c r="K751" s="359"/>
      <c r="L751" s="359"/>
      <c r="M751" s="338"/>
      <c r="N751" s="89">
        <v>41309</v>
      </c>
      <c r="O751" s="359">
        <v>271</v>
      </c>
      <c r="P751" s="359" t="s">
        <v>187</v>
      </c>
      <c r="Q751" s="359"/>
      <c r="R751" s="359"/>
      <c r="S751" s="359">
        <v>800</v>
      </c>
      <c r="T751" s="359">
        <v>75</v>
      </c>
      <c r="U751" s="67">
        <v>400</v>
      </c>
      <c r="V751" s="359">
        <v>8</v>
      </c>
      <c r="W751" s="359">
        <v>26.5</v>
      </c>
      <c r="X751" s="359">
        <v>2.5</v>
      </c>
      <c r="Y751" s="67">
        <v>40</v>
      </c>
      <c r="Z751" s="359"/>
      <c r="AA751" s="210"/>
      <c r="AB751" s="248"/>
      <c r="AC751" s="359"/>
      <c r="AD751" s="359"/>
      <c r="AE751" s="359"/>
      <c r="AF751" s="81"/>
      <c r="AG751" s="282"/>
      <c r="AH751" s="346">
        <v>488.860818133495</v>
      </c>
      <c r="AI751" s="24"/>
      <c r="AJ751" s="24">
        <v>10.6</v>
      </c>
      <c r="AK751" s="24">
        <v>1.6910000000000001</v>
      </c>
      <c r="AL751" s="24">
        <f>191/265</f>
        <v>0.72075471698113203</v>
      </c>
      <c r="AM751" s="359"/>
      <c r="AN751" s="24">
        <f t="shared" si="129"/>
        <v>0</v>
      </c>
      <c r="AO751" s="54">
        <f t="shared" si="130"/>
        <v>0</v>
      </c>
      <c r="AP751" s="261">
        <f t="shared" si="131"/>
        <v>0</v>
      </c>
      <c r="AQ751" s="338"/>
      <c r="AR751" s="45"/>
      <c r="AS751" s="359"/>
      <c r="AT751" s="359"/>
    </row>
    <row r="752" spans="1:46" ht="12">
      <c r="A752" s="200" t="s">
        <v>1001</v>
      </c>
      <c r="B752" s="359" t="str">
        <f t="shared" si="122"/>
        <v>MgO</v>
      </c>
      <c r="C752" s="141">
        <f t="shared" si="123"/>
        <v>4.42</v>
      </c>
      <c r="D752" s="277">
        <f t="shared" si="124"/>
        <v>354.69171768225902</v>
      </c>
      <c r="E752" s="20">
        <f t="shared" si="125"/>
        <v>0</v>
      </c>
      <c r="F752" s="20">
        <f t="shared" si="126"/>
        <v>0</v>
      </c>
      <c r="G752" s="277">
        <f t="shared" si="127"/>
        <v>156.77373921555846</v>
      </c>
      <c r="H752" s="3">
        <f t="shared" si="132"/>
        <v>0</v>
      </c>
      <c r="I752" s="277">
        <f t="shared" si="128"/>
        <v>16539.629487241422</v>
      </c>
      <c r="J752" s="359" t="s">
        <v>814</v>
      </c>
      <c r="K752" s="359"/>
      <c r="L752" s="359"/>
      <c r="M752" s="338"/>
      <c r="N752" s="89">
        <v>41309</v>
      </c>
      <c r="O752" s="359">
        <v>271</v>
      </c>
      <c r="P752" s="359" t="s">
        <v>46</v>
      </c>
      <c r="Q752" s="359"/>
      <c r="R752" s="359"/>
      <c r="S752" s="359">
        <v>800</v>
      </c>
      <c r="T752" s="359">
        <v>75</v>
      </c>
      <c r="U752" s="67">
        <v>400</v>
      </c>
      <c r="V752" s="359">
        <v>8</v>
      </c>
      <c r="W752" s="359">
        <v>26.5</v>
      </c>
      <c r="X752" s="359">
        <v>2.5</v>
      </c>
      <c r="Y752" s="67">
        <v>40</v>
      </c>
      <c r="Z752" s="359"/>
      <c r="AA752" s="210"/>
      <c r="AB752" s="248">
        <v>0.21959999999999999</v>
      </c>
      <c r="AC752" s="359">
        <v>0.57099999999999995</v>
      </c>
      <c r="AD752" s="359">
        <v>0.2094</v>
      </c>
      <c r="AE752" s="359" t="s">
        <v>47</v>
      </c>
      <c r="AF752" s="81">
        <v>4.42</v>
      </c>
      <c r="AG752" s="282"/>
      <c r="AH752" s="346">
        <v>354.69171768225902</v>
      </c>
      <c r="AJ752" s="123"/>
      <c r="AL752" s="132"/>
      <c r="AM752" s="359"/>
      <c r="AN752" s="24">
        <f t="shared" si="129"/>
        <v>156.77373921555846</v>
      </c>
      <c r="AO752" s="54">
        <f>(AF752*AH752)*AJ753</f>
        <v>16539.629487241422</v>
      </c>
      <c r="AP752" s="261">
        <f t="shared" si="131"/>
        <v>3.536</v>
      </c>
      <c r="AQ752" s="338"/>
      <c r="AR752" s="45"/>
      <c r="AS752" s="359"/>
      <c r="AT752" s="359"/>
    </row>
    <row r="753" spans="1:46" ht="12">
      <c r="A753" s="200" t="s">
        <v>1002</v>
      </c>
      <c r="B753" s="359" t="str">
        <f t="shared" si="122"/>
        <v>SiNx</v>
      </c>
      <c r="C753" s="141">
        <f t="shared" si="123"/>
        <v>0</v>
      </c>
      <c r="D753" s="277">
        <f t="shared" si="124"/>
        <v>493.14281070108802</v>
      </c>
      <c r="E753" s="20">
        <f t="shared" si="125"/>
        <v>10.55</v>
      </c>
      <c r="F753" s="20">
        <f t="shared" si="126"/>
        <v>1.66</v>
      </c>
      <c r="G753" s="277">
        <f t="shared" si="127"/>
        <v>0</v>
      </c>
      <c r="H753" s="3">
        <f t="shared" si="132"/>
        <v>0.71222222222222231</v>
      </c>
      <c r="I753" s="277">
        <f t="shared" si="128"/>
        <v>0</v>
      </c>
      <c r="J753" s="359" t="s">
        <v>814</v>
      </c>
      <c r="K753" s="359"/>
      <c r="L753" s="359"/>
      <c r="M753" s="338"/>
      <c r="N753" s="89">
        <v>41309</v>
      </c>
      <c r="O753" s="359">
        <v>271</v>
      </c>
      <c r="P753" s="359" t="s">
        <v>187</v>
      </c>
      <c r="Q753" s="359"/>
      <c r="R753" s="359"/>
      <c r="S753" s="359">
        <v>800</v>
      </c>
      <c r="T753" s="359">
        <v>75</v>
      </c>
      <c r="U753" s="67">
        <v>400</v>
      </c>
      <c r="V753" s="359">
        <v>8</v>
      </c>
      <c r="W753" s="359">
        <v>26.5</v>
      </c>
      <c r="X753" s="359">
        <v>2.5</v>
      </c>
      <c r="Y753" s="67">
        <v>40</v>
      </c>
      <c r="Z753" s="359"/>
      <c r="AA753" s="210"/>
      <c r="AB753" s="248"/>
      <c r="AC753" s="359"/>
      <c r="AD753" s="359"/>
      <c r="AE753" s="359"/>
      <c r="AF753" s="359"/>
      <c r="AG753" s="153"/>
      <c r="AH753" s="346">
        <v>493.14281070108802</v>
      </c>
      <c r="AI753" s="24"/>
      <c r="AJ753" s="24">
        <v>10.55</v>
      </c>
      <c r="AK753" s="24">
        <v>1.66</v>
      </c>
      <c r="AL753" s="24">
        <f>192.3/270</f>
        <v>0.71222222222222231</v>
      </c>
      <c r="AM753" s="359"/>
      <c r="AN753" s="24">
        <f t="shared" si="129"/>
        <v>0</v>
      </c>
      <c r="AO753" s="54">
        <f t="shared" ref="AO753:AO784" si="133">(AF753*AH753)*AJ753</f>
        <v>0</v>
      </c>
      <c r="AP753" s="261">
        <f t="shared" si="131"/>
        <v>0</v>
      </c>
      <c r="AQ753" s="338"/>
      <c r="AR753" s="45"/>
      <c r="AS753" s="359"/>
      <c r="AT753" s="359"/>
    </row>
    <row r="754" spans="1:46" ht="12">
      <c r="A754" s="111" t="s">
        <v>1003</v>
      </c>
      <c r="B754" s="359" t="str">
        <f t="shared" si="122"/>
        <v>MgO</v>
      </c>
      <c r="C754" s="141">
        <f t="shared" si="123"/>
        <v>4.9400000000000004</v>
      </c>
      <c r="D754" s="277">
        <f t="shared" si="124"/>
        <v>195.90115996736401</v>
      </c>
      <c r="E754" s="20">
        <f t="shared" si="125"/>
        <v>13.4</v>
      </c>
      <c r="F754" s="20">
        <f t="shared" si="126"/>
        <v>0.68</v>
      </c>
      <c r="G754" s="277">
        <f t="shared" si="127"/>
        <v>96.775173023877826</v>
      </c>
      <c r="H754" s="3">
        <f t="shared" si="132"/>
        <v>0.92087912087912083</v>
      </c>
      <c r="I754" s="277">
        <f t="shared" si="128"/>
        <v>12967.873185199629</v>
      </c>
      <c r="J754" s="81" t="s">
        <v>814</v>
      </c>
      <c r="K754" s="81" t="s">
        <v>1004</v>
      </c>
      <c r="L754" s="81"/>
      <c r="M754" s="52" t="s">
        <v>1005</v>
      </c>
      <c r="N754" s="336">
        <v>41318</v>
      </c>
      <c r="O754" s="81">
        <v>274</v>
      </c>
      <c r="P754" s="81" t="s">
        <v>46</v>
      </c>
      <c r="Q754" s="81"/>
      <c r="R754" s="81"/>
      <c r="S754" s="81">
        <v>800</v>
      </c>
      <c r="T754" s="81">
        <v>90</v>
      </c>
      <c r="U754" s="256">
        <v>400</v>
      </c>
      <c r="V754" s="81">
        <v>8</v>
      </c>
      <c r="W754" s="81">
        <v>26.5</v>
      </c>
      <c r="X754" s="81">
        <v>2.5</v>
      </c>
      <c r="Y754" s="256">
        <v>40</v>
      </c>
      <c r="Z754" s="81"/>
      <c r="AA754" s="234"/>
      <c r="AB754" s="199">
        <v>0.1996</v>
      </c>
      <c r="AC754" s="81">
        <v>0.54620000000000002</v>
      </c>
      <c r="AD754" s="81">
        <v>0.25419999999999998</v>
      </c>
      <c r="AE754" s="81" t="s">
        <v>47</v>
      </c>
      <c r="AF754" s="81">
        <v>4.9400000000000004</v>
      </c>
      <c r="AG754" s="95"/>
      <c r="AH754" s="97">
        <v>195.90115996736401</v>
      </c>
      <c r="AI754" s="20"/>
      <c r="AJ754" s="20">
        <v>13.4</v>
      </c>
      <c r="AK754" s="20">
        <v>0.68</v>
      </c>
      <c r="AL754" s="20">
        <f>83.8/91</f>
        <v>0.92087912087912083</v>
      </c>
      <c r="AM754" s="81"/>
      <c r="AN754" s="24">
        <f t="shared" si="129"/>
        <v>96.775173023877826</v>
      </c>
      <c r="AO754" s="189">
        <f t="shared" si="133"/>
        <v>12967.873185199629</v>
      </c>
      <c r="AP754" s="184">
        <f t="shared" si="131"/>
        <v>3.2933333333333334</v>
      </c>
      <c r="AQ754" s="52"/>
      <c r="AR754" s="357"/>
      <c r="AS754" s="81"/>
      <c r="AT754" s="81"/>
    </row>
    <row r="755" spans="1:46" ht="24">
      <c r="A755" s="111" t="s">
        <v>1006</v>
      </c>
      <c r="B755" s="359" t="str">
        <f t="shared" si="122"/>
        <v>MgO</v>
      </c>
      <c r="C755" s="141">
        <f t="shared" si="123"/>
        <v>5.19</v>
      </c>
      <c r="D755" s="277">
        <f t="shared" si="124"/>
        <v>242.02178824747699</v>
      </c>
      <c r="E755" s="20">
        <f t="shared" si="125"/>
        <v>12.93</v>
      </c>
      <c r="F755" s="20">
        <f t="shared" si="126"/>
        <v>0.98</v>
      </c>
      <c r="G755" s="277">
        <f t="shared" si="127"/>
        <v>125.60930810044056</v>
      </c>
      <c r="H755" s="3">
        <f t="shared" si="132"/>
        <v>0.82799999999999996</v>
      </c>
      <c r="I755" s="277">
        <f t="shared" si="128"/>
        <v>16241.283537386964</v>
      </c>
      <c r="J755" s="81" t="s">
        <v>814</v>
      </c>
      <c r="K755" s="81" t="s">
        <v>1007</v>
      </c>
      <c r="L755" s="81"/>
      <c r="M755" s="52" t="s">
        <v>1005</v>
      </c>
      <c r="N755" s="336">
        <v>41318</v>
      </c>
      <c r="O755" s="81">
        <v>274</v>
      </c>
      <c r="P755" s="81" t="s">
        <v>46</v>
      </c>
      <c r="Q755" s="81"/>
      <c r="R755" s="81"/>
      <c r="S755" s="81">
        <v>800</v>
      </c>
      <c r="T755" s="81">
        <v>90</v>
      </c>
      <c r="U755" s="256">
        <v>400</v>
      </c>
      <c r="V755" s="81">
        <v>8</v>
      </c>
      <c r="W755" s="81">
        <v>26.5</v>
      </c>
      <c r="X755" s="81">
        <v>2.5</v>
      </c>
      <c r="Y755" s="256">
        <v>40</v>
      </c>
      <c r="Z755" s="81"/>
      <c r="AA755" s="234"/>
      <c r="AB755" s="199">
        <v>0.21890000000000001</v>
      </c>
      <c r="AC755" s="81">
        <v>0.53480000000000005</v>
      </c>
      <c r="AD755" s="81">
        <v>0.2462</v>
      </c>
      <c r="AE755" s="81" t="s">
        <v>47</v>
      </c>
      <c r="AF755" s="81">
        <v>5.19</v>
      </c>
      <c r="AG755" s="95"/>
      <c r="AH755" s="97">
        <v>242.02178824747699</v>
      </c>
      <c r="AI755" s="20"/>
      <c r="AJ755" s="20">
        <v>12.93</v>
      </c>
      <c r="AK755" s="20">
        <v>0.98</v>
      </c>
      <c r="AL755" s="20">
        <f>103.5/125</f>
        <v>0.82799999999999996</v>
      </c>
      <c r="AM755" s="81"/>
      <c r="AN755" s="24">
        <f t="shared" si="129"/>
        <v>125.60930810044056</v>
      </c>
      <c r="AO755" s="189">
        <f t="shared" si="133"/>
        <v>16241.283537386964</v>
      </c>
      <c r="AP755" s="184">
        <f t="shared" si="131"/>
        <v>3.4600000000000004</v>
      </c>
      <c r="AQ755" s="52"/>
      <c r="AR755" s="357"/>
      <c r="AS755" s="81"/>
      <c r="AT755" s="81"/>
    </row>
    <row r="756" spans="1:46" ht="12">
      <c r="A756" s="111" t="s">
        <v>1008</v>
      </c>
      <c r="B756" s="359" t="str">
        <f t="shared" si="122"/>
        <v>MgO</v>
      </c>
      <c r="C756" s="141">
        <f t="shared" si="123"/>
        <v>5.03</v>
      </c>
      <c r="D756" s="277">
        <f t="shared" si="124"/>
        <v>196.52561721680499</v>
      </c>
      <c r="E756" s="20">
        <f t="shared" si="125"/>
        <v>12.86</v>
      </c>
      <c r="F756" s="20">
        <f t="shared" si="126"/>
        <v>0.45100000000000001</v>
      </c>
      <c r="G756" s="277">
        <f t="shared" si="127"/>
        <v>98.852385460052915</v>
      </c>
      <c r="H756" s="3">
        <f t="shared" si="132"/>
        <v>0.91304347826086951</v>
      </c>
      <c r="I756" s="277">
        <f t="shared" si="128"/>
        <v>12712.416770162805</v>
      </c>
      <c r="J756" s="81" t="s">
        <v>814</v>
      </c>
      <c r="K756" s="81" t="s">
        <v>1004</v>
      </c>
      <c r="L756" s="81"/>
      <c r="M756" s="52" t="s">
        <v>582</v>
      </c>
      <c r="N756" s="336">
        <v>41318</v>
      </c>
      <c r="O756" s="81">
        <v>274</v>
      </c>
      <c r="P756" s="81" t="s">
        <v>46</v>
      </c>
      <c r="Q756" s="81"/>
      <c r="R756" s="81"/>
      <c r="S756" s="81">
        <v>800</v>
      </c>
      <c r="T756" s="81">
        <v>90</v>
      </c>
      <c r="U756" s="256">
        <v>400</v>
      </c>
      <c r="V756" s="81">
        <v>8</v>
      </c>
      <c r="W756" s="81">
        <v>26.5</v>
      </c>
      <c r="X756" s="81">
        <v>2.5</v>
      </c>
      <c r="Y756" s="256">
        <v>40</v>
      </c>
      <c r="Z756" s="81"/>
      <c r="AA756" s="234"/>
      <c r="AB756" s="199">
        <v>0.20430000000000001</v>
      </c>
      <c r="AC756" s="81">
        <v>0.54190000000000005</v>
      </c>
      <c r="AD756" s="81">
        <v>0.25380000000000003</v>
      </c>
      <c r="AE756" s="81" t="s">
        <v>47</v>
      </c>
      <c r="AF756" s="81">
        <v>5.03</v>
      </c>
      <c r="AG756" s="95"/>
      <c r="AH756" s="97">
        <v>196.52561721680499</v>
      </c>
      <c r="AI756" s="20"/>
      <c r="AJ756" s="20">
        <v>12.86</v>
      </c>
      <c r="AK756" s="20">
        <v>0.45100000000000001</v>
      </c>
      <c r="AL756" s="20">
        <f>84/92</f>
        <v>0.91304347826086951</v>
      </c>
      <c r="AM756" s="81"/>
      <c r="AN756" s="24">
        <f t="shared" si="129"/>
        <v>98.852385460052915</v>
      </c>
      <c r="AO756" s="189">
        <f t="shared" si="133"/>
        <v>12712.416770162805</v>
      </c>
      <c r="AP756" s="184">
        <f t="shared" si="131"/>
        <v>3.3533333333333335</v>
      </c>
      <c r="AQ756" s="52"/>
      <c r="AR756" s="357"/>
      <c r="AS756" s="81"/>
      <c r="AT756" s="81"/>
    </row>
    <row r="757" spans="1:46" ht="12">
      <c r="A757" s="111" t="s">
        <v>1009</v>
      </c>
      <c r="B757" s="359" t="str">
        <f t="shared" si="122"/>
        <v>MgO</v>
      </c>
      <c r="C757" s="141">
        <f t="shared" si="123"/>
        <v>5.12</v>
      </c>
      <c r="D757" s="277">
        <f t="shared" si="124"/>
        <v>244.787241780714</v>
      </c>
      <c r="E757" s="20">
        <f t="shared" si="125"/>
        <v>12.45</v>
      </c>
      <c r="F757" s="20">
        <f t="shared" si="126"/>
        <v>0.9</v>
      </c>
      <c r="G757" s="277">
        <f t="shared" si="127"/>
        <v>125.33106779172556</v>
      </c>
      <c r="H757" s="3">
        <f t="shared" si="132"/>
        <v>0.82153846153846155</v>
      </c>
      <c r="I757" s="277">
        <f t="shared" si="128"/>
        <v>15603.717940069831</v>
      </c>
      <c r="J757" s="81" t="s">
        <v>814</v>
      </c>
      <c r="K757" s="81" t="s">
        <v>1010</v>
      </c>
      <c r="L757" s="81"/>
      <c r="M757" s="52" t="s">
        <v>582</v>
      </c>
      <c r="N757" s="336">
        <v>41318</v>
      </c>
      <c r="O757" s="81">
        <v>274</v>
      </c>
      <c r="P757" s="81" t="s">
        <v>46</v>
      </c>
      <c r="Q757" s="81"/>
      <c r="R757" s="81"/>
      <c r="S757" s="81">
        <v>800</v>
      </c>
      <c r="T757" s="81">
        <v>90</v>
      </c>
      <c r="U757" s="256">
        <v>400</v>
      </c>
      <c r="V757" s="81">
        <v>8</v>
      </c>
      <c r="W757" s="81">
        <v>26.5</v>
      </c>
      <c r="X757" s="81">
        <v>2.5</v>
      </c>
      <c r="Y757" s="256">
        <v>40</v>
      </c>
      <c r="Z757" s="81"/>
      <c r="AA757" s="234"/>
      <c r="AB757" s="199">
        <v>0.20449999999999999</v>
      </c>
      <c r="AC757" s="81">
        <v>0.53810000000000002</v>
      </c>
      <c r="AD757" s="81">
        <v>0.25750000000000001</v>
      </c>
      <c r="AE757" s="81" t="s">
        <v>47</v>
      </c>
      <c r="AF757" s="81">
        <v>5.12</v>
      </c>
      <c r="AG757" s="95"/>
      <c r="AH757" s="97">
        <v>244.787241780714</v>
      </c>
      <c r="AI757" s="20"/>
      <c r="AJ757" s="20">
        <v>12.45</v>
      </c>
      <c r="AK757" s="20">
        <v>0.9</v>
      </c>
      <c r="AL757" s="20">
        <f>106.8/130</f>
        <v>0.82153846153846155</v>
      </c>
      <c r="AM757" s="81"/>
      <c r="AN757" s="24">
        <f t="shared" si="129"/>
        <v>125.33106779172556</v>
      </c>
      <c r="AO757" s="189">
        <f t="shared" si="133"/>
        <v>15603.717940069831</v>
      </c>
      <c r="AP757" s="184">
        <f t="shared" si="131"/>
        <v>3.4133333333333336</v>
      </c>
      <c r="AQ757" s="52"/>
      <c r="AR757" s="357"/>
      <c r="AS757" s="81"/>
      <c r="AT757" s="81"/>
    </row>
    <row r="758" spans="1:46" ht="12">
      <c r="A758" s="111" t="s">
        <v>1011</v>
      </c>
      <c r="B758" s="359" t="str">
        <f t="shared" si="122"/>
        <v>MgO</v>
      </c>
      <c r="C758" s="141">
        <f t="shared" si="123"/>
        <v>5.19</v>
      </c>
      <c r="D758" s="277">
        <f t="shared" si="124"/>
        <v>221.59311537292001</v>
      </c>
      <c r="E758" s="20">
        <f t="shared" si="125"/>
        <v>12.38</v>
      </c>
      <c r="F758" s="20">
        <f t="shared" si="126"/>
        <v>1</v>
      </c>
      <c r="G758" s="277">
        <f t="shared" si="127"/>
        <v>115.00682687854548</v>
      </c>
      <c r="H758" s="3">
        <f t="shared" si="132"/>
        <v>0.83982300884955752</v>
      </c>
      <c r="I758" s="277">
        <f t="shared" si="128"/>
        <v>14237.845167563932</v>
      </c>
      <c r="J758" s="81" t="s">
        <v>814</v>
      </c>
      <c r="K758" s="81" t="s">
        <v>1004</v>
      </c>
      <c r="L758" s="81"/>
      <c r="M758" s="52" t="s">
        <v>1012</v>
      </c>
      <c r="N758" s="336">
        <v>41318</v>
      </c>
      <c r="O758" s="81">
        <v>275</v>
      </c>
      <c r="P758" s="81" t="s">
        <v>46</v>
      </c>
      <c r="Q758" s="81"/>
      <c r="R758" s="81"/>
      <c r="S758" s="81">
        <v>800</v>
      </c>
      <c r="T758" s="81">
        <v>90</v>
      </c>
      <c r="U758" s="256">
        <v>400</v>
      </c>
      <c r="V758" s="81">
        <v>8</v>
      </c>
      <c r="W758" s="81">
        <v>26.5</v>
      </c>
      <c r="X758" s="81">
        <v>2.5</v>
      </c>
      <c r="Y758" s="256">
        <v>40</v>
      </c>
      <c r="Z758" s="81"/>
      <c r="AA758" s="234"/>
      <c r="AB758" s="199">
        <v>0.2122</v>
      </c>
      <c r="AC758" s="81">
        <v>0.53490000000000004</v>
      </c>
      <c r="AD758" s="81">
        <v>0.25290000000000001</v>
      </c>
      <c r="AE758" s="81" t="s">
        <v>47</v>
      </c>
      <c r="AF758" s="81">
        <v>5.19</v>
      </c>
      <c r="AG758" s="95"/>
      <c r="AH758" s="97">
        <v>221.59311537292001</v>
      </c>
      <c r="AI758" s="20"/>
      <c r="AJ758" s="20">
        <v>12.38</v>
      </c>
      <c r="AK758" s="20">
        <v>1</v>
      </c>
      <c r="AL758" s="20">
        <f>94.9/113</f>
        <v>0.83982300884955752</v>
      </c>
      <c r="AM758" s="81"/>
      <c r="AN758" s="24">
        <f t="shared" si="129"/>
        <v>115.00682687854548</v>
      </c>
      <c r="AO758" s="189">
        <f t="shared" si="133"/>
        <v>14237.845167563932</v>
      </c>
      <c r="AP758" s="184">
        <f t="shared" si="131"/>
        <v>3.4600000000000004</v>
      </c>
      <c r="AQ758" s="52"/>
      <c r="AR758" s="357"/>
      <c r="AS758" s="81"/>
      <c r="AT758" s="81"/>
    </row>
    <row r="759" spans="1:46" ht="12">
      <c r="A759" s="111" t="s">
        <v>1013</v>
      </c>
      <c r="B759" s="359" t="str">
        <f t="shared" si="122"/>
        <v>MgO</v>
      </c>
      <c r="C759" s="141">
        <f t="shared" si="123"/>
        <v>5.1100000000000003</v>
      </c>
      <c r="D759" s="277">
        <f t="shared" si="124"/>
        <v>230.24630868659699</v>
      </c>
      <c r="E759" s="20">
        <f t="shared" si="125"/>
        <v>13.13</v>
      </c>
      <c r="F759" s="20">
        <f t="shared" si="126"/>
        <v>1.7</v>
      </c>
      <c r="G759" s="277">
        <f t="shared" si="127"/>
        <v>117.65586373885108</v>
      </c>
      <c r="H759" s="3">
        <f t="shared" si="132"/>
        <v>0.83416666666666661</v>
      </c>
      <c r="I759" s="277">
        <f t="shared" si="128"/>
        <v>15448.214908911148</v>
      </c>
      <c r="J759" s="81" t="s">
        <v>814</v>
      </c>
      <c r="K759" s="81" t="s">
        <v>1010</v>
      </c>
      <c r="L759" s="81"/>
      <c r="M759" s="52" t="s">
        <v>582</v>
      </c>
      <c r="N759" s="336">
        <v>41318</v>
      </c>
      <c r="O759" s="81">
        <v>275</v>
      </c>
      <c r="P759" s="81" t="s">
        <v>46</v>
      </c>
      <c r="Q759" s="81"/>
      <c r="R759" s="81"/>
      <c r="S759" s="81">
        <v>800</v>
      </c>
      <c r="T759" s="81">
        <v>90</v>
      </c>
      <c r="U759" s="256">
        <v>400</v>
      </c>
      <c r="V759" s="81">
        <v>8</v>
      </c>
      <c r="W759" s="81">
        <v>26.5</v>
      </c>
      <c r="X759" s="81">
        <v>2.5</v>
      </c>
      <c r="Y759" s="256">
        <v>40</v>
      </c>
      <c r="Z759" s="81"/>
      <c r="AA759" s="234"/>
      <c r="AB759" s="199">
        <v>0.21060000000000001</v>
      </c>
      <c r="AC759" s="81">
        <v>0.53820000000000001</v>
      </c>
      <c r="AD759" s="81">
        <v>0.25119999999999998</v>
      </c>
      <c r="AE759" s="81" t="s">
        <v>47</v>
      </c>
      <c r="AF759" s="81">
        <v>5.1100000000000003</v>
      </c>
      <c r="AG759" s="95"/>
      <c r="AH759" s="97">
        <v>230.24630868659699</v>
      </c>
      <c r="AI759" s="20"/>
      <c r="AJ759" s="20">
        <v>13.13</v>
      </c>
      <c r="AK759" s="20">
        <v>1.7</v>
      </c>
      <c r="AL759" s="20">
        <f>100.1/120</f>
        <v>0.83416666666666661</v>
      </c>
      <c r="AM759" s="81"/>
      <c r="AN759" s="24">
        <f t="shared" si="129"/>
        <v>117.65586373885108</v>
      </c>
      <c r="AO759" s="189">
        <f t="shared" si="133"/>
        <v>15448.214908911148</v>
      </c>
      <c r="AP759" s="184">
        <f t="shared" si="131"/>
        <v>3.4066666666666667</v>
      </c>
      <c r="AQ759" s="52"/>
      <c r="AR759" s="357"/>
      <c r="AS759" s="81"/>
      <c r="AT759" s="81"/>
    </row>
    <row r="760" spans="1:46" ht="12">
      <c r="A760" s="111" t="s">
        <v>1014</v>
      </c>
      <c r="B760" s="359" t="str">
        <f t="shared" si="122"/>
        <v>MgO</v>
      </c>
      <c r="C760" s="141">
        <f t="shared" si="123"/>
        <v>5.36</v>
      </c>
      <c r="D760" s="277">
        <f t="shared" si="124"/>
        <v>234.349884897207</v>
      </c>
      <c r="E760" s="20">
        <f t="shared" si="125"/>
        <v>11.89</v>
      </c>
      <c r="F760" s="20">
        <f t="shared" si="126"/>
        <v>0.7</v>
      </c>
      <c r="G760" s="277">
        <f t="shared" si="127"/>
        <v>125.61153830490295</v>
      </c>
      <c r="H760" s="3">
        <f t="shared" si="132"/>
        <v>0.82583333333333331</v>
      </c>
      <c r="I760" s="277">
        <f t="shared" si="128"/>
        <v>14935.211904452963</v>
      </c>
      <c r="J760" s="81" t="s">
        <v>814</v>
      </c>
      <c r="K760" s="81" t="s">
        <v>1004</v>
      </c>
      <c r="L760" s="81"/>
      <c r="M760" s="52" t="s">
        <v>1012</v>
      </c>
      <c r="N760" s="336">
        <v>41318</v>
      </c>
      <c r="O760" s="81">
        <v>275</v>
      </c>
      <c r="P760" s="81" t="s">
        <v>46</v>
      </c>
      <c r="Q760" s="81"/>
      <c r="R760" s="81"/>
      <c r="S760" s="81">
        <v>800</v>
      </c>
      <c r="T760" s="81">
        <v>90</v>
      </c>
      <c r="U760" s="256">
        <v>400</v>
      </c>
      <c r="V760" s="81">
        <v>8</v>
      </c>
      <c r="W760" s="81">
        <v>26.5</v>
      </c>
      <c r="X760" s="81">
        <v>2.5</v>
      </c>
      <c r="Y760" s="256">
        <v>40</v>
      </c>
      <c r="Z760" s="81"/>
      <c r="AA760" s="234"/>
      <c r="AB760" s="199">
        <v>0.2203</v>
      </c>
      <c r="AC760" s="81">
        <v>0.52780000000000005</v>
      </c>
      <c r="AD760" s="81">
        <v>0.25190000000000001</v>
      </c>
      <c r="AE760" s="81" t="s">
        <v>47</v>
      </c>
      <c r="AF760" s="81">
        <v>5.36</v>
      </c>
      <c r="AG760" s="95"/>
      <c r="AH760" s="97">
        <v>234.349884897207</v>
      </c>
      <c r="AI760" s="20"/>
      <c r="AJ760" s="20">
        <v>11.89</v>
      </c>
      <c r="AK760" s="20">
        <v>0.7</v>
      </c>
      <c r="AL760" s="20">
        <f>99.1/120</f>
        <v>0.82583333333333331</v>
      </c>
      <c r="AM760" s="81"/>
      <c r="AN760" s="24">
        <f t="shared" si="129"/>
        <v>125.61153830490295</v>
      </c>
      <c r="AO760" s="189">
        <f t="shared" si="133"/>
        <v>14935.211904452963</v>
      </c>
      <c r="AP760" s="184">
        <f t="shared" si="131"/>
        <v>3.5733333333333333</v>
      </c>
      <c r="AQ760" s="52"/>
      <c r="AR760" s="357"/>
      <c r="AS760" s="81"/>
      <c r="AT760" s="81"/>
    </row>
    <row r="761" spans="1:46" ht="12">
      <c r="A761" s="111" t="s">
        <v>1015</v>
      </c>
      <c r="B761" s="359" t="str">
        <f t="shared" si="122"/>
        <v>MgO</v>
      </c>
      <c r="C761" s="141">
        <f t="shared" si="123"/>
        <v>4.9800000000000004</v>
      </c>
      <c r="D761" s="277">
        <f t="shared" si="124"/>
        <v>192.154416470721</v>
      </c>
      <c r="E761" s="20">
        <f t="shared" si="125"/>
        <v>13.66</v>
      </c>
      <c r="F761" s="20">
        <f t="shared" si="126"/>
        <v>0.6</v>
      </c>
      <c r="G761" s="277">
        <f t="shared" si="127"/>
        <v>95.692899402419073</v>
      </c>
      <c r="H761" s="3">
        <f t="shared" si="132"/>
        <v>0.88124999999999998</v>
      </c>
      <c r="I761" s="277">
        <f t="shared" si="128"/>
        <v>13071.650058370446</v>
      </c>
      <c r="J761" s="81" t="s">
        <v>814</v>
      </c>
      <c r="K761" s="81" t="s">
        <v>1010</v>
      </c>
      <c r="L761" s="81"/>
      <c r="M761" s="52" t="s">
        <v>582</v>
      </c>
      <c r="N761" s="336">
        <v>41318</v>
      </c>
      <c r="O761" s="81">
        <v>275</v>
      </c>
      <c r="P761" s="81" t="s">
        <v>46</v>
      </c>
      <c r="Q761" s="81"/>
      <c r="R761" s="81"/>
      <c r="S761" s="81">
        <v>800</v>
      </c>
      <c r="T761" s="81">
        <v>90</v>
      </c>
      <c r="U761" s="256">
        <v>400</v>
      </c>
      <c r="V761" s="81">
        <v>8</v>
      </c>
      <c r="W761" s="81">
        <v>26.5</v>
      </c>
      <c r="X761" s="81">
        <v>2.5</v>
      </c>
      <c r="Y761" s="256">
        <v>40</v>
      </c>
      <c r="Z761" s="81"/>
      <c r="AA761" s="234"/>
      <c r="AB761" s="199">
        <v>0.2218</v>
      </c>
      <c r="AC761" s="81">
        <v>0.54410000000000003</v>
      </c>
      <c r="AD761" s="81">
        <v>0.23419999999999999</v>
      </c>
      <c r="AE761" s="81" t="s">
        <v>47</v>
      </c>
      <c r="AF761" s="81">
        <v>4.9800000000000004</v>
      </c>
      <c r="AG761" s="95"/>
      <c r="AH761" s="97">
        <v>192.154416470721</v>
      </c>
      <c r="AI761" s="20"/>
      <c r="AJ761" s="20">
        <v>13.66</v>
      </c>
      <c r="AK761" s="20">
        <v>0.6</v>
      </c>
      <c r="AL761" s="20">
        <f>84.6/96</f>
        <v>0.88124999999999998</v>
      </c>
      <c r="AM761" s="81"/>
      <c r="AN761" s="24">
        <f t="shared" si="129"/>
        <v>95.692899402419073</v>
      </c>
      <c r="AO761" s="189">
        <f t="shared" si="133"/>
        <v>13071.650058370446</v>
      </c>
      <c r="AP761" s="184">
        <f t="shared" si="131"/>
        <v>3.3200000000000003</v>
      </c>
      <c r="AQ761" s="52"/>
      <c r="AR761" s="357"/>
      <c r="AS761" s="81"/>
      <c r="AT761" s="81"/>
    </row>
    <row r="762" spans="1:46" ht="12">
      <c r="A762" s="111" t="s">
        <v>1016</v>
      </c>
      <c r="B762" s="359" t="str">
        <f t="shared" si="122"/>
        <v>MgO</v>
      </c>
      <c r="C762" s="141">
        <f t="shared" si="123"/>
        <v>5.14</v>
      </c>
      <c r="D762" s="277">
        <f t="shared" si="124"/>
        <v>247.46348713545899</v>
      </c>
      <c r="E762" s="20">
        <f t="shared" si="125"/>
        <v>12.08</v>
      </c>
      <c r="F762" s="20">
        <f t="shared" si="126"/>
        <v>0.75</v>
      </c>
      <c r="G762" s="277">
        <f t="shared" si="127"/>
        <v>127.19623238762593</v>
      </c>
      <c r="H762" s="3">
        <f t="shared" si="132"/>
        <v>0.85916601101494883</v>
      </c>
      <c r="I762" s="277">
        <f t="shared" si="128"/>
        <v>15365.304872425211</v>
      </c>
      <c r="J762" s="81" t="s">
        <v>814</v>
      </c>
      <c r="K762" s="81" t="s">
        <v>1004</v>
      </c>
      <c r="L762" s="81"/>
      <c r="M762" s="52"/>
      <c r="N762" s="336">
        <v>41319</v>
      </c>
      <c r="O762" s="81">
        <v>276</v>
      </c>
      <c r="P762" s="81" t="s">
        <v>46</v>
      </c>
      <c r="Q762" s="81"/>
      <c r="R762" s="81"/>
      <c r="S762" s="81">
        <v>800</v>
      </c>
      <c r="T762" s="81">
        <v>90</v>
      </c>
      <c r="U762" s="256">
        <v>400</v>
      </c>
      <c r="V762" s="81">
        <v>8</v>
      </c>
      <c r="W762" s="81">
        <v>26.5</v>
      </c>
      <c r="X762" s="81">
        <v>2.5</v>
      </c>
      <c r="Y762" s="256">
        <v>40</v>
      </c>
      <c r="Z762" s="81"/>
      <c r="AA762" s="52"/>
      <c r="AB762" s="357">
        <v>0.2114</v>
      </c>
      <c r="AC762" s="81">
        <v>0.53710000000000002</v>
      </c>
      <c r="AD762" s="81">
        <v>0.25140000000000001</v>
      </c>
      <c r="AE762" s="81" t="s">
        <v>47</v>
      </c>
      <c r="AF762" s="81">
        <v>5.14</v>
      </c>
      <c r="AG762" s="95"/>
      <c r="AH762" s="97">
        <v>247.46348713545899</v>
      </c>
      <c r="AI762" s="20"/>
      <c r="AJ762" s="20">
        <v>12.08</v>
      </c>
      <c r="AK762" s="20">
        <v>0.75</v>
      </c>
      <c r="AL762" s="20">
        <f>(127.1/(86.8+22.4))^(-1)</f>
        <v>0.85916601101494883</v>
      </c>
      <c r="AM762" s="81"/>
      <c r="AN762" s="24">
        <f t="shared" si="129"/>
        <v>127.19623238762593</v>
      </c>
      <c r="AO762" s="189">
        <f t="shared" si="133"/>
        <v>15365.304872425211</v>
      </c>
      <c r="AP762" s="184">
        <f t="shared" si="131"/>
        <v>3.4266666666666663</v>
      </c>
      <c r="AQ762" s="52"/>
      <c r="AR762" s="357"/>
      <c r="AS762" s="81"/>
      <c r="AT762" s="81"/>
    </row>
    <row r="763" spans="1:46" ht="12">
      <c r="A763" s="111" t="s">
        <v>1017</v>
      </c>
      <c r="B763" s="359" t="str">
        <f t="shared" si="122"/>
        <v>MgO</v>
      </c>
      <c r="C763" s="141">
        <f t="shared" si="123"/>
        <v>5.18</v>
      </c>
      <c r="D763" s="277">
        <f t="shared" si="124"/>
        <v>241.57574735501899</v>
      </c>
      <c r="E763" s="20">
        <f t="shared" si="125"/>
        <v>12.9</v>
      </c>
      <c r="F763" s="20">
        <f t="shared" si="126"/>
        <v>1.33</v>
      </c>
      <c r="G763" s="277">
        <f t="shared" si="127"/>
        <v>125.13623712989984</v>
      </c>
      <c r="H763" s="3">
        <f t="shared" si="132"/>
        <v>0.84315286624203833</v>
      </c>
      <c r="I763" s="277">
        <f t="shared" si="128"/>
        <v>16142.57458975708</v>
      </c>
      <c r="J763" s="81" t="s">
        <v>814</v>
      </c>
      <c r="K763" s="81" t="s">
        <v>1010</v>
      </c>
      <c r="L763" s="81"/>
      <c r="M763" s="52" t="s">
        <v>582</v>
      </c>
      <c r="N763" s="336">
        <v>41319</v>
      </c>
      <c r="O763" s="81">
        <v>276</v>
      </c>
      <c r="P763" s="81" t="s">
        <v>46</v>
      </c>
      <c r="Q763" s="81"/>
      <c r="R763" s="81"/>
      <c r="S763" s="81">
        <v>800</v>
      </c>
      <c r="T763" s="81">
        <v>90</v>
      </c>
      <c r="U763" s="256">
        <v>400</v>
      </c>
      <c r="V763" s="81">
        <v>8</v>
      </c>
      <c r="W763" s="81">
        <v>26.5</v>
      </c>
      <c r="X763" s="81">
        <v>2.5</v>
      </c>
      <c r="Y763" s="256">
        <v>40</v>
      </c>
      <c r="Z763" s="81"/>
      <c r="AA763" s="234"/>
      <c r="AB763" s="199">
        <v>0.214</v>
      </c>
      <c r="AC763" s="81">
        <v>0.53549999999999998</v>
      </c>
      <c r="AD763" s="81">
        <v>0.2505</v>
      </c>
      <c r="AE763" s="81" t="s">
        <v>47</v>
      </c>
      <c r="AF763" s="81">
        <v>5.18</v>
      </c>
      <c r="AG763" s="95"/>
      <c r="AH763" s="97">
        <v>241.57574735501899</v>
      </c>
      <c r="AI763" s="20"/>
      <c r="AJ763" s="20">
        <v>12.9</v>
      </c>
      <c r="AK763" s="20">
        <v>1.33</v>
      </c>
      <c r="AL763" s="20">
        <f>(105.9/125.6)</f>
        <v>0.84315286624203833</v>
      </c>
      <c r="AM763" s="81"/>
      <c r="AN763" s="24">
        <f t="shared" si="129"/>
        <v>125.13623712989984</v>
      </c>
      <c r="AO763" s="189">
        <f t="shared" si="133"/>
        <v>16142.57458975708</v>
      </c>
      <c r="AP763" s="184">
        <f t="shared" si="131"/>
        <v>3.4533333333333331</v>
      </c>
      <c r="AQ763" s="52"/>
      <c r="AR763" s="357"/>
      <c r="AS763" s="81"/>
      <c r="AT763" s="81"/>
    </row>
    <row r="764" spans="1:46" ht="12">
      <c r="A764" s="111" t="s">
        <v>1018</v>
      </c>
      <c r="B764" s="359" t="str">
        <f t="shared" si="122"/>
        <v>MgO</v>
      </c>
      <c r="C764" s="141">
        <f t="shared" si="123"/>
        <v>5.28</v>
      </c>
      <c r="D764" s="277">
        <f t="shared" si="124"/>
        <v>240.505249213121</v>
      </c>
      <c r="E764" s="20">
        <f t="shared" si="125"/>
        <v>11.68</v>
      </c>
      <c r="F764" s="20">
        <f t="shared" si="126"/>
        <v>0.86</v>
      </c>
      <c r="G764" s="277">
        <f t="shared" si="127"/>
        <v>126.9867715845279</v>
      </c>
      <c r="H764" s="3">
        <f t="shared" si="132"/>
        <v>0.84809098294069873</v>
      </c>
      <c r="I764" s="277">
        <f t="shared" si="128"/>
        <v>14832.054921072859</v>
      </c>
      <c r="J764" s="81" t="s">
        <v>814</v>
      </c>
      <c r="K764" s="81" t="s">
        <v>1004</v>
      </c>
      <c r="L764" s="81"/>
      <c r="M764" s="52"/>
      <c r="N764" s="336">
        <v>41319</v>
      </c>
      <c r="O764" s="81">
        <v>276</v>
      </c>
      <c r="P764" s="81" t="s">
        <v>46</v>
      </c>
      <c r="Q764" s="81"/>
      <c r="R764" s="81"/>
      <c r="S764" s="81">
        <v>800</v>
      </c>
      <c r="T764" s="81">
        <v>90</v>
      </c>
      <c r="U764" s="256">
        <v>400</v>
      </c>
      <c r="V764" s="81">
        <v>8</v>
      </c>
      <c r="W764" s="81">
        <v>26.5</v>
      </c>
      <c r="X764" s="81">
        <v>2.5</v>
      </c>
      <c r="Y764" s="256">
        <v>40</v>
      </c>
      <c r="Z764" s="81"/>
      <c r="AA764" s="234"/>
      <c r="AB764" s="199">
        <v>0.21099999999999999</v>
      </c>
      <c r="AC764" s="81">
        <v>0.53120000000000001</v>
      </c>
      <c r="AD764" s="81">
        <v>0.25779999999999997</v>
      </c>
      <c r="AE764" s="81" t="s">
        <v>47</v>
      </c>
      <c r="AF764" s="81">
        <v>5.28</v>
      </c>
      <c r="AG764" s="95"/>
      <c r="AH764" s="97">
        <v>240.505249213121</v>
      </c>
      <c r="AI764" s="20"/>
      <c r="AJ764" s="20">
        <v>11.68</v>
      </c>
      <c r="AK764" s="20">
        <v>0.86</v>
      </c>
      <c r="AL764" s="20">
        <f>104.4/123.1</f>
        <v>0.84809098294069873</v>
      </c>
      <c r="AM764" s="81"/>
      <c r="AN764" s="24">
        <f t="shared" si="129"/>
        <v>126.9867715845279</v>
      </c>
      <c r="AO764" s="189">
        <f t="shared" si="133"/>
        <v>14832.054921072859</v>
      </c>
      <c r="AP764" s="184">
        <f t="shared" si="131"/>
        <v>3.5200000000000005</v>
      </c>
      <c r="AQ764" s="52"/>
      <c r="AR764" s="357"/>
      <c r="AS764" s="81"/>
      <c r="AT764" s="81"/>
    </row>
    <row r="765" spans="1:46" ht="12">
      <c r="A765" s="111" t="s">
        <v>1019</v>
      </c>
      <c r="B765" s="359" t="str">
        <f t="shared" si="122"/>
        <v>MgO</v>
      </c>
      <c r="C765" s="141">
        <f t="shared" si="123"/>
        <v>5.13</v>
      </c>
      <c r="D765" s="277">
        <f t="shared" si="124"/>
        <v>241.66495553351101</v>
      </c>
      <c r="E765" s="20">
        <f t="shared" si="125"/>
        <v>12.43</v>
      </c>
      <c r="F765" s="20">
        <f t="shared" si="126"/>
        <v>0.7</v>
      </c>
      <c r="G765" s="277">
        <f t="shared" si="127"/>
        <v>123.97412218869115</v>
      </c>
      <c r="H765" s="3">
        <f t="shared" si="132"/>
        <v>0.86392405063291133</v>
      </c>
      <c r="I765" s="277">
        <f t="shared" si="128"/>
        <v>15409.98338805431</v>
      </c>
      <c r="J765" s="81" t="s">
        <v>814</v>
      </c>
      <c r="K765" s="81" t="s">
        <v>1010</v>
      </c>
      <c r="L765" s="81"/>
      <c r="M765" s="52" t="s">
        <v>582</v>
      </c>
      <c r="N765" s="336">
        <v>41319</v>
      </c>
      <c r="O765" s="81">
        <v>276</v>
      </c>
      <c r="P765" s="81" t="s">
        <v>46</v>
      </c>
      <c r="Q765" s="81"/>
      <c r="R765" s="81"/>
      <c r="S765" s="81">
        <v>800</v>
      </c>
      <c r="T765" s="81">
        <v>90</v>
      </c>
      <c r="U765" s="256">
        <v>400</v>
      </c>
      <c r="V765" s="81">
        <v>8</v>
      </c>
      <c r="W765" s="81">
        <v>26.5</v>
      </c>
      <c r="X765" s="81">
        <v>2.5</v>
      </c>
      <c r="Y765" s="256">
        <v>40</v>
      </c>
      <c r="Z765" s="81"/>
      <c r="AA765" s="234"/>
      <c r="AB765" s="199">
        <v>0.2099</v>
      </c>
      <c r="AC765" s="81">
        <v>0.53769999999999996</v>
      </c>
      <c r="AD765" s="81">
        <v>0.25240000000000001</v>
      </c>
      <c r="AE765" s="81" t="s">
        <v>47</v>
      </c>
      <c r="AF765" s="81">
        <v>5.13</v>
      </c>
      <c r="AG765" s="95"/>
      <c r="AH765" s="97">
        <v>241.66495553351101</v>
      </c>
      <c r="AI765" s="20"/>
      <c r="AJ765" s="20">
        <v>12.43</v>
      </c>
      <c r="AK765" s="20">
        <v>0.7</v>
      </c>
      <c r="AL765" s="20">
        <f>109.2/126.4</f>
        <v>0.86392405063291133</v>
      </c>
      <c r="AM765" s="81"/>
      <c r="AN765" s="24">
        <f t="shared" si="129"/>
        <v>123.97412218869115</v>
      </c>
      <c r="AO765" s="189">
        <f t="shared" si="133"/>
        <v>15409.98338805431</v>
      </c>
      <c r="AP765" s="184">
        <f t="shared" si="131"/>
        <v>3.42</v>
      </c>
      <c r="AQ765" s="52"/>
      <c r="AR765" s="357"/>
      <c r="AS765" s="81"/>
      <c r="AT765" s="81"/>
    </row>
    <row r="766" spans="1:46" ht="12">
      <c r="A766" s="111" t="s">
        <v>1020</v>
      </c>
      <c r="B766" s="359" t="str">
        <f t="shared" si="122"/>
        <v>MgO</v>
      </c>
      <c r="C766" s="141">
        <f t="shared" si="123"/>
        <v>5.53</v>
      </c>
      <c r="D766" s="277">
        <f t="shared" si="124"/>
        <v>306.25167676136698</v>
      </c>
      <c r="E766" s="20">
        <f t="shared" si="125"/>
        <v>10.6</v>
      </c>
      <c r="F766" s="20">
        <f t="shared" si="126"/>
        <v>0</v>
      </c>
      <c r="G766" s="277">
        <f t="shared" si="127"/>
        <v>169.35717724903594</v>
      </c>
      <c r="H766" s="3">
        <f t="shared" si="132"/>
        <v>0.83302639656230804</v>
      </c>
      <c r="I766" s="277">
        <f t="shared" si="128"/>
        <v>17951.860788397811</v>
      </c>
      <c r="J766" s="359" t="s">
        <v>814</v>
      </c>
      <c r="K766" s="359" t="s">
        <v>1021</v>
      </c>
      <c r="L766" s="359"/>
      <c r="M766" s="338"/>
      <c r="N766" s="89">
        <v>41320</v>
      </c>
      <c r="O766" s="359">
        <v>277</v>
      </c>
      <c r="P766" s="359" t="s">
        <v>46</v>
      </c>
      <c r="Q766" s="71"/>
      <c r="R766" s="71"/>
      <c r="S766" s="81">
        <v>800</v>
      </c>
      <c r="T766" s="81">
        <v>90</v>
      </c>
      <c r="U766" s="256">
        <v>400</v>
      </c>
      <c r="V766" s="81">
        <v>8</v>
      </c>
      <c r="W766" s="81">
        <v>26.5</v>
      </c>
      <c r="X766" s="81">
        <v>2.5</v>
      </c>
      <c r="Y766" s="256">
        <v>40</v>
      </c>
      <c r="Z766" s="71"/>
      <c r="AA766" s="387"/>
      <c r="AB766" s="248">
        <v>0.2104</v>
      </c>
      <c r="AC766" s="359">
        <v>0.52029999999999998</v>
      </c>
      <c r="AD766" s="359">
        <v>0.26919999999999999</v>
      </c>
      <c r="AE766" s="81" t="s">
        <v>47</v>
      </c>
      <c r="AF766" s="359">
        <v>5.53</v>
      </c>
      <c r="AG766" s="153"/>
      <c r="AH766" s="346">
        <v>306.25167676136698</v>
      </c>
      <c r="AI766" s="24"/>
      <c r="AJ766" s="24">
        <v>10.6</v>
      </c>
      <c r="AK766" s="24"/>
      <c r="AL766" s="24">
        <f>(112+23.7)/162.9</f>
        <v>0.83302639656230804</v>
      </c>
      <c r="AM766" s="359"/>
      <c r="AN766" s="24">
        <f t="shared" si="129"/>
        <v>169.35717724903594</v>
      </c>
      <c r="AO766" s="54">
        <f t="shared" si="133"/>
        <v>17951.860788397811</v>
      </c>
      <c r="AP766" s="261">
        <f t="shared" si="131"/>
        <v>3.686666666666667</v>
      </c>
      <c r="AQ766" s="338"/>
      <c r="AR766" s="45"/>
      <c r="AS766" s="359"/>
      <c r="AT766" s="359"/>
    </row>
    <row r="767" spans="1:46" ht="12">
      <c r="A767" s="111" t="s">
        <v>1022</v>
      </c>
      <c r="B767" s="359" t="str">
        <f t="shared" si="122"/>
        <v>MgO</v>
      </c>
      <c r="C767" s="141">
        <f t="shared" si="123"/>
        <v>4.9000000000000004</v>
      </c>
      <c r="D767" s="277">
        <f t="shared" si="124"/>
        <v>216.240624663429</v>
      </c>
      <c r="E767" s="20">
        <f t="shared" si="125"/>
        <v>13.85</v>
      </c>
      <c r="F767" s="20">
        <f t="shared" si="126"/>
        <v>0</v>
      </c>
      <c r="G767" s="277">
        <f t="shared" si="127"/>
        <v>105.95790608508021</v>
      </c>
      <c r="H767" s="3">
        <f t="shared" si="132"/>
        <v>0.88033395176252327</v>
      </c>
      <c r="I767" s="277">
        <f t="shared" si="128"/>
        <v>14675.169992783609</v>
      </c>
      <c r="J767" s="359" t="s">
        <v>814</v>
      </c>
      <c r="K767" s="359" t="s">
        <v>1023</v>
      </c>
      <c r="L767" s="359"/>
      <c r="M767" s="338"/>
      <c r="N767" s="89">
        <v>41320</v>
      </c>
      <c r="O767" s="359">
        <v>277</v>
      </c>
      <c r="P767" s="359" t="s">
        <v>46</v>
      </c>
      <c r="Q767" s="71"/>
      <c r="R767" s="71"/>
      <c r="S767" s="81">
        <v>800</v>
      </c>
      <c r="T767" s="81">
        <v>90</v>
      </c>
      <c r="U767" s="256">
        <v>400</v>
      </c>
      <c r="V767" s="81">
        <v>8</v>
      </c>
      <c r="W767" s="81">
        <v>26.5</v>
      </c>
      <c r="X767" s="81">
        <v>2.5</v>
      </c>
      <c r="Y767" s="256">
        <v>40</v>
      </c>
      <c r="Z767" s="71"/>
      <c r="AA767" s="387"/>
      <c r="AB767" s="248">
        <v>0.20749999999999999</v>
      </c>
      <c r="AC767" s="359">
        <v>0.54790000000000005</v>
      </c>
      <c r="AD767" s="359">
        <v>0.24460000000000001</v>
      </c>
      <c r="AE767" s="81" t="s">
        <v>47</v>
      </c>
      <c r="AF767" s="359">
        <v>4.9000000000000004</v>
      </c>
      <c r="AG767" s="153"/>
      <c r="AH767" s="346">
        <v>216.240624663429</v>
      </c>
      <c r="AI767" s="24"/>
      <c r="AJ767" s="24">
        <v>13.85</v>
      </c>
      <c r="AK767" s="24"/>
      <c r="AL767" s="24">
        <f>(23.1+71.8)/107.8</f>
        <v>0.88033395176252327</v>
      </c>
      <c r="AM767" s="359"/>
      <c r="AN767" s="24">
        <f t="shared" si="129"/>
        <v>105.95790608508021</v>
      </c>
      <c r="AO767" s="54">
        <f t="shared" si="133"/>
        <v>14675.169992783609</v>
      </c>
      <c r="AP767" s="261">
        <f t="shared" si="131"/>
        <v>3.2666666666666671</v>
      </c>
      <c r="AQ767" s="338"/>
      <c r="AR767" s="45"/>
      <c r="AS767" s="359"/>
      <c r="AT767" s="359"/>
    </row>
    <row r="768" spans="1:46" ht="12">
      <c r="A768" s="111" t="s">
        <v>1024</v>
      </c>
      <c r="B768" s="359" t="str">
        <f t="shared" si="122"/>
        <v>MgO</v>
      </c>
      <c r="C768" s="141">
        <f t="shared" si="123"/>
        <v>5.57</v>
      </c>
      <c r="D768" s="277">
        <f t="shared" si="124"/>
        <v>318.38398903621299</v>
      </c>
      <c r="E768" s="20">
        <f t="shared" si="125"/>
        <v>10.67</v>
      </c>
      <c r="F768" s="20">
        <f t="shared" si="126"/>
        <v>0</v>
      </c>
      <c r="G768" s="277">
        <f t="shared" si="127"/>
        <v>177.33988189317066</v>
      </c>
      <c r="H768" s="3">
        <f t="shared" si="132"/>
        <v>0.81541218637992829</v>
      </c>
      <c r="I768" s="277">
        <f t="shared" si="128"/>
        <v>18922.165398001307</v>
      </c>
      <c r="J768" s="359" t="s">
        <v>814</v>
      </c>
      <c r="K768" s="359" t="s">
        <v>1021</v>
      </c>
      <c r="L768" s="359"/>
      <c r="M768" s="338"/>
      <c r="N768" s="89">
        <v>41320</v>
      </c>
      <c r="O768" s="359">
        <v>277</v>
      </c>
      <c r="P768" s="359" t="s">
        <v>46</v>
      </c>
      <c r="Q768" s="71"/>
      <c r="R768" s="71"/>
      <c r="S768" s="81">
        <v>800</v>
      </c>
      <c r="T768" s="81">
        <v>90</v>
      </c>
      <c r="U768" s="256">
        <v>400</v>
      </c>
      <c r="V768" s="81">
        <v>8</v>
      </c>
      <c r="W768" s="81">
        <v>26.5</v>
      </c>
      <c r="X768" s="81">
        <v>2.5</v>
      </c>
      <c r="Y768" s="256">
        <v>40</v>
      </c>
      <c r="Z768" s="71"/>
      <c r="AA768" s="387"/>
      <c r="AB768" s="248">
        <v>0.20930000000000001</v>
      </c>
      <c r="AC768" s="359">
        <v>0.51870000000000005</v>
      </c>
      <c r="AD768" s="359">
        <v>0.27200000000000002</v>
      </c>
      <c r="AE768" s="81" t="s">
        <v>47</v>
      </c>
      <c r="AF768" s="359">
        <v>5.57</v>
      </c>
      <c r="AG768" s="153"/>
      <c r="AH768" s="346">
        <v>318.38398903621299</v>
      </c>
      <c r="AI768" s="24"/>
      <c r="AJ768" s="24">
        <v>10.67</v>
      </c>
      <c r="AK768" s="24"/>
      <c r="AL768" s="24">
        <f>(113.7+22.8)/167.4</f>
        <v>0.81541218637992829</v>
      </c>
      <c r="AM768" s="359"/>
      <c r="AN768" s="24">
        <f t="shared" si="129"/>
        <v>177.33988189317066</v>
      </c>
      <c r="AO768" s="54">
        <f t="shared" si="133"/>
        <v>18922.165398001307</v>
      </c>
      <c r="AP768" s="261">
        <f t="shared" si="131"/>
        <v>3.7133333333333334</v>
      </c>
      <c r="AQ768" s="338"/>
      <c r="AR768" s="45"/>
      <c r="AS768" s="359"/>
      <c r="AT768" s="359"/>
    </row>
    <row r="769" spans="1:46" ht="12">
      <c r="A769" s="111" t="s">
        <v>1025</v>
      </c>
      <c r="B769" s="359" t="str">
        <f t="shared" si="122"/>
        <v>MgO</v>
      </c>
      <c r="C769" s="141">
        <f t="shared" si="123"/>
        <v>4.8</v>
      </c>
      <c r="D769" s="277">
        <f t="shared" si="124"/>
        <v>209.460803098074</v>
      </c>
      <c r="E769" s="20">
        <f t="shared" si="125"/>
        <v>13.84</v>
      </c>
      <c r="F769" s="20">
        <f t="shared" si="126"/>
        <v>0</v>
      </c>
      <c r="G769" s="277">
        <f t="shared" si="127"/>
        <v>100.54118548707552</v>
      </c>
      <c r="H769" s="3">
        <f t="shared" si="132"/>
        <v>0.85753176043557167</v>
      </c>
      <c r="I769" s="277">
        <f t="shared" si="128"/>
        <v>13914.900071411252</v>
      </c>
      <c r="J769" s="359" t="s">
        <v>814</v>
      </c>
      <c r="K769" s="359" t="s">
        <v>1023</v>
      </c>
      <c r="L769" s="359"/>
      <c r="M769" s="338"/>
      <c r="N769" s="89">
        <v>41320</v>
      </c>
      <c r="O769" s="359">
        <v>277</v>
      </c>
      <c r="P769" s="359" t="s">
        <v>46</v>
      </c>
      <c r="Q769" s="71"/>
      <c r="R769" s="71"/>
      <c r="S769" s="81">
        <v>800</v>
      </c>
      <c r="T769" s="81">
        <v>90</v>
      </c>
      <c r="U769" s="256">
        <v>400</v>
      </c>
      <c r="V769" s="81">
        <v>8</v>
      </c>
      <c r="W769" s="81">
        <v>26.5</v>
      </c>
      <c r="X769" s="81">
        <v>2.5</v>
      </c>
      <c r="Y769" s="256">
        <v>40</v>
      </c>
      <c r="Z769" s="71"/>
      <c r="AA769" s="387"/>
      <c r="AB769" s="248">
        <v>0.20300000000000001</v>
      </c>
      <c r="AC769" s="359">
        <v>0.55279999999999996</v>
      </c>
      <c r="AD769" s="359">
        <v>0.2442</v>
      </c>
      <c r="AE769" s="81" t="s">
        <v>47</v>
      </c>
      <c r="AF769" s="359">
        <v>4.8</v>
      </c>
      <c r="AG769" s="153"/>
      <c r="AH769" s="346">
        <v>209.460803098074</v>
      </c>
      <c r="AI769" s="24"/>
      <c r="AJ769" s="24">
        <v>13.84</v>
      </c>
      <c r="AK769" s="24"/>
      <c r="AL769" s="24">
        <f>(23.1+71.4)/110.2</f>
        <v>0.85753176043557167</v>
      </c>
      <c r="AM769" s="359"/>
      <c r="AN769" s="24">
        <f t="shared" si="129"/>
        <v>100.54118548707552</v>
      </c>
      <c r="AO769" s="54">
        <f t="shared" si="133"/>
        <v>13914.900071411252</v>
      </c>
      <c r="AP769" s="261">
        <f t="shared" si="131"/>
        <v>3.1999999999999997</v>
      </c>
      <c r="AQ769" s="338"/>
      <c r="AR769" s="45"/>
      <c r="AS769" s="359"/>
      <c r="AT769" s="359"/>
    </row>
    <row r="770" spans="1:46" ht="12">
      <c r="A770" s="111" t="s">
        <v>1026</v>
      </c>
      <c r="B770" s="359" t="str">
        <f t="shared" si="122"/>
        <v>MgO</v>
      </c>
      <c r="C770" s="141">
        <f t="shared" si="123"/>
        <v>5.7</v>
      </c>
      <c r="D770" s="277">
        <f t="shared" si="124"/>
        <v>380.829713980272</v>
      </c>
      <c r="E770" s="20">
        <f t="shared" si="125"/>
        <v>10.34</v>
      </c>
      <c r="F770" s="20">
        <f t="shared" si="126"/>
        <v>0.94099999999999995</v>
      </c>
      <c r="G770" s="277">
        <f t="shared" si="127"/>
        <v>217.07293696875504</v>
      </c>
      <c r="H770" s="3">
        <f t="shared" si="132"/>
        <v>0.81010199125789217</v>
      </c>
      <c r="I770" s="277">
        <f t="shared" si="128"/>
        <v>22445.341682569269</v>
      </c>
      <c r="J770" s="359" t="s">
        <v>814</v>
      </c>
      <c r="K770" s="359" t="s">
        <v>1021</v>
      </c>
      <c r="L770" s="359"/>
      <c r="M770" s="338"/>
      <c r="N770" s="89">
        <v>41325</v>
      </c>
      <c r="O770" s="359">
        <v>278</v>
      </c>
      <c r="P770" s="359" t="s">
        <v>46</v>
      </c>
      <c r="Q770" s="71"/>
      <c r="R770" s="71"/>
      <c r="S770" s="81">
        <v>800</v>
      </c>
      <c r="T770" s="81">
        <v>90</v>
      </c>
      <c r="U770" s="256">
        <v>400</v>
      </c>
      <c r="V770" s="81">
        <v>8</v>
      </c>
      <c r="W770" s="81">
        <v>26.5</v>
      </c>
      <c r="X770" s="81">
        <v>2.5</v>
      </c>
      <c r="Y770" s="256">
        <v>40</v>
      </c>
      <c r="Z770" s="71"/>
      <c r="AA770" s="387"/>
      <c r="AB770" s="248">
        <v>0.21010000000000001</v>
      </c>
      <c r="AC770" s="359">
        <v>0.51290000000000002</v>
      </c>
      <c r="AD770" s="359">
        <v>0.27700000000000002</v>
      </c>
      <c r="AE770" s="81" t="s">
        <v>47</v>
      </c>
      <c r="AF770" s="359">
        <v>5.7</v>
      </c>
      <c r="AG770" s="153"/>
      <c r="AH770" s="346">
        <v>380.829713980272</v>
      </c>
      <c r="AI770" s="24"/>
      <c r="AJ770" s="24">
        <v>10.34</v>
      </c>
      <c r="AK770" s="24">
        <v>0.94099999999999995</v>
      </c>
      <c r="AL770" s="24">
        <f>(142.9+23.9)/205.9</f>
        <v>0.81010199125789217</v>
      </c>
      <c r="AM770" s="359"/>
      <c r="AN770" s="24">
        <f t="shared" si="129"/>
        <v>217.07293696875504</v>
      </c>
      <c r="AO770" s="54">
        <f t="shared" si="133"/>
        <v>22445.341682569269</v>
      </c>
      <c r="AP770" s="261">
        <f t="shared" si="131"/>
        <v>3.8000000000000003</v>
      </c>
      <c r="AQ770" s="338"/>
      <c r="AR770" s="45"/>
      <c r="AS770" s="359"/>
      <c r="AT770" s="359"/>
    </row>
    <row r="771" spans="1:46" ht="12">
      <c r="A771" s="111" t="s">
        <v>1027</v>
      </c>
      <c r="B771" s="359" t="str">
        <f t="shared" ref="B771:B834" si="134">P771</f>
        <v>MgO</v>
      </c>
      <c r="C771" s="141">
        <f t="shared" ref="C771:C834" si="135">AF771</f>
        <v>4.83</v>
      </c>
      <c r="D771" s="277">
        <f t="shared" ref="D771:D834" si="136">AH771</f>
        <v>233.725427647766</v>
      </c>
      <c r="E771" s="20">
        <f t="shared" ref="E771:E839" si="137">AJ771</f>
        <v>13.39</v>
      </c>
      <c r="F771" s="20">
        <f t="shared" ref="F771:F839" si="138">AK771</f>
        <v>0.92400000000000004</v>
      </c>
      <c r="G771" s="277">
        <f t="shared" ref="G771:G834" si="139">AN771</f>
        <v>112.88938155387098</v>
      </c>
      <c r="H771" s="3">
        <f t="shared" si="132"/>
        <v>0.83024939662107811</v>
      </c>
      <c r="I771" s="277">
        <f t="shared" ref="I771:I834" si="140">AO771</f>
        <v>15115.888190063324</v>
      </c>
      <c r="J771" s="359" t="s">
        <v>814</v>
      </c>
      <c r="K771" s="359" t="s">
        <v>1023</v>
      </c>
      <c r="L771" s="359"/>
      <c r="M771" s="338"/>
      <c r="N771" s="89">
        <v>41325</v>
      </c>
      <c r="O771" s="359">
        <v>278</v>
      </c>
      <c r="P771" s="359" t="s">
        <v>46</v>
      </c>
      <c r="Q771" s="71"/>
      <c r="R771" s="71"/>
      <c r="S771" s="81">
        <v>800</v>
      </c>
      <c r="T771" s="81">
        <v>90</v>
      </c>
      <c r="U771" s="256">
        <v>400</v>
      </c>
      <c r="V771" s="81">
        <v>8</v>
      </c>
      <c r="W771" s="81">
        <v>26.5</v>
      </c>
      <c r="X771" s="81">
        <v>2.5</v>
      </c>
      <c r="Y771" s="256">
        <v>40</v>
      </c>
      <c r="Z771" s="71"/>
      <c r="AA771" s="387"/>
      <c r="AB771" s="248">
        <v>0.2069</v>
      </c>
      <c r="AC771" s="359">
        <v>0.55149999999999999</v>
      </c>
      <c r="AD771" s="359">
        <v>0.24160000000000001</v>
      </c>
      <c r="AE771" s="81" t="s">
        <v>47</v>
      </c>
      <c r="AF771" s="359">
        <v>4.83</v>
      </c>
      <c r="AG771" s="153"/>
      <c r="AH771" s="346">
        <v>233.725427647766</v>
      </c>
      <c r="AI771" s="24"/>
      <c r="AJ771" s="24">
        <v>13.39</v>
      </c>
      <c r="AK771" s="24">
        <v>0.92400000000000004</v>
      </c>
      <c r="AL771" s="24">
        <f>(79.9+23.3)/124.3</f>
        <v>0.83024939662107811</v>
      </c>
      <c r="AM771" s="359"/>
      <c r="AN771" s="24">
        <f t="shared" ref="AN771:AN834" si="141">((AH771*AF771)/10)</f>
        <v>112.88938155387098</v>
      </c>
      <c r="AO771" s="54">
        <f t="shared" si="133"/>
        <v>15115.888190063324</v>
      </c>
      <c r="AP771" s="261">
        <f t="shared" ref="AP771:AP834" si="142">(AF771/T771)*60</f>
        <v>3.22</v>
      </c>
      <c r="AQ771" s="338"/>
      <c r="AR771" s="45"/>
      <c r="AS771" s="359"/>
      <c r="AT771" s="359"/>
    </row>
    <row r="772" spans="1:46" ht="12">
      <c r="A772" s="111" t="s">
        <v>1028</v>
      </c>
      <c r="B772" s="359" t="str">
        <f t="shared" si="134"/>
        <v>MgO</v>
      </c>
      <c r="C772" s="141">
        <f t="shared" si="135"/>
        <v>5.27</v>
      </c>
      <c r="D772" s="277">
        <f t="shared" si="136"/>
        <v>338.366621018312</v>
      </c>
      <c r="E772" s="20">
        <f t="shared" si="137"/>
        <v>10.57</v>
      </c>
      <c r="F772" s="20">
        <f t="shared" si="138"/>
        <v>0.71299999999999997</v>
      </c>
      <c r="G772" s="277">
        <f t="shared" si="139"/>
        <v>178.31920927665041</v>
      </c>
      <c r="H772" s="3">
        <f t="shared" si="132"/>
        <v>0.75051229508196726</v>
      </c>
      <c r="I772" s="277">
        <f t="shared" si="140"/>
        <v>18848.34042054195</v>
      </c>
      <c r="J772" s="359" t="s">
        <v>814</v>
      </c>
      <c r="K772" s="359" t="s">
        <v>1021</v>
      </c>
      <c r="L772" s="359"/>
      <c r="M772" s="338"/>
      <c r="N772" s="89">
        <v>41325</v>
      </c>
      <c r="O772" s="359">
        <v>278</v>
      </c>
      <c r="P772" s="359" t="s">
        <v>46</v>
      </c>
      <c r="Q772" s="71"/>
      <c r="R772" s="71"/>
      <c r="S772" s="81">
        <v>800</v>
      </c>
      <c r="T772" s="81">
        <v>90</v>
      </c>
      <c r="U772" s="256">
        <v>400</v>
      </c>
      <c r="V772" s="81">
        <v>8</v>
      </c>
      <c r="W772" s="81">
        <v>26.5</v>
      </c>
      <c r="X772" s="81">
        <v>2.5</v>
      </c>
      <c r="Y772" s="256">
        <v>40</v>
      </c>
      <c r="Z772" s="71"/>
      <c r="AA772" s="387"/>
      <c r="AB772" s="248">
        <v>0.2051</v>
      </c>
      <c r="AC772" s="359">
        <v>0.53139999999999998</v>
      </c>
      <c r="AD772" s="359">
        <v>0.26340000000000002</v>
      </c>
      <c r="AE772" s="81" t="s">
        <v>47</v>
      </c>
      <c r="AF772" s="359">
        <v>5.27</v>
      </c>
      <c r="AG772" s="153"/>
      <c r="AH772" s="346">
        <v>338.366621018312</v>
      </c>
      <c r="AI772" s="24"/>
      <c r="AJ772" s="24">
        <v>10.57</v>
      </c>
      <c r="AK772" s="24">
        <v>0.71299999999999997</v>
      </c>
      <c r="AL772" s="24">
        <f>(123.4+23.1)/195.2</f>
        <v>0.75051229508196726</v>
      </c>
      <c r="AM772" s="359"/>
      <c r="AN772" s="24">
        <f t="shared" si="141"/>
        <v>178.31920927665041</v>
      </c>
      <c r="AO772" s="54">
        <f t="shared" si="133"/>
        <v>18848.34042054195</v>
      </c>
      <c r="AP772" s="261">
        <f t="shared" si="142"/>
        <v>3.5133333333333328</v>
      </c>
      <c r="AQ772" s="338"/>
      <c r="AR772" s="45"/>
      <c r="AS772" s="359"/>
      <c r="AT772" s="359"/>
    </row>
    <row r="773" spans="1:46" ht="12">
      <c r="A773" s="111" t="s">
        <v>1029</v>
      </c>
      <c r="B773" s="359" t="str">
        <f t="shared" si="134"/>
        <v>MgO</v>
      </c>
      <c r="C773" s="141">
        <f t="shared" si="135"/>
        <v>4.9000000000000004</v>
      </c>
      <c r="D773" s="277">
        <f t="shared" si="136"/>
        <v>229.08660236620699</v>
      </c>
      <c r="E773" s="20">
        <f t="shared" si="137"/>
        <v>13.92</v>
      </c>
      <c r="F773" s="20">
        <f t="shared" si="138"/>
        <v>0.7</v>
      </c>
      <c r="G773" s="277">
        <f t="shared" si="139"/>
        <v>112.25243515944143</v>
      </c>
      <c r="H773" s="3">
        <f t="shared" si="132"/>
        <v>0.91508581752484186</v>
      </c>
      <c r="I773" s="277">
        <f t="shared" si="140"/>
        <v>15625.538974194249</v>
      </c>
      <c r="J773" s="359" t="s">
        <v>814</v>
      </c>
      <c r="K773" s="359" t="s">
        <v>1023</v>
      </c>
      <c r="L773" s="359"/>
      <c r="M773" s="338"/>
      <c r="N773" s="89">
        <v>41325</v>
      </c>
      <c r="O773" s="359">
        <v>278</v>
      </c>
      <c r="P773" s="359" t="s">
        <v>46</v>
      </c>
      <c r="Q773" s="71"/>
      <c r="R773" s="71"/>
      <c r="S773" s="81">
        <v>800</v>
      </c>
      <c r="T773" s="81">
        <v>90</v>
      </c>
      <c r="U773" s="256">
        <v>400</v>
      </c>
      <c r="V773" s="81">
        <v>8</v>
      </c>
      <c r="W773" s="81">
        <v>26.5</v>
      </c>
      <c r="X773" s="81">
        <v>2.5</v>
      </c>
      <c r="Y773" s="256">
        <v>40</v>
      </c>
      <c r="Z773" s="71"/>
      <c r="AA773" s="387"/>
      <c r="AB773" s="248">
        <v>0.2011</v>
      </c>
      <c r="AC773" s="359">
        <v>0.54779999999999995</v>
      </c>
      <c r="AD773" s="359">
        <v>0.25109999999999999</v>
      </c>
      <c r="AE773" s="81" t="s">
        <v>47</v>
      </c>
      <c r="AF773" s="359">
        <v>4.9000000000000004</v>
      </c>
      <c r="AG773" s="153"/>
      <c r="AH773" s="346">
        <v>229.08660236620699</v>
      </c>
      <c r="AI773" s="24"/>
      <c r="AJ773" s="24">
        <v>13.92</v>
      </c>
      <c r="AK773" s="24">
        <v>0.7</v>
      </c>
      <c r="AL773" s="24">
        <f>(77.8+23.5)/110.7</f>
        <v>0.91508581752484186</v>
      </c>
      <c r="AM773" s="359"/>
      <c r="AN773" s="24">
        <f t="shared" si="141"/>
        <v>112.25243515944143</v>
      </c>
      <c r="AO773" s="54">
        <f t="shared" si="133"/>
        <v>15625.538974194249</v>
      </c>
      <c r="AP773" s="261">
        <f t="shared" si="142"/>
        <v>3.2666666666666671</v>
      </c>
      <c r="AQ773" s="338"/>
      <c r="AR773" s="45"/>
      <c r="AS773" s="359"/>
      <c r="AT773" s="359"/>
    </row>
    <row r="774" spans="1:46" ht="12">
      <c r="A774" s="111" t="s">
        <v>1030</v>
      </c>
      <c r="B774" s="359" t="str">
        <f t="shared" si="134"/>
        <v>Al2O3</v>
      </c>
      <c r="C774" s="141">
        <f t="shared" si="135"/>
        <v>5.85</v>
      </c>
      <c r="D774" s="277">
        <f t="shared" si="136"/>
        <v>389.30449093696598</v>
      </c>
      <c r="E774" s="20">
        <f t="shared" si="137"/>
        <v>10</v>
      </c>
      <c r="F774" s="20">
        <f t="shared" si="138"/>
        <v>1.4339999999999999</v>
      </c>
      <c r="G774" s="277">
        <f t="shared" si="139"/>
        <v>227.74312719812511</v>
      </c>
      <c r="H774" s="3">
        <f t="shared" si="132"/>
        <v>0.84489593657086215</v>
      </c>
      <c r="I774" s="277">
        <f t="shared" si="140"/>
        <v>22774.312719812511</v>
      </c>
      <c r="J774" s="359" t="s">
        <v>814</v>
      </c>
      <c r="K774" s="359" t="s">
        <v>1021</v>
      </c>
      <c r="L774" s="359"/>
      <c r="M774" s="338"/>
      <c r="N774" s="89">
        <v>41326</v>
      </c>
      <c r="O774" s="359">
        <v>279</v>
      </c>
      <c r="P774" s="359" t="s">
        <v>622</v>
      </c>
      <c r="Q774" s="71"/>
      <c r="R774" s="71"/>
      <c r="S774" s="81">
        <v>800</v>
      </c>
      <c r="T774" s="81">
        <v>90</v>
      </c>
      <c r="U774" s="256">
        <v>400</v>
      </c>
      <c r="V774" s="81">
        <v>8</v>
      </c>
      <c r="W774" s="81">
        <v>26.5</v>
      </c>
      <c r="X774" s="81">
        <v>2.5</v>
      </c>
      <c r="Y774" s="256">
        <v>40</v>
      </c>
      <c r="Z774" s="71"/>
      <c r="AA774" s="387"/>
      <c r="AB774" s="248">
        <v>0.2152</v>
      </c>
      <c r="AC774" s="359">
        <v>0.50509999999999999</v>
      </c>
      <c r="AD774" s="359">
        <v>0.2797</v>
      </c>
      <c r="AE774" s="81" t="s">
        <v>47</v>
      </c>
      <c r="AF774" s="359">
        <v>5.85</v>
      </c>
      <c r="AG774" s="153"/>
      <c r="AH774" s="346">
        <v>389.30449093696598</v>
      </c>
      <c r="AI774" s="24"/>
      <c r="AJ774" s="24">
        <v>10</v>
      </c>
      <c r="AK774" s="24">
        <v>1.4339999999999999</v>
      </c>
      <c r="AL774" s="24">
        <f>(147.3+23.2)/201.8</f>
        <v>0.84489593657086215</v>
      </c>
      <c r="AM774" s="359"/>
      <c r="AN774" s="24">
        <f t="shared" si="141"/>
        <v>227.74312719812511</v>
      </c>
      <c r="AO774" s="54">
        <f t="shared" si="133"/>
        <v>22774.312719812511</v>
      </c>
      <c r="AP774" s="261">
        <f t="shared" si="142"/>
        <v>3.9000000000000004</v>
      </c>
      <c r="AQ774" s="338"/>
      <c r="AR774" s="45"/>
      <c r="AS774" s="359"/>
      <c r="AT774" s="359"/>
    </row>
    <row r="775" spans="1:46" ht="12">
      <c r="A775" s="111" t="s">
        <v>1031</v>
      </c>
      <c r="B775" s="359" t="str">
        <f t="shared" si="134"/>
        <v>Al2O3</v>
      </c>
      <c r="C775" s="141">
        <f t="shared" si="135"/>
        <v>5.76</v>
      </c>
      <c r="D775" s="277">
        <f t="shared" si="136"/>
        <v>304.02147229907899</v>
      </c>
      <c r="E775" s="20">
        <f t="shared" si="137"/>
        <v>12.32</v>
      </c>
      <c r="F775" s="20">
        <f t="shared" si="138"/>
        <v>1.206</v>
      </c>
      <c r="G775" s="277">
        <f t="shared" si="139"/>
        <v>175.11636804426948</v>
      </c>
      <c r="H775" s="3">
        <f t="shared" si="132"/>
        <v>0.88526727509778358</v>
      </c>
      <c r="I775" s="277">
        <f t="shared" si="140"/>
        <v>21574.336543054</v>
      </c>
      <c r="J775" s="359" t="s">
        <v>814</v>
      </c>
      <c r="K775" s="359" t="s">
        <v>1023</v>
      </c>
      <c r="L775" s="359"/>
      <c r="M775" s="338"/>
      <c r="N775" s="89">
        <v>41326</v>
      </c>
      <c r="O775" s="359">
        <v>279</v>
      </c>
      <c r="P775" s="359" t="s">
        <v>622</v>
      </c>
      <c r="Q775" s="71"/>
      <c r="R775" s="71"/>
      <c r="S775" s="81">
        <v>800</v>
      </c>
      <c r="T775" s="81">
        <v>90</v>
      </c>
      <c r="U775" s="256">
        <v>400</v>
      </c>
      <c r="V775" s="81">
        <v>8</v>
      </c>
      <c r="W775" s="81">
        <v>26.5</v>
      </c>
      <c r="X775" s="81">
        <v>2.5</v>
      </c>
      <c r="Y775" s="256">
        <v>40</v>
      </c>
      <c r="Z775" s="71"/>
      <c r="AA775" s="387"/>
      <c r="AB775" s="248">
        <v>0.21260000000000001</v>
      </c>
      <c r="AC775" s="359">
        <v>0.50890000000000002</v>
      </c>
      <c r="AD775" s="359">
        <v>0.27860000000000001</v>
      </c>
      <c r="AE775" s="81" t="s">
        <v>47</v>
      </c>
      <c r="AF775" s="359">
        <v>5.76</v>
      </c>
      <c r="AG775" s="153"/>
      <c r="AH775" s="346">
        <v>304.02147229907899</v>
      </c>
      <c r="AI775" s="24"/>
      <c r="AJ775" s="24">
        <v>12.32</v>
      </c>
      <c r="AK775" s="24">
        <v>1.206</v>
      </c>
      <c r="AL775" s="24">
        <f>(112.7+23.1)/153.4</f>
        <v>0.88526727509778358</v>
      </c>
      <c r="AM775" s="359"/>
      <c r="AN775" s="24">
        <f t="shared" si="141"/>
        <v>175.11636804426948</v>
      </c>
      <c r="AO775" s="54">
        <f t="shared" si="133"/>
        <v>21574.336543054</v>
      </c>
      <c r="AP775" s="261">
        <f t="shared" si="142"/>
        <v>3.84</v>
      </c>
      <c r="AQ775" s="338"/>
      <c r="AR775" s="45"/>
      <c r="AS775" s="359"/>
      <c r="AT775" s="359"/>
    </row>
    <row r="776" spans="1:46" ht="12">
      <c r="A776" s="111" t="s">
        <v>1032</v>
      </c>
      <c r="B776" s="359" t="str">
        <f t="shared" si="134"/>
        <v>Al2O3</v>
      </c>
      <c r="C776" s="141">
        <f t="shared" si="135"/>
        <v>5.89</v>
      </c>
      <c r="D776" s="277">
        <f t="shared" si="136"/>
        <v>408.03820842018399</v>
      </c>
      <c r="E776" s="20">
        <f t="shared" si="137"/>
        <v>0</v>
      </c>
      <c r="F776" s="20">
        <f t="shared" si="138"/>
        <v>0</v>
      </c>
      <c r="G776" s="277">
        <f t="shared" si="139"/>
        <v>240.33450475948834</v>
      </c>
      <c r="H776" s="3">
        <f t="shared" si="132"/>
        <v>0</v>
      </c>
      <c r="I776" s="277">
        <f t="shared" si="140"/>
        <v>0</v>
      </c>
      <c r="J776" s="359" t="s">
        <v>814</v>
      </c>
      <c r="K776" s="359" t="s">
        <v>1021</v>
      </c>
      <c r="L776" s="359"/>
      <c r="M776" s="338"/>
      <c r="N776" s="89">
        <v>41326</v>
      </c>
      <c r="O776" s="359">
        <v>279</v>
      </c>
      <c r="P776" s="359" t="s">
        <v>622</v>
      </c>
      <c r="Q776" s="71"/>
      <c r="R776" s="71"/>
      <c r="S776" s="81">
        <v>800</v>
      </c>
      <c r="T776" s="81">
        <v>90</v>
      </c>
      <c r="U776" s="256">
        <v>400</v>
      </c>
      <c r="V776" s="81">
        <v>8</v>
      </c>
      <c r="W776" s="81">
        <v>26.5</v>
      </c>
      <c r="X776" s="81">
        <v>2.5</v>
      </c>
      <c r="Y776" s="256">
        <v>40</v>
      </c>
      <c r="Z776" s="71"/>
      <c r="AA776" s="387"/>
      <c r="AB776" s="248">
        <v>0.21659999999999999</v>
      </c>
      <c r="AC776" s="359">
        <v>0.50349999999999995</v>
      </c>
      <c r="AD776" s="359">
        <v>0.27989999999999998</v>
      </c>
      <c r="AE776" s="81" t="s">
        <v>47</v>
      </c>
      <c r="AF776" s="359">
        <v>5.89</v>
      </c>
      <c r="AG776" s="153"/>
      <c r="AH776" s="346">
        <v>408.03820842018399</v>
      </c>
      <c r="AI776" s="24"/>
      <c r="AJ776" s="24"/>
      <c r="AK776" s="24"/>
      <c r="AL776" s="24"/>
      <c r="AM776" s="359"/>
      <c r="AN776" s="24">
        <f t="shared" si="141"/>
        <v>240.33450475948834</v>
      </c>
      <c r="AO776" s="54">
        <f t="shared" si="133"/>
        <v>0</v>
      </c>
      <c r="AP776" s="261">
        <f t="shared" si="142"/>
        <v>3.9266666666666667</v>
      </c>
      <c r="AQ776" s="338"/>
      <c r="AR776" s="45"/>
      <c r="AS776" s="359"/>
      <c r="AT776" s="359"/>
    </row>
    <row r="777" spans="1:46" ht="12">
      <c r="A777" s="111" t="s">
        <v>1033</v>
      </c>
      <c r="B777" s="359" t="str">
        <f t="shared" si="134"/>
        <v>Al2O3</v>
      </c>
      <c r="C777" s="141">
        <f t="shared" si="135"/>
        <v>5.71</v>
      </c>
      <c r="D777" s="277">
        <f t="shared" si="136"/>
        <v>312.58545743426401</v>
      </c>
      <c r="E777" s="20">
        <f t="shared" si="137"/>
        <v>12.19</v>
      </c>
      <c r="F777" s="20">
        <f t="shared" si="138"/>
        <v>0</v>
      </c>
      <c r="G777" s="277">
        <f t="shared" si="139"/>
        <v>178.48629619496475</v>
      </c>
      <c r="H777" s="3">
        <f t="shared" si="132"/>
        <v>0</v>
      </c>
      <c r="I777" s="277">
        <f t="shared" si="140"/>
        <v>21757.479506166204</v>
      </c>
      <c r="J777" s="359" t="s">
        <v>814</v>
      </c>
      <c r="K777" s="359" t="s">
        <v>1023</v>
      </c>
      <c r="L777" s="359"/>
      <c r="M777" s="338"/>
      <c r="N777" s="89">
        <v>41326</v>
      </c>
      <c r="O777" s="359">
        <v>279</v>
      </c>
      <c r="P777" s="359" t="s">
        <v>622</v>
      </c>
      <c r="Q777" s="71"/>
      <c r="R777" s="71"/>
      <c r="S777" s="81">
        <v>800</v>
      </c>
      <c r="T777" s="81">
        <v>90</v>
      </c>
      <c r="U777" s="256">
        <v>400</v>
      </c>
      <c r="V777" s="81">
        <v>8</v>
      </c>
      <c r="W777" s="81">
        <v>26.5</v>
      </c>
      <c r="X777" s="81">
        <v>2.5</v>
      </c>
      <c r="Y777" s="256">
        <v>40</v>
      </c>
      <c r="Z777" s="71"/>
      <c r="AA777" s="387"/>
      <c r="AB777" s="248">
        <v>0.21210000000000001</v>
      </c>
      <c r="AC777" s="359">
        <v>0.51100000000000001</v>
      </c>
      <c r="AD777" s="359">
        <v>0.27689999999999998</v>
      </c>
      <c r="AE777" s="81" t="s">
        <v>47</v>
      </c>
      <c r="AF777" s="359">
        <v>5.71</v>
      </c>
      <c r="AG777" s="153"/>
      <c r="AH777" s="346">
        <v>312.58545743426401</v>
      </c>
      <c r="AI777" s="24"/>
      <c r="AJ777" s="24">
        <v>12.19</v>
      </c>
      <c r="AK777" s="24"/>
      <c r="AL777" s="24"/>
      <c r="AM777" s="359"/>
      <c r="AN777" s="24">
        <f t="shared" si="141"/>
        <v>178.48629619496475</v>
      </c>
      <c r="AO777" s="54">
        <f t="shared" si="133"/>
        <v>21757.479506166204</v>
      </c>
      <c r="AP777" s="261">
        <f t="shared" si="142"/>
        <v>3.8066666666666666</v>
      </c>
      <c r="AQ777" s="338"/>
      <c r="AR777" s="45"/>
      <c r="AS777" s="359"/>
      <c r="AT777" s="359"/>
    </row>
    <row r="778" spans="1:46" ht="12">
      <c r="A778" s="111" t="s">
        <v>1034</v>
      </c>
      <c r="B778" s="359" t="str">
        <f t="shared" si="134"/>
        <v>Al2O3</v>
      </c>
      <c r="C778" s="141">
        <f t="shared" si="135"/>
        <v>3.67</v>
      </c>
      <c r="D778" s="277">
        <f t="shared" si="136"/>
        <v>730.61498184549805</v>
      </c>
      <c r="E778" s="20">
        <f t="shared" si="137"/>
        <v>7.03</v>
      </c>
      <c r="F778" s="20">
        <f t="shared" si="138"/>
        <v>1.365</v>
      </c>
      <c r="G778" s="277">
        <f t="shared" si="139"/>
        <v>268.13569833729781</v>
      </c>
      <c r="H778" s="3">
        <f t="shared" si="132"/>
        <v>0.74663189917427208</v>
      </c>
      <c r="I778" s="277">
        <f t="shared" si="140"/>
        <v>18849.939593112034</v>
      </c>
      <c r="J778" s="359" t="s">
        <v>814</v>
      </c>
      <c r="K778" s="359" t="s">
        <v>1021</v>
      </c>
      <c r="L778" s="359"/>
      <c r="M778" s="338" t="s">
        <v>1035</v>
      </c>
      <c r="N778" s="89">
        <v>41326</v>
      </c>
      <c r="O778" s="359">
        <v>280</v>
      </c>
      <c r="P778" s="359" t="s">
        <v>622</v>
      </c>
      <c r="Q778" s="71"/>
      <c r="R778" s="71"/>
      <c r="S778" s="81">
        <v>800</v>
      </c>
      <c r="T778" s="81">
        <v>60</v>
      </c>
      <c r="U778" s="256">
        <v>400</v>
      </c>
      <c r="V778" s="81">
        <v>8</v>
      </c>
      <c r="W778" s="81">
        <v>26.5</v>
      </c>
      <c r="X778" s="81">
        <v>2.5</v>
      </c>
      <c r="Y778" s="256">
        <v>40</v>
      </c>
      <c r="Z778" s="71"/>
      <c r="AA778" s="387"/>
      <c r="AB778" s="248">
        <v>0.18140000000000001</v>
      </c>
      <c r="AC778" s="359">
        <v>0.60670000000000002</v>
      </c>
      <c r="AD778" s="359">
        <v>0.21190000000000001</v>
      </c>
      <c r="AE778" s="81" t="s">
        <v>47</v>
      </c>
      <c r="AF778" s="359">
        <v>3.67</v>
      </c>
      <c r="AG778" s="153"/>
      <c r="AH778" s="346">
        <v>730.61498184549805</v>
      </c>
      <c r="AI778" s="24"/>
      <c r="AJ778" s="24">
        <v>7.03</v>
      </c>
      <c r="AK778" s="24">
        <v>1.365</v>
      </c>
      <c r="AL778" s="24">
        <f>(320.5+23.1)/460.2</f>
        <v>0.74663189917427208</v>
      </c>
      <c r="AM778" s="359"/>
      <c r="AN778" s="24">
        <f t="shared" si="141"/>
        <v>268.13569833729781</v>
      </c>
      <c r="AO778" s="54">
        <f t="shared" si="133"/>
        <v>18849.939593112034</v>
      </c>
      <c r="AP778" s="261">
        <f t="shared" si="142"/>
        <v>3.67</v>
      </c>
      <c r="AQ778" s="338"/>
      <c r="AR778" s="45"/>
      <c r="AS778" s="359"/>
      <c r="AT778" s="359"/>
    </row>
    <row r="779" spans="1:46" ht="12">
      <c r="A779" s="111" t="s">
        <v>1036</v>
      </c>
      <c r="B779" s="359" t="str">
        <f t="shared" si="134"/>
        <v>Al2O3</v>
      </c>
      <c r="C779" s="141">
        <f t="shared" si="135"/>
        <v>3.64</v>
      </c>
      <c r="D779" s="277">
        <f t="shared" si="136"/>
        <v>551.30654307755503</v>
      </c>
      <c r="E779" s="20">
        <f t="shared" si="137"/>
        <v>11.08</v>
      </c>
      <c r="F779" s="20">
        <f t="shared" si="138"/>
        <v>1.8440000000000001</v>
      </c>
      <c r="G779" s="277">
        <f t="shared" si="139"/>
        <v>200.67558168023004</v>
      </c>
      <c r="H779" s="3">
        <f t="shared" si="132"/>
        <v>0.84307795698924726</v>
      </c>
      <c r="I779" s="277">
        <f t="shared" si="140"/>
        <v>22234.854450169489</v>
      </c>
      <c r="J779" s="359" t="s">
        <v>814</v>
      </c>
      <c r="K779" s="359" t="s">
        <v>1023</v>
      </c>
      <c r="L779" s="359"/>
      <c r="M779" s="338" t="s">
        <v>1035</v>
      </c>
      <c r="N779" s="89">
        <v>41326</v>
      </c>
      <c r="O779" s="359">
        <v>280</v>
      </c>
      <c r="P779" s="359" t="s">
        <v>622</v>
      </c>
      <c r="Q779" s="71"/>
      <c r="R779" s="71"/>
      <c r="S779" s="81">
        <v>800</v>
      </c>
      <c r="T779" s="81">
        <v>60</v>
      </c>
      <c r="U779" s="256">
        <v>400</v>
      </c>
      <c r="V779" s="81">
        <v>8</v>
      </c>
      <c r="W779" s="81">
        <v>26.5</v>
      </c>
      <c r="X779" s="81">
        <v>2.5</v>
      </c>
      <c r="Y779" s="256">
        <v>40</v>
      </c>
      <c r="Z779" s="71"/>
      <c r="AA779" s="387"/>
      <c r="AB779" s="248">
        <v>0.18390000000000001</v>
      </c>
      <c r="AC779" s="359">
        <v>0.60840000000000005</v>
      </c>
      <c r="AD779" s="359">
        <v>0.20780000000000001</v>
      </c>
      <c r="AE779" s="81" t="s">
        <v>47</v>
      </c>
      <c r="AF779" s="359">
        <v>3.64</v>
      </c>
      <c r="AG779" s="153"/>
      <c r="AH779" s="346">
        <v>551.30654307755503</v>
      </c>
      <c r="AI779" s="24"/>
      <c r="AJ779" s="24">
        <v>11.08</v>
      </c>
      <c r="AK779" s="24">
        <v>1.8440000000000001</v>
      </c>
      <c r="AL779" s="24">
        <f>(227.8+23.1)/297.6</f>
        <v>0.84307795698924726</v>
      </c>
      <c r="AM779" s="359"/>
      <c r="AN779" s="24">
        <f t="shared" si="141"/>
        <v>200.67558168023004</v>
      </c>
      <c r="AO779" s="54">
        <f t="shared" si="133"/>
        <v>22234.854450169489</v>
      </c>
      <c r="AP779" s="261">
        <f t="shared" si="142"/>
        <v>3.64</v>
      </c>
      <c r="AQ779" s="338"/>
      <c r="AR779" s="45"/>
      <c r="AS779" s="359"/>
      <c r="AT779" s="359"/>
    </row>
    <row r="780" spans="1:46" ht="12">
      <c r="A780" s="111" t="s">
        <v>1037</v>
      </c>
      <c r="B780" s="359" t="str">
        <f t="shared" si="134"/>
        <v>Al2O3</v>
      </c>
      <c r="C780" s="141">
        <f t="shared" si="135"/>
        <v>3.82</v>
      </c>
      <c r="D780" s="277">
        <f t="shared" si="136"/>
        <v>777.62769191052496</v>
      </c>
      <c r="E780" s="20">
        <f t="shared" si="137"/>
        <v>7.64</v>
      </c>
      <c r="F780" s="20">
        <f t="shared" si="138"/>
        <v>1.363</v>
      </c>
      <c r="G780" s="277">
        <f t="shared" si="139"/>
        <v>297.05377830982053</v>
      </c>
      <c r="H780" s="3">
        <f t="shared" si="132"/>
        <v>0.72117527862208708</v>
      </c>
      <c r="I780" s="277">
        <f t="shared" si="140"/>
        <v>22694.908662870286</v>
      </c>
      <c r="J780" s="359" t="s">
        <v>814</v>
      </c>
      <c r="K780" s="359" t="s">
        <v>1021</v>
      </c>
      <c r="L780" s="359"/>
      <c r="M780" s="338" t="s">
        <v>1035</v>
      </c>
      <c r="N780" s="89">
        <v>41326</v>
      </c>
      <c r="O780" s="359">
        <v>280</v>
      </c>
      <c r="P780" s="359" t="s">
        <v>622</v>
      </c>
      <c r="Q780" s="71"/>
      <c r="R780" s="71"/>
      <c r="S780" s="81">
        <v>800</v>
      </c>
      <c r="T780" s="81">
        <v>60</v>
      </c>
      <c r="U780" s="256">
        <v>400</v>
      </c>
      <c r="V780" s="81">
        <v>8</v>
      </c>
      <c r="W780" s="81">
        <v>26.5</v>
      </c>
      <c r="X780" s="81">
        <v>2.5</v>
      </c>
      <c r="Y780" s="256">
        <v>40</v>
      </c>
      <c r="Z780" s="71"/>
      <c r="AA780" s="387"/>
      <c r="AB780" s="248">
        <v>0.18459999999999999</v>
      </c>
      <c r="AC780" s="359">
        <v>0.59870000000000001</v>
      </c>
      <c r="AD780" s="359">
        <v>0.2167</v>
      </c>
      <c r="AE780" s="81" t="s">
        <v>47</v>
      </c>
      <c r="AF780" s="359">
        <v>3.82</v>
      </c>
      <c r="AG780" s="153"/>
      <c r="AH780" s="346">
        <v>777.62769191052496</v>
      </c>
      <c r="AI780" s="24"/>
      <c r="AJ780" s="24">
        <v>7.64</v>
      </c>
      <c r="AK780" s="24">
        <v>1.363</v>
      </c>
      <c r="AL780" s="24">
        <f>(332.9+23)/493.5</f>
        <v>0.72117527862208708</v>
      </c>
      <c r="AM780" s="359"/>
      <c r="AN780" s="24">
        <f t="shared" si="141"/>
        <v>297.05377830982053</v>
      </c>
      <c r="AO780" s="54">
        <f t="shared" si="133"/>
        <v>22694.908662870286</v>
      </c>
      <c r="AP780" s="261">
        <f t="shared" si="142"/>
        <v>3.82</v>
      </c>
      <c r="AQ780" s="338"/>
      <c r="AR780" s="45"/>
      <c r="AS780" s="359"/>
      <c r="AT780" s="359"/>
    </row>
    <row r="781" spans="1:46" ht="12">
      <c r="A781" s="111" t="s">
        <v>1038</v>
      </c>
      <c r="B781" s="359" t="str">
        <f t="shared" si="134"/>
        <v>Al2O3</v>
      </c>
      <c r="C781" s="141">
        <f t="shared" si="135"/>
        <v>3.63</v>
      </c>
      <c r="D781" s="277">
        <f t="shared" si="136"/>
        <v>600.99549849732796</v>
      </c>
      <c r="E781" s="20">
        <f t="shared" si="137"/>
        <v>10.3</v>
      </c>
      <c r="F781" s="20">
        <f t="shared" si="138"/>
        <v>1.7010000000000001</v>
      </c>
      <c r="G781" s="277">
        <f t="shared" si="139"/>
        <v>218.16136595453003</v>
      </c>
      <c r="H781" s="3">
        <f t="shared" si="132"/>
        <v>0.83200941453368649</v>
      </c>
      <c r="I781" s="277">
        <f t="shared" si="140"/>
        <v>22470.620693316596</v>
      </c>
      <c r="J781" s="359" t="s">
        <v>814</v>
      </c>
      <c r="K781" s="359" t="s">
        <v>1023</v>
      </c>
      <c r="L781" s="359"/>
      <c r="M781" s="338" t="s">
        <v>1035</v>
      </c>
      <c r="N781" s="89">
        <v>41326</v>
      </c>
      <c r="O781" s="359">
        <v>280</v>
      </c>
      <c r="P781" s="359" t="s">
        <v>622</v>
      </c>
      <c r="Q781" s="71"/>
      <c r="R781" s="71"/>
      <c r="S781" s="81">
        <v>800</v>
      </c>
      <c r="T781" s="81">
        <v>60</v>
      </c>
      <c r="U781" s="256">
        <v>400</v>
      </c>
      <c r="V781" s="81">
        <v>8</v>
      </c>
      <c r="W781" s="81">
        <v>26.5</v>
      </c>
      <c r="X781" s="81">
        <v>2.5</v>
      </c>
      <c r="Y781" s="256">
        <v>40</v>
      </c>
      <c r="Z781" s="71"/>
      <c r="AA781" s="387"/>
      <c r="AB781" s="248">
        <v>0.18049999999999999</v>
      </c>
      <c r="AC781" s="359">
        <v>0.60899999999999999</v>
      </c>
      <c r="AD781" s="359">
        <v>0.21049999999999999</v>
      </c>
      <c r="AE781" s="81" t="s">
        <v>47</v>
      </c>
      <c r="AF781" s="359">
        <v>3.63</v>
      </c>
      <c r="AG781" s="153"/>
      <c r="AH781" s="346">
        <v>600.99549849732796</v>
      </c>
      <c r="AI781" s="24"/>
      <c r="AJ781" s="24">
        <v>10.3</v>
      </c>
      <c r="AK781" s="24">
        <v>1.7010000000000001</v>
      </c>
      <c r="AL781" s="24">
        <f>(259.8+23)/339.9</f>
        <v>0.83200941453368649</v>
      </c>
      <c r="AM781" s="359"/>
      <c r="AN781" s="24">
        <f t="shared" si="141"/>
        <v>218.16136595453003</v>
      </c>
      <c r="AO781" s="54">
        <f t="shared" si="133"/>
        <v>22470.620693316596</v>
      </c>
      <c r="AP781" s="261">
        <f t="shared" si="142"/>
        <v>3.63</v>
      </c>
      <c r="AQ781" s="338"/>
      <c r="AR781" s="45"/>
      <c r="AS781" s="359"/>
      <c r="AT781" s="359"/>
    </row>
    <row r="782" spans="1:46" ht="12">
      <c r="A782" s="111" t="s">
        <v>1039</v>
      </c>
      <c r="B782" s="359" t="str">
        <f t="shared" si="134"/>
        <v>Al2O3</v>
      </c>
      <c r="C782" s="141">
        <f t="shared" si="135"/>
        <v>4.22</v>
      </c>
      <c r="D782" s="277">
        <f t="shared" si="136"/>
        <v>508.04057650917099</v>
      </c>
      <c r="E782" s="20">
        <f t="shared" si="137"/>
        <v>9.6999999999999993</v>
      </c>
      <c r="F782" s="20">
        <f t="shared" si="138"/>
        <v>1.155</v>
      </c>
      <c r="G782" s="277">
        <f t="shared" si="139"/>
        <v>214.39312328687015</v>
      </c>
      <c r="H782" s="3">
        <f t="shared" si="132"/>
        <v>0.83320950965824669</v>
      </c>
      <c r="I782" s="277">
        <f t="shared" si="140"/>
        <v>20796.132958826402</v>
      </c>
      <c r="J782" s="359" t="s">
        <v>814</v>
      </c>
      <c r="K782" s="359" t="s">
        <v>1023</v>
      </c>
      <c r="L782" s="359"/>
      <c r="M782" s="338" t="s">
        <v>1035</v>
      </c>
      <c r="N782" s="89">
        <v>41330</v>
      </c>
      <c r="O782" s="359">
        <v>281</v>
      </c>
      <c r="P782" s="359" t="s">
        <v>622</v>
      </c>
      <c r="Q782" s="71"/>
      <c r="R782" s="71"/>
      <c r="S782" s="81">
        <v>800</v>
      </c>
      <c r="T782" s="81">
        <v>69</v>
      </c>
      <c r="U782" s="256">
        <v>400</v>
      </c>
      <c r="V782" s="81">
        <v>8</v>
      </c>
      <c r="W782" s="81">
        <v>26.5</v>
      </c>
      <c r="X782" s="81">
        <v>2.5</v>
      </c>
      <c r="Y782" s="256">
        <v>40</v>
      </c>
      <c r="Z782" s="71"/>
      <c r="AA782" s="387"/>
      <c r="AB782" s="248">
        <v>0.1883</v>
      </c>
      <c r="AC782" s="359">
        <v>0.57850000000000001</v>
      </c>
      <c r="AD782" s="359">
        <v>0.23319999999999999</v>
      </c>
      <c r="AE782" s="81" t="s">
        <v>47</v>
      </c>
      <c r="AF782" s="359">
        <v>4.22</v>
      </c>
      <c r="AG782" s="153"/>
      <c r="AH782" s="346">
        <v>508.04057650917099</v>
      </c>
      <c r="AI782" s="24"/>
      <c r="AJ782" s="24">
        <v>9.6999999999999993</v>
      </c>
      <c r="AK782" s="24">
        <v>1.155</v>
      </c>
      <c r="AL782" s="24">
        <f>(201.3+23)/269.2</f>
        <v>0.83320950965824669</v>
      </c>
      <c r="AM782" s="359"/>
      <c r="AN782" s="24">
        <f t="shared" si="141"/>
        <v>214.39312328687015</v>
      </c>
      <c r="AO782" s="54">
        <f t="shared" si="133"/>
        <v>20796.132958826402</v>
      </c>
      <c r="AP782" s="261">
        <f t="shared" si="142"/>
        <v>3.669565217391304</v>
      </c>
      <c r="AQ782" s="338"/>
      <c r="AR782" s="45"/>
      <c r="AS782" s="359"/>
      <c r="AT782" s="359"/>
    </row>
    <row r="783" spans="1:46" ht="12">
      <c r="A783" s="111" t="s">
        <v>1040</v>
      </c>
      <c r="B783" s="359" t="str">
        <f t="shared" si="134"/>
        <v>Al2O3</v>
      </c>
      <c r="C783" s="141">
        <f t="shared" si="135"/>
        <v>4.0999999999999996</v>
      </c>
      <c r="D783" s="277">
        <f t="shared" si="136"/>
        <v>520.44051331949095</v>
      </c>
      <c r="E783" s="20">
        <f t="shared" si="137"/>
        <v>9.99</v>
      </c>
      <c r="F783" s="20">
        <f t="shared" si="138"/>
        <v>1.2669999999999999</v>
      </c>
      <c r="G783" s="277">
        <f t="shared" si="139"/>
        <v>213.38061046099128</v>
      </c>
      <c r="H783" s="3">
        <f t="shared" si="132"/>
        <v>0.82880338863395697</v>
      </c>
      <c r="I783" s="277">
        <f t="shared" si="140"/>
        <v>21316.722985053031</v>
      </c>
      <c r="J783" s="359" t="s">
        <v>814</v>
      </c>
      <c r="K783" s="359" t="s">
        <v>1023</v>
      </c>
      <c r="L783" s="359"/>
      <c r="M783" s="338" t="s">
        <v>1035</v>
      </c>
      <c r="N783" s="89">
        <v>41330</v>
      </c>
      <c r="O783" s="359">
        <v>281</v>
      </c>
      <c r="P783" s="359" t="s">
        <v>622</v>
      </c>
      <c r="Q783" s="71"/>
      <c r="R783" s="71"/>
      <c r="S783" s="81">
        <v>800</v>
      </c>
      <c r="T783" s="81">
        <v>69</v>
      </c>
      <c r="U783" s="256">
        <v>400</v>
      </c>
      <c r="V783" s="81">
        <v>8</v>
      </c>
      <c r="W783" s="81">
        <v>26.5</v>
      </c>
      <c r="X783" s="81">
        <v>2.5</v>
      </c>
      <c r="Y783" s="256">
        <v>40</v>
      </c>
      <c r="Z783" s="71"/>
      <c r="AA783" s="387"/>
      <c r="AB783" s="248">
        <v>0.18529999999999999</v>
      </c>
      <c r="AC783" s="359">
        <v>0.58430000000000004</v>
      </c>
      <c r="AD783" s="359">
        <v>0.23039999999999999</v>
      </c>
      <c r="AE783" s="81" t="s">
        <v>47</v>
      </c>
      <c r="AF783" s="359">
        <v>4.0999999999999996</v>
      </c>
      <c r="AG783" s="153"/>
      <c r="AH783" s="346">
        <v>520.44051331949095</v>
      </c>
      <c r="AI783" s="24"/>
      <c r="AJ783" s="24">
        <v>9.99</v>
      </c>
      <c r="AK783" s="24">
        <v>1.2669999999999999</v>
      </c>
      <c r="AL783" s="24">
        <f>(211.9+22.9)/283.3</f>
        <v>0.82880338863395697</v>
      </c>
      <c r="AM783" s="359"/>
      <c r="AN783" s="24">
        <f t="shared" si="141"/>
        <v>213.38061046099128</v>
      </c>
      <c r="AO783" s="54">
        <f t="shared" si="133"/>
        <v>21316.722985053031</v>
      </c>
      <c r="AP783" s="261">
        <f t="shared" si="142"/>
        <v>3.5652173913043477</v>
      </c>
      <c r="AQ783" s="338"/>
      <c r="AR783" s="45"/>
      <c r="AS783" s="359"/>
      <c r="AT783" s="359"/>
    </row>
    <row r="784" spans="1:46" ht="12">
      <c r="A784" s="111" t="s">
        <v>1041</v>
      </c>
      <c r="B784" s="359" t="str">
        <f t="shared" si="134"/>
        <v>MgO</v>
      </c>
      <c r="C784" s="141">
        <f t="shared" si="135"/>
        <v>5.15</v>
      </c>
      <c r="D784" s="277">
        <f t="shared" si="136"/>
        <v>584.67040183338099</v>
      </c>
      <c r="E784" s="20">
        <f t="shared" si="137"/>
        <v>7.14</v>
      </c>
      <c r="F784" s="20">
        <f t="shared" si="138"/>
        <v>1.57</v>
      </c>
      <c r="G784" s="277">
        <f t="shared" si="139"/>
        <v>301.10525694419124</v>
      </c>
      <c r="H784" s="3">
        <f t="shared" si="132"/>
        <v>0.48867924528301887</v>
      </c>
      <c r="I784" s="277">
        <f t="shared" si="140"/>
        <v>21498.915345815254</v>
      </c>
      <c r="J784" s="359" t="s">
        <v>814</v>
      </c>
      <c r="K784" s="359" t="s">
        <v>1042</v>
      </c>
      <c r="L784" s="359"/>
      <c r="M784" s="338"/>
      <c r="N784" s="89">
        <v>41331</v>
      </c>
      <c r="O784" s="359">
        <v>282</v>
      </c>
      <c r="P784" s="359" t="s">
        <v>46</v>
      </c>
      <c r="Q784" s="359"/>
      <c r="R784" s="359"/>
      <c r="S784" s="359">
        <v>20</v>
      </c>
      <c r="T784" s="359">
        <v>90</v>
      </c>
      <c r="U784" s="256">
        <v>400</v>
      </c>
      <c r="V784" s="81">
        <v>8</v>
      </c>
      <c r="W784" s="81">
        <v>26.5</v>
      </c>
      <c r="X784" s="81">
        <v>2.5</v>
      </c>
      <c r="Y784" s="256">
        <v>40</v>
      </c>
      <c r="Z784" s="71"/>
      <c r="AA784" s="387"/>
      <c r="AB784" s="248">
        <v>0.20469999999999999</v>
      </c>
      <c r="AC784" s="359">
        <v>0.53680000000000005</v>
      </c>
      <c r="AD784" s="359">
        <v>0.25850000000000001</v>
      </c>
      <c r="AE784" s="81" t="s">
        <v>47</v>
      </c>
      <c r="AF784" s="359">
        <v>5.15</v>
      </c>
      <c r="AG784" s="153"/>
      <c r="AH784" s="346">
        <v>584.67040183338099</v>
      </c>
      <c r="AI784" s="24"/>
      <c r="AJ784" s="24">
        <v>7.14</v>
      </c>
      <c r="AK784" s="24">
        <v>1.57</v>
      </c>
      <c r="AL784" s="24">
        <f>(236.1+22.9)/530</f>
        <v>0.48867924528301887</v>
      </c>
      <c r="AM784" s="359"/>
      <c r="AN784" s="24">
        <f t="shared" si="141"/>
        <v>301.10525694419124</v>
      </c>
      <c r="AO784" s="54">
        <f t="shared" si="133"/>
        <v>21498.915345815254</v>
      </c>
      <c r="AP784" s="261">
        <f t="shared" si="142"/>
        <v>3.4333333333333336</v>
      </c>
      <c r="AQ784" s="338"/>
      <c r="AR784" s="45"/>
      <c r="AS784" s="359"/>
      <c r="AT784" s="359"/>
    </row>
    <row r="785" spans="1:46" ht="12">
      <c r="A785" s="111" t="s">
        <v>1043</v>
      </c>
      <c r="B785" s="359" t="str">
        <f t="shared" si="134"/>
        <v>MgO</v>
      </c>
      <c r="C785" s="141">
        <f t="shared" si="135"/>
        <v>5.25</v>
      </c>
      <c r="D785" s="277">
        <f t="shared" si="136"/>
        <v>514.998814431509</v>
      </c>
      <c r="E785" s="20">
        <f t="shared" si="137"/>
        <v>9.8800000000000008</v>
      </c>
      <c r="F785" s="20">
        <f t="shared" si="138"/>
        <v>1.7070000000000001</v>
      </c>
      <c r="G785" s="277">
        <f t="shared" si="139"/>
        <v>270.37437757654226</v>
      </c>
      <c r="H785" s="3">
        <f t="shared" si="132"/>
        <v>0.71602244389027436</v>
      </c>
      <c r="I785" s="277">
        <f t="shared" si="140"/>
        <v>26712.988504562378</v>
      </c>
      <c r="J785" s="359" t="s">
        <v>814</v>
      </c>
      <c r="K785" s="359" t="s">
        <v>1044</v>
      </c>
      <c r="L785" s="359"/>
      <c r="M785" s="338"/>
      <c r="N785" s="89">
        <v>41331</v>
      </c>
      <c r="O785" s="359">
        <v>282</v>
      </c>
      <c r="P785" s="359" t="s">
        <v>46</v>
      </c>
      <c r="Q785" s="359"/>
      <c r="R785" s="359"/>
      <c r="S785" s="359">
        <v>20</v>
      </c>
      <c r="T785" s="359">
        <v>90</v>
      </c>
      <c r="U785" s="256">
        <v>400</v>
      </c>
      <c r="V785" s="81">
        <v>8</v>
      </c>
      <c r="W785" s="81">
        <v>26.5</v>
      </c>
      <c r="X785" s="81">
        <v>2.5</v>
      </c>
      <c r="Y785" s="256">
        <v>40</v>
      </c>
      <c r="Z785" s="71"/>
      <c r="AA785" s="387"/>
      <c r="AB785" s="248">
        <v>0.20430000000000001</v>
      </c>
      <c r="AC785" s="359">
        <v>0.53249999999999997</v>
      </c>
      <c r="AD785" s="359">
        <v>0.2631</v>
      </c>
      <c r="AE785" s="81" t="s">
        <v>47</v>
      </c>
      <c r="AF785" s="359">
        <v>5.25</v>
      </c>
      <c r="AG785" s="153"/>
      <c r="AH785" s="346">
        <v>514.998814431509</v>
      </c>
      <c r="AI785" s="24"/>
      <c r="AJ785" s="24">
        <v>9.8800000000000008</v>
      </c>
      <c r="AK785" s="24">
        <v>1.7070000000000001</v>
      </c>
      <c r="AL785" s="24">
        <f>(206.9+22.8)/320.8</f>
        <v>0.71602244389027436</v>
      </c>
      <c r="AM785" s="359"/>
      <c r="AN785" s="24">
        <f t="shared" si="141"/>
        <v>270.37437757654226</v>
      </c>
      <c r="AO785" s="54">
        <f t="shared" ref="AO785:AO804" si="143">(AF785*AH785)*AJ785</f>
        <v>26712.988504562378</v>
      </c>
      <c r="AP785" s="261">
        <f t="shared" si="142"/>
        <v>3.5</v>
      </c>
      <c r="AQ785" s="338"/>
      <c r="AR785" s="45"/>
      <c r="AS785" s="359"/>
      <c r="AT785" s="359"/>
    </row>
    <row r="786" spans="1:46" ht="12">
      <c r="A786" s="111" t="s">
        <v>1045</v>
      </c>
      <c r="B786" s="359" t="str">
        <f t="shared" si="134"/>
        <v>MgO</v>
      </c>
      <c r="C786" s="141">
        <f t="shared" si="135"/>
        <v>5.4</v>
      </c>
      <c r="D786" s="277">
        <f t="shared" si="136"/>
        <v>829.72526814956905</v>
      </c>
      <c r="E786" s="20">
        <f t="shared" si="137"/>
        <v>5.45</v>
      </c>
      <c r="F786" s="20">
        <f t="shared" si="138"/>
        <v>1.506</v>
      </c>
      <c r="G786" s="277">
        <f t="shared" si="139"/>
        <v>448.05164480076729</v>
      </c>
      <c r="H786" s="3">
        <f t="shared" si="132"/>
        <v>0.54195906432748542</v>
      </c>
      <c r="I786" s="277">
        <f t="shared" si="140"/>
        <v>24418.814641641817</v>
      </c>
      <c r="J786" s="359" t="s">
        <v>814</v>
      </c>
      <c r="K786" s="359" t="s">
        <v>1042</v>
      </c>
      <c r="L786" s="359"/>
      <c r="M786" s="338"/>
      <c r="N786" s="89">
        <v>41331</v>
      </c>
      <c r="O786" s="359">
        <v>282</v>
      </c>
      <c r="P786" s="359" t="s">
        <v>46</v>
      </c>
      <c r="Q786" s="359"/>
      <c r="R786" s="359"/>
      <c r="S786" s="359">
        <v>20</v>
      </c>
      <c r="T786" s="359">
        <v>90</v>
      </c>
      <c r="U786" s="256">
        <v>400</v>
      </c>
      <c r="V786" s="81">
        <v>8</v>
      </c>
      <c r="W786" s="81">
        <v>26.5</v>
      </c>
      <c r="X786" s="81">
        <v>2.5</v>
      </c>
      <c r="Y786" s="256">
        <v>40</v>
      </c>
      <c r="Z786" s="71"/>
      <c r="AA786" s="387"/>
      <c r="AB786" s="248">
        <v>0.20019999999999999</v>
      </c>
      <c r="AC786" s="359">
        <v>0.52600000000000002</v>
      </c>
      <c r="AD786" s="359">
        <v>0.27379999999999999</v>
      </c>
      <c r="AE786" s="81" t="s">
        <v>47</v>
      </c>
      <c r="AF786" s="359">
        <v>5.4</v>
      </c>
      <c r="AG786" s="153"/>
      <c r="AH786" s="346">
        <v>829.72526814956905</v>
      </c>
      <c r="AI786" s="24"/>
      <c r="AJ786" s="24">
        <v>5.45</v>
      </c>
      <c r="AK786" s="24">
        <v>1.506</v>
      </c>
      <c r="AL786" s="24">
        <f>(23+347.7)/684</f>
        <v>0.54195906432748542</v>
      </c>
      <c r="AM786" s="359"/>
      <c r="AN786" s="24">
        <f t="shared" si="141"/>
        <v>448.05164480076729</v>
      </c>
      <c r="AO786" s="54">
        <f t="shared" si="143"/>
        <v>24418.814641641817</v>
      </c>
      <c r="AP786" s="261">
        <f t="shared" si="142"/>
        <v>3.6</v>
      </c>
      <c r="AQ786" s="338"/>
      <c r="AR786" s="45"/>
      <c r="AS786" s="359"/>
      <c r="AT786" s="359"/>
    </row>
    <row r="787" spans="1:46" ht="12">
      <c r="A787" s="111" t="s">
        <v>1046</v>
      </c>
      <c r="B787" s="359" t="str">
        <f t="shared" si="134"/>
        <v>MgO</v>
      </c>
      <c r="C787" s="141">
        <f t="shared" si="135"/>
        <v>4.6100000000000003</v>
      </c>
      <c r="D787" s="277">
        <f t="shared" si="136"/>
        <v>304.467513191536</v>
      </c>
      <c r="E787" s="20">
        <f t="shared" si="137"/>
        <v>12.49</v>
      </c>
      <c r="F787" s="20">
        <f t="shared" si="138"/>
        <v>1.776</v>
      </c>
      <c r="G787" s="277">
        <f t="shared" si="139"/>
        <v>140.35952358129811</v>
      </c>
      <c r="H787" s="3">
        <f t="shared" si="132"/>
        <v>0.67920792079207926</v>
      </c>
      <c r="I787" s="277">
        <f t="shared" si="140"/>
        <v>17530.904495304134</v>
      </c>
      <c r="J787" s="359" t="s">
        <v>814</v>
      </c>
      <c r="K787" s="359" t="s">
        <v>1047</v>
      </c>
      <c r="L787" s="359"/>
      <c r="M787" s="338"/>
      <c r="N787" s="89">
        <v>41331</v>
      </c>
      <c r="O787" s="359">
        <v>282</v>
      </c>
      <c r="P787" s="359" t="s">
        <v>46</v>
      </c>
      <c r="Q787" s="359"/>
      <c r="R787" s="359"/>
      <c r="S787" s="359">
        <v>20</v>
      </c>
      <c r="T787" s="359">
        <v>90</v>
      </c>
      <c r="U787" s="256">
        <v>400</v>
      </c>
      <c r="V787" s="81">
        <v>8</v>
      </c>
      <c r="W787" s="81">
        <v>26.5</v>
      </c>
      <c r="X787" s="81">
        <v>2.5</v>
      </c>
      <c r="Y787" s="256">
        <v>40</v>
      </c>
      <c r="Z787" s="71"/>
      <c r="AA787" s="387"/>
      <c r="AB787" s="248">
        <v>0.19719999999999999</v>
      </c>
      <c r="AC787" s="359">
        <v>0.56189999999999996</v>
      </c>
      <c r="AD787" s="359">
        <v>0.2409</v>
      </c>
      <c r="AE787" s="81" t="s">
        <v>47</v>
      </c>
      <c r="AF787" s="359">
        <v>4.6100000000000003</v>
      </c>
      <c r="AG787" s="153"/>
      <c r="AH787" s="346">
        <v>304.467513191536</v>
      </c>
      <c r="AI787" s="24"/>
      <c r="AJ787" s="24">
        <v>12.49</v>
      </c>
      <c r="AK787" s="24">
        <v>1.776</v>
      </c>
      <c r="AL787" s="24">
        <f>(22.8+114.4)/202</f>
        <v>0.67920792079207926</v>
      </c>
      <c r="AM787" s="359"/>
      <c r="AN787" s="24">
        <f t="shared" si="141"/>
        <v>140.35952358129811</v>
      </c>
      <c r="AO787" s="54">
        <f t="shared" si="143"/>
        <v>17530.904495304134</v>
      </c>
      <c r="AP787" s="261">
        <f t="shared" si="142"/>
        <v>3.0733333333333333</v>
      </c>
      <c r="AQ787" s="338"/>
      <c r="AR787" s="45"/>
      <c r="AS787" s="359"/>
      <c r="AT787" s="359"/>
    </row>
    <row r="788" spans="1:46" ht="12">
      <c r="A788" s="111" t="s">
        <v>1048</v>
      </c>
      <c r="B788" s="359" t="str">
        <f t="shared" si="134"/>
        <v>MgO</v>
      </c>
      <c r="C788" s="141">
        <f t="shared" si="135"/>
        <v>5.27</v>
      </c>
      <c r="D788" s="277">
        <f t="shared" si="136"/>
        <v>638.01689257130602</v>
      </c>
      <c r="E788" s="20">
        <f t="shared" si="137"/>
        <v>6.88</v>
      </c>
      <c r="F788" s="20">
        <f t="shared" si="138"/>
        <v>1.68</v>
      </c>
      <c r="G788" s="277">
        <f t="shared" si="139"/>
        <v>336.23490238507827</v>
      </c>
      <c r="H788" s="3">
        <f t="shared" si="132"/>
        <v>0.52914458743376236</v>
      </c>
      <c r="I788" s="277">
        <f t="shared" si="140"/>
        <v>23132.961284093384</v>
      </c>
      <c r="J788" s="359" t="s">
        <v>814</v>
      </c>
      <c r="K788" s="359" t="s">
        <v>1049</v>
      </c>
      <c r="L788" s="359"/>
      <c r="M788" s="338"/>
      <c r="N788" s="89">
        <v>41332</v>
      </c>
      <c r="O788" s="359">
        <v>283</v>
      </c>
      <c r="P788" s="359" t="s">
        <v>46</v>
      </c>
      <c r="Q788" s="359"/>
      <c r="R788" s="359"/>
      <c r="S788" s="359">
        <v>20</v>
      </c>
      <c r="T788" s="359">
        <v>90</v>
      </c>
      <c r="U788" s="256">
        <v>400</v>
      </c>
      <c r="V788" s="81">
        <v>8</v>
      </c>
      <c r="W788" s="81">
        <v>26.5</v>
      </c>
      <c r="X788" s="81">
        <v>2.5</v>
      </c>
      <c r="Y788" s="256">
        <v>40</v>
      </c>
      <c r="Z788" s="71"/>
      <c r="AA788" s="387"/>
      <c r="AB788" s="248">
        <v>0.20610000000000001</v>
      </c>
      <c r="AC788" s="359">
        <v>0.53149999999999997</v>
      </c>
      <c r="AD788" s="359">
        <v>0.26240000000000002</v>
      </c>
      <c r="AE788" s="81" t="s">
        <v>47</v>
      </c>
      <c r="AF788" s="359">
        <v>5.27</v>
      </c>
      <c r="AG788" s="153"/>
      <c r="AH788" s="346">
        <v>638.01689257130602</v>
      </c>
      <c r="AI788" s="24"/>
      <c r="AJ788" s="24">
        <v>6.88</v>
      </c>
      <c r="AK788" s="24">
        <v>1.68</v>
      </c>
      <c r="AL788" s="24">
        <f>(23+256.6)/528.4</f>
        <v>0.52914458743376236</v>
      </c>
      <c r="AM788" s="359"/>
      <c r="AN788" s="24">
        <f t="shared" si="141"/>
        <v>336.23490238507827</v>
      </c>
      <c r="AO788" s="54">
        <f t="shared" si="143"/>
        <v>23132.961284093384</v>
      </c>
      <c r="AP788" s="261">
        <f t="shared" si="142"/>
        <v>3.5133333333333328</v>
      </c>
      <c r="AQ788" s="338"/>
      <c r="AR788" s="45"/>
      <c r="AS788" s="359"/>
      <c r="AT788" s="359"/>
    </row>
    <row r="789" spans="1:46" ht="24">
      <c r="A789" s="111" t="s">
        <v>1050</v>
      </c>
      <c r="B789" s="359" t="str">
        <f t="shared" si="134"/>
        <v>MgO</v>
      </c>
      <c r="C789" s="141">
        <f t="shared" si="135"/>
        <v>4.5999999999999996</v>
      </c>
      <c r="D789" s="277">
        <f t="shared" si="136"/>
        <v>323.20123067475402</v>
      </c>
      <c r="E789" s="20">
        <f t="shared" si="137"/>
        <v>11.39</v>
      </c>
      <c r="F789" s="20">
        <f t="shared" si="138"/>
        <v>1.357</v>
      </c>
      <c r="G789" s="277">
        <f t="shared" si="139"/>
        <v>148.67256611038684</v>
      </c>
      <c r="H789" s="3">
        <f t="shared" si="132"/>
        <v>0.64168937329700271</v>
      </c>
      <c r="I789" s="277">
        <f t="shared" si="140"/>
        <v>16933.805279973061</v>
      </c>
      <c r="J789" s="359" t="s">
        <v>814</v>
      </c>
      <c r="K789" s="359" t="s">
        <v>1051</v>
      </c>
      <c r="L789" s="359"/>
      <c r="M789" s="338"/>
      <c r="N789" s="89">
        <v>41332</v>
      </c>
      <c r="O789" s="359">
        <v>283</v>
      </c>
      <c r="P789" s="359" t="s">
        <v>46</v>
      </c>
      <c r="Q789" s="359"/>
      <c r="R789" s="359"/>
      <c r="S789" s="359">
        <v>20</v>
      </c>
      <c r="T789" s="359">
        <v>90</v>
      </c>
      <c r="U789" s="256">
        <v>400</v>
      </c>
      <c r="V789" s="81">
        <v>8</v>
      </c>
      <c r="W789" s="81">
        <v>26.5</v>
      </c>
      <c r="X789" s="81">
        <v>2.5</v>
      </c>
      <c r="Y789" s="256">
        <v>40</v>
      </c>
      <c r="Z789" s="71"/>
      <c r="AA789" s="387"/>
      <c r="AB789" s="248">
        <v>0.19539999999999999</v>
      </c>
      <c r="AC789" s="359">
        <v>0.5625</v>
      </c>
      <c r="AD789" s="359">
        <v>0.24210000000000001</v>
      </c>
      <c r="AE789" s="81" t="s">
        <v>47</v>
      </c>
      <c r="AF789" s="359">
        <v>4.5999999999999996</v>
      </c>
      <c r="AG789" s="153"/>
      <c r="AH789" s="346">
        <v>323.20123067475402</v>
      </c>
      <c r="AI789" s="24"/>
      <c r="AJ789" s="24">
        <v>11.39</v>
      </c>
      <c r="AK789" s="24">
        <v>1.357</v>
      </c>
      <c r="AL789" s="24">
        <f>(22.7+118.6)/220.2</f>
        <v>0.64168937329700271</v>
      </c>
      <c r="AM789" s="359"/>
      <c r="AN789" s="24">
        <f t="shared" si="141"/>
        <v>148.67256611038684</v>
      </c>
      <c r="AO789" s="54">
        <f t="shared" si="143"/>
        <v>16933.805279973061</v>
      </c>
      <c r="AP789" s="261">
        <f t="shared" si="142"/>
        <v>3.0666666666666664</v>
      </c>
      <c r="AQ789" s="338"/>
      <c r="AR789" s="45"/>
      <c r="AS789" s="359"/>
      <c r="AT789" s="359"/>
    </row>
    <row r="790" spans="1:46" ht="12">
      <c r="A790" s="111" t="s">
        <v>1052</v>
      </c>
      <c r="B790" s="359" t="str">
        <f t="shared" si="134"/>
        <v>MgO</v>
      </c>
      <c r="C790" s="141">
        <f t="shared" si="135"/>
        <v>5.17</v>
      </c>
      <c r="D790" s="277">
        <f t="shared" si="136"/>
        <v>604.11778474453104</v>
      </c>
      <c r="E790" s="20">
        <f t="shared" si="137"/>
        <v>7.43</v>
      </c>
      <c r="F790" s="20">
        <f t="shared" si="138"/>
        <v>1.722</v>
      </c>
      <c r="G790" s="277">
        <f t="shared" si="139"/>
        <v>312.32889471292253</v>
      </c>
      <c r="H790" s="3">
        <f t="shared" si="132"/>
        <v>0.53500203500203503</v>
      </c>
      <c r="I790" s="277">
        <f t="shared" si="140"/>
        <v>23206.036877170143</v>
      </c>
      <c r="J790" s="359" t="s">
        <v>814</v>
      </c>
      <c r="K790" s="359" t="s">
        <v>1049</v>
      </c>
      <c r="L790" s="359"/>
      <c r="M790" s="338"/>
      <c r="N790" s="89">
        <v>41332</v>
      </c>
      <c r="O790" s="359">
        <v>283</v>
      </c>
      <c r="P790" s="359" t="s">
        <v>46</v>
      </c>
      <c r="Q790" s="359"/>
      <c r="R790" s="359"/>
      <c r="S790" s="359">
        <v>20</v>
      </c>
      <c r="T790" s="359">
        <v>90</v>
      </c>
      <c r="U790" s="256">
        <v>400</v>
      </c>
      <c r="V790" s="81">
        <v>8</v>
      </c>
      <c r="W790" s="81">
        <v>26.5</v>
      </c>
      <c r="X790" s="81">
        <v>2.5</v>
      </c>
      <c r="Y790" s="256">
        <v>40</v>
      </c>
      <c r="Z790" s="71"/>
      <c r="AA790" s="387"/>
      <c r="AB790" s="248">
        <v>0.20030000000000001</v>
      </c>
      <c r="AC790" s="359">
        <v>0.53580000000000005</v>
      </c>
      <c r="AD790" s="359">
        <v>0.26379999999999998</v>
      </c>
      <c r="AE790" s="81" t="s">
        <v>47</v>
      </c>
      <c r="AF790" s="359">
        <v>5.17</v>
      </c>
      <c r="AG790" s="153"/>
      <c r="AH790" s="346">
        <v>604.11778474453104</v>
      </c>
      <c r="AI790" s="24"/>
      <c r="AJ790" s="24">
        <v>7.43</v>
      </c>
      <c r="AK790" s="24">
        <v>1.722</v>
      </c>
      <c r="AL790" s="24">
        <f>(22.8+240.1)/491.4</f>
        <v>0.53500203500203503</v>
      </c>
      <c r="AM790" s="359"/>
      <c r="AN790" s="24">
        <f t="shared" si="141"/>
        <v>312.32889471292253</v>
      </c>
      <c r="AO790" s="54">
        <f t="shared" si="143"/>
        <v>23206.036877170143</v>
      </c>
      <c r="AP790" s="261">
        <f t="shared" si="142"/>
        <v>3.4466666666666668</v>
      </c>
      <c r="AQ790" s="338"/>
      <c r="AR790" s="45"/>
      <c r="AS790" s="359"/>
      <c r="AT790" s="359"/>
    </row>
    <row r="791" spans="1:46" ht="24">
      <c r="A791" s="111" t="s">
        <v>1053</v>
      </c>
      <c r="B791" s="359" t="str">
        <f t="shared" si="134"/>
        <v>MgO</v>
      </c>
      <c r="C791" s="141">
        <f t="shared" si="135"/>
        <v>4.99</v>
      </c>
      <c r="D791" s="277">
        <f t="shared" si="136"/>
        <v>378.064260447035</v>
      </c>
      <c r="E791" s="20">
        <f t="shared" si="137"/>
        <v>12.07</v>
      </c>
      <c r="F791" s="20">
        <f t="shared" si="138"/>
        <v>1.5409999999999999</v>
      </c>
      <c r="G791" s="277">
        <f t="shared" si="139"/>
        <v>188.65406596307048</v>
      </c>
      <c r="H791" s="3">
        <f t="shared" si="132"/>
        <v>0.75834084761045994</v>
      </c>
      <c r="I791" s="277">
        <f t="shared" si="140"/>
        <v>22770.545761742607</v>
      </c>
      <c r="J791" s="359" t="s">
        <v>814</v>
      </c>
      <c r="K791" s="359" t="s">
        <v>1051</v>
      </c>
      <c r="L791" s="359"/>
      <c r="M791" s="338"/>
      <c r="N791" s="89">
        <v>41332</v>
      </c>
      <c r="O791" s="359">
        <v>283</v>
      </c>
      <c r="P791" s="359" t="s">
        <v>46</v>
      </c>
      <c r="Q791" s="359"/>
      <c r="R791" s="359"/>
      <c r="S791" s="359">
        <v>20</v>
      </c>
      <c r="T791" s="359">
        <v>90</v>
      </c>
      <c r="U791" s="256">
        <v>400</v>
      </c>
      <c r="V791" s="81">
        <v>8</v>
      </c>
      <c r="W791" s="81">
        <v>26.5</v>
      </c>
      <c r="X791" s="81">
        <v>2.5</v>
      </c>
      <c r="Y791" s="256">
        <v>40</v>
      </c>
      <c r="Z791" s="71"/>
      <c r="AA791" s="387"/>
      <c r="AB791" s="248">
        <v>0.1983</v>
      </c>
      <c r="AC791" s="359">
        <v>0.54339999999999999</v>
      </c>
      <c r="AD791" s="359">
        <v>0.25840000000000002</v>
      </c>
      <c r="AE791" s="81" t="s">
        <v>47</v>
      </c>
      <c r="AF791" s="359">
        <v>4.99</v>
      </c>
      <c r="AG791" s="153"/>
      <c r="AH791" s="346">
        <v>378.064260447035</v>
      </c>
      <c r="AI791" s="24"/>
      <c r="AJ791" s="24">
        <v>12.07</v>
      </c>
      <c r="AK791" s="24">
        <v>1.5409999999999999</v>
      </c>
      <c r="AL791" s="24">
        <f>(22.4+145.8)/221.8</f>
        <v>0.75834084761045994</v>
      </c>
      <c r="AM791" s="359"/>
      <c r="AN791" s="24">
        <f t="shared" si="141"/>
        <v>188.65406596307048</v>
      </c>
      <c r="AO791" s="54">
        <f t="shared" si="143"/>
        <v>22770.545761742607</v>
      </c>
      <c r="AP791" s="261">
        <f t="shared" si="142"/>
        <v>3.3266666666666671</v>
      </c>
      <c r="AQ791" s="338"/>
      <c r="AR791" s="45"/>
      <c r="AS791" s="359"/>
      <c r="AT791" s="359"/>
    </row>
    <row r="792" spans="1:46" ht="12">
      <c r="A792" s="111" t="s">
        <v>1054</v>
      </c>
      <c r="B792" s="359" t="str">
        <f t="shared" si="134"/>
        <v>MgO</v>
      </c>
      <c r="C792" s="141">
        <f t="shared" si="135"/>
        <v>0</v>
      </c>
      <c r="D792" s="277">
        <f t="shared" si="136"/>
        <v>21.766795551929398</v>
      </c>
      <c r="E792" s="20">
        <f t="shared" si="137"/>
        <v>16.350000000000001</v>
      </c>
      <c r="F792" s="20">
        <f t="shared" si="138"/>
        <v>0</v>
      </c>
      <c r="G792" s="277">
        <f t="shared" si="139"/>
        <v>0</v>
      </c>
      <c r="H792" s="3">
        <f t="shared" si="132"/>
        <v>0</v>
      </c>
      <c r="I792" s="277">
        <f t="shared" si="140"/>
        <v>0</v>
      </c>
      <c r="J792" s="359" t="s">
        <v>814</v>
      </c>
      <c r="K792" s="359" t="s">
        <v>1055</v>
      </c>
      <c r="L792" s="359"/>
      <c r="M792" s="338"/>
      <c r="N792" s="89">
        <v>41337</v>
      </c>
      <c r="O792" s="359">
        <v>284</v>
      </c>
      <c r="P792" s="359" t="s">
        <v>46</v>
      </c>
      <c r="Q792" s="359"/>
      <c r="R792" s="359"/>
      <c r="S792" s="359">
        <v>800</v>
      </c>
      <c r="T792" s="359">
        <v>600</v>
      </c>
      <c r="U792" s="256">
        <v>400</v>
      </c>
      <c r="V792" s="81">
        <v>8</v>
      </c>
      <c r="W792" s="81">
        <v>26.5</v>
      </c>
      <c r="X792" s="81">
        <v>2.5</v>
      </c>
      <c r="Y792" s="256">
        <v>40</v>
      </c>
      <c r="Z792" s="71"/>
      <c r="AA792" s="387"/>
      <c r="AB792" s="248"/>
      <c r="AC792" s="359"/>
      <c r="AD792" s="359"/>
      <c r="AE792" s="359"/>
      <c r="AF792" s="359"/>
      <c r="AG792" s="153"/>
      <c r="AH792" s="346">
        <v>21.766795551929398</v>
      </c>
      <c r="AI792" s="24"/>
      <c r="AJ792" s="24">
        <v>16.350000000000001</v>
      </c>
      <c r="AK792" s="24"/>
      <c r="AL792" s="24"/>
      <c r="AM792" s="359"/>
      <c r="AN792" s="24">
        <f t="shared" si="141"/>
        <v>0</v>
      </c>
      <c r="AO792" s="54">
        <f t="shared" si="143"/>
        <v>0</v>
      </c>
      <c r="AP792" s="261">
        <f t="shared" si="142"/>
        <v>0</v>
      </c>
      <c r="AQ792" s="338"/>
      <c r="AR792" s="45"/>
      <c r="AS792" s="359"/>
      <c r="AT792" s="359"/>
    </row>
    <row r="793" spans="1:46" ht="12">
      <c r="A793" s="111" t="s">
        <v>1056</v>
      </c>
      <c r="B793" s="359" t="str">
        <f t="shared" si="134"/>
        <v>MgO</v>
      </c>
      <c r="C793" s="141">
        <f t="shared" si="135"/>
        <v>0</v>
      </c>
      <c r="D793" s="277">
        <f t="shared" si="136"/>
        <v>21.766795551929398</v>
      </c>
      <c r="E793" s="20">
        <f t="shared" si="137"/>
        <v>16.23</v>
      </c>
      <c r="F793" s="20">
        <f t="shared" si="138"/>
        <v>0</v>
      </c>
      <c r="G793" s="277">
        <f t="shared" si="139"/>
        <v>0</v>
      </c>
      <c r="H793" s="3">
        <f t="shared" si="132"/>
        <v>1.0319148936170213</v>
      </c>
      <c r="I793" s="277">
        <f t="shared" si="140"/>
        <v>0</v>
      </c>
      <c r="J793" s="359" t="s">
        <v>814</v>
      </c>
      <c r="K793" s="359" t="s">
        <v>1057</v>
      </c>
      <c r="L793" s="359"/>
      <c r="M793" s="338"/>
      <c r="N793" s="89">
        <v>41337</v>
      </c>
      <c r="O793" s="359">
        <v>284</v>
      </c>
      <c r="P793" s="359" t="s">
        <v>46</v>
      </c>
      <c r="Q793" s="359"/>
      <c r="R793" s="359"/>
      <c r="S793" s="359">
        <v>800</v>
      </c>
      <c r="T793" s="359">
        <v>600</v>
      </c>
      <c r="U793" s="256">
        <v>400</v>
      </c>
      <c r="V793" s="81">
        <v>8</v>
      </c>
      <c r="W793" s="81">
        <v>26.5</v>
      </c>
      <c r="X793" s="81">
        <v>2.5</v>
      </c>
      <c r="Y793" s="256">
        <v>40</v>
      </c>
      <c r="Z793" s="71"/>
      <c r="AA793" s="387"/>
      <c r="AB793" s="248"/>
      <c r="AC793" s="359"/>
      <c r="AD793" s="359"/>
      <c r="AE793" s="359"/>
      <c r="AF793" s="359"/>
      <c r="AG793" s="153"/>
      <c r="AH793" s="346">
        <v>21.766795551929398</v>
      </c>
      <c r="AI793" s="24"/>
      <c r="AJ793" s="24">
        <v>16.23</v>
      </c>
      <c r="AK793" s="24"/>
      <c r="AL793" s="24">
        <f>(22-12.3)/9.4</f>
        <v>1.0319148936170213</v>
      </c>
      <c r="AM793" s="359"/>
      <c r="AN793" s="24">
        <f t="shared" si="141"/>
        <v>0</v>
      </c>
      <c r="AO793" s="54">
        <f t="shared" si="143"/>
        <v>0</v>
      </c>
      <c r="AP793" s="261">
        <f t="shared" si="142"/>
        <v>0</v>
      </c>
      <c r="AQ793" s="338"/>
      <c r="AR793" s="45"/>
      <c r="AS793" s="359"/>
      <c r="AT793" s="359"/>
    </row>
    <row r="794" spans="1:46" ht="12">
      <c r="A794" s="111" t="s">
        <v>1058</v>
      </c>
      <c r="B794" s="359" t="str">
        <f t="shared" si="134"/>
        <v>MgO</v>
      </c>
      <c r="C794" s="141">
        <f t="shared" si="135"/>
        <v>4.93</v>
      </c>
      <c r="D794" s="277">
        <f t="shared" si="136"/>
        <v>344.34356897724302</v>
      </c>
      <c r="E794" s="20">
        <f t="shared" si="137"/>
        <v>10.25</v>
      </c>
      <c r="F794" s="20">
        <f t="shared" si="138"/>
        <v>1.3919999999999999</v>
      </c>
      <c r="G794" s="277">
        <f t="shared" si="139"/>
        <v>169.76137950578078</v>
      </c>
      <c r="H794" s="3">
        <f t="shared" si="132"/>
        <v>0</v>
      </c>
      <c r="I794" s="277">
        <f t="shared" si="140"/>
        <v>17400.541399342532</v>
      </c>
      <c r="J794" s="359" t="s">
        <v>814</v>
      </c>
      <c r="K794" s="81" t="s">
        <v>1059</v>
      </c>
      <c r="L794" s="81"/>
      <c r="M794" s="52"/>
      <c r="N794" s="336">
        <v>41338</v>
      </c>
      <c r="O794" s="81">
        <v>285</v>
      </c>
      <c r="P794" s="81" t="s">
        <v>46</v>
      </c>
      <c r="Q794" s="81"/>
      <c r="R794" s="81"/>
      <c r="S794" s="81">
        <v>800</v>
      </c>
      <c r="T794" s="81">
        <v>90</v>
      </c>
      <c r="U794" s="256">
        <v>400</v>
      </c>
      <c r="V794" s="81">
        <v>8</v>
      </c>
      <c r="W794" s="81">
        <v>26.5</v>
      </c>
      <c r="X794" s="81">
        <v>2.5</v>
      </c>
      <c r="Y794" s="256">
        <v>40</v>
      </c>
      <c r="Z794" s="81"/>
      <c r="AA794" s="234"/>
      <c r="AB794" s="199">
        <v>0.20930000000000001</v>
      </c>
      <c r="AC794" s="81">
        <v>0.54630000000000001</v>
      </c>
      <c r="AD794" s="81">
        <v>0.24429999999999999</v>
      </c>
      <c r="AE794" s="81" t="s">
        <v>47</v>
      </c>
      <c r="AF794" s="81">
        <v>4.93</v>
      </c>
      <c r="AG794" s="95"/>
      <c r="AH794" s="97">
        <v>344.34356897724302</v>
      </c>
      <c r="AI794" s="20"/>
      <c r="AJ794" s="20">
        <v>10.25</v>
      </c>
      <c r="AK794" s="20">
        <v>1.3919999999999999</v>
      </c>
      <c r="AL794" s="20"/>
      <c r="AM794" s="81"/>
      <c r="AN794" s="24">
        <f t="shared" si="141"/>
        <v>169.76137950578078</v>
      </c>
      <c r="AO794" s="189">
        <f t="shared" si="143"/>
        <v>17400.541399342532</v>
      </c>
      <c r="AP794" s="184">
        <f t="shared" si="142"/>
        <v>3.2866666666666662</v>
      </c>
      <c r="AQ794" s="52"/>
      <c r="AR794" s="357"/>
      <c r="AS794" s="81"/>
      <c r="AT794" s="81"/>
    </row>
    <row r="795" spans="1:46" ht="12">
      <c r="A795" s="111" t="s">
        <v>1060</v>
      </c>
      <c r="B795" s="359" t="str">
        <f t="shared" si="134"/>
        <v>MgO</v>
      </c>
      <c r="C795" s="141">
        <f t="shared" si="135"/>
        <v>4.5999999999999996</v>
      </c>
      <c r="D795" s="277">
        <f t="shared" si="136"/>
        <v>265.66195554772798</v>
      </c>
      <c r="E795" s="20">
        <f t="shared" si="137"/>
        <v>12.62</v>
      </c>
      <c r="F795" s="20">
        <f t="shared" si="138"/>
        <v>1.194</v>
      </c>
      <c r="G795" s="277">
        <f t="shared" si="139"/>
        <v>122.20449955195485</v>
      </c>
      <c r="H795" s="3">
        <f t="shared" si="132"/>
        <v>0</v>
      </c>
      <c r="I795" s="277">
        <f t="shared" si="140"/>
        <v>15422.207843456703</v>
      </c>
      <c r="J795" s="359" t="s">
        <v>814</v>
      </c>
      <c r="K795" s="81" t="s">
        <v>1061</v>
      </c>
      <c r="L795" s="81"/>
      <c r="M795" s="52"/>
      <c r="N795" s="336">
        <v>41338</v>
      </c>
      <c r="O795" s="81">
        <v>285</v>
      </c>
      <c r="P795" s="81" t="s">
        <v>46</v>
      </c>
      <c r="Q795" s="81"/>
      <c r="R795" s="81"/>
      <c r="S795" s="81">
        <v>800</v>
      </c>
      <c r="T795" s="81">
        <v>90</v>
      </c>
      <c r="U795" s="256">
        <v>400</v>
      </c>
      <c r="V795" s="81">
        <v>8</v>
      </c>
      <c r="W795" s="81">
        <v>26.5</v>
      </c>
      <c r="X795" s="81">
        <v>2.5</v>
      </c>
      <c r="Y795" s="256">
        <v>40</v>
      </c>
      <c r="Z795" s="81"/>
      <c r="AA795" s="234"/>
      <c r="AB795" s="199">
        <v>0.21479999999999999</v>
      </c>
      <c r="AC795" s="81">
        <v>0.56259999999999999</v>
      </c>
      <c r="AD795" s="81">
        <v>0.22259999999999999</v>
      </c>
      <c r="AE795" s="81" t="s">
        <v>47</v>
      </c>
      <c r="AF795" s="81">
        <v>4.5999999999999996</v>
      </c>
      <c r="AG795" s="95"/>
      <c r="AH795" s="97">
        <v>265.66195554772798</v>
      </c>
      <c r="AI795" s="20"/>
      <c r="AJ795" s="20">
        <v>12.62</v>
      </c>
      <c r="AK795" s="20">
        <v>1.194</v>
      </c>
      <c r="AL795" s="20"/>
      <c r="AM795" s="81"/>
      <c r="AN795" s="24">
        <f t="shared" si="141"/>
        <v>122.20449955195485</v>
      </c>
      <c r="AO795" s="189">
        <f t="shared" si="143"/>
        <v>15422.207843456703</v>
      </c>
      <c r="AP795" s="184">
        <f t="shared" si="142"/>
        <v>3.0666666666666664</v>
      </c>
      <c r="AQ795" s="52"/>
      <c r="AR795" s="357"/>
      <c r="AS795" s="81"/>
      <c r="AT795" s="81"/>
    </row>
    <row r="796" spans="1:46" ht="12">
      <c r="A796" s="111" t="s">
        <v>1062</v>
      </c>
      <c r="B796" s="359" t="str">
        <f t="shared" si="134"/>
        <v>MgO</v>
      </c>
      <c r="C796" s="141">
        <f t="shared" si="135"/>
        <v>4.92</v>
      </c>
      <c r="D796" s="277">
        <f t="shared" si="136"/>
        <v>330.873134025024</v>
      </c>
      <c r="E796" s="20">
        <f t="shared" si="137"/>
        <v>10.67</v>
      </c>
      <c r="F796" s="20">
        <f t="shared" si="138"/>
        <v>1.337</v>
      </c>
      <c r="G796" s="277">
        <f t="shared" si="139"/>
        <v>162.78958194031182</v>
      </c>
      <c r="H796" s="3">
        <f t="shared" si="132"/>
        <v>0</v>
      </c>
      <c r="I796" s="277">
        <f t="shared" si="140"/>
        <v>17369.648393031272</v>
      </c>
      <c r="J796" s="359" t="s">
        <v>814</v>
      </c>
      <c r="K796" s="81" t="s">
        <v>1059</v>
      </c>
      <c r="L796" s="81"/>
      <c r="M796" s="52"/>
      <c r="N796" s="336">
        <v>41338</v>
      </c>
      <c r="O796" s="81">
        <v>285</v>
      </c>
      <c r="P796" s="81" t="s">
        <v>46</v>
      </c>
      <c r="Q796" s="81"/>
      <c r="R796" s="81"/>
      <c r="S796" s="81">
        <v>800</v>
      </c>
      <c r="T796" s="81">
        <v>90</v>
      </c>
      <c r="U796" s="256">
        <v>400</v>
      </c>
      <c r="V796" s="81">
        <v>8</v>
      </c>
      <c r="W796" s="81">
        <v>26.5</v>
      </c>
      <c r="X796" s="81">
        <v>2.5</v>
      </c>
      <c r="Y796" s="256">
        <v>40</v>
      </c>
      <c r="Z796" s="81"/>
      <c r="AA796" s="234"/>
      <c r="AB796" s="199">
        <v>0.21440000000000001</v>
      </c>
      <c r="AC796" s="81">
        <v>0.54710000000000003</v>
      </c>
      <c r="AD796" s="81">
        <v>0.23849999999999999</v>
      </c>
      <c r="AE796" s="81" t="s">
        <v>47</v>
      </c>
      <c r="AF796" s="81">
        <v>4.92</v>
      </c>
      <c r="AG796" s="95"/>
      <c r="AH796" s="97">
        <v>330.873134025024</v>
      </c>
      <c r="AI796" s="20"/>
      <c r="AJ796" s="20">
        <v>10.67</v>
      </c>
      <c r="AK796" s="20">
        <v>1.337</v>
      </c>
      <c r="AL796" s="20"/>
      <c r="AM796" s="81"/>
      <c r="AN796" s="24">
        <f t="shared" si="141"/>
        <v>162.78958194031182</v>
      </c>
      <c r="AO796" s="189">
        <f t="shared" si="143"/>
        <v>17369.648393031272</v>
      </c>
      <c r="AP796" s="184">
        <f t="shared" si="142"/>
        <v>3.2800000000000002</v>
      </c>
      <c r="AQ796" s="52"/>
      <c r="AR796" s="357"/>
      <c r="AS796" s="81"/>
      <c r="AT796" s="81"/>
    </row>
    <row r="797" spans="1:46" ht="12">
      <c r="A797" s="111" t="s">
        <v>1063</v>
      </c>
      <c r="B797" s="359" t="str">
        <f t="shared" si="134"/>
        <v>MgO</v>
      </c>
      <c r="C797" s="141">
        <f t="shared" si="135"/>
        <v>4.7</v>
      </c>
      <c r="D797" s="277">
        <f t="shared" si="136"/>
        <v>230.06789232961401</v>
      </c>
      <c r="E797" s="20">
        <f t="shared" si="137"/>
        <v>13.76</v>
      </c>
      <c r="F797" s="20">
        <f t="shared" si="138"/>
        <v>0.97899999999999998</v>
      </c>
      <c r="G797" s="277">
        <f t="shared" si="139"/>
        <v>108.13190939491858</v>
      </c>
      <c r="H797" s="3">
        <f t="shared" si="132"/>
        <v>0</v>
      </c>
      <c r="I797" s="277">
        <f t="shared" si="140"/>
        <v>14878.950732740796</v>
      </c>
      <c r="J797" s="359" t="s">
        <v>814</v>
      </c>
      <c r="K797" s="81" t="s">
        <v>1061</v>
      </c>
      <c r="L797" s="81"/>
      <c r="M797" s="52"/>
      <c r="N797" s="336">
        <v>41338</v>
      </c>
      <c r="O797" s="81">
        <v>285</v>
      </c>
      <c r="P797" s="81" t="s">
        <v>46</v>
      </c>
      <c r="Q797" s="81"/>
      <c r="R797" s="81"/>
      <c r="S797" s="81">
        <v>800</v>
      </c>
      <c r="T797" s="81">
        <v>90</v>
      </c>
      <c r="U797" s="256">
        <v>400</v>
      </c>
      <c r="V797" s="81">
        <v>8</v>
      </c>
      <c r="W797" s="81">
        <v>26.5</v>
      </c>
      <c r="X797" s="81">
        <v>2.5</v>
      </c>
      <c r="Y797" s="256">
        <v>40</v>
      </c>
      <c r="Z797" s="81"/>
      <c r="AA797" s="234"/>
      <c r="AB797" s="199">
        <v>0.2109</v>
      </c>
      <c r="AC797" s="81">
        <v>0.55769999999999997</v>
      </c>
      <c r="AD797" s="81">
        <v>0.23139999999999999</v>
      </c>
      <c r="AE797" s="81" t="s">
        <v>47</v>
      </c>
      <c r="AF797" s="81">
        <v>4.7</v>
      </c>
      <c r="AG797" s="95"/>
      <c r="AH797" s="97">
        <v>230.06789232961401</v>
      </c>
      <c r="AI797" s="20"/>
      <c r="AJ797" s="20">
        <v>13.76</v>
      </c>
      <c r="AK797" s="20">
        <v>0.97899999999999998</v>
      </c>
      <c r="AL797" s="20"/>
      <c r="AM797" s="81"/>
      <c r="AN797" s="24">
        <f t="shared" si="141"/>
        <v>108.13190939491858</v>
      </c>
      <c r="AO797" s="189">
        <f t="shared" si="143"/>
        <v>14878.950732740796</v>
      </c>
      <c r="AP797" s="184">
        <f t="shared" si="142"/>
        <v>3.1333333333333337</v>
      </c>
      <c r="AQ797" s="52"/>
      <c r="AR797" s="357"/>
      <c r="AS797" s="81"/>
      <c r="AT797" s="81"/>
    </row>
    <row r="798" spans="1:46" ht="24">
      <c r="A798" s="111" t="s">
        <v>1064</v>
      </c>
      <c r="B798" s="359" t="str">
        <f t="shared" si="134"/>
        <v>MgO</v>
      </c>
      <c r="C798" s="141">
        <f t="shared" si="135"/>
        <v>0</v>
      </c>
      <c r="D798" s="277">
        <f t="shared" si="136"/>
        <v>6.8422672902991</v>
      </c>
      <c r="E798" s="20">
        <f t="shared" si="137"/>
        <v>16.3</v>
      </c>
      <c r="F798" s="20">
        <f t="shared" si="138"/>
        <v>0</v>
      </c>
      <c r="G798" s="277">
        <f t="shared" si="139"/>
        <v>0</v>
      </c>
      <c r="H798" s="3">
        <f t="shared" si="132"/>
        <v>0</v>
      </c>
      <c r="I798" s="277">
        <f t="shared" si="140"/>
        <v>0</v>
      </c>
      <c r="J798" s="359" t="s">
        <v>814</v>
      </c>
      <c r="K798" s="359" t="s">
        <v>1065</v>
      </c>
      <c r="L798" s="359"/>
      <c r="M798" s="338"/>
      <c r="N798" s="89">
        <v>41341</v>
      </c>
      <c r="O798" s="359">
        <v>286</v>
      </c>
      <c r="P798" s="359" t="s">
        <v>46</v>
      </c>
      <c r="Q798" s="359"/>
      <c r="R798" s="359"/>
      <c r="S798" s="359">
        <v>800</v>
      </c>
      <c r="T798" s="359">
        <v>1500</v>
      </c>
      <c r="U798" s="256">
        <v>400</v>
      </c>
      <c r="V798" s="81">
        <v>8</v>
      </c>
      <c r="W798" s="81">
        <v>26.5</v>
      </c>
      <c r="X798" s="81">
        <v>2.5</v>
      </c>
      <c r="Y798" s="256">
        <v>40</v>
      </c>
      <c r="Z798" s="71"/>
      <c r="AA798" s="387"/>
      <c r="AB798" s="248"/>
      <c r="AC798" s="359"/>
      <c r="AD798" s="359"/>
      <c r="AE798" s="359"/>
      <c r="AF798" s="359"/>
      <c r="AG798" s="153"/>
      <c r="AH798" s="346">
        <v>6.8422672902991</v>
      </c>
      <c r="AI798" s="24"/>
      <c r="AJ798" s="24">
        <v>16.3</v>
      </c>
      <c r="AK798" s="24"/>
      <c r="AL798" s="24"/>
      <c r="AM798" s="359"/>
      <c r="AN798" s="24">
        <f t="shared" si="141"/>
        <v>0</v>
      </c>
      <c r="AO798" s="54">
        <f t="shared" si="143"/>
        <v>0</v>
      </c>
      <c r="AP798" s="261">
        <f t="shared" si="142"/>
        <v>0</v>
      </c>
      <c r="AQ798" s="338"/>
      <c r="AR798" s="45"/>
      <c r="AS798" s="359"/>
      <c r="AT798" s="359"/>
    </row>
    <row r="799" spans="1:46" ht="24">
      <c r="A799" s="111" t="s">
        <v>1066</v>
      </c>
      <c r="B799" s="359" t="str">
        <f t="shared" si="134"/>
        <v>MgO</v>
      </c>
      <c r="C799" s="141">
        <f t="shared" si="135"/>
        <v>0</v>
      </c>
      <c r="D799" s="277">
        <f t="shared" si="136"/>
        <v>7.3864371790973404</v>
      </c>
      <c r="E799" s="20">
        <f t="shared" si="137"/>
        <v>16.399999999999999</v>
      </c>
      <c r="F799" s="20">
        <f t="shared" si="138"/>
        <v>0</v>
      </c>
      <c r="G799" s="277">
        <f t="shared" si="139"/>
        <v>0</v>
      </c>
      <c r="H799" s="3">
        <f t="shared" si="132"/>
        <v>0</v>
      </c>
      <c r="I799" s="277">
        <f t="shared" si="140"/>
        <v>0</v>
      </c>
      <c r="J799" s="359" t="s">
        <v>814</v>
      </c>
      <c r="K799" s="359" t="s">
        <v>1067</v>
      </c>
      <c r="L799" s="359"/>
      <c r="M799" s="338"/>
      <c r="N799" s="89">
        <v>41341</v>
      </c>
      <c r="O799" s="359">
        <v>286</v>
      </c>
      <c r="P799" s="359" t="s">
        <v>46</v>
      </c>
      <c r="Q799" s="359"/>
      <c r="R799" s="359"/>
      <c r="S799" s="359">
        <v>800</v>
      </c>
      <c r="T799" s="359">
        <v>1500</v>
      </c>
      <c r="U799" s="256">
        <v>400</v>
      </c>
      <c r="V799" s="81">
        <v>8</v>
      </c>
      <c r="W799" s="81">
        <v>26.5</v>
      </c>
      <c r="X799" s="81">
        <v>2.5</v>
      </c>
      <c r="Y799" s="256">
        <v>40</v>
      </c>
      <c r="Z799" s="71"/>
      <c r="AA799" s="387"/>
      <c r="AB799" s="248"/>
      <c r="AC799" s="359"/>
      <c r="AD799" s="359"/>
      <c r="AE799" s="359"/>
      <c r="AF799" s="359"/>
      <c r="AG799" s="153"/>
      <c r="AH799" s="346">
        <v>7.3864371790973404</v>
      </c>
      <c r="AI799" s="24"/>
      <c r="AJ799" s="24">
        <v>16.399999999999999</v>
      </c>
      <c r="AK799" s="24"/>
      <c r="AL799" s="24"/>
      <c r="AM799" s="359"/>
      <c r="AN799" s="24">
        <f t="shared" si="141"/>
        <v>0</v>
      </c>
      <c r="AO799" s="54">
        <f t="shared" si="143"/>
        <v>0</v>
      </c>
      <c r="AP799" s="261">
        <f t="shared" si="142"/>
        <v>0</v>
      </c>
      <c r="AQ799" s="338"/>
      <c r="AR799" s="45"/>
      <c r="AS799" s="359"/>
      <c r="AT799" s="359"/>
    </row>
    <row r="800" spans="1:46" ht="24">
      <c r="A800" s="111" t="s">
        <v>1068</v>
      </c>
      <c r="B800" s="359" t="str">
        <f t="shared" si="134"/>
        <v>MgO</v>
      </c>
      <c r="C800" s="141">
        <f t="shared" si="135"/>
        <v>0</v>
      </c>
      <c r="D800" s="277">
        <f t="shared" si="136"/>
        <v>9.17060074892761</v>
      </c>
      <c r="E800" s="20">
        <f t="shared" si="137"/>
        <v>16.2</v>
      </c>
      <c r="F800" s="20">
        <f t="shared" si="138"/>
        <v>0</v>
      </c>
      <c r="G800" s="277">
        <f t="shared" si="139"/>
        <v>0</v>
      </c>
      <c r="H800" s="3">
        <f t="shared" ref="H800:H863" si="144">AL800</f>
        <v>0</v>
      </c>
      <c r="I800" s="277">
        <f t="shared" si="140"/>
        <v>0</v>
      </c>
      <c r="J800" s="359" t="s">
        <v>814</v>
      </c>
      <c r="K800" s="359" t="s">
        <v>1069</v>
      </c>
      <c r="L800" s="359"/>
      <c r="M800" s="338"/>
      <c r="N800" s="89">
        <v>41341</v>
      </c>
      <c r="O800" s="359">
        <v>286</v>
      </c>
      <c r="P800" s="359" t="s">
        <v>46</v>
      </c>
      <c r="Q800" s="359"/>
      <c r="R800" s="359"/>
      <c r="S800" s="359">
        <v>800</v>
      </c>
      <c r="T800" s="359">
        <v>1500</v>
      </c>
      <c r="U800" s="256">
        <v>400</v>
      </c>
      <c r="V800" s="81">
        <v>8</v>
      </c>
      <c r="W800" s="81">
        <v>26.5</v>
      </c>
      <c r="X800" s="81">
        <v>2.5</v>
      </c>
      <c r="Y800" s="256">
        <v>40</v>
      </c>
      <c r="Z800" s="71"/>
      <c r="AA800" s="387"/>
      <c r="AB800" s="248"/>
      <c r="AC800" s="359"/>
      <c r="AD800" s="359"/>
      <c r="AE800" s="359"/>
      <c r="AF800" s="359"/>
      <c r="AG800" s="153"/>
      <c r="AH800" s="346">
        <v>9.17060074892761</v>
      </c>
      <c r="AI800" s="24"/>
      <c r="AJ800" s="24">
        <v>16.2</v>
      </c>
      <c r="AK800" s="24"/>
      <c r="AL800" s="24"/>
      <c r="AM800" s="359"/>
      <c r="AN800" s="24">
        <f t="shared" si="141"/>
        <v>0</v>
      </c>
      <c r="AO800" s="54">
        <f t="shared" si="143"/>
        <v>0</v>
      </c>
      <c r="AP800" s="261">
        <f t="shared" si="142"/>
        <v>0</v>
      </c>
      <c r="AQ800" s="338"/>
      <c r="AR800" s="45"/>
      <c r="AS800" s="359"/>
      <c r="AT800" s="359"/>
    </row>
    <row r="801" spans="1:46" ht="12">
      <c r="A801" s="111" t="s">
        <v>1070</v>
      </c>
      <c r="B801" s="359" t="str">
        <f t="shared" si="134"/>
        <v>MgO</v>
      </c>
      <c r="C801" s="141">
        <f t="shared" si="135"/>
        <v>0</v>
      </c>
      <c r="D801" s="277">
        <f t="shared" si="136"/>
        <v>7.1009710079244996</v>
      </c>
      <c r="E801" s="20">
        <f t="shared" si="137"/>
        <v>15.09</v>
      </c>
      <c r="F801" s="20">
        <f t="shared" si="138"/>
        <v>0</v>
      </c>
      <c r="G801" s="277">
        <f t="shared" si="139"/>
        <v>0</v>
      </c>
      <c r="H801" s="3">
        <f t="shared" si="144"/>
        <v>0</v>
      </c>
      <c r="I801" s="277">
        <f t="shared" si="140"/>
        <v>0</v>
      </c>
      <c r="J801" s="359" t="s">
        <v>814</v>
      </c>
      <c r="K801" s="359" t="s">
        <v>1071</v>
      </c>
      <c r="L801" s="359"/>
      <c r="M801" s="338"/>
      <c r="N801" s="89">
        <v>41341</v>
      </c>
      <c r="O801" s="359">
        <v>286</v>
      </c>
      <c r="P801" s="359" t="s">
        <v>46</v>
      </c>
      <c r="Q801" s="359"/>
      <c r="R801" s="359"/>
      <c r="S801" s="359">
        <v>800</v>
      </c>
      <c r="T801" s="359">
        <v>1500</v>
      </c>
      <c r="U801" s="256">
        <v>400</v>
      </c>
      <c r="V801" s="81">
        <v>8</v>
      </c>
      <c r="W801" s="81">
        <v>26.5</v>
      </c>
      <c r="X801" s="81">
        <v>2.5</v>
      </c>
      <c r="Y801" s="256">
        <v>40</v>
      </c>
      <c r="Z801" s="71"/>
      <c r="AA801" s="387"/>
      <c r="AB801" s="248"/>
      <c r="AC801" s="359"/>
      <c r="AD801" s="359"/>
      <c r="AE801" s="359"/>
      <c r="AF801" s="359"/>
      <c r="AG801" s="153"/>
      <c r="AH801" s="346">
        <v>7.1009710079244996</v>
      </c>
      <c r="AI801" s="24"/>
      <c r="AJ801" s="24">
        <v>15.09</v>
      </c>
      <c r="AK801" s="24"/>
      <c r="AL801" s="24"/>
      <c r="AM801" s="359"/>
      <c r="AN801" s="24">
        <f t="shared" si="141"/>
        <v>0</v>
      </c>
      <c r="AO801" s="54">
        <f t="shared" si="143"/>
        <v>0</v>
      </c>
      <c r="AP801" s="261">
        <f t="shared" si="142"/>
        <v>0</v>
      </c>
      <c r="AQ801" s="338"/>
      <c r="AR801" s="45"/>
      <c r="AS801" s="359"/>
      <c r="AT801" s="359"/>
    </row>
    <row r="802" spans="1:46" ht="24">
      <c r="A802" s="111" t="s">
        <v>1072</v>
      </c>
      <c r="B802" s="359" t="str">
        <f t="shared" si="134"/>
        <v>MgO</v>
      </c>
      <c r="C802" s="141">
        <f t="shared" si="135"/>
        <v>0</v>
      </c>
      <c r="D802" s="277">
        <f t="shared" si="136"/>
        <v>8.5193810459395607</v>
      </c>
      <c r="E802" s="20">
        <f t="shared" si="137"/>
        <v>15.17</v>
      </c>
      <c r="F802" s="20">
        <f t="shared" si="138"/>
        <v>0</v>
      </c>
      <c r="G802" s="277">
        <f t="shared" si="139"/>
        <v>0</v>
      </c>
      <c r="H802" s="3">
        <f t="shared" si="144"/>
        <v>0</v>
      </c>
      <c r="I802" s="277">
        <f t="shared" si="140"/>
        <v>0</v>
      </c>
      <c r="J802" s="359" t="s">
        <v>814</v>
      </c>
      <c r="K802" s="359" t="s">
        <v>1073</v>
      </c>
      <c r="L802" s="359"/>
      <c r="M802" s="338"/>
      <c r="N802" s="89">
        <v>41341</v>
      </c>
      <c r="O802" s="359">
        <v>286</v>
      </c>
      <c r="P802" s="359" t="s">
        <v>46</v>
      </c>
      <c r="Q802" s="359"/>
      <c r="R802" s="359"/>
      <c r="S802" s="359">
        <v>800</v>
      </c>
      <c r="T802" s="359">
        <v>1500</v>
      </c>
      <c r="U802" s="256">
        <v>400</v>
      </c>
      <c r="V802" s="81">
        <v>8</v>
      </c>
      <c r="W802" s="81">
        <v>26.5</v>
      </c>
      <c r="X802" s="81">
        <v>2.5</v>
      </c>
      <c r="Y802" s="256">
        <v>40</v>
      </c>
      <c r="Z802" s="71"/>
      <c r="AA802" s="387"/>
      <c r="AB802" s="248"/>
      <c r="AC802" s="359"/>
      <c r="AD802" s="359"/>
      <c r="AE802" s="359"/>
      <c r="AF802" s="359"/>
      <c r="AG802" s="153"/>
      <c r="AH802" s="346">
        <v>8.5193810459395607</v>
      </c>
      <c r="AI802" s="24"/>
      <c r="AJ802" s="24">
        <v>15.17</v>
      </c>
      <c r="AK802" s="24"/>
      <c r="AL802" s="24"/>
      <c r="AM802" s="359"/>
      <c r="AN802" s="24">
        <f t="shared" si="141"/>
        <v>0</v>
      </c>
      <c r="AO802" s="54">
        <f t="shared" si="143"/>
        <v>0</v>
      </c>
      <c r="AP802" s="261">
        <f t="shared" si="142"/>
        <v>0</v>
      </c>
      <c r="AQ802" s="338"/>
      <c r="AR802" s="45"/>
      <c r="AS802" s="359"/>
      <c r="AT802" s="359"/>
    </row>
    <row r="803" spans="1:46" ht="12">
      <c r="A803" s="111" t="s">
        <v>1074</v>
      </c>
      <c r="B803" s="359" t="str">
        <f t="shared" si="134"/>
        <v>MgO</v>
      </c>
      <c r="C803" s="141">
        <f t="shared" si="135"/>
        <v>3.97</v>
      </c>
      <c r="D803" s="277">
        <f t="shared" si="136"/>
        <v>249.42606706227201</v>
      </c>
      <c r="E803" s="20">
        <f t="shared" si="137"/>
        <v>11.717000000000001</v>
      </c>
      <c r="F803" s="20">
        <f t="shared" si="138"/>
        <v>0.69199999999999995</v>
      </c>
      <c r="G803" s="277">
        <f t="shared" si="139"/>
        <v>99.022148623721989</v>
      </c>
      <c r="H803" s="3">
        <f t="shared" si="144"/>
        <v>0.97097625329815307</v>
      </c>
      <c r="I803" s="277">
        <f t="shared" si="140"/>
        <v>11602.425154241506</v>
      </c>
      <c r="J803" s="81" t="s">
        <v>814</v>
      </c>
      <c r="K803" s="81" t="s">
        <v>1075</v>
      </c>
      <c r="L803" s="81"/>
      <c r="M803" s="52"/>
      <c r="N803" s="336">
        <v>41345</v>
      </c>
      <c r="O803" s="81">
        <v>287</v>
      </c>
      <c r="P803" s="81" t="s">
        <v>46</v>
      </c>
      <c r="Q803" s="81"/>
      <c r="R803" s="81"/>
      <c r="S803" s="81">
        <v>800</v>
      </c>
      <c r="T803" s="81">
        <v>68</v>
      </c>
      <c r="U803" s="256">
        <v>400</v>
      </c>
      <c r="V803" s="81">
        <v>5.3</v>
      </c>
      <c r="W803" s="81">
        <v>26.5</v>
      </c>
      <c r="X803" s="81">
        <v>3.2</v>
      </c>
      <c r="Y803" s="256">
        <v>40</v>
      </c>
      <c r="Z803" s="81"/>
      <c r="AA803" s="234"/>
      <c r="AB803" s="199">
        <v>0.18140000000000001</v>
      </c>
      <c r="AC803" s="81">
        <v>0.59340000000000004</v>
      </c>
      <c r="AD803" s="81">
        <v>0.2253</v>
      </c>
      <c r="AE803" s="81" t="s">
        <v>47</v>
      </c>
      <c r="AF803" s="81">
        <v>3.97</v>
      </c>
      <c r="AG803" s="95"/>
      <c r="AH803" s="97">
        <v>249.42606706227201</v>
      </c>
      <c r="AI803" s="20"/>
      <c r="AJ803" s="20">
        <v>11.717000000000001</v>
      </c>
      <c r="AK803" s="20">
        <v>0.69199999999999995</v>
      </c>
      <c r="AL803" s="20">
        <f>(88.4+22)/113.7</f>
        <v>0.97097625329815307</v>
      </c>
      <c r="AM803" s="81"/>
      <c r="AN803" s="24">
        <f t="shared" si="141"/>
        <v>99.022148623721989</v>
      </c>
      <c r="AO803" s="189">
        <f t="shared" si="143"/>
        <v>11602.425154241506</v>
      </c>
      <c r="AP803" s="184">
        <f t="shared" si="142"/>
        <v>3.5029411764705887</v>
      </c>
      <c r="AQ803" s="52"/>
      <c r="AR803" s="357"/>
      <c r="AS803" s="81"/>
      <c r="AT803" s="81"/>
    </row>
    <row r="804" spans="1:46" ht="12">
      <c r="A804" s="111" t="s">
        <v>1076</v>
      </c>
      <c r="B804" s="359" t="str">
        <f t="shared" si="134"/>
        <v>MgO</v>
      </c>
      <c r="C804" s="141">
        <f t="shared" si="135"/>
        <v>4.29</v>
      </c>
      <c r="D804" s="277">
        <f t="shared" si="136"/>
        <v>266.19720461867701</v>
      </c>
      <c r="E804" s="20">
        <f t="shared" si="137"/>
        <v>12.018000000000001</v>
      </c>
      <c r="F804" s="20">
        <f t="shared" si="138"/>
        <v>0.71</v>
      </c>
      <c r="G804" s="277">
        <f t="shared" si="139"/>
        <v>114.19860078141244</v>
      </c>
      <c r="H804" s="3">
        <f t="shared" si="144"/>
        <v>0.95792880258899682</v>
      </c>
      <c r="I804" s="277">
        <f t="shared" si="140"/>
        <v>13724.387841910147</v>
      </c>
      <c r="J804" s="81" t="s">
        <v>814</v>
      </c>
      <c r="K804" s="81" t="s">
        <v>1075</v>
      </c>
      <c r="L804" s="81"/>
      <c r="M804" s="52"/>
      <c r="N804" s="336">
        <v>41345</v>
      </c>
      <c r="O804" s="81">
        <v>287</v>
      </c>
      <c r="P804" s="81" t="s">
        <v>46</v>
      </c>
      <c r="Q804" s="81"/>
      <c r="R804" s="81"/>
      <c r="S804" s="81">
        <v>800</v>
      </c>
      <c r="T804" s="81">
        <v>68</v>
      </c>
      <c r="U804" s="256">
        <v>400</v>
      </c>
      <c r="V804" s="81">
        <v>5.3</v>
      </c>
      <c r="W804" s="81">
        <v>26.5</v>
      </c>
      <c r="X804" s="81">
        <v>3.2</v>
      </c>
      <c r="Y804" s="256">
        <v>40</v>
      </c>
      <c r="Z804" s="81"/>
      <c r="AA804" s="234"/>
      <c r="AB804" s="199">
        <v>0.19470000000000001</v>
      </c>
      <c r="AC804" s="81">
        <v>0.57769999999999999</v>
      </c>
      <c r="AD804" s="81">
        <v>0.2276</v>
      </c>
      <c r="AE804" s="81" t="s">
        <v>47</v>
      </c>
      <c r="AF804" s="81">
        <v>4.29</v>
      </c>
      <c r="AG804" s="95"/>
      <c r="AH804" s="97">
        <v>266.19720461867701</v>
      </c>
      <c r="AI804" s="20"/>
      <c r="AJ804" s="20">
        <v>12.018000000000001</v>
      </c>
      <c r="AK804" s="20">
        <v>0.71</v>
      </c>
      <c r="AL804" s="394">
        <f>(96.4+22)/123.6</f>
        <v>0.95792880258899682</v>
      </c>
      <c r="AM804" s="81"/>
      <c r="AN804" s="24">
        <f t="shared" si="141"/>
        <v>114.19860078141244</v>
      </c>
      <c r="AO804" s="189">
        <f t="shared" si="143"/>
        <v>13724.387841910147</v>
      </c>
      <c r="AP804" s="184">
        <f t="shared" si="142"/>
        <v>3.7852941176470591</v>
      </c>
      <c r="AQ804" s="52"/>
      <c r="AR804" s="357"/>
      <c r="AS804" s="81"/>
      <c r="AT804" s="81"/>
    </row>
    <row r="805" spans="1:46" ht="12">
      <c r="A805" s="111" t="s">
        <v>1077</v>
      </c>
      <c r="B805" s="359" t="str">
        <f t="shared" si="134"/>
        <v>MgO</v>
      </c>
      <c r="C805" s="141">
        <f t="shared" si="135"/>
        <v>0</v>
      </c>
      <c r="D805" s="277">
        <f t="shared" si="136"/>
        <v>292.00810426222199</v>
      </c>
      <c r="E805" s="20">
        <f t="shared" si="137"/>
        <v>0</v>
      </c>
      <c r="F805" s="20">
        <f t="shared" si="138"/>
        <v>0</v>
      </c>
      <c r="G805" s="277">
        <f t="shared" si="139"/>
        <v>0</v>
      </c>
      <c r="H805" s="3">
        <f t="shared" si="144"/>
        <v>0</v>
      </c>
      <c r="I805" s="277">
        <f t="shared" si="140"/>
        <v>0</v>
      </c>
      <c r="J805" s="81" t="s">
        <v>814</v>
      </c>
      <c r="K805" s="81" t="s">
        <v>1075</v>
      </c>
      <c r="L805" s="81"/>
      <c r="M805" s="52"/>
      <c r="N805" s="336">
        <v>41345</v>
      </c>
      <c r="O805" s="81">
        <v>287</v>
      </c>
      <c r="P805" s="81" t="s">
        <v>46</v>
      </c>
      <c r="Q805" s="81"/>
      <c r="R805" s="81"/>
      <c r="S805" s="81">
        <v>800</v>
      </c>
      <c r="T805" s="81">
        <v>68</v>
      </c>
      <c r="U805" s="256">
        <v>400</v>
      </c>
      <c r="V805" s="81">
        <v>5.3</v>
      </c>
      <c r="W805" s="81">
        <v>26.5</v>
      </c>
      <c r="X805" s="81">
        <v>3.2</v>
      </c>
      <c r="Y805" s="256">
        <v>40</v>
      </c>
      <c r="Z805" s="81"/>
      <c r="AA805" s="234"/>
      <c r="AB805" s="199"/>
      <c r="AC805" s="81"/>
      <c r="AD805" s="81"/>
      <c r="AE805" s="81"/>
      <c r="AF805" s="81"/>
      <c r="AG805" s="95"/>
      <c r="AH805" s="97">
        <v>292.00810426222199</v>
      </c>
      <c r="AI805" s="20"/>
      <c r="AJ805" s="378">
        <v>0</v>
      </c>
      <c r="AK805" s="20"/>
      <c r="AL805" s="20"/>
      <c r="AM805" s="81"/>
      <c r="AN805" s="24">
        <f t="shared" si="141"/>
        <v>0</v>
      </c>
      <c r="AO805" s="189">
        <f>(AF805*AH805)*AJ806</f>
        <v>0</v>
      </c>
      <c r="AP805" s="184">
        <f t="shared" si="142"/>
        <v>0</v>
      </c>
      <c r="AQ805" s="52"/>
      <c r="AR805" s="357"/>
      <c r="AS805" s="81"/>
      <c r="AT805" s="81"/>
    </row>
    <row r="806" spans="1:46" ht="12">
      <c r="A806" s="111" t="s">
        <v>1078</v>
      </c>
      <c r="B806" s="359" t="str">
        <f t="shared" si="134"/>
        <v>MgO</v>
      </c>
      <c r="C806" s="141">
        <f t="shared" si="135"/>
        <v>4.07</v>
      </c>
      <c r="D806" s="277">
        <f t="shared" si="136"/>
        <v>270.241308710292</v>
      </c>
      <c r="E806" s="20">
        <f t="shared" si="137"/>
        <v>10.91</v>
      </c>
      <c r="F806" s="20">
        <f t="shared" si="138"/>
        <v>0.78</v>
      </c>
      <c r="G806" s="277">
        <f t="shared" si="139"/>
        <v>109.98821264508885</v>
      </c>
      <c r="H806" s="3">
        <f t="shared" si="144"/>
        <v>0.95032051282051277</v>
      </c>
      <c r="I806" s="277">
        <f t="shared" si="140"/>
        <v>11999.713999579195</v>
      </c>
      <c r="J806" s="81" t="s">
        <v>814</v>
      </c>
      <c r="K806" s="81" t="s">
        <v>1075</v>
      </c>
      <c r="L806" s="81"/>
      <c r="M806" s="52"/>
      <c r="N806" s="336">
        <v>41345</v>
      </c>
      <c r="O806" s="81">
        <v>287</v>
      </c>
      <c r="P806" s="81" t="s">
        <v>46</v>
      </c>
      <c r="Q806" s="81"/>
      <c r="R806" s="81"/>
      <c r="S806" s="81">
        <v>800</v>
      </c>
      <c r="T806" s="81">
        <v>68</v>
      </c>
      <c r="U806" s="256">
        <v>400</v>
      </c>
      <c r="V806" s="81">
        <v>5.3</v>
      </c>
      <c r="W806" s="81">
        <v>26.5</v>
      </c>
      <c r="X806" s="81">
        <v>3.2</v>
      </c>
      <c r="Y806" s="256">
        <v>40</v>
      </c>
      <c r="Z806" s="81"/>
      <c r="AA806" s="234"/>
      <c r="AB806" s="199">
        <v>0.1883</v>
      </c>
      <c r="AC806" s="81">
        <v>0.58840000000000003</v>
      </c>
      <c r="AD806" s="81">
        <v>0.2233</v>
      </c>
      <c r="AE806" s="81" t="s">
        <v>47</v>
      </c>
      <c r="AF806" s="81">
        <v>4.07</v>
      </c>
      <c r="AG806" s="95"/>
      <c r="AH806" s="97">
        <v>270.241308710292</v>
      </c>
      <c r="AI806" s="20"/>
      <c r="AJ806" s="20">
        <v>10.91</v>
      </c>
      <c r="AK806" s="20">
        <v>0.78</v>
      </c>
      <c r="AL806" s="20">
        <f>(96.6+22)/124.8</f>
        <v>0.95032051282051277</v>
      </c>
      <c r="AM806" s="81"/>
      <c r="AN806" s="24">
        <f t="shared" si="141"/>
        <v>109.98821264508885</v>
      </c>
      <c r="AO806" s="189">
        <f>(AF806*AH806)*AJ806</f>
        <v>11999.713999579195</v>
      </c>
      <c r="AP806" s="184">
        <f t="shared" si="142"/>
        <v>3.5911764705882359</v>
      </c>
      <c r="AQ806" s="52"/>
      <c r="AR806" s="357"/>
      <c r="AS806" s="81"/>
      <c r="AT806" s="81"/>
    </row>
    <row r="807" spans="1:46" ht="12">
      <c r="A807" s="111" t="s">
        <v>1079</v>
      </c>
      <c r="B807" s="359" t="str">
        <f t="shared" si="134"/>
        <v>MgO</v>
      </c>
      <c r="C807" s="141">
        <f t="shared" si="135"/>
        <v>3.94</v>
      </c>
      <c r="D807" s="277">
        <f t="shared" si="136"/>
        <v>269.17081056839402</v>
      </c>
      <c r="E807" s="20">
        <f t="shared" si="137"/>
        <v>11.337999999999999</v>
      </c>
      <c r="F807" s="20">
        <f t="shared" si="138"/>
        <v>0.61399999999999999</v>
      </c>
      <c r="G807" s="277">
        <f t="shared" si="139"/>
        <v>106.05329936394723</v>
      </c>
      <c r="H807" s="3">
        <f t="shared" si="144"/>
        <v>0.94875776397515521</v>
      </c>
      <c r="I807" s="277">
        <f t="shared" si="140"/>
        <v>12024.323081884337</v>
      </c>
      <c r="J807" s="81" t="s">
        <v>814</v>
      </c>
      <c r="K807" s="81" t="s">
        <v>1075</v>
      </c>
      <c r="L807" s="81"/>
      <c r="M807" s="52"/>
      <c r="N807" s="336">
        <v>41345</v>
      </c>
      <c r="O807" s="81">
        <v>287</v>
      </c>
      <c r="P807" s="81" t="s">
        <v>46</v>
      </c>
      <c r="Q807" s="81"/>
      <c r="R807" s="81"/>
      <c r="S807" s="81">
        <v>800</v>
      </c>
      <c r="T807" s="81">
        <v>68</v>
      </c>
      <c r="U807" s="256">
        <v>400</v>
      </c>
      <c r="V807" s="81">
        <v>5.3</v>
      </c>
      <c r="W807" s="81">
        <v>26.5</v>
      </c>
      <c r="X807" s="81">
        <v>3.2</v>
      </c>
      <c r="Y807" s="256">
        <v>40</v>
      </c>
      <c r="Z807" s="81"/>
      <c r="AA807" s="234"/>
      <c r="AB807" s="199">
        <v>0.18790000000000001</v>
      </c>
      <c r="AC807" s="81">
        <v>0.59509999999999996</v>
      </c>
      <c r="AD807" s="81">
        <v>0.217</v>
      </c>
      <c r="AE807" s="81" t="s">
        <v>47</v>
      </c>
      <c r="AF807" s="81">
        <v>3.94</v>
      </c>
      <c r="AG807" s="95"/>
      <c r="AH807" s="97">
        <v>269.17081056839402</v>
      </c>
      <c r="AI807" s="20"/>
      <c r="AJ807" s="20">
        <v>11.337999999999999</v>
      </c>
      <c r="AK807" s="20">
        <v>0.61399999999999999</v>
      </c>
      <c r="AL807" s="20">
        <f>(100.2+22)/128.8</f>
        <v>0.94875776397515521</v>
      </c>
      <c r="AM807" s="81"/>
      <c r="AN807" s="24">
        <f t="shared" si="141"/>
        <v>106.05329936394723</v>
      </c>
      <c r="AO807" s="189">
        <f>(AF807*AH807)*AJ807</f>
        <v>12024.323081884337</v>
      </c>
      <c r="AP807" s="184">
        <f t="shared" si="142"/>
        <v>3.4764705882352938</v>
      </c>
      <c r="AQ807" s="52"/>
      <c r="AR807" s="357"/>
      <c r="AS807" s="81"/>
      <c r="AT807" s="81"/>
    </row>
    <row r="808" spans="1:46" ht="12">
      <c r="A808" s="111" t="s">
        <v>1080</v>
      </c>
      <c r="B808" s="359" t="str">
        <f t="shared" si="134"/>
        <v>MgO</v>
      </c>
      <c r="C808" s="141">
        <f t="shared" si="135"/>
        <v>0</v>
      </c>
      <c r="D808" s="277">
        <f t="shared" si="136"/>
        <v>298.787925827577</v>
      </c>
      <c r="E808" s="20">
        <f t="shared" si="137"/>
        <v>5.01</v>
      </c>
      <c r="F808" s="20">
        <f t="shared" si="138"/>
        <v>0.98799999999999999</v>
      </c>
      <c r="G808" s="277">
        <f t="shared" si="139"/>
        <v>0</v>
      </c>
      <c r="H808" s="3">
        <f t="shared" si="144"/>
        <v>0.90434782608695652</v>
      </c>
      <c r="I808" s="277">
        <f t="shared" si="140"/>
        <v>0</v>
      </c>
      <c r="J808" s="81" t="s">
        <v>814</v>
      </c>
      <c r="K808" s="81" t="s">
        <v>1075</v>
      </c>
      <c r="L808" s="81"/>
      <c r="M808" s="52"/>
      <c r="N808" s="336">
        <v>41345</v>
      </c>
      <c r="O808" s="81">
        <v>287</v>
      </c>
      <c r="P808" s="81" t="s">
        <v>46</v>
      </c>
      <c r="Q808" s="81"/>
      <c r="R808" s="81"/>
      <c r="S808" s="81">
        <v>800</v>
      </c>
      <c r="T808" s="81">
        <v>68</v>
      </c>
      <c r="U808" s="256">
        <v>400</v>
      </c>
      <c r="V808" s="81">
        <v>5.3</v>
      </c>
      <c r="W808" s="81">
        <v>26.5</v>
      </c>
      <c r="X808" s="81">
        <v>3.2</v>
      </c>
      <c r="Y808" s="256">
        <v>40</v>
      </c>
      <c r="Z808" s="81"/>
      <c r="AA808" s="234"/>
      <c r="AB808" s="199"/>
      <c r="AC808" s="81"/>
      <c r="AD808" s="81"/>
      <c r="AE808" s="81"/>
      <c r="AF808" s="81"/>
      <c r="AG808" s="95"/>
      <c r="AH808" s="97">
        <v>298.787925827577</v>
      </c>
      <c r="AI808" s="20"/>
      <c r="AJ808" s="20">
        <v>5.01</v>
      </c>
      <c r="AK808" s="20">
        <v>0.98799999999999999</v>
      </c>
      <c r="AL808" s="20">
        <f>(117.4+23)/(132.25+23)</f>
        <v>0.90434782608695652</v>
      </c>
      <c r="AM808" s="81"/>
      <c r="AN808" s="24">
        <f t="shared" si="141"/>
        <v>0</v>
      </c>
      <c r="AO808" s="189">
        <f>(AF808*AH808)*AJ808</f>
        <v>0</v>
      </c>
      <c r="AP808" s="184">
        <f t="shared" si="142"/>
        <v>0</v>
      </c>
      <c r="AQ808" s="52"/>
      <c r="AR808" s="357"/>
      <c r="AS808" s="81"/>
      <c r="AT808" s="81"/>
    </row>
    <row r="809" spans="1:46" ht="24">
      <c r="A809" s="111" t="s">
        <v>1081</v>
      </c>
      <c r="B809" s="359" t="str">
        <f t="shared" si="134"/>
        <v>SiNx</v>
      </c>
      <c r="C809" s="141">
        <f t="shared" si="135"/>
        <v>0</v>
      </c>
      <c r="D809" s="277">
        <f t="shared" si="136"/>
        <v>498.49530141057897</v>
      </c>
      <c r="E809" s="20">
        <f t="shared" si="137"/>
        <v>9.23</v>
      </c>
      <c r="F809" s="20">
        <f t="shared" si="138"/>
        <v>1.502</v>
      </c>
      <c r="G809" s="277">
        <f t="shared" si="139"/>
        <v>0</v>
      </c>
      <c r="H809" s="3">
        <f t="shared" si="144"/>
        <v>0.72595520421607374</v>
      </c>
      <c r="I809" s="277">
        <f t="shared" si="140"/>
        <v>0</v>
      </c>
      <c r="J809" s="359" t="s">
        <v>1082</v>
      </c>
      <c r="K809" s="359" t="s">
        <v>1083</v>
      </c>
      <c r="L809" s="359"/>
      <c r="M809" s="338"/>
      <c r="N809" s="89">
        <v>41347</v>
      </c>
      <c r="O809" s="359">
        <v>288</v>
      </c>
      <c r="P809" s="359" t="s">
        <v>187</v>
      </c>
      <c r="Q809" s="359"/>
      <c r="R809" s="359"/>
      <c r="S809" s="359">
        <v>800</v>
      </c>
      <c r="T809" s="359">
        <v>69</v>
      </c>
      <c r="U809" s="67">
        <v>400</v>
      </c>
      <c r="V809" s="359">
        <v>8</v>
      </c>
      <c r="W809" s="359">
        <v>26.5</v>
      </c>
      <c r="X809" s="359">
        <v>2.5</v>
      </c>
      <c r="Y809" s="67">
        <v>40</v>
      </c>
      <c r="Z809" s="359"/>
      <c r="AA809" s="210"/>
      <c r="AB809" s="248"/>
      <c r="AC809" s="359"/>
      <c r="AD809" s="359"/>
      <c r="AE809" s="359"/>
      <c r="AF809" s="359"/>
      <c r="AG809" s="153"/>
      <c r="AH809" s="346">
        <v>498.49530141057897</v>
      </c>
      <c r="AI809" s="24"/>
      <c r="AJ809" s="24">
        <v>9.23</v>
      </c>
      <c r="AK809" s="24">
        <v>1.502</v>
      </c>
      <c r="AL809" s="24">
        <f>(197.1+23.3)/303.6</f>
        <v>0.72595520421607374</v>
      </c>
      <c r="AM809" s="359"/>
      <c r="AN809" s="24">
        <f t="shared" si="141"/>
        <v>0</v>
      </c>
      <c r="AO809" s="54">
        <f>(AF809*AH809)*AJ809</f>
        <v>0</v>
      </c>
      <c r="AP809" s="261">
        <f t="shared" si="142"/>
        <v>0</v>
      </c>
      <c r="AQ809" s="338"/>
      <c r="AR809" s="45"/>
      <c r="AS809" s="359"/>
      <c r="AT809" s="359"/>
    </row>
    <row r="810" spans="1:46" ht="24">
      <c r="A810" s="111" t="s">
        <v>1084</v>
      </c>
      <c r="B810" s="359" t="str">
        <f t="shared" si="134"/>
        <v>SiNx</v>
      </c>
      <c r="C810" s="141">
        <f t="shared" si="135"/>
        <v>0</v>
      </c>
      <c r="D810" s="277">
        <f t="shared" si="136"/>
        <v>491.35864713125801</v>
      </c>
      <c r="E810" s="20">
        <f t="shared" si="137"/>
        <v>9.25</v>
      </c>
      <c r="F810" s="20">
        <f t="shared" si="138"/>
        <v>1.5229999999999999</v>
      </c>
      <c r="G810" s="277">
        <f t="shared" si="139"/>
        <v>0</v>
      </c>
      <c r="H810" s="3">
        <f t="shared" si="144"/>
        <v>0.72700490998363343</v>
      </c>
      <c r="I810" s="277">
        <f t="shared" si="140"/>
        <v>0</v>
      </c>
      <c r="J810" s="359" t="s">
        <v>1082</v>
      </c>
      <c r="K810" s="359" t="s">
        <v>1085</v>
      </c>
      <c r="L810" s="359"/>
      <c r="M810" s="338"/>
      <c r="N810" s="89">
        <v>41347</v>
      </c>
      <c r="O810" s="359">
        <v>288</v>
      </c>
      <c r="P810" s="359" t="s">
        <v>187</v>
      </c>
      <c r="Q810" s="359"/>
      <c r="R810" s="359"/>
      <c r="S810" s="359">
        <v>800</v>
      </c>
      <c r="T810" s="359">
        <v>69</v>
      </c>
      <c r="U810" s="67">
        <v>400</v>
      </c>
      <c r="V810" s="359">
        <v>8</v>
      </c>
      <c r="W810" s="359">
        <v>26.5</v>
      </c>
      <c r="X810" s="359">
        <v>2.5</v>
      </c>
      <c r="Y810" s="67">
        <v>40</v>
      </c>
      <c r="Z810" s="359"/>
      <c r="AA810" s="210"/>
      <c r="AB810" s="248"/>
      <c r="AC810" s="359"/>
      <c r="AD810" s="359"/>
      <c r="AE810" s="359"/>
      <c r="AF810" s="359"/>
      <c r="AG810" s="153"/>
      <c r="AH810" s="346">
        <v>491.35864713125801</v>
      </c>
      <c r="AI810" s="24"/>
      <c r="AJ810" s="24">
        <v>9.25</v>
      </c>
      <c r="AK810" s="24">
        <v>1.5229999999999999</v>
      </c>
      <c r="AL810" s="24">
        <f>(23.3+198.8)/305.5</f>
        <v>0.72700490998363343</v>
      </c>
      <c r="AM810" s="359"/>
      <c r="AN810" s="24">
        <f t="shared" si="141"/>
        <v>0</v>
      </c>
      <c r="AO810" s="54">
        <f>(AF810*AH810)*AJ810</f>
        <v>0</v>
      </c>
      <c r="AP810" s="261">
        <f t="shared" si="142"/>
        <v>0</v>
      </c>
      <c r="AQ810" s="338"/>
      <c r="AR810" s="45"/>
      <c r="AS810" s="359"/>
      <c r="AT810" s="359"/>
    </row>
    <row r="811" spans="1:46" ht="24">
      <c r="A811" s="348" t="s">
        <v>1086</v>
      </c>
      <c r="B811" s="359" t="str">
        <f t="shared" si="134"/>
        <v>MgO</v>
      </c>
      <c r="C811" s="141">
        <f t="shared" si="135"/>
        <v>0</v>
      </c>
      <c r="D811" s="277">
        <f t="shared" si="136"/>
        <v>316.42140910939901</v>
      </c>
      <c r="E811" s="20">
        <f t="shared" si="137"/>
        <v>0</v>
      </c>
      <c r="F811" s="20">
        <f t="shared" si="138"/>
        <v>0</v>
      </c>
      <c r="G811" s="277">
        <f t="shared" si="139"/>
        <v>0</v>
      </c>
      <c r="H811" s="3">
        <f t="shared" si="144"/>
        <v>0</v>
      </c>
      <c r="I811" s="277">
        <f t="shared" si="140"/>
        <v>0</v>
      </c>
      <c r="J811" s="25" t="s">
        <v>814</v>
      </c>
      <c r="K811" s="25" t="s">
        <v>1087</v>
      </c>
      <c r="L811" s="25"/>
      <c r="M811" s="236"/>
      <c r="N811" s="218">
        <v>41347</v>
      </c>
      <c r="O811" s="25">
        <v>288</v>
      </c>
      <c r="P811" s="25" t="s">
        <v>46</v>
      </c>
      <c r="Q811" s="25"/>
      <c r="R811" s="25"/>
      <c r="S811" s="25">
        <v>800</v>
      </c>
      <c r="T811" s="25">
        <v>69</v>
      </c>
      <c r="U811" s="58">
        <v>400</v>
      </c>
      <c r="V811" s="25">
        <v>8</v>
      </c>
      <c r="W811" s="25">
        <v>26.5</v>
      </c>
      <c r="X811" s="25">
        <v>2.5</v>
      </c>
      <c r="Y811" s="58">
        <v>40</v>
      </c>
      <c r="Z811" s="25"/>
      <c r="AA811" s="13"/>
      <c r="AB811" s="286"/>
      <c r="AC811" s="25"/>
      <c r="AD811" s="25"/>
      <c r="AE811" s="25"/>
      <c r="AF811" s="25"/>
      <c r="AG811" s="274"/>
      <c r="AH811" s="154">
        <v>316.42140910939901</v>
      </c>
      <c r="AI811" s="103"/>
      <c r="AJ811" s="156"/>
      <c r="AK811" s="103"/>
      <c r="AL811" s="103"/>
      <c r="AM811" s="25"/>
      <c r="AN811" s="24">
        <f t="shared" si="141"/>
        <v>0</v>
      </c>
      <c r="AO811" s="91">
        <f>(AF811*AH811)*AJ812</f>
        <v>0</v>
      </c>
      <c r="AP811" s="225">
        <f t="shared" si="142"/>
        <v>0</v>
      </c>
      <c r="AQ811" s="236"/>
      <c r="AR811" s="322"/>
      <c r="AS811" s="25"/>
      <c r="AT811" s="25"/>
    </row>
    <row r="812" spans="1:46" ht="24">
      <c r="A812" s="111" t="s">
        <v>1088</v>
      </c>
      <c r="B812" s="359" t="str">
        <f t="shared" si="134"/>
        <v>SiNx</v>
      </c>
      <c r="C812" s="141">
        <f t="shared" si="135"/>
        <v>0</v>
      </c>
      <c r="D812" s="277">
        <f t="shared" si="136"/>
        <v>498.049260518121</v>
      </c>
      <c r="E812" s="20">
        <f t="shared" si="137"/>
        <v>9.3000000000000007</v>
      </c>
      <c r="F812" s="20">
        <f t="shared" si="138"/>
        <v>1.4139999999999999</v>
      </c>
      <c r="G812" s="277">
        <f t="shared" si="139"/>
        <v>0</v>
      </c>
      <c r="H812" s="3">
        <f t="shared" si="144"/>
        <v>0.72169657422512246</v>
      </c>
      <c r="I812" s="277">
        <f t="shared" si="140"/>
        <v>0</v>
      </c>
      <c r="J812" s="359" t="s">
        <v>1082</v>
      </c>
      <c r="K812" s="359" t="s">
        <v>1085</v>
      </c>
      <c r="L812" s="359"/>
      <c r="M812" s="338"/>
      <c r="N812" s="89">
        <v>41347</v>
      </c>
      <c r="O812" s="359">
        <v>288</v>
      </c>
      <c r="P812" s="359" t="s">
        <v>187</v>
      </c>
      <c r="Q812" s="359"/>
      <c r="R812" s="359"/>
      <c r="S812" s="359">
        <v>800</v>
      </c>
      <c r="T812" s="359">
        <v>69</v>
      </c>
      <c r="U812" s="67">
        <v>400</v>
      </c>
      <c r="V812" s="359">
        <v>8</v>
      </c>
      <c r="W812" s="359">
        <v>26.5</v>
      </c>
      <c r="X812" s="359">
        <v>2.5</v>
      </c>
      <c r="Y812" s="67">
        <v>40</v>
      </c>
      <c r="Z812" s="359"/>
      <c r="AA812" s="210"/>
      <c r="AB812" s="248"/>
      <c r="AC812" s="359"/>
      <c r="AD812" s="359"/>
      <c r="AE812" s="359"/>
      <c r="AF812" s="359"/>
      <c r="AG812" s="153"/>
      <c r="AH812" s="346">
        <v>498.049260518121</v>
      </c>
      <c r="AI812" s="24"/>
      <c r="AJ812" s="24">
        <v>9.3000000000000007</v>
      </c>
      <c r="AK812" s="24">
        <v>1.4139999999999999</v>
      </c>
      <c r="AL812" s="24">
        <f>(23.3+197.9)/306.5</f>
        <v>0.72169657422512246</v>
      </c>
      <c r="AM812" s="359"/>
      <c r="AN812" s="24">
        <f t="shared" si="141"/>
        <v>0</v>
      </c>
      <c r="AO812" s="54">
        <f t="shared" ref="AO812:AO839" si="145">(AF812*AH812)*AJ812</f>
        <v>0</v>
      </c>
      <c r="AP812" s="261">
        <f t="shared" si="142"/>
        <v>0</v>
      </c>
      <c r="AQ812" s="338"/>
      <c r="AR812" s="45"/>
      <c r="AS812" s="359"/>
      <c r="AT812" s="359"/>
    </row>
    <row r="813" spans="1:46" ht="24">
      <c r="A813" s="111" t="s">
        <v>1089</v>
      </c>
      <c r="B813" s="359" t="str">
        <f t="shared" si="134"/>
        <v>SiNx</v>
      </c>
      <c r="C813" s="141">
        <f t="shared" si="135"/>
        <v>0</v>
      </c>
      <c r="D813" s="277">
        <f t="shared" si="136"/>
        <v>497.96005233963001</v>
      </c>
      <c r="E813" s="20">
        <f t="shared" si="137"/>
        <v>8.86</v>
      </c>
      <c r="F813" s="20">
        <f t="shared" si="138"/>
        <v>1.405</v>
      </c>
      <c r="G813" s="277">
        <f t="shared" si="139"/>
        <v>0</v>
      </c>
      <c r="H813" s="3">
        <f t="shared" si="144"/>
        <v>0.71846254927726683</v>
      </c>
      <c r="I813" s="277">
        <f t="shared" si="140"/>
        <v>0</v>
      </c>
      <c r="J813" s="359" t="s">
        <v>1082</v>
      </c>
      <c r="K813" s="359" t="s">
        <v>1085</v>
      </c>
      <c r="L813" s="359"/>
      <c r="M813" s="338"/>
      <c r="N813" s="89">
        <v>41347</v>
      </c>
      <c r="O813" s="359">
        <v>288</v>
      </c>
      <c r="P813" s="359" t="s">
        <v>187</v>
      </c>
      <c r="Q813" s="359"/>
      <c r="R813" s="359"/>
      <c r="S813" s="359">
        <v>800</v>
      </c>
      <c r="T813" s="359">
        <v>69</v>
      </c>
      <c r="U813" s="67">
        <v>400</v>
      </c>
      <c r="V813" s="359">
        <v>8</v>
      </c>
      <c r="W813" s="359">
        <v>26.5</v>
      </c>
      <c r="X813" s="359">
        <v>2.5</v>
      </c>
      <c r="Y813" s="67">
        <v>40</v>
      </c>
      <c r="Z813" s="359"/>
      <c r="AA813" s="210"/>
      <c r="AB813" s="248"/>
      <c r="AC813" s="359"/>
      <c r="AD813" s="359"/>
      <c r="AE813" s="359"/>
      <c r="AF813" s="359"/>
      <c r="AG813" s="153"/>
      <c r="AH813" s="346">
        <v>497.96005233963001</v>
      </c>
      <c r="AI813" s="24"/>
      <c r="AJ813" s="24">
        <v>8.86</v>
      </c>
      <c r="AK813" s="24">
        <v>1.405</v>
      </c>
      <c r="AL813" s="24">
        <f>(23.3+195.4)/304.4</f>
        <v>0.71846254927726683</v>
      </c>
      <c r="AM813" s="359"/>
      <c r="AN813" s="24">
        <f t="shared" si="141"/>
        <v>0</v>
      </c>
      <c r="AO813" s="54">
        <f t="shared" si="145"/>
        <v>0</v>
      </c>
      <c r="AP813" s="261">
        <f t="shared" si="142"/>
        <v>0</v>
      </c>
      <c r="AQ813" s="338"/>
      <c r="AR813" s="45"/>
      <c r="AS813" s="359"/>
      <c r="AT813" s="359"/>
    </row>
    <row r="814" spans="1:46" ht="24">
      <c r="A814" s="111" t="s">
        <v>1090</v>
      </c>
      <c r="B814" s="359" t="str">
        <f t="shared" si="134"/>
        <v>SiNx</v>
      </c>
      <c r="C814" s="141">
        <f t="shared" si="135"/>
        <v>0</v>
      </c>
      <c r="D814" s="277">
        <f t="shared" si="136"/>
        <v>354.33488496829301</v>
      </c>
      <c r="E814" s="20">
        <f t="shared" si="137"/>
        <v>12.59</v>
      </c>
      <c r="F814" s="20">
        <f t="shared" si="138"/>
        <v>1.3399999999999999</v>
      </c>
      <c r="G814" s="277">
        <f t="shared" si="139"/>
        <v>0</v>
      </c>
      <c r="H814" s="3">
        <f t="shared" si="144"/>
        <v>0.88888888888888884</v>
      </c>
      <c r="I814" s="277">
        <f t="shared" si="140"/>
        <v>0</v>
      </c>
      <c r="J814" s="359" t="s">
        <v>1082</v>
      </c>
      <c r="K814" s="359" t="s">
        <v>1087</v>
      </c>
      <c r="L814" s="359"/>
      <c r="M814" s="338"/>
      <c r="N814" s="89">
        <v>41347</v>
      </c>
      <c r="O814" s="359">
        <v>288</v>
      </c>
      <c r="P814" s="359" t="s">
        <v>187</v>
      </c>
      <c r="Q814" s="359"/>
      <c r="R814" s="359"/>
      <c r="S814" s="359">
        <v>800</v>
      </c>
      <c r="T814" s="359">
        <v>69</v>
      </c>
      <c r="U814" s="67">
        <v>400</v>
      </c>
      <c r="V814" s="359">
        <v>8</v>
      </c>
      <c r="W814" s="359">
        <v>26.5</v>
      </c>
      <c r="X814" s="359">
        <v>2.5</v>
      </c>
      <c r="Y814" s="67">
        <v>40</v>
      </c>
      <c r="Z814" s="359"/>
      <c r="AA814" s="210"/>
      <c r="AB814" s="248"/>
      <c r="AC814" s="359"/>
      <c r="AD814" s="359"/>
      <c r="AE814" s="359"/>
      <c r="AF814" s="359"/>
      <c r="AG814" s="153"/>
      <c r="AH814" s="346">
        <v>354.33488496829301</v>
      </c>
      <c r="AI814" s="24"/>
      <c r="AJ814" s="24">
        <v>12.59</v>
      </c>
      <c r="AK814" s="24">
        <f>13.78-12.44</f>
        <v>1.3399999999999999</v>
      </c>
      <c r="AL814" s="24">
        <f>(23.3+136.7)/180</f>
        <v>0.88888888888888884</v>
      </c>
      <c r="AM814" s="359"/>
      <c r="AN814" s="24">
        <f t="shared" si="141"/>
        <v>0</v>
      </c>
      <c r="AO814" s="54">
        <f t="shared" si="145"/>
        <v>0</v>
      </c>
      <c r="AP814" s="261">
        <f t="shared" si="142"/>
        <v>0</v>
      </c>
      <c r="AQ814" s="338"/>
      <c r="AR814" s="45"/>
      <c r="AS814" s="359"/>
      <c r="AT814" s="359"/>
    </row>
    <row r="815" spans="1:46" ht="12" customHeight="1">
      <c r="A815" s="348" t="s">
        <v>1091</v>
      </c>
      <c r="B815" s="359" t="str">
        <f t="shared" si="134"/>
        <v>Al2O3</v>
      </c>
      <c r="C815" s="141">
        <f t="shared" si="135"/>
        <v>0</v>
      </c>
      <c r="D815" s="277">
        <f t="shared" si="136"/>
        <v>0</v>
      </c>
      <c r="E815" s="20">
        <f t="shared" si="137"/>
        <v>0</v>
      </c>
      <c r="F815" s="20">
        <f t="shared" si="138"/>
        <v>0</v>
      </c>
      <c r="G815" s="277">
        <f t="shared" si="139"/>
        <v>0</v>
      </c>
      <c r="H815" s="3">
        <f t="shared" si="144"/>
        <v>0</v>
      </c>
      <c r="I815" s="277">
        <f t="shared" si="140"/>
        <v>0</v>
      </c>
      <c r="J815" s="25" t="s">
        <v>814</v>
      </c>
      <c r="K815" s="25" t="s">
        <v>1092</v>
      </c>
      <c r="L815" s="25"/>
      <c r="M815" s="236"/>
      <c r="N815" s="218">
        <v>41351</v>
      </c>
      <c r="O815" s="25">
        <v>290</v>
      </c>
      <c r="P815" s="25" t="s">
        <v>622</v>
      </c>
      <c r="Q815" s="25"/>
      <c r="R815" s="25"/>
      <c r="S815" s="25">
        <v>800</v>
      </c>
      <c r="T815" s="25">
        <v>75</v>
      </c>
      <c r="U815" s="58">
        <v>400</v>
      </c>
      <c r="V815" s="25">
        <v>8</v>
      </c>
      <c r="W815" s="25">
        <v>26.5</v>
      </c>
      <c r="X815" s="25">
        <v>2.5</v>
      </c>
      <c r="Y815" s="58">
        <v>40</v>
      </c>
      <c r="Z815" s="25"/>
      <c r="AA815" s="13"/>
      <c r="AB815" s="286"/>
      <c r="AC815" s="25"/>
      <c r="AD815" s="25"/>
      <c r="AE815" s="25"/>
      <c r="AF815" s="25"/>
      <c r="AG815" s="274"/>
      <c r="AH815" s="154"/>
      <c r="AI815" s="103"/>
      <c r="AJ815" s="103"/>
      <c r="AK815" s="103"/>
      <c r="AL815" s="103"/>
      <c r="AM815" s="25"/>
      <c r="AN815" s="24">
        <f t="shared" si="141"/>
        <v>0</v>
      </c>
      <c r="AO815" s="91">
        <f t="shared" si="145"/>
        <v>0</v>
      </c>
      <c r="AP815" s="225">
        <f t="shared" si="142"/>
        <v>0</v>
      </c>
      <c r="AQ815" s="236"/>
      <c r="AR815" s="322"/>
      <c r="AS815" s="25"/>
      <c r="AT815" s="25"/>
    </row>
    <row r="816" spans="1:46" ht="12">
      <c r="A816" s="348" t="s">
        <v>1093</v>
      </c>
      <c r="B816" s="359" t="str">
        <f t="shared" si="134"/>
        <v>Al2O3</v>
      </c>
      <c r="C816" s="141">
        <f t="shared" si="135"/>
        <v>0</v>
      </c>
      <c r="D816" s="277">
        <f t="shared" si="136"/>
        <v>0</v>
      </c>
      <c r="E816" s="20">
        <f t="shared" si="137"/>
        <v>0</v>
      </c>
      <c r="F816" s="20">
        <f t="shared" si="138"/>
        <v>0</v>
      </c>
      <c r="G816" s="277">
        <f t="shared" si="139"/>
        <v>0</v>
      </c>
      <c r="H816" s="3">
        <f t="shared" si="144"/>
        <v>0</v>
      </c>
      <c r="I816" s="277">
        <f t="shared" si="140"/>
        <v>0</v>
      </c>
      <c r="J816" s="25" t="s">
        <v>814</v>
      </c>
      <c r="K816" s="25" t="s">
        <v>1094</v>
      </c>
      <c r="L816" s="25"/>
      <c r="M816" s="236"/>
      <c r="N816" s="218">
        <v>41351</v>
      </c>
      <c r="O816" s="25">
        <v>290</v>
      </c>
      <c r="P816" s="25" t="s">
        <v>622</v>
      </c>
      <c r="Q816" s="25"/>
      <c r="R816" s="25"/>
      <c r="S816" s="25">
        <v>800</v>
      </c>
      <c r="T816" s="25">
        <v>75</v>
      </c>
      <c r="U816" s="58">
        <v>400</v>
      </c>
      <c r="V816" s="25">
        <v>8</v>
      </c>
      <c r="W816" s="25">
        <v>26.5</v>
      </c>
      <c r="X816" s="25">
        <v>2.5</v>
      </c>
      <c r="Y816" s="58">
        <v>40</v>
      </c>
      <c r="Z816" s="25"/>
      <c r="AA816" s="13"/>
      <c r="AB816" s="286"/>
      <c r="AC816" s="25"/>
      <c r="AD816" s="25"/>
      <c r="AE816" s="25"/>
      <c r="AF816" s="25"/>
      <c r="AG816" s="274"/>
      <c r="AH816" s="154"/>
      <c r="AI816" s="103"/>
      <c r="AJ816" s="103"/>
      <c r="AK816" s="103"/>
      <c r="AL816" s="103"/>
      <c r="AM816" s="25"/>
      <c r="AN816" s="24">
        <f t="shared" si="141"/>
        <v>0</v>
      </c>
      <c r="AO816" s="91">
        <f t="shared" si="145"/>
        <v>0</v>
      </c>
      <c r="AP816" s="225">
        <f t="shared" si="142"/>
        <v>0</v>
      </c>
      <c r="AQ816" s="236"/>
      <c r="AR816" s="322"/>
      <c r="AS816" s="25"/>
      <c r="AT816" s="25"/>
    </row>
    <row r="817" spans="1:46" ht="12">
      <c r="A817" s="348" t="s">
        <v>1095</v>
      </c>
      <c r="B817" s="359" t="str">
        <f t="shared" si="134"/>
        <v>Al2O3</v>
      </c>
      <c r="C817" s="141">
        <f t="shared" si="135"/>
        <v>0</v>
      </c>
      <c r="D817" s="277">
        <f t="shared" si="136"/>
        <v>0</v>
      </c>
      <c r="E817" s="20">
        <f t="shared" si="137"/>
        <v>0</v>
      </c>
      <c r="F817" s="20">
        <f t="shared" si="138"/>
        <v>0</v>
      </c>
      <c r="G817" s="277">
        <f t="shared" si="139"/>
        <v>0</v>
      </c>
      <c r="H817" s="3">
        <f t="shared" si="144"/>
        <v>0</v>
      </c>
      <c r="I817" s="277">
        <f t="shared" si="140"/>
        <v>0</v>
      </c>
      <c r="J817" s="25" t="s">
        <v>814</v>
      </c>
      <c r="K817" s="25" t="s">
        <v>1092</v>
      </c>
      <c r="L817" s="25"/>
      <c r="M817" s="236"/>
      <c r="N817" s="218">
        <v>41351</v>
      </c>
      <c r="O817" s="25">
        <v>290</v>
      </c>
      <c r="P817" s="25" t="s">
        <v>622</v>
      </c>
      <c r="Q817" s="25"/>
      <c r="R817" s="25"/>
      <c r="S817" s="25">
        <v>800</v>
      </c>
      <c r="T817" s="25">
        <v>75</v>
      </c>
      <c r="U817" s="58">
        <v>400</v>
      </c>
      <c r="V817" s="25">
        <v>8</v>
      </c>
      <c r="W817" s="25">
        <v>26.5</v>
      </c>
      <c r="X817" s="25">
        <v>2.5</v>
      </c>
      <c r="Y817" s="58">
        <v>40</v>
      </c>
      <c r="Z817" s="25"/>
      <c r="AA817" s="13"/>
      <c r="AB817" s="286"/>
      <c r="AC817" s="25"/>
      <c r="AD817" s="25"/>
      <c r="AE817" s="25"/>
      <c r="AF817" s="25"/>
      <c r="AG817" s="274"/>
      <c r="AH817" s="154"/>
      <c r="AI817" s="103"/>
      <c r="AJ817" s="103"/>
      <c r="AK817" s="103"/>
      <c r="AL817" s="103"/>
      <c r="AM817" s="25"/>
      <c r="AN817" s="24">
        <f t="shared" si="141"/>
        <v>0</v>
      </c>
      <c r="AO817" s="91">
        <f t="shared" si="145"/>
        <v>0</v>
      </c>
      <c r="AP817" s="225">
        <f t="shared" si="142"/>
        <v>0</v>
      </c>
      <c r="AQ817" s="236"/>
      <c r="AR817" s="322"/>
      <c r="AS817" s="25"/>
      <c r="AT817" s="25"/>
    </row>
    <row r="818" spans="1:46" ht="12">
      <c r="A818" s="348" t="s">
        <v>1096</v>
      </c>
      <c r="B818" s="359" t="str">
        <f t="shared" si="134"/>
        <v>Al2O3</v>
      </c>
      <c r="C818" s="141">
        <f t="shared" si="135"/>
        <v>0</v>
      </c>
      <c r="D818" s="277">
        <f t="shared" si="136"/>
        <v>0</v>
      </c>
      <c r="E818" s="20">
        <f t="shared" si="137"/>
        <v>0</v>
      </c>
      <c r="F818" s="20">
        <f t="shared" si="138"/>
        <v>0</v>
      </c>
      <c r="G818" s="277">
        <f t="shared" si="139"/>
        <v>0</v>
      </c>
      <c r="H818" s="3">
        <f t="shared" si="144"/>
        <v>0</v>
      </c>
      <c r="I818" s="277">
        <f t="shared" si="140"/>
        <v>0</v>
      </c>
      <c r="J818" s="25" t="s">
        <v>814</v>
      </c>
      <c r="K818" s="25" t="s">
        <v>1094</v>
      </c>
      <c r="L818" s="25"/>
      <c r="M818" s="236"/>
      <c r="N818" s="218">
        <v>41351</v>
      </c>
      <c r="O818" s="25">
        <v>290</v>
      </c>
      <c r="P818" s="25" t="s">
        <v>622</v>
      </c>
      <c r="Q818" s="25"/>
      <c r="R818" s="25"/>
      <c r="S818" s="25">
        <v>800</v>
      </c>
      <c r="T818" s="25">
        <v>75</v>
      </c>
      <c r="U818" s="58">
        <v>400</v>
      </c>
      <c r="V818" s="25">
        <v>8</v>
      </c>
      <c r="W818" s="25">
        <v>26.5</v>
      </c>
      <c r="X818" s="25">
        <v>2.5</v>
      </c>
      <c r="Y818" s="58">
        <v>40</v>
      </c>
      <c r="Z818" s="25"/>
      <c r="AA818" s="13"/>
      <c r="AB818" s="286"/>
      <c r="AC818" s="25"/>
      <c r="AD818" s="25"/>
      <c r="AE818" s="25"/>
      <c r="AF818" s="25"/>
      <c r="AG818" s="274"/>
      <c r="AH818" s="154"/>
      <c r="AI818" s="103"/>
      <c r="AJ818" s="103"/>
      <c r="AK818" s="103"/>
      <c r="AL818" s="103"/>
      <c r="AM818" s="25"/>
      <c r="AN818" s="24">
        <f t="shared" si="141"/>
        <v>0</v>
      </c>
      <c r="AO818" s="91">
        <f t="shared" si="145"/>
        <v>0</v>
      </c>
      <c r="AP818" s="225">
        <f t="shared" si="142"/>
        <v>0</v>
      </c>
      <c r="AQ818" s="236"/>
      <c r="AR818" s="322"/>
      <c r="AS818" s="25"/>
      <c r="AT818" s="25"/>
    </row>
    <row r="819" spans="1:46" ht="12">
      <c r="A819" s="111" t="s">
        <v>1097</v>
      </c>
      <c r="B819" s="359" t="str">
        <f t="shared" si="134"/>
        <v>SiNx</v>
      </c>
      <c r="C819" s="141">
        <f t="shared" si="135"/>
        <v>0</v>
      </c>
      <c r="D819" s="277">
        <f t="shared" si="136"/>
        <v>600.01420853392096</v>
      </c>
      <c r="E819" s="20">
        <f t="shared" si="137"/>
        <v>10.34</v>
      </c>
      <c r="F819" s="20">
        <f t="shared" si="138"/>
        <v>0</v>
      </c>
      <c r="G819" s="277">
        <f t="shared" si="139"/>
        <v>0</v>
      </c>
      <c r="H819" s="3">
        <f t="shared" si="144"/>
        <v>0.80390959071472212</v>
      </c>
      <c r="I819" s="277">
        <f t="shared" si="140"/>
        <v>0</v>
      </c>
      <c r="J819" s="359" t="s">
        <v>814</v>
      </c>
      <c r="K819" s="359" t="s">
        <v>1098</v>
      </c>
      <c r="L819" s="359"/>
      <c r="M819" s="338"/>
      <c r="N819" s="89">
        <v>41351</v>
      </c>
      <c r="O819" s="359">
        <v>291</v>
      </c>
      <c r="P819" s="359" t="s">
        <v>187</v>
      </c>
      <c r="Q819" s="359"/>
      <c r="R819" s="359"/>
      <c r="S819" s="359">
        <v>800</v>
      </c>
      <c r="T819" s="359">
        <v>72</v>
      </c>
      <c r="U819" s="67">
        <v>400</v>
      </c>
      <c r="V819" s="359">
        <v>8</v>
      </c>
      <c r="W819" s="359">
        <v>26.5</v>
      </c>
      <c r="X819" s="359">
        <v>2.5</v>
      </c>
      <c r="Y819" s="67">
        <v>40</v>
      </c>
      <c r="Z819" s="359"/>
      <c r="AA819" s="210"/>
      <c r="AB819" s="248"/>
      <c r="AC819" s="359"/>
      <c r="AD819" s="359"/>
      <c r="AE819" s="359"/>
      <c r="AF819" s="359"/>
      <c r="AG819" s="153"/>
      <c r="AH819" s="346">
        <v>600.01420853392096</v>
      </c>
      <c r="AI819" s="24"/>
      <c r="AJ819" s="24">
        <v>10.34</v>
      </c>
      <c r="AK819" s="24"/>
      <c r="AL819" s="24">
        <f>(240.2+23)/327.4</f>
        <v>0.80390959071472212</v>
      </c>
      <c r="AM819" s="359"/>
      <c r="AN819" s="24">
        <f t="shared" si="141"/>
        <v>0</v>
      </c>
      <c r="AO819" s="54">
        <f t="shared" si="145"/>
        <v>0</v>
      </c>
      <c r="AP819" s="261">
        <f t="shared" si="142"/>
        <v>0</v>
      </c>
      <c r="AQ819" s="338"/>
      <c r="AR819" s="45"/>
      <c r="AS819" s="359"/>
      <c r="AT819" s="359"/>
    </row>
    <row r="820" spans="1:46" ht="12">
      <c r="A820" s="111" t="s">
        <v>1099</v>
      </c>
      <c r="B820" s="359" t="str">
        <f t="shared" si="134"/>
        <v>SiNx</v>
      </c>
      <c r="C820" s="141">
        <f t="shared" si="135"/>
        <v>0</v>
      </c>
      <c r="D820" s="277">
        <f t="shared" si="136"/>
        <v>596.80271410822695</v>
      </c>
      <c r="E820" s="20">
        <f t="shared" si="137"/>
        <v>10.32</v>
      </c>
      <c r="F820" s="20">
        <f t="shared" si="138"/>
        <v>0</v>
      </c>
      <c r="G820" s="277">
        <f t="shared" si="139"/>
        <v>0</v>
      </c>
      <c r="H820" s="3">
        <f t="shared" si="144"/>
        <v>0.80346475507765824</v>
      </c>
      <c r="I820" s="277">
        <f t="shared" si="140"/>
        <v>0</v>
      </c>
      <c r="J820" s="359" t="s">
        <v>814</v>
      </c>
      <c r="K820" s="359" t="s">
        <v>1098</v>
      </c>
      <c r="L820" s="359"/>
      <c r="M820" s="338"/>
      <c r="N820" s="89">
        <v>41351</v>
      </c>
      <c r="O820" s="359">
        <v>291</v>
      </c>
      <c r="P820" s="359" t="s">
        <v>187</v>
      </c>
      <c r="Q820" s="359"/>
      <c r="R820" s="359"/>
      <c r="S820" s="359">
        <v>800</v>
      </c>
      <c r="T820" s="359">
        <v>72</v>
      </c>
      <c r="U820" s="67">
        <v>400</v>
      </c>
      <c r="V820" s="359">
        <v>8</v>
      </c>
      <c r="W820" s="359">
        <v>26.5</v>
      </c>
      <c r="X820" s="359">
        <v>2.5</v>
      </c>
      <c r="Y820" s="67">
        <v>40</v>
      </c>
      <c r="Z820" s="359"/>
      <c r="AA820" s="210"/>
      <c r="AB820" s="248"/>
      <c r="AC820" s="359"/>
      <c r="AD820" s="359"/>
      <c r="AE820" s="359"/>
      <c r="AF820" s="359"/>
      <c r="AG820" s="153"/>
      <c r="AH820" s="346">
        <v>596.80271410822695</v>
      </c>
      <c r="AI820" s="24"/>
      <c r="AJ820" s="24">
        <v>10.32</v>
      </c>
      <c r="AK820" s="24"/>
      <c r="AL820" s="24">
        <f>(246+23)/334.8</f>
        <v>0.80346475507765824</v>
      </c>
      <c r="AM820" s="359"/>
      <c r="AN820" s="24">
        <f t="shared" si="141"/>
        <v>0</v>
      </c>
      <c r="AO820" s="54">
        <f t="shared" si="145"/>
        <v>0</v>
      </c>
      <c r="AP820" s="261">
        <f t="shared" si="142"/>
        <v>0</v>
      </c>
      <c r="AQ820" s="338"/>
      <c r="AR820" s="45"/>
      <c r="AS820" s="359"/>
      <c r="AT820" s="359"/>
    </row>
    <row r="821" spans="1:46" ht="12">
      <c r="A821" s="111" t="s">
        <v>1100</v>
      </c>
      <c r="B821" s="359" t="str">
        <f t="shared" si="134"/>
        <v>SiNx</v>
      </c>
      <c r="C821" s="141">
        <f t="shared" si="135"/>
        <v>0</v>
      </c>
      <c r="D821" s="277">
        <f t="shared" si="136"/>
        <v>518.21030885720404</v>
      </c>
      <c r="E821" s="20">
        <f t="shared" si="137"/>
        <v>10.92</v>
      </c>
      <c r="F821" s="20">
        <f t="shared" si="138"/>
        <v>1.879</v>
      </c>
      <c r="G821" s="277">
        <f t="shared" si="139"/>
        <v>0</v>
      </c>
      <c r="H821" s="3">
        <f t="shared" si="144"/>
        <v>0</v>
      </c>
      <c r="I821" s="277">
        <f t="shared" si="140"/>
        <v>0</v>
      </c>
      <c r="J821" s="81" t="s">
        <v>814</v>
      </c>
      <c r="K821" s="81" t="s">
        <v>1101</v>
      </c>
      <c r="L821" s="81"/>
      <c r="M821" s="52"/>
      <c r="N821" s="336">
        <v>41351</v>
      </c>
      <c r="O821" s="81">
        <v>291</v>
      </c>
      <c r="P821" s="81" t="s">
        <v>187</v>
      </c>
      <c r="Q821" s="81"/>
      <c r="R821" s="81"/>
      <c r="S821" s="81">
        <v>800</v>
      </c>
      <c r="T821" s="81">
        <v>72</v>
      </c>
      <c r="U821" s="256">
        <v>400</v>
      </c>
      <c r="V821" s="81">
        <v>8</v>
      </c>
      <c r="W821" s="81">
        <v>26.5</v>
      </c>
      <c r="X821" s="81">
        <v>2.5</v>
      </c>
      <c r="Y821" s="256">
        <v>40</v>
      </c>
      <c r="Z821" s="81"/>
      <c r="AA821" s="234"/>
      <c r="AB821" s="199"/>
      <c r="AC821" s="81"/>
      <c r="AD821" s="81"/>
      <c r="AE821" s="81"/>
      <c r="AF821" s="81"/>
      <c r="AG821" s="95"/>
      <c r="AH821" s="97">
        <v>518.21030885720404</v>
      </c>
      <c r="AI821" s="20"/>
      <c r="AJ821" s="20">
        <v>10.92</v>
      </c>
      <c r="AK821" s="20">
        <v>1.879</v>
      </c>
      <c r="AL821" s="20"/>
      <c r="AM821" s="81"/>
      <c r="AN821" s="24">
        <f t="shared" si="141"/>
        <v>0</v>
      </c>
      <c r="AO821" s="189">
        <f t="shared" si="145"/>
        <v>0</v>
      </c>
      <c r="AP821" s="184">
        <f t="shared" si="142"/>
        <v>0</v>
      </c>
      <c r="AQ821" s="52"/>
      <c r="AR821" s="357"/>
      <c r="AS821" s="81"/>
      <c r="AT821" s="81"/>
    </row>
    <row r="822" spans="1:46" ht="12">
      <c r="A822" s="111" t="s">
        <v>1102</v>
      </c>
      <c r="B822" s="359" t="str">
        <f t="shared" si="134"/>
        <v>SiNx</v>
      </c>
      <c r="C822" s="141">
        <f t="shared" si="135"/>
        <v>0</v>
      </c>
      <c r="D822" s="277">
        <f t="shared" si="136"/>
        <v>608.13215277664904</v>
      </c>
      <c r="E822" s="20">
        <f t="shared" si="137"/>
        <v>10.3</v>
      </c>
      <c r="F822" s="20">
        <f t="shared" si="138"/>
        <v>0</v>
      </c>
      <c r="G822" s="277">
        <f t="shared" si="139"/>
        <v>0</v>
      </c>
      <c r="H822" s="3">
        <f t="shared" si="144"/>
        <v>0.79852071005917158</v>
      </c>
      <c r="I822" s="277">
        <f t="shared" si="140"/>
        <v>0</v>
      </c>
      <c r="J822" s="359" t="s">
        <v>814</v>
      </c>
      <c r="K822" s="359" t="s">
        <v>1098</v>
      </c>
      <c r="L822" s="359"/>
      <c r="M822" s="338"/>
      <c r="N822" s="89">
        <v>41351</v>
      </c>
      <c r="O822" s="359">
        <v>291</v>
      </c>
      <c r="P822" s="359" t="s">
        <v>187</v>
      </c>
      <c r="Q822" s="359"/>
      <c r="R822" s="359"/>
      <c r="S822" s="359">
        <v>800</v>
      </c>
      <c r="T822" s="359">
        <v>72</v>
      </c>
      <c r="U822" s="67">
        <v>400</v>
      </c>
      <c r="V822" s="359">
        <v>8</v>
      </c>
      <c r="W822" s="359">
        <v>26.5</v>
      </c>
      <c r="X822" s="359">
        <v>2.5</v>
      </c>
      <c r="Y822" s="67">
        <v>40</v>
      </c>
      <c r="Z822" s="359"/>
      <c r="AA822" s="210"/>
      <c r="AB822" s="248"/>
      <c r="AC822" s="359"/>
      <c r="AD822" s="359"/>
      <c r="AE822" s="359"/>
      <c r="AF822" s="359"/>
      <c r="AG822" s="153"/>
      <c r="AH822" s="346">
        <v>608.13215277664904</v>
      </c>
      <c r="AI822" s="24"/>
      <c r="AJ822" s="24">
        <v>10.3</v>
      </c>
      <c r="AK822" s="24"/>
      <c r="AL822" s="24">
        <f>(246.9+23)/338</f>
        <v>0.79852071005917158</v>
      </c>
      <c r="AM822" s="359"/>
      <c r="AN822" s="24">
        <f t="shared" si="141"/>
        <v>0</v>
      </c>
      <c r="AO822" s="54">
        <f t="shared" si="145"/>
        <v>0</v>
      </c>
      <c r="AP822" s="261">
        <f t="shared" si="142"/>
        <v>0</v>
      </c>
      <c r="AQ822" s="338"/>
      <c r="AR822" s="45"/>
      <c r="AS822" s="359"/>
      <c r="AT822" s="359"/>
    </row>
    <row r="823" spans="1:46" ht="12">
      <c r="A823" s="111" t="s">
        <v>1103</v>
      </c>
      <c r="B823" s="359" t="str">
        <f t="shared" si="134"/>
        <v>SiNx</v>
      </c>
      <c r="C823" s="141">
        <f t="shared" si="135"/>
        <v>0</v>
      </c>
      <c r="D823" s="277">
        <f t="shared" si="136"/>
        <v>601.79837210375194</v>
      </c>
      <c r="E823" s="20">
        <f t="shared" si="137"/>
        <v>10.35</v>
      </c>
      <c r="F823" s="20">
        <f t="shared" si="138"/>
        <v>0</v>
      </c>
      <c r="G823" s="277">
        <f t="shared" si="139"/>
        <v>0</v>
      </c>
      <c r="H823" s="3">
        <f t="shared" si="144"/>
        <v>0.8064811984102721</v>
      </c>
      <c r="I823" s="277">
        <f t="shared" si="140"/>
        <v>0</v>
      </c>
      <c r="J823" s="359" t="s">
        <v>814</v>
      </c>
      <c r="K823" s="359" t="s">
        <v>1098</v>
      </c>
      <c r="L823" s="359"/>
      <c r="M823" s="338"/>
      <c r="N823" s="89">
        <v>41351</v>
      </c>
      <c r="O823" s="359">
        <v>291</v>
      </c>
      <c r="P823" s="359" t="s">
        <v>187</v>
      </c>
      <c r="Q823" s="359"/>
      <c r="R823" s="359"/>
      <c r="S823" s="359">
        <v>800</v>
      </c>
      <c r="T823" s="359">
        <v>72</v>
      </c>
      <c r="U823" s="67">
        <v>400</v>
      </c>
      <c r="V823" s="359">
        <v>8</v>
      </c>
      <c r="W823" s="359">
        <v>26.5</v>
      </c>
      <c r="X823" s="359">
        <v>2.5</v>
      </c>
      <c r="Y823" s="67">
        <v>40</v>
      </c>
      <c r="Z823" s="359"/>
      <c r="AA823" s="210"/>
      <c r="AB823" s="248"/>
      <c r="AC823" s="359"/>
      <c r="AD823" s="359"/>
      <c r="AE823" s="359"/>
      <c r="AF823" s="359"/>
      <c r="AG823" s="153"/>
      <c r="AH823" s="346">
        <v>601.79837210375194</v>
      </c>
      <c r="AI823" s="24"/>
      <c r="AJ823" s="24">
        <v>10.35</v>
      </c>
      <c r="AK823" s="24"/>
      <c r="AL823" s="24">
        <f>(240.8+23)/327.1</f>
        <v>0.8064811984102721</v>
      </c>
      <c r="AM823" s="359"/>
      <c r="AN823" s="24">
        <f t="shared" si="141"/>
        <v>0</v>
      </c>
      <c r="AO823" s="54">
        <f t="shared" si="145"/>
        <v>0</v>
      </c>
      <c r="AP823" s="261">
        <f t="shared" si="142"/>
        <v>0</v>
      </c>
      <c r="AQ823" s="338"/>
      <c r="AR823" s="45"/>
      <c r="AS823" s="359"/>
      <c r="AT823" s="359"/>
    </row>
    <row r="824" spans="1:46" ht="12">
      <c r="A824" s="111" t="s">
        <v>1104</v>
      </c>
      <c r="B824" s="359" t="str">
        <f t="shared" si="134"/>
        <v>SiNx</v>
      </c>
      <c r="C824" s="141">
        <f t="shared" si="135"/>
        <v>0</v>
      </c>
      <c r="D824" s="277">
        <f t="shared" si="136"/>
        <v>517.05060253681404</v>
      </c>
      <c r="E824" s="20">
        <f t="shared" si="137"/>
        <v>11.21</v>
      </c>
      <c r="F824" s="20">
        <f t="shared" si="138"/>
        <v>0</v>
      </c>
      <c r="G824" s="277">
        <f t="shared" si="139"/>
        <v>0</v>
      </c>
      <c r="H824" s="3">
        <f t="shared" si="144"/>
        <v>0.85667155425219932</v>
      </c>
      <c r="I824" s="277">
        <f t="shared" si="140"/>
        <v>0</v>
      </c>
      <c r="J824" s="359" t="s">
        <v>814</v>
      </c>
      <c r="K824" s="359" t="s">
        <v>1105</v>
      </c>
      <c r="L824" s="359"/>
      <c r="M824" s="338"/>
      <c r="N824" s="89">
        <v>41351</v>
      </c>
      <c r="O824" s="359">
        <v>291</v>
      </c>
      <c r="P824" s="359" t="s">
        <v>187</v>
      </c>
      <c r="Q824" s="359"/>
      <c r="R824" s="359"/>
      <c r="S824" s="359">
        <v>800</v>
      </c>
      <c r="T824" s="359">
        <v>72</v>
      </c>
      <c r="U824" s="67">
        <v>400</v>
      </c>
      <c r="V824" s="359">
        <v>8</v>
      </c>
      <c r="W824" s="359">
        <v>26.5</v>
      </c>
      <c r="X824" s="359">
        <v>2.5</v>
      </c>
      <c r="Y824" s="67">
        <v>40</v>
      </c>
      <c r="Z824" s="359"/>
      <c r="AA824" s="210"/>
      <c r="AB824" s="248"/>
      <c r="AC824" s="359"/>
      <c r="AD824" s="359"/>
      <c r="AE824" s="359"/>
      <c r="AF824" s="359"/>
      <c r="AG824" s="153"/>
      <c r="AH824" s="346">
        <v>517.05060253681404</v>
      </c>
      <c r="AI824" s="24"/>
      <c r="AJ824" s="24">
        <v>11.21</v>
      </c>
      <c r="AK824" s="24"/>
      <c r="AL824" s="24">
        <f>(210.7+23)/272.8</f>
        <v>0.85667155425219932</v>
      </c>
      <c r="AM824" s="359"/>
      <c r="AN824" s="24">
        <f t="shared" si="141"/>
        <v>0</v>
      </c>
      <c r="AO824" s="54">
        <f t="shared" si="145"/>
        <v>0</v>
      </c>
      <c r="AP824" s="261">
        <f t="shared" si="142"/>
        <v>0</v>
      </c>
      <c r="AQ824" s="338"/>
      <c r="AR824" s="45"/>
      <c r="AS824" s="359"/>
      <c r="AT824" s="359"/>
    </row>
    <row r="825" spans="1:46" ht="12">
      <c r="A825" s="111" t="s">
        <v>1106</v>
      </c>
      <c r="B825" s="359" t="str">
        <f t="shared" si="134"/>
        <v>SiNx</v>
      </c>
      <c r="C825" s="141">
        <f t="shared" si="135"/>
        <v>0</v>
      </c>
      <c r="D825" s="277">
        <f t="shared" si="136"/>
        <v>604.83145017246295</v>
      </c>
      <c r="E825" s="20">
        <f t="shared" si="137"/>
        <v>10.19</v>
      </c>
      <c r="F825" s="20">
        <f t="shared" si="138"/>
        <v>0</v>
      </c>
      <c r="G825" s="277">
        <f t="shared" si="139"/>
        <v>0</v>
      </c>
      <c r="H825" s="3">
        <f t="shared" si="144"/>
        <v>0</v>
      </c>
      <c r="I825" s="277">
        <f t="shared" si="140"/>
        <v>0</v>
      </c>
      <c r="J825" s="81" t="s">
        <v>814</v>
      </c>
      <c r="K825" s="81" t="s">
        <v>1098</v>
      </c>
      <c r="L825" s="81"/>
      <c r="M825" s="52"/>
      <c r="N825" s="336">
        <v>41351</v>
      </c>
      <c r="O825" s="81">
        <v>292</v>
      </c>
      <c r="P825" s="81" t="s">
        <v>187</v>
      </c>
      <c r="Q825" s="81"/>
      <c r="R825" s="81"/>
      <c r="S825" s="81">
        <v>800</v>
      </c>
      <c r="T825" s="81">
        <v>75</v>
      </c>
      <c r="U825" s="256">
        <v>400</v>
      </c>
      <c r="V825" s="81">
        <v>8</v>
      </c>
      <c r="W825" s="81">
        <v>26.5</v>
      </c>
      <c r="X825" s="81">
        <v>2.5</v>
      </c>
      <c r="Y825" s="256">
        <v>40</v>
      </c>
      <c r="Z825" s="81"/>
      <c r="AA825" s="234"/>
      <c r="AB825" s="199"/>
      <c r="AC825" s="81"/>
      <c r="AD825" s="81"/>
      <c r="AE825" s="81"/>
      <c r="AF825" s="81"/>
      <c r="AG825" s="95"/>
      <c r="AH825" s="97">
        <v>604.83145017246295</v>
      </c>
      <c r="AI825" s="20"/>
      <c r="AJ825" s="20">
        <v>10.19</v>
      </c>
      <c r="AK825" s="20"/>
      <c r="AL825" s="20"/>
      <c r="AM825" s="81"/>
      <c r="AN825" s="24">
        <f t="shared" si="141"/>
        <v>0</v>
      </c>
      <c r="AO825" s="189">
        <f t="shared" si="145"/>
        <v>0</v>
      </c>
      <c r="AP825" s="184">
        <f t="shared" si="142"/>
        <v>0</v>
      </c>
      <c r="AQ825" s="52"/>
      <c r="AR825" s="357"/>
      <c r="AS825" s="81"/>
      <c r="AT825" s="81"/>
    </row>
    <row r="826" spans="1:46" ht="12">
      <c r="A826" s="111" t="s">
        <v>1107</v>
      </c>
      <c r="B826" s="359" t="str">
        <f t="shared" si="134"/>
        <v>SiNx</v>
      </c>
      <c r="C826" s="141">
        <f t="shared" si="135"/>
        <v>0</v>
      </c>
      <c r="D826" s="277">
        <f t="shared" si="136"/>
        <v>600.28183306939604</v>
      </c>
      <c r="E826" s="20">
        <f t="shared" si="137"/>
        <v>10.1</v>
      </c>
      <c r="F826" s="20">
        <f t="shared" si="138"/>
        <v>0</v>
      </c>
      <c r="G826" s="277">
        <f t="shared" si="139"/>
        <v>0</v>
      </c>
      <c r="H826" s="3">
        <f t="shared" si="144"/>
        <v>0</v>
      </c>
      <c r="I826" s="277">
        <f t="shared" si="140"/>
        <v>0</v>
      </c>
      <c r="J826" s="81" t="s">
        <v>814</v>
      </c>
      <c r="K826" s="81" t="s">
        <v>1098</v>
      </c>
      <c r="L826" s="81"/>
      <c r="M826" s="52"/>
      <c r="N826" s="336">
        <v>41351</v>
      </c>
      <c r="O826" s="81">
        <v>292</v>
      </c>
      <c r="P826" s="81" t="s">
        <v>187</v>
      </c>
      <c r="Q826" s="81"/>
      <c r="R826" s="81"/>
      <c r="S826" s="81">
        <v>800</v>
      </c>
      <c r="T826" s="81">
        <v>75</v>
      </c>
      <c r="U826" s="256">
        <v>400</v>
      </c>
      <c r="V826" s="81">
        <v>8</v>
      </c>
      <c r="W826" s="81">
        <v>26.5</v>
      </c>
      <c r="X826" s="81">
        <v>2.5</v>
      </c>
      <c r="Y826" s="256">
        <v>40</v>
      </c>
      <c r="Z826" s="81"/>
      <c r="AA826" s="234"/>
      <c r="AB826" s="199"/>
      <c r="AC826" s="81"/>
      <c r="AD826" s="81"/>
      <c r="AE826" s="81"/>
      <c r="AF826" s="81"/>
      <c r="AG826" s="95"/>
      <c r="AH826" s="97">
        <v>600.28183306939604</v>
      </c>
      <c r="AI826" s="20"/>
      <c r="AJ826" s="20">
        <v>10.1</v>
      </c>
      <c r="AK826" s="20"/>
      <c r="AL826" s="20"/>
      <c r="AM826" s="81"/>
      <c r="AN826" s="24">
        <f t="shared" si="141"/>
        <v>0</v>
      </c>
      <c r="AO826" s="189">
        <f t="shared" si="145"/>
        <v>0</v>
      </c>
      <c r="AP826" s="184">
        <f t="shared" si="142"/>
        <v>0</v>
      </c>
      <c r="AQ826" s="52"/>
      <c r="AR826" s="357"/>
      <c r="AS826" s="81"/>
      <c r="AT826" s="81"/>
    </row>
    <row r="827" spans="1:46" ht="12">
      <c r="A827" s="111" t="s">
        <v>1108</v>
      </c>
      <c r="B827" s="359" t="str">
        <f t="shared" si="134"/>
        <v>SiNx</v>
      </c>
      <c r="C827" s="141">
        <f t="shared" si="135"/>
        <v>0</v>
      </c>
      <c r="D827" s="277">
        <f t="shared" si="136"/>
        <v>515.53406350245803</v>
      </c>
      <c r="E827" s="20">
        <f t="shared" si="137"/>
        <v>10.94</v>
      </c>
      <c r="F827" s="20">
        <f t="shared" si="138"/>
        <v>1.8109999999999999</v>
      </c>
      <c r="G827" s="277">
        <f t="shared" si="139"/>
        <v>0</v>
      </c>
      <c r="H827" s="3">
        <f t="shared" si="144"/>
        <v>0</v>
      </c>
      <c r="I827" s="277">
        <f t="shared" si="140"/>
        <v>0</v>
      </c>
      <c r="J827" s="81" t="s">
        <v>814</v>
      </c>
      <c r="K827" s="81" t="s">
        <v>1101</v>
      </c>
      <c r="L827" s="81"/>
      <c r="M827" s="52"/>
      <c r="N827" s="336">
        <v>41351</v>
      </c>
      <c r="O827" s="81">
        <v>292</v>
      </c>
      <c r="P827" s="81" t="s">
        <v>187</v>
      </c>
      <c r="Q827" s="81"/>
      <c r="R827" s="81"/>
      <c r="S827" s="81">
        <v>800</v>
      </c>
      <c r="T827" s="81">
        <v>75</v>
      </c>
      <c r="U827" s="256">
        <v>400</v>
      </c>
      <c r="V827" s="81">
        <v>8</v>
      </c>
      <c r="W827" s="81">
        <v>26.5</v>
      </c>
      <c r="X827" s="81">
        <v>2.5</v>
      </c>
      <c r="Y827" s="256">
        <v>40</v>
      </c>
      <c r="Z827" s="81"/>
      <c r="AA827" s="234"/>
      <c r="AB827" s="199"/>
      <c r="AC827" s="81"/>
      <c r="AD827" s="81"/>
      <c r="AE827" s="81"/>
      <c r="AF827" s="81"/>
      <c r="AG827" s="95"/>
      <c r="AH827" s="97">
        <v>515.53406350245803</v>
      </c>
      <c r="AI827" s="20"/>
      <c r="AJ827" s="20">
        <v>10.94</v>
      </c>
      <c r="AK827" s="20">
        <v>1.8109999999999999</v>
      </c>
      <c r="AL827" s="20"/>
      <c r="AM827" s="81"/>
      <c r="AN827" s="24">
        <f t="shared" si="141"/>
        <v>0</v>
      </c>
      <c r="AO827" s="189">
        <f t="shared" si="145"/>
        <v>0</v>
      </c>
      <c r="AP827" s="184">
        <f t="shared" si="142"/>
        <v>0</v>
      </c>
      <c r="AQ827" s="52"/>
      <c r="AR827" s="357"/>
      <c r="AS827" s="81"/>
      <c r="AT827" s="81"/>
    </row>
    <row r="828" spans="1:46" ht="12">
      <c r="A828" s="111" t="s">
        <v>1109</v>
      </c>
      <c r="B828" s="359" t="str">
        <f t="shared" si="134"/>
        <v>SiNx</v>
      </c>
      <c r="C828" s="141">
        <f t="shared" si="135"/>
        <v>0</v>
      </c>
      <c r="D828" s="277">
        <f t="shared" si="136"/>
        <v>592.52072154063399</v>
      </c>
      <c r="E828" s="20">
        <f t="shared" si="137"/>
        <v>10.29</v>
      </c>
      <c r="F828" s="20">
        <f t="shared" si="138"/>
        <v>1.962</v>
      </c>
      <c r="G828" s="277">
        <f t="shared" si="139"/>
        <v>0</v>
      </c>
      <c r="H828" s="3">
        <f t="shared" si="144"/>
        <v>0</v>
      </c>
      <c r="I828" s="277">
        <f t="shared" si="140"/>
        <v>0</v>
      </c>
      <c r="J828" s="81" t="s">
        <v>814</v>
      </c>
      <c r="K828" s="81" t="s">
        <v>1098</v>
      </c>
      <c r="L828" s="81"/>
      <c r="M828" s="52"/>
      <c r="N828" s="336">
        <v>41351</v>
      </c>
      <c r="O828" s="81">
        <v>292</v>
      </c>
      <c r="P828" s="81" t="s">
        <v>187</v>
      </c>
      <c r="Q828" s="81"/>
      <c r="R828" s="81"/>
      <c r="S828" s="81">
        <v>800</v>
      </c>
      <c r="T828" s="81">
        <v>75</v>
      </c>
      <c r="U828" s="256">
        <v>400</v>
      </c>
      <c r="V828" s="81">
        <v>8</v>
      </c>
      <c r="W828" s="81">
        <v>26.5</v>
      </c>
      <c r="X828" s="81">
        <v>2.5</v>
      </c>
      <c r="Y828" s="256">
        <v>40</v>
      </c>
      <c r="Z828" s="81"/>
      <c r="AA828" s="234"/>
      <c r="AB828" s="199"/>
      <c r="AC828" s="81"/>
      <c r="AD828" s="81"/>
      <c r="AE828" s="81"/>
      <c r="AF828" s="81"/>
      <c r="AG828" s="95"/>
      <c r="AH828" s="97">
        <v>592.52072154063399</v>
      </c>
      <c r="AI828" s="20"/>
      <c r="AJ828" s="20">
        <v>10.29</v>
      </c>
      <c r="AK828" s="20">
        <v>1.962</v>
      </c>
      <c r="AL828" s="20"/>
      <c r="AM828" s="81"/>
      <c r="AN828" s="24">
        <f t="shared" si="141"/>
        <v>0</v>
      </c>
      <c r="AO828" s="189">
        <f t="shared" si="145"/>
        <v>0</v>
      </c>
      <c r="AP828" s="184">
        <f t="shared" si="142"/>
        <v>0</v>
      </c>
      <c r="AQ828" s="52"/>
      <c r="AR828" s="357"/>
      <c r="AS828" s="81"/>
      <c r="AT828" s="81"/>
    </row>
    <row r="829" spans="1:46" ht="12">
      <c r="A829" s="111" t="s">
        <v>1110</v>
      </c>
      <c r="B829" s="359" t="str">
        <f t="shared" si="134"/>
        <v>SiNx</v>
      </c>
      <c r="C829" s="141">
        <f t="shared" si="135"/>
        <v>0</v>
      </c>
      <c r="D829" s="277">
        <f t="shared" si="136"/>
        <v>588.68476986549899</v>
      </c>
      <c r="E829" s="20">
        <f t="shared" si="137"/>
        <v>10.33</v>
      </c>
      <c r="F829" s="20">
        <f t="shared" si="138"/>
        <v>1.996</v>
      </c>
      <c r="G829" s="277">
        <f t="shared" si="139"/>
        <v>0</v>
      </c>
      <c r="H829" s="3">
        <f t="shared" si="144"/>
        <v>0</v>
      </c>
      <c r="I829" s="277">
        <f t="shared" si="140"/>
        <v>0</v>
      </c>
      <c r="J829" s="81" t="s">
        <v>814</v>
      </c>
      <c r="K829" s="81" t="s">
        <v>1098</v>
      </c>
      <c r="L829" s="81"/>
      <c r="M829" s="52"/>
      <c r="N829" s="336">
        <v>41351</v>
      </c>
      <c r="O829" s="81">
        <v>292</v>
      </c>
      <c r="P829" s="81" t="s">
        <v>187</v>
      </c>
      <c r="Q829" s="81"/>
      <c r="R829" s="81"/>
      <c r="S829" s="81">
        <v>800</v>
      </c>
      <c r="T829" s="81">
        <v>75</v>
      </c>
      <c r="U829" s="256">
        <v>400</v>
      </c>
      <c r="V829" s="81">
        <v>8</v>
      </c>
      <c r="W829" s="81">
        <v>26.5</v>
      </c>
      <c r="X829" s="81">
        <v>2.5</v>
      </c>
      <c r="Y829" s="256">
        <v>40</v>
      </c>
      <c r="Z829" s="81"/>
      <c r="AA829" s="234"/>
      <c r="AB829" s="199"/>
      <c r="AC829" s="81"/>
      <c r="AD829" s="81"/>
      <c r="AE829" s="81"/>
      <c r="AF829" s="81"/>
      <c r="AG829" s="95"/>
      <c r="AH829" s="97">
        <v>588.68476986549899</v>
      </c>
      <c r="AI829" s="20"/>
      <c r="AJ829" s="20">
        <v>10.33</v>
      </c>
      <c r="AK829" s="20">
        <v>1.996</v>
      </c>
      <c r="AL829" s="20"/>
      <c r="AM829" s="81"/>
      <c r="AN829" s="24">
        <f t="shared" si="141"/>
        <v>0</v>
      </c>
      <c r="AO829" s="189">
        <f t="shared" si="145"/>
        <v>0</v>
      </c>
      <c r="AP829" s="184">
        <f t="shared" si="142"/>
        <v>0</v>
      </c>
      <c r="AQ829" s="52"/>
      <c r="AR829" s="357"/>
      <c r="AS829" s="81"/>
      <c r="AT829" s="81"/>
    </row>
    <row r="830" spans="1:46" ht="12">
      <c r="A830" s="111" t="s">
        <v>1111</v>
      </c>
      <c r="B830" s="359" t="str">
        <f t="shared" si="134"/>
        <v>SiNx</v>
      </c>
      <c r="C830" s="141">
        <f t="shared" si="135"/>
        <v>0</v>
      </c>
      <c r="D830" s="277">
        <f t="shared" si="136"/>
        <v>520.26209696250805</v>
      </c>
      <c r="E830" s="20">
        <f t="shared" si="137"/>
        <v>10.98</v>
      </c>
      <c r="F830" s="20">
        <f t="shared" si="138"/>
        <v>1.7929999999999999</v>
      </c>
      <c r="G830" s="277">
        <f t="shared" si="139"/>
        <v>0</v>
      </c>
      <c r="H830" s="3">
        <f t="shared" si="144"/>
        <v>0</v>
      </c>
      <c r="I830" s="277">
        <f t="shared" si="140"/>
        <v>0</v>
      </c>
      <c r="J830" s="81" t="s">
        <v>814</v>
      </c>
      <c r="K830" s="81" t="s">
        <v>1105</v>
      </c>
      <c r="L830" s="81"/>
      <c r="M830" s="52"/>
      <c r="N830" s="336">
        <v>41351</v>
      </c>
      <c r="O830" s="81">
        <v>292</v>
      </c>
      <c r="P830" s="81" t="s">
        <v>187</v>
      </c>
      <c r="Q830" s="81"/>
      <c r="R830" s="81"/>
      <c r="S830" s="81">
        <v>800</v>
      </c>
      <c r="T830" s="81">
        <v>75</v>
      </c>
      <c r="U830" s="256">
        <v>400</v>
      </c>
      <c r="V830" s="81">
        <v>8</v>
      </c>
      <c r="W830" s="81">
        <v>26.5</v>
      </c>
      <c r="X830" s="81">
        <v>2.5</v>
      </c>
      <c r="Y830" s="256">
        <v>40</v>
      </c>
      <c r="Z830" s="81"/>
      <c r="AA830" s="234"/>
      <c r="AB830" s="199"/>
      <c r="AC830" s="81"/>
      <c r="AD830" s="81"/>
      <c r="AE830" s="81"/>
      <c r="AF830" s="81"/>
      <c r="AG830" s="95"/>
      <c r="AH830" s="97">
        <v>520.26209696250805</v>
      </c>
      <c r="AI830" s="20"/>
      <c r="AJ830" s="20">
        <v>10.98</v>
      </c>
      <c r="AK830" s="20">
        <v>1.7929999999999999</v>
      </c>
      <c r="AL830" s="20"/>
      <c r="AM830" s="81"/>
      <c r="AN830" s="24">
        <f t="shared" si="141"/>
        <v>0</v>
      </c>
      <c r="AO830" s="189">
        <f t="shared" si="145"/>
        <v>0</v>
      </c>
      <c r="AP830" s="184">
        <f t="shared" si="142"/>
        <v>0</v>
      </c>
      <c r="AQ830" s="52"/>
      <c r="AR830" s="357"/>
      <c r="AS830" s="81"/>
      <c r="AT830" s="81"/>
    </row>
    <row r="831" spans="1:46" ht="12">
      <c r="A831" s="111" t="s">
        <v>1112</v>
      </c>
      <c r="B831" s="359" t="str">
        <f t="shared" si="134"/>
        <v>MgO</v>
      </c>
      <c r="C831" s="141">
        <f t="shared" si="135"/>
        <v>3.91</v>
      </c>
      <c r="D831" s="277">
        <f t="shared" si="136"/>
        <v>245.17975776607599</v>
      </c>
      <c r="E831" s="20">
        <f t="shared" si="137"/>
        <v>11.76</v>
      </c>
      <c r="F831" s="20">
        <f t="shared" si="138"/>
        <v>0.54900000000000004</v>
      </c>
      <c r="G831" s="277">
        <f t="shared" si="139"/>
        <v>95.865285286535723</v>
      </c>
      <c r="H831" s="3">
        <f t="shared" si="144"/>
        <v>0</v>
      </c>
      <c r="I831" s="277">
        <f t="shared" si="140"/>
        <v>11273.7575496966</v>
      </c>
      <c r="J831" s="81" t="s">
        <v>814</v>
      </c>
      <c r="K831" s="81" t="s">
        <v>1075</v>
      </c>
      <c r="L831" s="81"/>
      <c r="M831" s="52"/>
      <c r="N831" s="336">
        <v>41353</v>
      </c>
      <c r="O831" s="81">
        <v>293</v>
      </c>
      <c r="P831" s="81" t="s">
        <v>46</v>
      </c>
      <c r="Q831" s="81"/>
      <c r="R831" s="81"/>
      <c r="S831" s="81">
        <v>800</v>
      </c>
      <c r="T831" s="81">
        <v>68</v>
      </c>
      <c r="U831" s="256">
        <v>400</v>
      </c>
      <c r="V831" s="81">
        <v>5.3</v>
      </c>
      <c r="W831" s="81">
        <v>26.5</v>
      </c>
      <c r="X831" s="81">
        <v>3.2</v>
      </c>
      <c r="Y831" s="256">
        <v>40</v>
      </c>
      <c r="Z831" s="81"/>
      <c r="AA831" s="234"/>
      <c r="AB831" s="199">
        <v>0.1981</v>
      </c>
      <c r="AC831" s="81">
        <v>0.59640000000000004</v>
      </c>
      <c r="AD831" s="81">
        <v>0.2054</v>
      </c>
      <c r="AE831" s="81" t="s">
        <v>47</v>
      </c>
      <c r="AF831" s="81">
        <v>3.91</v>
      </c>
      <c r="AG831" s="95"/>
      <c r="AH831" s="97">
        <v>245.17975776607599</v>
      </c>
      <c r="AI831" s="20"/>
      <c r="AJ831" s="20">
        <v>11.76</v>
      </c>
      <c r="AK831" s="20">
        <v>0.54900000000000004</v>
      </c>
      <c r="AL831" s="20"/>
      <c r="AM831" s="81"/>
      <c r="AN831" s="24">
        <f t="shared" si="141"/>
        <v>95.865285286535723</v>
      </c>
      <c r="AO831" s="189">
        <f t="shared" si="145"/>
        <v>11273.7575496966</v>
      </c>
      <c r="AP831" s="184">
        <f t="shared" si="142"/>
        <v>3.45</v>
      </c>
      <c r="AQ831" s="52"/>
      <c r="AR831" s="357"/>
      <c r="AS831" s="81"/>
      <c r="AT831" s="81"/>
    </row>
    <row r="832" spans="1:46" ht="12">
      <c r="A832" s="111" t="s">
        <v>1113</v>
      </c>
      <c r="B832" s="359" t="str">
        <f t="shared" si="134"/>
        <v>MgO</v>
      </c>
      <c r="C832" s="141">
        <f t="shared" si="135"/>
        <v>3.89</v>
      </c>
      <c r="D832" s="277">
        <f t="shared" si="136"/>
        <v>252.09041799321901</v>
      </c>
      <c r="E832" s="20">
        <f t="shared" si="137"/>
        <v>12.51</v>
      </c>
      <c r="F832" s="20">
        <f t="shared" si="138"/>
        <v>0</v>
      </c>
      <c r="G832" s="277">
        <f t="shared" si="139"/>
        <v>98.063172599362204</v>
      </c>
      <c r="H832" s="3">
        <f t="shared" si="144"/>
        <v>0</v>
      </c>
      <c r="I832" s="277">
        <f t="shared" si="140"/>
        <v>12267.702892180212</v>
      </c>
      <c r="J832" s="81" t="s">
        <v>814</v>
      </c>
      <c r="K832" s="81" t="s">
        <v>1075</v>
      </c>
      <c r="L832" s="81"/>
      <c r="M832" s="52"/>
      <c r="N832" s="336">
        <v>41353</v>
      </c>
      <c r="O832" s="81">
        <v>293</v>
      </c>
      <c r="P832" s="81" t="s">
        <v>46</v>
      </c>
      <c r="Q832" s="81"/>
      <c r="R832" s="81"/>
      <c r="S832" s="81">
        <v>800</v>
      </c>
      <c r="T832" s="81">
        <v>68</v>
      </c>
      <c r="U832" s="256">
        <v>400</v>
      </c>
      <c r="V832" s="81">
        <v>5.3</v>
      </c>
      <c r="W832" s="81">
        <v>26.5</v>
      </c>
      <c r="X832" s="81">
        <v>3.2</v>
      </c>
      <c r="Y832" s="256">
        <v>40</v>
      </c>
      <c r="Z832" s="81"/>
      <c r="AA832" s="234"/>
      <c r="AB832" s="199">
        <v>0.19289999999999999</v>
      </c>
      <c r="AC832" s="81">
        <v>0.5978</v>
      </c>
      <c r="AD832" s="81">
        <v>0.2094</v>
      </c>
      <c r="AE832" s="81" t="s">
        <v>47</v>
      </c>
      <c r="AF832" s="81">
        <v>3.89</v>
      </c>
      <c r="AG832" s="95"/>
      <c r="AH832" s="97">
        <v>252.09041799321901</v>
      </c>
      <c r="AI832" s="20"/>
      <c r="AJ832" s="20">
        <v>12.51</v>
      </c>
      <c r="AK832" s="20"/>
      <c r="AL832" s="20"/>
      <c r="AM832" s="81"/>
      <c r="AN832" s="24">
        <f t="shared" si="141"/>
        <v>98.063172599362204</v>
      </c>
      <c r="AO832" s="189">
        <f t="shared" si="145"/>
        <v>12267.702892180212</v>
      </c>
      <c r="AP832" s="184">
        <f t="shared" si="142"/>
        <v>3.4323529411764704</v>
      </c>
      <c r="AQ832" s="52"/>
      <c r="AR832" s="357"/>
      <c r="AS832" s="81"/>
      <c r="AT832" s="81"/>
    </row>
    <row r="833" spans="1:46" ht="12">
      <c r="A833" s="111" t="s">
        <v>1114</v>
      </c>
      <c r="B833" s="359" t="str">
        <f t="shared" si="134"/>
        <v>MgO</v>
      </c>
      <c r="C833" s="141">
        <f t="shared" si="135"/>
        <v>0</v>
      </c>
      <c r="D833" s="277">
        <f t="shared" si="136"/>
        <v>0</v>
      </c>
      <c r="E833" s="20">
        <f t="shared" si="137"/>
        <v>0</v>
      </c>
      <c r="F833" s="20">
        <f t="shared" si="138"/>
        <v>0</v>
      </c>
      <c r="G833" s="277">
        <f t="shared" si="139"/>
        <v>0</v>
      </c>
      <c r="H833" s="3">
        <f t="shared" si="144"/>
        <v>0</v>
      </c>
      <c r="I833" s="277">
        <f t="shared" si="140"/>
        <v>0</v>
      </c>
      <c r="J833" s="81" t="s">
        <v>814</v>
      </c>
      <c r="K833" s="81" t="s">
        <v>1075</v>
      </c>
      <c r="L833" s="81"/>
      <c r="M833" s="52"/>
      <c r="N833" s="336">
        <v>41353</v>
      </c>
      <c r="O833" s="81">
        <v>293</v>
      </c>
      <c r="P833" s="81" t="s">
        <v>46</v>
      </c>
      <c r="Q833" s="81"/>
      <c r="R833" s="81"/>
      <c r="S833" s="81">
        <v>800</v>
      </c>
      <c r="T833" s="81">
        <v>68</v>
      </c>
      <c r="U833" s="256">
        <v>400</v>
      </c>
      <c r="V833" s="81">
        <v>5.3</v>
      </c>
      <c r="W833" s="81">
        <v>26.5</v>
      </c>
      <c r="X833" s="81">
        <v>3.2</v>
      </c>
      <c r="Y833" s="256">
        <v>40</v>
      </c>
      <c r="Z833" s="81"/>
      <c r="AA833" s="234"/>
      <c r="AB833" s="199"/>
      <c r="AC833" s="81"/>
      <c r="AD833" s="81"/>
      <c r="AE833" s="81"/>
      <c r="AF833" s="81"/>
      <c r="AG833" s="95"/>
      <c r="AH833" s="97"/>
      <c r="AI833" s="20"/>
      <c r="AJ833" s="20"/>
      <c r="AK833" s="20"/>
      <c r="AL833" s="20"/>
      <c r="AM833" s="81"/>
      <c r="AN833" s="24">
        <f t="shared" si="141"/>
        <v>0</v>
      </c>
      <c r="AO833" s="189">
        <f t="shared" si="145"/>
        <v>0</v>
      </c>
      <c r="AP833" s="184">
        <f t="shared" si="142"/>
        <v>0</v>
      </c>
      <c r="AQ833" s="52"/>
      <c r="AR833" s="357"/>
      <c r="AS833" s="81"/>
      <c r="AT833" s="81"/>
    </row>
    <row r="834" spans="1:46" ht="12">
      <c r="A834" s="111" t="s">
        <v>1115</v>
      </c>
      <c r="B834" s="359" t="str">
        <f t="shared" si="134"/>
        <v>MgO</v>
      </c>
      <c r="C834" s="141">
        <f t="shared" si="135"/>
        <v>3.86</v>
      </c>
      <c r="D834" s="277">
        <f t="shared" si="136"/>
        <v>250.85339791813701</v>
      </c>
      <c r="E834" s="20">
        <f t="shared" si="137"/>
        <v>12.41</v>
      </c>
      <c r="F834" s="20">
        <f t="shared" si="138"/>
        <v>0</v>
      </c>
      <c r="G834" s="277">
        <f t="shared" si="139"/>
        <v>96.829411596400888</v>
      </c>
      <c r="H834" s="3">
        <f t="shared" si="144"/>
        <v>0</v>
      </c>
      <c r="I834" s="277">
        <f t="shared" si="140"/>
        <v>12016.529979113349</v>
      </c>
      <c r="J834" s="81" t="s">
        <v>814</v>
      </c>
      <c r="K834" s="81" t="s">
        <v>1075</v>
      </c>
      <c r="L834" s="81"/>
      <c r="M834" s="52"/>
      <c r="N834" s="336">
        <v>41353</v>
      </c>
      <c r="O834" s="81">
        <v>293</v>
      </c>
      <c r="P834" s="81" t="s">
        <v>46</v>
      </c>
      <c r="Q834" s="81"/>
      <c r="R834" s="81"/>
      <c r="S834" s="81">
        <v>800</v>
      </c>
      <c r="T834" s="81">
        <v>68</v>
      </c>
      <c r="U834" s="256">
        <v>400</v>
      </c>
      <c r="V834" s="81">
        <v>5.3</v>
      </c>
      <c r="W834" s="81">
        <v>26.5</v>
      </c>
      <c r="X834" s="81">
        <v>3.2</v>
      </c>
      <c r="Y834" s="256">
        <v>40</v>
      </c>
      <c r="Z834" s="81"/>
      <c r="AA834" s="234"/>
      <c r="AB834" s="199">
        <v>0.19950000000000001</v>
      </c>
      <c r="AC834" s="81">
        <v>0.59909999999999997</v>
      </c>
      <c r="AD834" s="81">
        <v>0.2014</v>
      </c>
      <c r="AE834" s="81" t="s">
        <v>47</v>
      </c>
      <c r="AF834" s="81">
        <v>3.86</v>
      </c>
      <c r="AG834" s="95"/>
      <c r="AH834" s="97">
        <v>250.85339791813701</v>
      </c>
      <c r="AI834" s="20"/>
      <c r="AJ834" s="20">
        <v>12.41</v>
      </c>
      <c r="AK834" s="20"/>
      <c r="AL834" s="20"/>
      <c r="AM834" s="81"/>
      <c r="AN834" s="24">
        <f t="shared" si="141"/>
        <v>96.829411596400888</v>
      </c>
      <c r="AO834" s="189">
        <f t="shared" si="145"/>
        <v>12016.529979113349</v>
      </c>
      <c r="AP834" s="184">
        <f t="shared" si="142"/>
        <v>3.4058823529411764</v>
      </c>
      <c r="AQ834" s="52"/>
      <c r="AR834" s="357"/>
      <c r="AS834" s="81"/>
      <c r="AT834" s="81"/>
    </row>
    <row r="835" spans="1:46" ht="12">
      <c r="A835" s="111" t="s">
        <v>1116</v>
      </c>
      <c r="B835" s="359" t="str">
        <f t="shared" ref="B835:B898" si="146">P835</f>
        <v>MgO</v>
      </c>
      <c r="C835" s="141">
        <f t="shared" ref="C835:C898" si="147">AF835</f>
        <v>4.03</v>
      </c>
      <c r="D835" s="277">
        <f t="shared" ref="D835:D898" si="148">AH835</f>
        <v>284.51461726893399</v>
      </c>
      <c r="E835" s="20">
        <f t="shared" si="137"/>
        <v>11.26</v>
      </c>
      <c r="F835" s="20">
        <f t="shared" si="138"/>
        <v>0.89200000000000002</v>
      </c>
      <c r="G835" s="277">
        <f t="shared" ref="G835:G898" si="149">AN835</f>
        <v>114.6593907593804</v>
      </c>
      <c r="H835" s="3">
        <f t="shared" si="144"/>
        <v>0</v>
      </c>
      <c r="I835" s="277">
        <f t="shared" ref="I835:I898" si="150">AO835</f>
        <v>12910.647399506233</v>
      </c>
      <c r="J835" s="81" t="s">
        <v>814</v>
      </c>
      <c r="K835" s="81" t="s">
        <v>1075</v>
      </c>
      <c r="L835" s="81"/>
      <c r="M835" s="52"/>
      <c r="N835" s="336">
        <v>41353</v>
      </c>
      <c r="O835" s="81">
        <v>293</v>
      </c>
      <c r="P835" s="81" t="s">
        <v>46</v>
      </c>
      <c r="Q835" s="81"/>
      <c r="R835" s="81"/>
      <c r="S835" s="81">
        <v>800</v>
      </c>
      <c r="T835" s="81">
        <v>68</v>
      </c>
      <c r="U835" s="256">
        <v>400</v>
      </c>
      <c r="V835" s="81">
        <v>5.3</v>
      </c>
      <c r="W835" s="81">
        <v>26.5</v>
      </c>
      <c r="X835" s="81">
        <v>3.2</v>
      </c>
      <c r="Y835" s="256">
        <v>40</v>
      </c>
      <c r="Z835" s="81"/>
      <c r="AA835" s="234"/>
      <c r="AB835" s="199">
        <v>0.2041</v>
      </c>
      <c r="AC835" s="81">
        <v>0.58989999999999998</v>
      </c>
      <c r="AD835" s="81">
        <v>0.20610000000000001</v>
      </c>
      <c r="AE835" s="81" t="s">
        <v>47</v>
      </c>
      <c r="AF835" s="81">
        <v>4.03</v>
      </c>
      <c r="AG835" s="95"/>
      <c r="AH835" s="97">
        <v>284.51461726893399</v>
      </c>
      <c r="AI835" s="20"/>
      <c r="AJ835" s="20">
        <v>11.26</v>
      </c>
      <c r="AK835" s="20">
        <v>0.89200000000000002</v>
      </c>
      <c r="AL835" s="20"/>
      <c r="AM835" s="81"/>
      <c r="AN835" s="24">
        <f t="shared" ref="AN835:AN898" si="151">((AH835*AF835)/10)</f>
        <v>114.6593907593804</v>
      </c>
      <c r="AO835" s="189">
        <f t="shared" si="145"/>
        <v>12910.647399506233</v>
      </c>
      <c r="AP835" s="184">
        <f t="shared" ref="AP835:AP841" si="152">(AF835/T835)*60</f>
        <v>3.5558823529411763</v>
      </c>
      <c r="AQ835" s="52"/>
      <c r="AR835" s="357"/>
      <c r="AS835" s="81"/>
      <c r="AT835" s="81"/>
    </row>
    <row r="836" spans="1:46" ht="12">
      <c r="A836" s="111" t="s">
        <v>1117</v>
      </c>
      <c r="B836" s="359" t="str">
        <f t="shared" si="146"/>
        <v>MgO</v>
      </c>
      <c r="C836" s="141">
        <f t="shared" si="147"/>
        <v>0</v>
      </c>
      <c r="D836" s="277">
        <f t="shared" si="148"/>
        <v>256.669771155783</v>
      </c>
      <c r="E836" s="20">
        <f t="shared" si="137"/>
        <v>4.5</v>
      </c>
      <c r="F836" s="20">
        <f t="shared" si="138"/>
        <v>0</v>
      </c>
      <c r="G836" s="277">
        <f t="shared" si="149"/>
        <v>0</v>
      </c>
      <c r="H836" s="3">
        <f t="shared" si="144"/>
        <v>0</v>
      </c>
      <c r="I836" s="277">
        <f t="shared" si="150"/>
        <v>0</v>
      </c>
      <c r="J836" s="81" t="s">
        <v>814</v>
      </c>
      <c r="K836" s="81" t="s">
        <v>1075</v>
      </c>
      <c r="L836" s="81"/>
      <c r="M836" s="52"/>
      <c r="N836" s="336">
        <v>41353</v>
      </c>
      <c r="O836" s="81">
        <v>293</v>
      </c>
      <c r="P836" s="81" t="s">
        <v>46</v>
      </c>
      <c r="Q836" s="81"/>
      <c r="R836" s="81"/>
      <c r="S836" s="81">
        <v>800</v>
      </c>
      <c r="T836" s="81">
        <v>68</v>
      </c>
      <c r="U836" s="256">
        <v>400</v>
      </c>
      <c r="V836" s="81">
        <v>5.3</v>
      </c>
      <c r="W836" s="81">
        <v>26.5</v>
      </c>
      <c r="X836" s="81">
        <v>3.2</v>
      </c>
      <c r="Y836" s="256">
        <v>40</v>
      </c>
      <c r="Z836" s="81"/>
      <c r="AA836" s="234"/>
      <c r="AB836" s="199"/>
      <c r="AC836" s="81"/>
      <c r="AD836" s="81"/>
      <c r="AE836" s="81"/>
      <c r="AF836" s="81"/>
      <c r="AG836" s="95"/>
      <c r="AH836" s="97">
        <v>256.669771155783</v>
      </c>
      <c r="AI836" s="20"/>
      <c r="AJ836" s="20">
        <v>4.5</v>
      </c>
      <c r="AK836" s="20"/>
      <c r="AL836" s="20"/>
      <c r="AM836" s="81"/>
      <c r="AN836" s="24">
        <f t="shared" si="151"/>
        <v>0</v>
      </c>
      <c r="AO836" s="189">
        <f t="shared" si="145"/>
        <v>0</v>
      </c>
      <c r="AP836" s="184">
        <f t="shared" si="152"/>
        <v>0</v>
      </c>
      <c r="AQ836" s="52"/>
      <c r="AR836" s="357"/>
      <c r="AS836" s="81"/>
      <c r="AT836" s="81"/>
    </row>
    <row r="837" spans="1:46" ht="12">
      <c r="A837" s="81" t="s">
        <v>1118</v>
      </c>
      <c r="B837" s="359" t="str">
        <f t="shared" si="146"/>
        <v>MgO</v>
      </c>
      <c r="C837" s="141">
        <f t="shared" si="147"/>
        <v>0</v>
      </c>
      <c r="D837" s="277">
        <f t="shared" si="148"/>
        <v>1060.06078501466</v>
      </c>
      <c r="E837" s="20">
        <f t="shared" si="137"/>
        <v>0</v>
      </c>
      <c r="F837" s="20">
        <f t="shared" si="138"/>
        <v>0</v>
      </c>
      <c r="G837" s="277">
        <f t="shared" si="149"/>
        <v>0</v>
      </c>
      <c r="H837" s="3">
        <f t="shared" si="144"/>
        <v>0</v>
      </c>
      <c r="I837" s="277">
        <f t="shared" si="150"/>
        <v>0</v>
      </c>
      <c r="J837" s="81" t="s">
        <v>814</v>
      </c>
      <c r="K837" s="81" t="s">
        <v>1119</v>
      </c>
      <c r="L837" s="81"/>
      <c r="M837" s="52"/>
      <c r="N837" s="336">
        <v>41358</v>
      </c>
      <c r="O837" s="81">
        <v>295</v>
      </c>
      <c r="P837" s="81" t="s">
        <v>46</v>
      </c>
      <c r="Q837" s="81"/>
      <c r="R837" s="81"/>
      <c r="S837" s="81">
        <v>20</v>
      </c>
      <c r="T837" s="81">
        <v>75</v>
      </c>
      <c r="U837" s="81">
        <v>400</v>
      </c>
      <c r="V837" s="81">
        <v>8</v>
      </c>
      <c r="W837" s="81">
        <v>26.5</v>
      </c>
      <c r="X837" s="81">
        <v>2.5</v>
      </c>
      <c r="Y837" s="256">
        <v>40</v>
      </c>
      <c r="Z837" s="81"/>
      <c r="AA837" s="234"/>
      <c r="AB837" s="199"/>
      <c r="AC837" s="81"/>
      <c r="AD837" s="81"/>
      <c r="AE837" s="81"/>
      <c r="AF837" s="81"/>
      <c r="AG837" s="95"/>
      <c r="AH837" s="97">
        <v>1060.06078501466</v>
      </c>
      <c r="AI837" s="20"/>
      <c r="AJ837" s="20"/>
      <c r="AK837" s="20"/>
      <c r="AL837" s="20"/>
      <c r="AM837" s="81"/>
      <c r="AN837" s="24">
        <f t="shared" si="151"/>
        <v>0</v>
      </c>
      <c r="AO837" s="189">
        <f t="shared" si="145"/>
        <v>0</v>
      </c>
      <c r="AP837" s="184">
        <f t="shared" si="152"/>
        <v>0</v>
      </c>
      <c r="AQ837" s="52"/>
      <c r="AR837" s="357"/>
      <c r="AS837" s="81"/>
      <c r="AT837" s="81"/>
    </row>
    <row r="838" spans="1:46" ht="12">
      <c r="A838" s="111" t="s">
        <v>1120</v>
      </c>
      <c r="B838" s="359" t="str">
        <f t="shared" si="146"/>
        <v>MgO</v>
      </c>
      <c r="C838" s="141">
        <f t="shared" si="147"/>
        <v>0</v>
      </c>
      <c r="D838" s="277">
        <f t="shared" si="148"/>
        <v>464.41777722682099</v>
      </c>
      <c r="E838" s="20">
        <f t="shared" si="137"/>
        <v>0</v>
      </c>
      <c r="F838" s="20">
        <f t="shared" si="138"/>
        <v>0</v>
      </c>
      <c r="G838" s="277">
        <f t="shared" si="149"/>
        <v>0</v>
      </c>
      <c r="H838" s="3">
        <f t="shared" si="144"/>
        <v>0</v>
      </c>
      <c r="I838" s="277">
        <f t="shared" si="150"/>
        <v>0</v>
      </c>
      <c r="J838" s="81" t="s">
        <v>814</v>
      </c>
      <c r="K838" s="81" t="s">
        <v>1119</v>
      </c>
      <c r="L838" s="81"/>
      <c r="M838" s="52"/>
      <c r="N838" s="336">
        <v>41358</v>
      </c>
      <c r="O838" s="81">
        <v>296</v>
      </c>
      <c r="P838" s="81" t="s">
        <v>46</v>
      </c>
      <c r="Q838" s="81"/>
      <c r="R838" s="81"/>
      <c r="S838" s="81">
        <v>20</v>
      </c>
      <c r="T838" s="81">
        <v>125</v>
      </c>
      <c r="U838" s="81">
        <v>400</v>
      </c>
      <c r="V838" s="81">
        <v>8</v>
      </c>
      <c r="W838" s="81">
        <v>26.5</v>
      </c>
      <c r="X838" s="81">
        <v>2.5</v>
      </c>
      <c r="Y838" s="256">
        <v>40</v>
      </c>
      <c r="Z838" s="81"/>
      <c r="AA838" s="234"/>
      <c r="AB838" s="199"/>
      <c r="AC838" s="81"/>
      <c r="AD838" s="81"/>
      <c r="AE838" s="81"/>
      <c r="AF838" s="81"/>
      <c r="AG838" s="95"/>
      <c r="AH838" s="97">
        <v>464.41777722682099</v>
      </c>
      <c r="AI838" s="20"/>
      <c r="AJ838" s="20"/>
      <c r="AK838" s="20"/>
      <c r="AL838" s="20"/>
      <c r="AM838" s="81"/>
      <c r="AN838" s="24">
        <f t="shared" si="151"/>
        <v>0</v>
      </c>
      <c r="AO838" s="189">
        <f t="shared" si="145"/>
        <v>0</v>
      </c>
      <c r="AP838" s="184">
        <f t="shared" si="152"/>
        <v>0</v>
      </c>
      <c r="AQ838" s="52"/>
      <c r="AR838" s="357"/>
      <c r="AS838" s="81"/>
      <c r="AT838" s="81"/>
    </row>
    <row r="839" spans="1:46" ht="12">
      <c r="A839" s="111" t="s">
        <v>1121</v>
      </c>
      <c r="B839" s="359" t="str">
        <f t="shared" si="146"/>
        <v>SiNx</v>
      </c>
      <c r="C839" s="141">
        <f t="shared" si="147"/>
        <v>0</v>
      </c>
      <c r="D839" s="277">
        <f t="shared" si="148"/>
        <v>0</v>
      </c>
      <c r="E839" s="20">
        <f t="shared" si="137"/>
        <v>0</v>
      </c>
      <c r="F839" s="20">
        <f t="shared" si="138"/>
        <v>0</v>
      </c>
      <c r="G839" s="277">
        <f t="shared" si="149"/>
        <v>0</v>
      </c>
      <c r="H839" s="3">
        <f t="shared" si="144"/>
        <v>0</v>
      </c>
      <c r="I839" s="277">
        <f t="shared" si="150"/>
        <v>0</v>
      </c>
      <c r="J839" s="81" t="s">
        <v>814</v>
      </c>
      <c r="K839" s="81" t="s">
        <v>1122</v>
      </c>
      <c r="L839" s="81"/>
      <c r="M839" s="52"/>
      <c r="N839" s="336">
        <v>41358</v>
      </c>
      <c r="O839" s="81">
        <v>296</v>
      </c>
      <c r="P839" s="81" t="s">
        <v>187</v>
      </c>
      <c r="Q839" s="81"/>
      <c r="R839" s="81"/>
      <c r="S839" s="81">
        <v>20</v>
      </c>
      <c r="T839" s="81">
        <v>200</v>
      </c>
      <c r="U839" s="81">
        <v>400</v>
      </c>
      <c r="V839" s="81">
        <v>8</v>
      </c>
      <c r="W839" s="81">
        <v>26.5</v>
      </c>
      <c r="X839" s="81">
        <v>2.5</v>
      </c>
      <c r="Y839" s="256">
        <v>40</v>
      </c>
      <c r="Z839" s="81"/>
      <c r="AA839" s="234"/>
      <c r="AB839" s="199"/>
      <c r="AC839" s="81"/>
      <c r="AD839" s="81"/>
      <c r="AE839" s="81"/>
      <c r="AF839" s="81"/>
      <c r="AG839" s="95"/>
      <c r="AH839" s="97"/>
      <c r="AI839" s="20"/>
      <c r="AJ839" s="20"/>
      <c r="AK839" s="20"/>
      <c r="AL839" s="20"/>
      <c r="AM839" s="81"/>
      <c r="AN839" s="24">
        <f t="shared" si="151"/>
        <v>0</v>
      </c>
      <c r="AO839" s="189">
        <f t="shared" si="145"/>
        <v>0</v>
      </c>
      <c r="AP839" s="184">
        <f t="shared" si="152"/>
        <v>0</v>
      </c>
      <c r="AQ839" s="52"/>
      <c r="AR839" s="357"/>
      <c r="AS839" s="81"/>
      <c r="AT839" s="81"/>
    </row>
    <row r="840" spans="1:46" ht="12">
      <c r="A840" s="81" t="s">
        <v>1123</v>
      </c>
      <c r="B840" s="359" t="str">
        <f t="shared" si="146"/>
        <v>SiNx</v>
      </c>
      <c r="C840" s="141">
        <f t="shared" si="147"/>
        <v>0</v>
      </c>
      <c r="D840" s="277">
        <f t="shared" si="148"/>
        <v>0</v>
      </c>
      <c r="E840" s="20">
        <f>AH843</f>
        <v>581.81574012165299</v>
      </c>
      <c r="F840" s="20">
        <f>AJ843</f>
        <v>7.95</v>
      </c>
      <c r="G840" s="277">
        <f t="shared" si="149"/>
        <v>0</v>
      </c>
      <c r="H840" s="3">
        <f t="shared" si="144"/>
        <v>0</v>
      </c>
      <c r="I840" s="277">
        <f t="shared" si="150"/>
        <v>0</v>
      </c>
      <c r="J840" s="81" t="s">
        <v>814</v>
      </c>
      <c r="K840" s="81" t="s">
        <v>1122</v>
      </c>
      <c r="L840" s="81"/>
      <c r="M840" s="52"/>
      <c r="N840" s="336">
        <v>41358</v>
      </c>
      <c r="O840" s="81">
        <v>296</v>
      </c>
      <c r="P840" s="81" t="s">
        <v>187</v>
      </c>
      <c r="Q840" s="81"/>
      <c r="R840" s="81"/>
      <c r="S840" s="81">
        <v>20</v>
      </c>
      <c r="T840" s="81">
        <v>200</v>
      </c>
      <c r="U840" s="81">
        <v>400</v>
      </c>
      <c r="V840" s="81">
        <v>8</v>
      </c>
      <c r="W840" s="81">
        <v>26.5</v>
      </c>
      <c r="X840" s="81">
        <v>2.5</v>
      </c>
      <c r="Y840" s="256">
        <v>40</v>
      </c>
      <c r="Z840" s="81"/>
      <c r="AA840" s="234"/>
      <c r="AB840" s="199"/>
      <c r="AC840" s="81"/>
      <c r="AD840" s="81"/>
      <c r="AE840" s="81"/>
      <c r="AF840" s="81"/>
      <c r="AG840" s="95"/>
      <c r="AH840" s="97"/>
      <c r="AI840" s="95"/>
      <c r="AJ840" s="107"/>
      <c r="AL840" s="20"/>
      <c r="AM840" s="81"/>
      <c r="AN840" s="24">
        <f t="shared" si="151"/>
        <v>0</v>
      </c>
      <c r="AO840" s="189">
        <f>(AF840*AH840)*AH843</f>
        <v>0</v>
      </c>
      <c r="AP840" s="184">
        <f t="shared" si="152"/>
        <v>0</v>
      </c>
      <c r="AQ840" s="52"/>
      <c r="AR840" s="357"/>
      <c r="AS840" s="81"/>
      <c r="AT840" s="81"/>
    </row>
    <row r="841" spans="1:46" ht="12">
      <c r="A841" s="111" t="s">
        <v>1124</v>
      </c>
      <c r="B841" s="359" t="str">
        <f t="shared" si="146"/>
        <v>MgO</v>
      </c>
      <c r="C841" s="141">
        <f t="shared" si="147"/>
        <v>6.92</v>
      </c>
      <c r="D841" s="277">
        <f t="shared" si="148"/>
        <v>590.82576614929599</v>
      </c>
      <c r="E841" s="20">
        <f t="shared" ref="E841:E904" si="153">AJ841</f>
        <v>7.92</v>
      </c>
      <c r="F841" s="20">
        <f t="shared" ref="F841:F904" si="154">AK841</f>
        <v>1.871</v>
      </c>
      <c r="G841" s="277">
        <f t="shared" si="149"/>
        <v>408.85143017531283</v>
      </c>
      <c r="H841" s="3">
        <f t="shared" si="144"/>
        <v>0.70653577886850938</v>
      </c>
      <c r="I841" s="277">
        <f t="shared" si="150"/>
        <v>32381.033269884774</v>
      </c>
      <c r="J841" s="81" t="s">
        <v>814</v>
      </c>
      <c r="K841" s="81" t="s">
        <v>1125</v>
      </c>
      <c r="L841" s="81"/>
      <c r="M841" s="52"/>
      <c r="N841" s="336">
        <v>41358</v>
      </c>
      <c r="O841" s="81">
        <v>297</v>
      </c>
      <c r="P841" s="81" t="s">
        <v>46</v>
      </c>
      <c r="Q841" s="81"/>
      <c r="R841" s="81"/>
      <c r="S841" s="81">
        <v>20</v>
      </c>
      <c r="T841" s="81">
        <v>114</v>
      </c>
      <c r="U841" s="81">
        <v>400</v>
      </c>
      <c r="V841" s="81">
        <v>8</v>
      </c>
      <c r="W841" s="81">
        <v>26.5</v>
      </c>
      <c r="X841" s="81">
        <v>2.5</v>
      </c>
      <c r="Y841" s="256">
        <v>40</v>
      </c>
      <c r="Z841" s="81"/>
      <c r="AA841" s="234"/>
      <c r="AB841" s="199">
        <v>0.22800000000000001</v>
      </c>
      <c r="AC841" s="81">
        <v>0.46460000000000001</v>
      </c>
      <c r="AD841" s="81">
        <v>0.30740000000000001</v>
      </c>
      <c r="AE841" s="81" t="s">
        <v>47</v>
      </c>
      <c r="AF841" s="81">
        <v>6.92</v>
      </c>
      <c r="AG841" s="95"/>
      <c r="AH841" s="97">
        <v>590.82576614929599</v>
      </c>
      <c r="AI841" s="20"/>
      <c r="AJ841" s="20">
        <v>7.92</v>
      </c>
      <c r="AK841" s="20">
        <v>1.871</v>
      </c>
      <c r="AL841" s="20">
        <f>(22.7+250.8)/387.1</f>
        <v>0.70653577886850938</v>
      </c>
      <c r="AM841" s="81"/>
      <c r="AN841" s="24">
        <f t="shared" si="151"/>
        <v>408.85143017531283</v>
      </c>
      <c r="AO841" s="189">
        <f>(AF841*AH841)*AJ841</f>
        <v>32381.033269884774</v>
      </c>
      <c r="AP841" s="184">
        <f t="shared" si="152"/>
        <v>3.6421052631578945</v>
      </c>
      <c r="AQ841" s="52"/>
      <c r="AR841" s="357"/>
      <c r="AS841" s="81"/>
      <c r="AT841" s="81"/>
    </row>
    <row r="842" spans="1:46" ht="12">
      <c r="A842" s="111" t="s">
        <v>1126</v>
      </c>
      <c r="B842" s="359" t="str">
        <f t="shared" si="146"/>
        <v>MgO</v>
      </c>
      <c r="C842" s="141">
        <f t="shared" si="147"/>
        <v>6.88</v>
      </c>
      <c r="D842" s="277">
        <f t="shared" si="148"/>
        <v>565.66905981468904</v>
      </c>
      <c r="E842" s="20">
        <f t="shared" si="153"/>
        <v>8.17</v>
      </c>
      <c r="F842" s="20">
        <f t="shared" si="154"/>
        <v>1.7669999999999999</v>
      </c>
      <c r="G842" s="277">
        <f t="shared" si="149"/>
        <v>389.18031315250607</v>
      </c>
      <c r="H842" s="3">
        <f t="shared" si="144"/>
        <v>0.71528181289947701</v>
      </c>
      <c r="I842" s="277">
        <f t="shared" si="150"/>
        <v>31980.892233307182</v>
      </c>
      <c r="J842" s="81" t="s">
        <v>814</v>
      </c>
      <c r="K842" s="81" t="s">
        <v>1125</v>
      </c>
      <c r="L842" s="81"/>
      <c r="M842" s="52"/>
      <c r="N842" s="336">
        <v>41358</v>
      </c>
      <c r="O842" s="81">
        <v>297</v>
      </c>
      <c r="P842" s="81" t="s">
        <v>46</v>
      </c>
      <c r="Q842" s="81"/>
      <c r="R842" s="81"/>
      <c r="S842" s="81">
        <v>20</v>
      </c>
      <c r="T842" s="81">
        <v>114</v>
      </c>
      <c r="U842" s="81">
        <v>400</v>
      </c>
      <c r="V842" s="81">
        <v>8</v>
      </c>
      <c r="W842" s="81">
        <v>26.5</v>
      </c>
      <c r="X842" s="81">
        <v>2.5</v>
      </c>
      <c r="Y842" s="256">
        <v>40</v>
      </c>
      <c r="Z842" s="81"/>
      <c r="AA842" s="234"/>
      <c r="AB842" s="199">
        <v>0.22509999999999999</v>
      </c>
      <c r="AC842" s="81">
        <v>0.46600000000000003</v>
      </c>
      <c r="AD842" s="81">
        <v>0.30880000000000002</v>
      </c>
      <c r="AE842" s="81" t="s">
        <v>47</v>
      </c>
      <c r="AF842" s="81">
        <v>6.88</v>
      </c>
      <c r="AG842" s="95"/>
      <c r="AH842" s="97">
        <v>565.66905981468904</v>
      </c>
      <c r="AI842" s="20"/>
      <c r="AJ842" s="20">
        <v>8.17</v>
      </c>
      <c r="AK842" s="20">
        <v>1.7669999999999999</v>
      </c>
      <c r="AL842" s="20">
        <f>(23+223.2)/344.2</f>
        <v>0.71528181289947701</v>
      </c>
      <c r="AM842" s="81"/>
      <c r="AN842" s="24">
        <f t="shared" si="151"/>
        <v>389.18031315250607</v>
      </c>
      <c r="AO842" s="189">
        <f>(AF841*AH842)*AJ842</f>
        <v>31980.892233307182</v>
      </c>
      <c r="AP842" s="184">
        <f>(AF841/T842)*60</f>
        <v>3.6421052631578945</v>
      </c>
      <c r="AQ842" s="52"/>
      <c r="AR842" s="357"/>
      <c r="AS842" s="81"/>
      <c r="AT842" s="81"/>
    </row>
    <row r="843" spans="1:46" ht="12">
      <c r="A843" s="81" t="s">
        <v>1127</v>
      </c>
      <c r="B843" s="359" t="str">
        <f t="shared" si="146"/>
        <v>MgO</v>
      </c>
      <c r="C843" s="141">
        <f t="shared" si="147"/>
        <v>6.9</v>
      </c>
      <c r="D843" s="277">
        <f t="shared" si="148"/>
        <v>581.81574012165299</v>
      </c>
      <c r="E843" s="20">
        <f t="shared" si="153"/>
        <v>7.95</v>
      </c>
      <c r="F843" s="20">
        <f t="shared" si="154"/>
        <v>1.8180000000000001</v>
      </c>
      <c r="G843" s="277">
        <f t="shared" si="149"/>
        <v>401.45286068394057</v>
      </c>
      <c r="H843" s="3">
        <f t="shared" si="144"/>
        <v>0.71668928086838546</v>
      </c>
      <c r="I843" s="277">
        <f t="shared" si="150"/>
        <v>31822.993721693932</v>
      </c>
      <c r="J843" s="81" t="s">
        <v>814</v>
      </c>
      <c r="K843" s="81" t="s">
        <v>1128</v>
      </c>
      <c r="L843" s="81"/>
      <c r="M843" s="52"/>
      <c r="N843" s="336">
        <v>41358</v>
      </c>
      <c r="O843" s="81">
        <v>297</v>
      </c>
      <c r="P843" s="81" t="s">
        <v>46</v>
      </c>
      <c r="Q843" s="81"/>
      <c r="R843" s="81"/>
      <c r="S843" s="81">
        <v>20</v>
      </c>
      <c r="T843" s="81">
        <v>114</v>
      </c>
      <c r="U843" s="81">
        <v>400</v>
      </c>
      <c r="V843" s="81">
        <v>8</v>
      </c>
      <c r="W843" s="81">
        <v>26.5</v>
      </c>
      <c r="X843" s="81">
        <v>2.5</v>
      </c>
      <c r="Y843" s="256">
        <v>40</v>
      </c>
      <c r="Z843" s="81"/>
      <c r="AA843" s="234"/>
      <c r="AB843" s="199">
        <v>0.22220000000000001</v>
      </c>
      <c r="AC843" s="81">
        <v>0.46539999999999998</v>
      </c>
      <c r="AD843" s="81">
        <v>0.31240000000000001</v>
      </c>
      <c r="AE843" s="81" t="s">
        <v>47</v>
      </c>
      <c r="AF843" s="81">
        <v>6.9</v>
      </c>
      <c r="AG843" s="95"/>
      <c r="AH843" s="97">
        <v>581.81574012165299</v>
      </c>
      <c r="AI843" s="20"/>
      <c r="AJ843" s="20">
        <v>7.95</v>
      </c>
      <c r="AK843" s="20">
        <v>1.8180000000000001</v>
      </c>
      <c r="AL843" s="20">
        <f>(23+241.1)/368.5</f>
        <v>0.71668928086838546</v>
      </c>
      <c r="AM843" s="81"/>
      <c r="AN843" s="24">
        <f t="shared" si="151"/>
        <v>401.45286068394057</v>
      </c>
      <c r="AO843" s="189">
        <f>(AF842*AH843)*AJ843</f>
        <v>31822.993721693932</v>
      </c>
      <c r="AP843" s="184">
        <f>(AF842/T843)*60</f>
        <v>3.6210526315789471</v>
      </c>
      <c r="AQ843" s="52"/>
      <c r="AR843" s="357"/>
      <c r="AS843" s="81"/>
      <c r="AT843" s="81"/>
    </row>
    <row r="844" spans="1:46" ht="12">
      <c r="A844" s="111" t="s">
        <v>1129</v>
      </c>
      <c r="B844" s="359" t="str">
        <f t="shared" si="146"/>
        <v>MgO</v>
      </c>
      <c r="C844" s="141">
        <f t="shared" si="147"/>
        <v>6.91</v>
      </c>
      <c r="D844" s="277">
        <f t="shared" si="148"/>
        <v>573.51937952194203</v>
      </c>
      <c r="E844" s="20">
        <f t="shared" si="153"/>
        <v>8.06</v>
      </c>
      <c r="F844" s="20">
        <f t="shared" si="154"/>
        <v>1.7789999999999999</v>
      </c>
      <c r="G844" s="277">
        <f t="shared" si="149"/>
        <v>396.30189124966194</v>
      </c>
      <c r="H844" s="3">
        <f t="shared" si="144"/>
        <v>0.72357723577235777</v>
      </c>
      <c r="I844" s="277">
        <f t="shared" si="150"/>
        <v>31895.706772733287</v>
      </c>
      <c r="J844" s="81" t="s">
        <v>814</v>
      </c>
      <c r="K844" s="81" t="s">
        <v>1125</v>
      </c>
      <c r="L844" s="81"/>
      <c r="M844" s="52"/>
      <c r="N844" s="336">
        <v>41358</v>
      </c>
      <c r="O844" s="81">
        <v>297</v>
      </c>
      <c r="P844" s="81" t="s">
        <v>46</v>
      </c>
      <c r="Q844" s="81"/>
      <c r="R844" s="81"/>
      <c r="S844" s="81">
        <v>20</v>
      </c>
      <c r="T844" s="81">
        <v>114</v>
      </c>
      <c r="U844" s="81">
        <v>400</v>
      </c>
      <c r="V844" s="81">
        <v>8</v>
      </c>
      <c r="W844" s="81">
        <v>26.5</v>
      </c>
      <c r="X844" s="81">
        <v>2.5</v>
      </c>
      <c r="Y844" s="256">
        <v>40</v>
      </c>
      <c r="Z844" s="81"/>
      <c r="AA844" s="234"/>
      <c r="AB844" s="199">
        <v>0.23119999999999999</v>
      </c>
      <c r="AC844" s="81">
        <v>0.46489999999999998</v>
      </c>
      <c r="AD844" s="81">
        <v>0.3039</v>
      </c>
      <c r="AE844" s="81" t="s">
        <v>47</v>
      </c>
      <c r="AF844" s="81">
        <v>6.91</v>
      </c>
      <c r="AG844" s="95"/>
      <c r="AH844" s="97">
        <v>573.51937952194203</v>
      </c>
      <c r="AI844" s="20"/>
      <c r="AJ844" s="20">
        <v>8.06</v>
      </c>
      <c r="AK844" s="20">
        <v>1.7789999999999999</v>
      </c>
      <c r="AL844" s="20">
        <f>(23+235.1)/356.7</f>
        <v>0.72357723577235777</v>
      </c>
      <c r="AM844" s="81"/>
      <c r="AN844" s="24">
        <f t="shared" si="151"/>
        <v>396.30189124966194</v>
      </c>
      <c r="AO844" s="189">
        <f>(AF843*AH844)*AJ844</f>
        <v>31895.706772733287</v>
      </c>
      <c r="AP844" s="184">
        <f>(AF843/T844)*60</f>
        <v>3.6315789473684212</v>
      </c>
      <c r="AQ844" s="52"/>
      <c r="AR844" s="357"/>
      <c r="AS844" s="81"/>
      <c r="AT844" s="81"/>
    </row>
    <row r="845" spans="1:46" ht="12">
      <c r="A845" s="111" t="s">
        <v>1130</v>
      </c>
      <c r="B845" s="359" t="str">
        <f t="shared" si="146"/>
        <v>MgO</v>
      </c>
      <c r="C845" s="141">
        <f t="shared" si="147"/>
        <v>6.89</v>
      </c>
      <c r="D845" s="277">
        <f t="shared" si="148"/>
        <v>536.58719362645502</v>
      </c>
      <c r="E845" s="20">
        <f t="shared" si="153"/>
        <v>8.39</v>
      </c>
      <c r="F845" s="20">
        <f t="shared" si="154"/>
        <v>1.6950000000000001</v>
      </c>
      <c r="G845" s="277">
        <f t="shared" si="149"/>
        <v>369.70857640862749</v>
      </c>
      <c r="H845" s="3">
        <f t="shared" si="144"/>
        <v>0.71710914454277286</v>
      </c>
      <c r="I845" s="277">
        <f t="shared" si="150"/>
        <v>31108.588891774369</v>
      </c>
      <c r="J845" s="81" t="s">
        <v>814</v>
      </c>
      <c r="K845" s="81" t="s">
        <v>1125</v>
      </c>
      <c r="L845" s="81"/>
      <c r="M845" s="52"/>
      <c r="N845" s="336">
        <v>41358</v>
      </c>
      <c r="O845" s="81">
        <v>297</v>
      </c>
      <c r="P845" s="81" t="s">
        <v>46</v>
      </c>
      <c r="Q845" s="81"/>
      <c r="R845" s="81"/>
      <c r="S845" s="81">
        <v>20</v>
      </c>
      <c r="T845" s="81">
        <v>114</v>
      </c>
      <c r="U845" s="81">
        <v>400</v>
      </c>
      <c r="V845" s="81">
        <v>8</v>
      </c>
      <c r="W845" s="81">
        <v>26.5</v>
      </c>
      <c r="X845" s="81">
        <v>2.5</v>
      </c>
      <c r="Y845" s="256">
        <v>40</v>
      </c>
      <c r="Z845" s="81"/>
      <c r="AA845" s="234"/>
      <c r="AB845" s="199">
        <v>0.2235</v>
      </c>
      <c r="AC845" s="81">
        <v>0.4657</v>
      </c>
      <c r="AD845" s="81">
        <v>0.31080000000000002</v>
      </c>
      <c r="AE845" s="81" t="s">
        <v>47</v>
      </c>
      <c r="AF845" s="81">
        <v>6.89</v>
      </c>
      <c r="AG845" s="95"/>
      <c r="AH845" s="97">
        <v>536.58719362645502</v>
      </c>
      <c r="AI845" s="20"/>
      <c r="AJ845" s="20">
        <v>8.39</v>
      </c>
      <c r="AK845" s="20">
        <v>1.6950000000000001</v>
      </c>
      <c r="AL845" s="20">
        <f>(23+220.1)/339</f>
        <v>0.71710914454277286</v>
      </c>
      <c r="AM845" s="81"/>
      <c r="AN845" s="24">
        <f t="shared" si="151"/>
        <v>369.70857640862749</v>
      </c>
      <c r="AO845" s="189">
        <f>(AF844*AH845)*AJ845</f>
        <v>31108.588891774369</v>
      </c>
      <c r="AP845" s="184">
        <f>(AF844/T845)*60</f>
        <v>3.6368421052631579</v>
      </c>
      <c r="AQ845" s="52"/>
      <c r="AR845" s="357"/>
      <c r="AS845" s="81"/>
      <c r="AT845" s="81"/>
    </row>
    <row r="846" spans="1:46" ht="12">
      <c r="A846" s="81" t="s">
        <v>1131</v>
      </c>
      <c r="B846" s="359" t="str">
        <f t="shared" si="146"/>
        <v>MgO</v>
      </c>
      <c r="C846" s="141">
        <f t="shared" si="147"/>
        <v>6.88</v>
      </c>
      <c r="D846" s="277">
        <f t="shared" si="148"/>
        <v>501.08233858683298</v>
      </c>
      <c r="E846" s="20">
        <f t="shared" si="153"/>
        <v>8.8000000000000007</v>
      </c>
      <c r="F846" s="20">
        <f t="shared" si="154"/>
        <v>1.6539999999999999</v>
      </c>
      <c r="G846" s="277">
        <f t="shared" si="149"/>
        <v>344.7446489477411</v>
      </c>
      <c r="H846" s="3">
        <f t="shared" si="144"/>
        <v>0.73348669076569173</v>
      </c>
      <c r="I846" s="277">
        <f t="shared" si="150"/>
        <v>30381.624353196858</v>
      </c>
      <c r="J846" s="81" t="s">
        <v>814</v>
      </c>
      <c r="K846" s="81" t="s">
        <v>1128</v>
      </c>
      <c r="L846" s="81"/>
      <c r="M846" s="52"/>
      <c r="N846" s="336">
        <v>41358</v>
      </c>
      <c r="O846" s="81">
        <v>297</v>
      </c>
      <c r="P846" s="81" t="s">
        <v>46</v>
      </c>
      <c r="Q846" s="81"/>
      <c r="R846" s="81"/>
      <c r="S846" s="81">
        <v>20</v>
      </c>
      <c r="T846" s="81">
        <v>114</v>
      </c>
      <c r="U846" s="81">
        <v>400</v>
      </c>
      <c r="V846" s="81">
        <v>8</v>
      </c>
      <c r="W846" s="81">
        <v>26.5</v>
      </c>
      <c r="X846" s="81">
        <v>2.5</v>
      </c>
      <c r="Y846" s="256">
        <v>40</v>
      </c>
      <c r="Z846" s="81"/>
      <c r="AA846" s="234"/>
      <c r="AB846" s="199">
        <v>0.22359999999999999</v>
      </c>
      <c r="AC846" s="81">
        <v>0.46610000000000001</v>
      </c>
      <c r="AD846" s="81">
        <v>0.31030000000000002</v>
      </c>
      <c r="AE846" s="81" t="s">
        <v>47</v>
      </c>
      <c r="AF846" s="81">
        <v>6.88</v>
      </c>
      <c r="AG846" s="95"/>
      <c r="AH846" s="97">
        <v>501.08233858683298</v>
      </c>
      <c r="AI846" s="20"/>
      <c r="AJ846" s="20">
        <v>8.8000000000000007</v>
      </c>
      <c r="AK846" s="20">
        <v>1.6539999999999999</v>
      </c>
      <c r="AL846" s="20">
        <f>(23+200.2)/304.3</f>
        <v>0.73348669076569173</v>
      </c>
      <c r="AM846" s="81"/>
      <c r="AN846" s="24">
        <f t="shared" si="151"/>
        <v>344.7446489477411</v>
      </c>
      <c r="AO846" s="189">
        <f>(AF845*AH846)*AJ846</f>
        <v>30381.624353196858</v>
      </c>
      <c r="AP846" s="184">
        <f>(AF845/T846)*60</f>
        <v>3.6263157894736842</v>
      </c>
      <c r="AQ846" s="52"/>
      <c r="AR846" s="357"/>
      <c r="AS846" s="81"/>
      <c r="AT846" s="81"/>
    </row>
    <row r="847" spans="1:46" ht="12">
      <c r="A847" s="111" t="s">
        <v>1132</v>
      </c>
      <c r="B847" s="359" t="str">
        <f t="shared" si="146"/>
        <v>MgO</v>
      </c>
      <c r="C847" s="141">
        <f t="shared" si="147"/>
        <v>6.88</v>
      </c>
      <c r="D847" s="277">
        <f t="shared" si="148"/>
        <v>566.471933421112</v>
      </c>
      <c r="E847" s="20">
        <f t="shared" si="153"/>
        <v>8.34</v>
      </c>
      <c r="F847" s="20">
        <f t="shared" si="154"/>
        <v>1.8340000000000001</v>
      </c>
      <c r="G847" s="277">
        <f t="shared" si="149"/>
        <v>389.73269019372503</v>
      </c>
      <c r="H847" s="3">
        <f t="shared" si="144"/>
        <v>0.70889261744966436</v>
      </c>
      <c r="I847" s="277">
        <f t="shared" si="150"/>
        <v>32503.70636215667</v>
      </c>
      <c r="J847" s="81" t="s">
        <v>814</v>
      </c>
      <c r="K847" s="81" t="s">
        <v>1125</v>
      </c>
      <c r="L847" s="81"/>
      <c r="M847" s="52"/>
      <c r="N847" s="336">
        <v>41359</v>
      </c>
      <c r="O847" s="81">
        <v>298</v>
      </c>
      <c r="P847" s="81" t="s">
        <v>46</v>
      </c>
      <c r="Q847" s="81"/>
      <c r="R847" s="81"/>
      <c r="S847" s="81">
        <v>20</v>
      </c>
      <c r="T847" s="81">
        <v>114</v>
      </c>
      <c r="U847" s="81">
        <v>400</v>
      </c>
      <c r="V847" s="81">
        <v>8</v>
      </c>
      <c r="W847" s="81">
        <v>26.5</v>
      </c>
      <c r="X847" s="81">
        <v>2.5</v>
      </c>
      <c r="Y847" s="256">
        <v>40</v>
      </c>
      <c r="Z847" s="81"/>
      <c r="AA847" s="234"/>
      <c r="AB847" s="199">
        <v>0.2271</v>
      </c>
      <c r="AC847" s="81">
        <v>0.46629999999999999</v>
      </c>
      <c r="AD847" s="81">
        <v>0.30669999999999997</v>
      </c>
      <c r="AE847" s="81" t="s">
        <v>47</v>
      </c>
      <c r="AF847" s="81">
        <v>6.88</v>
      </c>
      <c r="AG847" s="95"/>
      <c r="AH847" s="97">
        <v>566.471933421112</v>
      </c>
      <c r="AI847" s="20"/>
      <c r="AJ847" s="20">
        <v>8.34</v>
      </c>
      <c r="AK847" s="20">
        <v>1.8340000000000001</v>
      </c>
      <c r="AL847" s="20">
        <f>(22.7+230.8)/357.6</f>
        <v>0.70889261744966436</v>
      </c>
      <c r="AM847" s="81"/>
      <c r="AN847" s="24">
        <f t="shared" si="151"/>
        <v>389.73269019372503</v>
      </c>
      <c r="AO847" s="189">
        <f t="shared" ref="AO847:AO887" si="155">(AF847*AH847)*AJ847</f>
        <v>32503.70636215667</v>
      </c>
      <c r="AP847" s="184">
        <f t="shared" ref="AP847:AP878" si="156">(AF847/T847)*60</f>
        <v>3.6210526315789471</v>
      </c>
      <c r="AQ847" s="52"/>
      <c r="AR847" s="357"/>
      <c r="AS847" s="81"/>
      <c r="AT847" s="81"/>
    </row>
    <row r="848" spans="1:46" ht="12">
      <c r="A848" s="111" t="s">
        <v>1133</v>
      </c>
      <c r="B848" s="359" t="str">
        <f t="shared" si="146"/>
        <v>MgO</v>
      </c>
      <c r="C848" s="141">
        <f t="shared" si="147"/>
        <v>6.91</v>
      </c>
      <c r="D848" s="277">
        <f t="shared" si="148"/>
        <v>558.443197356876</v>
      </c>
      <c r="E848" s="20">
        <f t="shared" si="153"/>
        <v>8.3000000000000007</v>
      </c>
      <c r="F848" s="20">
        <f t="shared" si="154"/>
        <v>1.774</v>
      </c>
      <c r="G848" s="277">
        <f t="shared" si="149"/>
        <v>385.88424937360134</v>
      </c>
      <c r="H848" s="3">
        <f t="shared" si="144"/>
        <v>0.70886442641946701</v>
      </c>
      <c r="I848" s="277">
        <f t="shared" si="150"/>
        <v>32028.392698008913</v>
      </c>
      <c r="J848" s="81" t="s">
        <v>814</v>
      </c>
      <c r="K848" s="81" t="s">
        <v>1125</v>
      </c>
      <c r="L848" s="81"/>
      <c r="M848" s="52"/>
      <c r="N848" s="336">
        <v>41359</v>
      </c>
      <c r="O848" s="81">
        <v>298</v>
      </c>
      <c r="P848" s="81" t="s">
        <v>46</v>
      </c>
      <c r="Q848" s="81"/>
      <c r="R848" s="81"/>
      <c r="S848" s="81">
        <v>20</v>
      </c>
      <c r="T848" s="81">
        <v>114</v>
      </c>
      <c r="U848" s="81">
        <v>400</v>
      </c>
      <c r="V848" s="81">
        <v>8</v>
      </c>
      <c r="W848" s="81">
        <v>26.5</v>
      </c>
      <c r="X848" s="81">
        <v>2.5</v>
      </c>
      <c r="Y848" s="256">
        <v>40</v>
      </c>
      <c r="Z848" s="81"/>
      <c r="AA848" s="234"/>
      <c r="AB848" s="199">
        <v>0.24349999999999999</v>
      </c>
      <c r="AC848" s="81">
        <v>0.46489999999999998</v>
      </c>
      <c r="AD848" s="81">
        <v>0.29160000000000003</v>
      </c>
      <c r="AE848" s="81" t="s">
        <v>47</v>
      </c>
      <c r="AF848" s="81">
        <v>6.91</v>
      </c>
      <c r="AG848" s="95"/>
      <c r="AH848" s="97">
        <v>558.443197356876</v>
      </c>
      <c r="AI848" s="20"/>
      <c r="AJ848" s="20">
        <v>8.3000000000000007</v>
      </c>
      <c r="AK848" s="20">
        <v>1.774</v>
      </c>
      <c r="AL848" s="20">
        <f>(23.3+221.4)/345.2</f>
        <v>0.70886442641946701</v>
      </c>
      <c r="AM848" s="81"/>
      <c r="AN848" s="24">
        <f t="shared" si="151"/>
        <v>385.88424937360134</v>
      </c>
      <c r="AO848" s="189">
        <f t="shared" si="155"/>
        <v>32028.392698008913</v>
      </c>
      <c r="AP848" s="184">
        <f t="shared" si="156"/>
        <v>3.6368421052631579</v>
      </c>
      <c r="AQ848" s="52"/>
      <c r="AR848" s="357"/>
      <c r="AS848" s="81"/>
      <c r="AT848" s="81"/>
    </row>
    <row r="849" spans="1:46" ht="12">
      <c r="A849" s="81" t="s">
        <v>1134</v>
      </c>
      <c r="B849" s="359" t="str">
        <f t="shared" si="146"/>
        <v>MgO</v>
      </c>
      <c r="C849" s="141">
        <f t="shared" si="147"/>
        <v>6.95</v>
      </c>
      <c r="D849" s="277">
        <f t="shared" si="148"/>
        <v>539.44185533818404</v>
      </c>
      <c r="E849" s="20">
        <f t="shared" si="153"/>
        <v>8.34</v>
      </c>
      <c r="F849" s="20">
        <f t="shared" si="154"/>
        <v>1.7450000000000001</v>
      </c>
      <c r="G849" s="277">
        <f t="shared" si="149"/>
        <v>374.91208946003792</v>
      </c>
      <c r="H849" s="3">
        <f t="shared" si="144"/>
        <v>0.72165250512745382</v>
      </c>
      <c r="I849" s="277">
        <f t="shared" si="150"/>
        <v>31267.668260967159</v>
      </c>
      <c r="J849" s="81" t="s">
        <v>814</v>
      </c>
      <c r="K849" s="81" t="s">
        <v>1128</v>
      </c>
      <c r="L849" s="81"/>
      <c r="M849" s="52"/>
      <c r="N849" s="336">
        <v>41359</v>
      </c>
      <c r="O849" s="81">
        <v>298</v>
      </c>
      <c r="P849" s="81" t="s">
        <v>46</v>
      </c>
      <c r="Q849" s="81"/>
      <c r="R849" s="81"/>
      <c r="S849" s="81">
        <v>20</v>
      </c>
      <c r="T849" s="81">
        <v>114</v>
      </c>
      <c r="U849" s="81">
        <v>400</v>
      </c>
      <c r="V849" s="81">
        <v>8</v>
      </c>
      <c r="W849" s="81">
        <v>26.5</v>
      </c>
      <c r="X849" s="81">
        <v>2.5</v>
      </c>
      <c r="Y849" s="256">
        <v>40</v>
      </c>
      <c r="Z849" s="81"/>
      <c r="AA849" s="234"/>
      <c r="AB849" s="199">
        <v>0.24379999999999999</v>
      </c>
      <c r="AC849" s="81">
        <v>0.46329999999999999</v>
      </c>
      <c r="AD849" s="81">
        <v>0.2928</v>
      </c>
      <c r="AE849" s="81" t="s">
        <v>47</v>
      </c>
      <c r="AF849" s="81">
        <v>6.95</v>
      </c>
      <c r="AG849" s="95"/>
      <c r="AH849" s="97">
        <v>539.44185533818404</v>
      </c>
      <c r="AI849" s="20"/>
      <c r="AJ849" s="20">
        <v>8.34</v>
      </c>
      <c r="AK849" s="20">
        <v>1.7450000000000001</v>
      </c>
      <c r="AL849" s="20">
        <f>(23.3+223)/341.3</f>
        <v>0.72165250512745382</v>
      </c>
      <c r="AM849" s="81"/>
      <c r="AN849" s="24">
        <f t="shared" si="151"/>
        <v>374.91208946003792</v>
      </c>
      <c r="AO849" s="189">
        <f t="shared" si="155"/>
        <v>31267.668260967159</v>
      </c>
      <c r="AP849" s="184">
        <f t="shared" si="156"/>
        <v>3.6578947368421053</v>
      </c>
      <c r="AQ849" s="52"/>
      <c r="AR849" s="357"/>
      <c r="AS849" s="81"/>
      <c r="AT849" s="81"/>
    </row>
    <row r="850" spans="1:46" ht="12">
      <c r="A850" s="111" t="s">
        <v>1135</v>
      </c>
      <c r="B850" s="359" t="str">
        <f t="shared" si="146"/>
        <v>MgO</v>
      </c>
      <c r="C850" s="141">
        <f t="shared" si="147"/>
        <v>6.83</v>
      </c>
      <c r="D850" s="277">
        <f t="shared" si="148"/>
        <v>553.62595571833401</v>
      </c>
      <c r="E850" s="20">
        <f t="shared" si="153"/>
        <v>8.4169999999999998</v>
      </c>
      <c r="F850" s="20">
        <f t="shared" si="154"/>
        <v>1.7470000000000001</v>
      </c>
      <c r="G850" s="277">
        <f t="shared" si="149"/>
        <v>378.12652775562213</v>
      </c>
      <c r="H850" s="3">
        <f t="shared" si="144"/>
        <v>0.72263204485098853</v>
      </c>
      <c r="I850" s="277">
        <f t="shared" si="150"/>
        <v>31826.909841190714</v>
      </c>
      <c r="J850" s="81" t="s">
        <v>814</v>
      </c>
      <c r="K850" s="81" t="s">
        <v>1125</v>
      </c>
      <c r="L850" s="81"/>
      <c r="M850" s="52"/>
      <c r="N850" s="336">
        <v>41359</v>
      </c>
      <c r="O850" s="81">
        <v>298</v>
      </c>
      <c r="P850" s="81" t="s">
        <v>46</v>
      </c>
      <c r="Q850" s="81"/>
      <c r="R850" s="81"/>
      <c r="S850" s="81">
        <v>20</v>
      </c>
      <c r="T850" s="81">
        <v>114</v>
      </c>
      <c r="U850" s="81">
        <v>400</v>
      </c>
      <c r="V850" s="81">
        <v>8</v>
      </c>
      <c r="W850" s="81">
        <v>26.5</v>
      </c>
      <c r="X850" s="81">
        <v>2.5</v>
      </c>
      <c r="Y850" s="256">
        <v>40</v>
      </c>
      <c r="Z850" s="81"/>
      <c r="AA850" s="234"/>
      <c r="AB850" s="199">
        <v>0.23810000000000001</v>
      </c>
      <c r="AC850" s="81">
        <v>0.46820000000000001</v>
      </c>
      <c r="AD850" s="81">
        <v>0.29370000000000002</v>
      </c>
      <c r="AE850" s="81" t="s">
        <v>47</v>
      </c>
      <c r="AF850" s="81">
        <v>6.83</v>
      </c>
      <c r="AG850" s="95"/>
      <c r="AH850" s="97">
        <v>553.62595571833401</v>
      </c>
      <c r="AI850" s="20"/>
      <c r="AJ850" s="20">
        <v>8.4169999999999998</v>
      </c>
      <c r="AK850" s="20">
        <v>1.7470000000000001</v>
      </c>
      <c r="AL850" s="20">
        <f>(23.3+221.6)/338.9</f>
        <v>0.72263204485098853</v>
      </c>
      <c r="AM850" s="81"/>
      <c r="AN850" s="24">
        <f t="shared" si="151"/>
        <v>378.12652775562213</v>
      </c>
      <c r="AO850" s="189">
        <f t="shared" si="155"/>
        <v>31826.909841190714</v>
      </c>
      <c r="AP850" s="184">
        <f t="shared" si="156"/>
        <v>3.5947368421052635</v>
      </c>
      <c r="AQ850" s="52"/>
      <c r="AR850" s="357"/>
      <c r="AS850" s="81"/>
      <c r="AT850" s="81"/>
    </row>
    <row r="851" spans="1:46" ht="12">
      <c r="A851" s="111" t="s">
        <v>1136</v>
      </c>
      <c r="B851" s="359" t="str">
        <f t="shared" si="146"/>
        <v>MgO</v>
      </c>
      <c r="C851" s="141">
        <f t="shared" si="147"/>
        <v>6.68</v>
      </c>
      <c r="D851" s="277">
        <f t="shared" si="148"/>
        <v>481.991788389649</v>
      </c>
      <c r="E851" s="20">
        <f t="shared" si="153"/>
        <v>9.3889999999999993</v>
      </c>
      <c r="F851" s="20">
        <f t="shared" si="154"/>
        <v>1.5</v>
      </c>
      <c r="G851" s="277">
        <f t="shared" si="149"/>
        <v>321.97051464428552</v>
      </c>
      <c r="H851" s="3">
        <f t="shared" si="144"/>
        <v>0.73247496423462088</v>
      </c>
      <c r="I851" s="277">
        <f t="shared" si="150"/>
        <v>30229.811619951965</v>
      </c>
      <c r="J851" s="81" t="s">
        <v>814</v>
      </c>
      <c r="K851" s="81" t="s">
        <v>1125</v>
      </c>
      <c r="L851" s="81"/>
      <c r="M851" s="52"/>
      <c r="N851" s="336">
        <v>41359</v>
      </c>
      <c r="O851" s="81">
        <v>298</v>
      </c>
      <c r="P851" s="81" t="s">
        <v>46</v>
      </c>
      <c r="Q851" s="81"/>
      <c r="R851" s="81"/>
      <c r="S851" s="81">
        <v>20</v>
      </c>
      <c r="T851" s="81">
        <v>114</v>
      </c>
      <c r="U851" s="81">
        <v>400</v>
      </c>
      <c r="V851" s="81">
        <v>8</v>
      </c>
      <c r="W851" s="81">
        <v>26.5</v>
      </c>
      <c r="X851" s="81">
        <v>2.5</v>
      </c>
      <c r="Y851" s="256">
        <v>40</v>
      </c>
      <c r="Z851" s="81"/>
      <c r="AA851" s="234"/>
      <c r="AB851" s="199">
        <v>0.2286</v>
      </c>
      <c r="AC851" s="81">
        <v>0.4738</v>
      </c>
      <c r="AD851" s="81">
        <v>0.29759999999999998</v>
      </c>
      <c r="AE851" s="81" t="s">
        <v>47</v>
      </c>
      <c r="AF851" s="81">
        <v>6.68</v>
      </c>
      <c r="AG851" s="95"/>
      <c r="AH851" s="97">
        <v>481.991788389649</v>
      </c>
      <c r="AI851" s="20"/>
      <c r="AJ851" s="20">
        <v>9.3889999999999993</v>
      </c>
      <c r="AK851" s="20">
        <v>1.5</v>
      </c>
      <c r="AL851" s="20">
        <f>(23.3+181.5)/279.6</f>
        <v>0.73247496423462088</v>
      </c>
      <c r="AM851" s="81"/>
      <c r="AN851" s="24">
        <f t="shared" si="151"/>
        <v>321.97051464428552</v>
      </c>
      <c r="AO851" s="189">
        <f t="shared" si="155"/>
        <v>30229.811619951965</v>
      </c>
      <c r="AP851" s="184">
        <f t="shared" si="156"/>
        <v>3.5157894736842104</v>
      </c>
      <c r="AQ851" s="52"/>
      <c r="AR851" s="357"/>
      <c r="AS851" s="81"/>
      <c r="AT851" s="81"/>
    </row>
    <row r="852" spans="1:46" ht="12">
      <c r="A852" s="81" t="s">
        <v>1137</v>
      </c>
      <c r="B852" s="359" t="str">
        <f t="shared" si="146"/>
        <v>MgO</v>
      </c>
      <c r="C852" s="141">
        <f t="shared" si="147"/>
        <v>6.81</v>
      </c>
      <c r="D852" s="277">
        <f t="shared" si="148"/>
        <v>477.35296310809002</v>
      </c>
      <c r="E852" s="20">
        <f t="shared" si="153"/>
        <v>9.2129999999999992</v>
      </c>
      <c r="F852" s="20">
        <f t="shared" si="154"/>
        <v>1.5169999999999999</v>
      </c>
      <c r="G852" s="277">
        <f t="shared" si="149"/>
        <v>325.07736787660929</v>
      </c>
      <c r="H852" s="3">
        <f t="shared" si="144"/>
        <v>0.73531468531468536</v>
      </c>
      <c r="I852" s="277">
        <f t="shared" si="150"/>
        <v>29949.37790247201</v>
      </c>
      <c r="J852" s="81" t="s">
        <v>814</v>
      </c>
      <c r="K852" s="81" t="s">
        <v>1128</v>
      </c>
      <c r="L852" s="81"/>
      <c r="M852" s="52"/>
      <c r="N852" s="336">
        <v>41359</v>
      </c>
      <c r="O852" s="81">
        <v>298</v>
      </c>
      <c r="P852" s="81" t="s">
        <v>46</v>
      </c>
      <c r="Q852" s="81"/>
      <c r="R852" s="81"/>
      <c r="S852" s="81">
        <v>20</v>
      </c>
      <c r="T852" s="81">
        <v>114</v>
      </c>
      <c r="U852" s="81">
        <v>400</v>
      </c>
      <c r="V852" s="81">
        <v>8</v>
      </c>
      <c r="W852" s="81">
        <v>26.5</v>
      </c>
      <c r="X852" s="81">
        <v>2.5</v>
      </c>
      <c r="Y852" s="256">
        <v>40</v>
      </c>
      <c r="Z852" s="81"/>
      <c r="AA852" s="234"/>
      <c r="AB852" s="199">
        <v>0.2288</v>
      </c>
      <c r="AC852" s="81">
        <v>0.46870000000000001</v>
      </c>
      <c r="AD852" s="81">
        <v>0.3024</v>
      </c>
      <c r="AE852" s="81" t="s">
        <v>47</v>
      </c>
      <c r="AF852" s="81">
        <v>6.81</v>
      </c>
      <c r="AG852" s="95"/>
      <c r="AH852" s="97">
        <v>477.35296310809002</v>
      </c>
      <c r="AI852" s="20"/>
      <c r="AJ852" s="20">
        <v>9.2129999999999992</v>
      </c>
      <c r="AK852" s="20">
        <v>1.5169999999999999</v>
      </c>
      <c r="AL852" s="20">
        <f>(23.3+187)/286</f>
        <v>0.73531468531468536</v>
      </c>
      <c r="AM852" s="81"/>
      <c r="AN852" s="24">
        <f t="shared" si="151"/>
        <v>325.07736787660929</v>
      </c>
      <c r="AO852" s="189">
        <f t="shared" si="155"/>
        <v>29949.37790247201</v>
      </c>
      <c r="AP852" s="184">
        <f t="shared" si="156"/>
        <v>3.5842105263157893</v>
      </c>
      <c r="AQ852" s="52"/>
      <c r="AR852" s="357"/>
      <c r="AS852" s="81"/>
      <c r="AT852" s="81"/>
    </row>
    <row r="853" spans="1:46" ht="12">
      <c r="A853" s="111" t="s">
        <v>1138</v>
      </c>
      <c r="B853" s="359" t="str">
        <f t="shared" si="146"/>
        <v>MgO</v>
      </c>
      <c r="C853" s="141">
        <f t="shared" si="147"/>
        <v>4.37</v>
      </c>
      <c r="D853" s="277">
        <f t="shared" si="148"/>
        <v>329.80263588312602</v>
      </c>
      <c r="E853" s="20">
        <f t="shared" si="153"/>
        <v>11.77</v>
      </c>
      <c r="F853" s="20">
        <f t="shared" si="154"/>
        <v>1.839</v>
      </c>
      <c r="G853" s="277">
        <f t="shared" si="149"/>
        <v>144.12375188092608</v>
      </c>
      <c r="H853" s="3">
        <f t="shared" si="144"/>
        <v>0.78842105263157891</v>
      </c>
      <c r="I853" s="277">
        <f t="shared" si="150"/>
        <v>16963.365596385</v>
      </c>
      <c r="J853" s="81" t="s">
        <v>814</v>
      </c>
      <c r="K853" s="81" t="s">
        <v>1139</v>
      </c>
      <c r="L853" s="81"/>
      <c r="M853" s="52"/>
      <c r="N853" s="336">
        <v>41360</v>
      </c>
      <c r="O853" s="81">
        <v>300</v>
      </c>
      <c r="P853" s="81" t="s">
        <v>46</v>
      </c>
      <c r="Q853" s="81"/>
      <c r="R853" s="81"/>
      <c r="S853" s="81">
        <v>800</v>
      </c>
      <c r="T853" s="81">
        <v>75</v>
      </c>
      <c r="U853" s="81">
        <v>400</v>
      </c>
      <c r="V853" s="81">
        <v>8</v>
      </c>
      <c r="W853" s="81">
        <v>26.5</v>
      </c>
      <c r="X853" s="81">
        <v>2.5</v>
      </c>
      <c r="Y853" s="256">
        <v>40</v>
      </c>
      <c r="Z853" s="81"/>
      <c r="AA853" s="234"/>
      <c r="AB853" s="199">
        <v>0.18390000000000001</v>
      </c>
      <c r="AC853" s="81">
        <v>0.57369999999999999</v>
      </c>
      <c r="AD853" s="81">
        <v>0.2424</v>
      </c>
      <c r="AE853" s="81" t="s">
        <v>47</v>
      </c>
      <c r="AF853" s="81">
        <v>4.37</v>
      </c>
      <c r="AG853" s="95"/>
      <c r="AH853" s="97">
        <v>329.80263588312602</v>
      </c>
      <c r="AI853" s="20"/>
      <c r="AJ853" s="20">
        <v>11.77</v>
      </c>
      <c r="AK853" s="20">
        <v>1.839</v>
      </c>
      <c r="AL853" s="20">
        <f>(22.7+127.1)/190</f>
        <v>0.78842105263157891</v>
      </c>
      <c r="AM853" s="81"/>
      <c r="AN853" s="24">
        <f t="shared" si="151"/>
        <v>144.12375188092608</v>
      </c>
      <c r="AO853" s="189">
        <f t="shared" si="155"/>
        <v>16963.365596385</v>
      </c>
      <c r="AP853" s="184">
        <f t="shared" si="156"/>
        <v>3.496</v>
      </c>
      <c r="AQ853" s="52"/>
      <c r="AR853" s="357"/>
      <c r="AS853" s="81"/>
      <c r="AT853" s="81"/>
    </row>
    <row r="854" spans="1:46" ht="12">
      <c r="A854" s="111" t="s">
        <v>1140</v>
      </c>
      <c r="B854" s="359" t="str">
        <f t="shared" si="146"/>
        <v>MgO</v>
      </c>
      <c r="C854" s="141">
        <f t="shared" si="147"/>
        <v>4.26</v>
      </c>
      <c r="D854" s="277">
        <f t="shared" si="148"/>
        <v>322.04152435436498</v>
      </c>
      <c r="E854" s="20">
        <f t="shared" si="153"/>
        <v>11.97</v>
      </c>
      <c r="F854" s="20">
        <f t="shared" si="154"/>
        <v>0</v>
      </c>
      <c r="G854" s="277">
        <f t="shared" si="149"/>
        <v>137.18968937495947</v>
      </c>
      <c r="H854" s="3">
        <f t="shared" si="144"/>
        <v>0.81858653311074014</v>
      </c>
      <c r="I854" s="277">
        <f t="shared" si="150"/>
        <v>16421.605818182648</v>
      </c>
      <c r="J854" s="81" t="s">
        <v>814</v>
      </c>
      <c r="K854" s="81" t="s">
        <v>1139</v>
      </c>
      <c r="L854" s="81"/>
      <c r="M854" s="52"/>
      <c r="N854" s="336">
        <v>41360</v>
      </c>
      <c r="O854" s="81">
        <v>300</v>
      </c>
      <c r="P854" s="81" t="s">
        <v>46</v>
      </c>
      <c r="Q854" s="81"/>
      <c r="R854" s="81"/>
      <c r="S854" s="81">
        <v>800</v>
      </c>
      <c r="T854" s="81">
        <v>75</v>
      </c>
      <c r="U854" s="81">
        <v>400</v>
      </c>
      <c r="V854" s="81">
        <v>8</v>
      </c>
      <c r="W854" s="81">
        <v>26.5</v>
      </c>
      <c r="X854" s="81">
        <v>2.5</v>
      </c>
      <c r="Y854" s="256">
        <v>40</v>
      </c>
      <c r="Z854" s="81"/>
      <c r="AA854" s="234"/>
      <c r="AB854" s="199">
        <v>0.18360000000000001</v>
      </c>
      <c r="AC854" s="81">
        <v>0.57889999999999997</v>
      </c>
      <c r="AD854" s="81">
        <v>0.2374</v>
      </c>
      <c r="AE854" s="81" t="s">
        <v>47</v>
      </c>
      <c r="AF854" s="81">
        <v>4.26</v>
      </c>
      <c r="AG854" s="95"/>
      <c r="AH854" s="97">
        <v>322.04152435436498</v>
      </c>
      <c r="AI854" s="20"/>
      <c r="AJ854" s="20">
        <v>11.97</v>
      </c>
      <c r="AK854" s="20"/>
      <c r="AL854" s="20">
        <f>(22.7+124.4)/179.7</f>
        <v>0.81858653311074014</v>
      </c>
      <c r="AM854" s="81"/>
      <c r="AN854" s="24">
        <f t="shared" si="151"/>
        <v>137.18968937495947</v>
      </c>
      <c r="AO854" s="189">
        <f t="shared" si="155"/>
        <v>16421.605818182648</v>
      </c>
      <c r="AP854" s="184">
        <f t="shared" si="156"/>
        <v>3.4079999999999999</v>
      </c>
      <c r="AQ854" s="52"/>
      <c r="AR854" s="357"/>
      <c r="AS854" s="81"/>
      <c r="AT854" s="81"/>
    </row>
    <row r="855" spans="1:46" ht="12">
      <c r="A855" s="81" t="s">
        <v>1141</v>
      </c>
      <c r="B855" s="359" t="str">
        <f t="shared" si="146"/>
        <v>MgO</v>
      </c>
      <c r="C855" s="141">
        <f t="shared" si="147"/>
        <v>0</v>
      </c>
      <c r="D855" s="277">
        <f t="shared" si="148"/>
        <v>359.50895932079999</v>
      </c>
      <c r="E855" s="20">
        <f t="shared" si="153"/>
        <v>11.99</v>
      </c>
      <c r="F855" s="20">
        <f t="shared" si="154"/>
        <v>1.6759999999999999</v>
      </c>
      <c r="G855" s="277">
        <f t="shared" si="149"/>
        <v>0</v>
      </c>
      <c r="H855" s="3">
        <f t="shared" si="144"/>
        <v>0</v>
      </c>
      <c r="I855" s="277">
        <f t="shared" si="150"/>
        <v>0</v>
      </c>
      <c r="J855" s="81" t="s">
        <v>814</v>
      </c>
      <c r="K855" s="81" t="s">
        <v>1139</v>
      </c>
      <c r="L855" s="81"/>
      <c r="M855" s="52"/>
      <c r="N855" s="336">
        <v>41360</v>
      </c>
      <c r="O855" s="81">
        <v>302</v>
      </c>
      <c r="P855" s="81" t="s">
        <v>46</v>
      </c>
      <c r="Q855" s="81"/>
      <c r="R855" s="81"/>
      <c r="S855" s="81">
        <v>800</v>
      </c>
      <c r="T855" s="81">
        <v>69</v>
      </c>
      <c r="U855" s="81">
        <v>400</v>
      </c>
      <c r="V855" s="81">
        <v>8</v>
      </c>
      <c r="W855" s="81">
        <v>26.5</v>
      </c>
      <c r="X855" s="81">
        <v>2.5</v>
      </c>
      <c r="Y855" s="256">
        <v>40</v>
      </c>
      <c r="Z855" s="81"/>
      <c r="AA855" s="234"/>
      <c r="AB855" s="199"/>
      <c r="AC855" s="81"/>
      <c r="AD855" s="81"/>
      <c r="AE855" s="81"/>
      <c r="AF855" s="81"/>
      <c r="AG855" s="95"/>
      <c r="AH855" s="97">
        <v>359.50895932079999</v>
      </c>
      <c r="AI855" s="20"/>
      <c r="AJ855" s="20">
        <v>11.99</v>
      </c>
      <c r="AK855" s="20">
        <v>1.6759999999999999</v>
      </c>
      <c r="AL855" s="20"/>
      <c r="AM855" s="81"/>
      <c r="AN855" s="24">
        <f t="shared" si="151"/>
        <v>0</v>
      </c>
      <c r="AO855" s="189">
        <f t="shared" si="155"/>
        <v>0</v>
      </c>
      <c r="AP855" s="184">
        <f t="shared" si="156"/>
        <v>0</v>
      </c>
      <c r="AQ855" s="52"/>
      <c r="AR855" s="357"/>
      <c r="AS855" s="81"/>
      <c r="AT855" s="81"/>
    </row>
    <row r="856" spans="1:46" ht="12">
      <c r="A856" s="111" t="s">
        <v>1142</v>
      </c>
      <c r="B856" s="359" t="str">
        <f t="shared" si="146"/>
        <v>MgO</v>
      </c>
      <c r="C856" s="141">
        <f t="shared" si="147"/>
        <v>0</v>
      </c>
      <c r="D856" s="277">
        <f t="shared" si="148"/>
        <v>362.80966192498602</v>
      </c>
      <c r="E856" s="20">
        <f t="shared" si="153"/>
        <v>11.78</v>
      </c>
      <c r="F856" s="20">
        <f t="shared" si="154"/>
        <v>1.3580000000000001</v>
      </c>
      <c r="G856" s="277">
        <f t="shared" si="149"/>
        <v>0</v>
      </c>
      <c r="H856" s="3">
        <f t="shared" si="144"/>
        <v>0</v>
      </c>
      <c r="I856" s="277">
        <f t="shared" si="150"/>
        <v>0</v>
      </c>
      <c r="J856" s="81" t="s">
        <v>814</v>
      </c>
      <c r="K856" s="81" t="s">
        <v>1139</v>
      </c>
      <c r="L856" s="81"/>
      <c r="M856" s="52"/>
      <c r="N856" s="336">
        <v>41360</v>
      </c>
      <c r="O856" s="81">
        <v>302</v>
      </c>
      <c r="P856" s="81" t="s">
        <v>46</v>
      </c>
      <c r="Q856" s="81"/>
      <c r="R856" s="81"/>
      <c r="S856" s="81">
        <v>800</v>
      </c>
      <c r="T856" s="81">
        <v>69</v>
      </c>
      <c r="U856" s="81">
        <v>400</v>
      </c>
      <c r="V856" s="81">
        <v>8</v>
      </c>
      <c r="W856" s="81">
        <v>26.5</v>
      </c>
      <c r="X856" s="81">
        <v>2.5</v>
      </c>
      <c r="Y856" s="256">
        <v>40</v>
      </c>
      <c r="Z856" s="81"/>
      <c r="AA856" s="234"/>
      <c r="AB856" s="199"/>
      <c r="AC856" s="81"/>
      <c r="AD856" s="81"/>
      <c r="AE856" s="81"/>
      <c r="AF856" s="81"/>
      <c r="AG856" s="95"/>
      <c r="AH856" s="97">
        <v>362.80966192498602</v>
      </c>
      <c r="AI856" s="20"/>
      <c r="AJ856" s="20">
        <v>11.78</v>
      </c>
      <c r="AK856" s="20">
        <v>1.3580000000000001</v>
      </c>
      <c r="AL856" s="20"/>
      <c r="AM856" s="81"/>
      <c r="AN856" s="24">
        <f t="shared" si="151"/>
        <v>0</v>
      </c>
      <c r="AO856" s="189">
        <f t="shared" si="155"/>
        <v>0</v>
      </c>
      <c r="AP856" s="184">
        <f t="shared" si="156"/>
        <v>0</v>
      </c>
      <c r="AQ856" s="52"/>
      <c r="AR856" s="357"/>
      <c r="AS856" s="81"/>
      <c r="AT856" s="81"/>
    </row>
    <row r="857" spans="1:46" ht="24">
      <c r="A857" s="111" t="s">
        <v>1143</v>
      </c>
      <c r="B857" s="359" t="str">
        <f t="shared" si="146"/>
        <v>MgO</v>
      </c>
      <c r="C857" s="141">
        <f t="shared" si="147"/>
        <v>0</v>
      </c>
      <c r="D857" s="277">
        <f t="shared" si="148"/>
        <v>397.06560246572798</v>
      </c>
      <c r="E857" s="20">
        <f t="shared" si="153"/>
        <v>10.95</v>
      </c>
      <c r="F857" s="20">
        <f t="shared" si="154"/>
        <v>1.45</v>
      </c>
      <c r="G857" s="277">
        <f t="shared" si="149"/>
        <v>0</v>
      </c>
      <c r="H857" s="3">
        <f t="shared" si="144"/>
        <v>0</v>
      </c>
      <c r="I857" s="277">
        <f t="shared" si="150"/>
        <v>0</v>
      </c>
      <c r="J857" s="81" t="s">
        <v>814</v>
      </c>
      <c r="K857" s="81" t="s">
        <v>1144</v>
      </c>
      <c r="L857" s="81"/>
      <c r="M857" s="52"/>
      <c r="N857" s="336">
        <v>41362</v>
      </c>
      <c r="O857" s="81">
        <v>304</v>
      </c>
      <c r="P857" s="81" t="s">
        <v>46</v>
      </c>
      <c r="Q857" s="81"/>
      <c r="R857" s="81"/>
      <c r="S857" s="81">
        <v>800</v>
      </c>
      <c r="T857" s="81">
        <v>75</v>
      </c>
      <c r="U857" s="81">
        <v>400</v>
      </c>
      <c r="V857" s="81">
        <v>10</v>
      </c>
      <c r="W857" s="81">
        <v>26.5</v>
      </c>
      <c r="X857" s="81">
        <v>2.5</v>
      </c>
      <c r="Y857" s="256">
        <v>40</v>
      </c>
      <c r="Z857" s="81"/>
      <c r="AA857" s="234"/>
      <c r="AB857" s="199"/>
      <c r="AC857" s="81"/>
      <c r="AD857" s="81"/>
      <c r="AE857" s="81"/>
      <c r="AF857" s="81"/>
      <c r="AG857" s="95"/>
      <c r="AH857" s="97">
        <v>397.06560246572798</v>
      </c>
      <c r="AI857" s="20"/>
      <c r="AJ857" s="20">
        <v>10.95</v>
      </c>
      <c r="AK857" s="20">
        <v>1.45</v>
      </c>
      <c r="AL857" s="20"/>
      <c r="AM857" s="81"/>
      <c r="AN857" s="24">
        <f t="shared" si="151"/>
        <v>0</v>
      </c>
      <c r="AO857" s="189">
        <f t="shared" si="155"/>
        <v>0</v>
      </c>
      <c r="AP857" s="184">
        <f t="shared" si="156"/>
        <v>0</v>
      </c>
      <c r="AQ857" s="52"/>
      <c r="AR857" s="357"/>
      <c r="AS857" s="81"/>
      <c r="AT857" s="81"/>
    </row>
    <row r="858" spans="1:46" ht="12">
      <c r="A858" s="81" t="s">
        <v>1145</v>
      </c>
      <c r="B858" s="359" t="str">
        <f t="shared" si="146"/>
        <v>MgO</v>
      </c>
      <c r="C858" s="141">
        <f t="shared" si="147"/>
        <v>0</v>
      </c>
      <c r="D858" s="277">
        <f t="shared" si="148"/>
        <v>401.07997049784598</v>
      </c>
      <c r="E858" s="20">
        <f t="shared" si="153"/>
        <v>10.95</v>
      </c>
      <c r="F858" s="20">
        <f t="shared" si="154"/>
        <v>1.427</v>
      </c>
      <c r="G858" s="277">
        <f t="shared" si="149"/>
        <v>0</v>
      </c>
      <c r="H858" s="3">
        <f t="shared" si="144"/>
        <v>0</v>
      </c>
      <c r="I858" s="277">
        <f t="shared" si="150"/>
        <v>0</v>
      </c>
      <c r="J858" s="81" t="s">
        <v>814</v>
      </c>
      <c r="K858" s="81" t="s">
        <v>1139</v>
      </c>
      <c r="L858" s="81"/>
      <c r="M858" s="52"/>
      <c r="N858" s="336">
        <v>41362</v>
      </c>
      <c r="O858" s="81">
        <v>304</v>
      </c>
      <c r="P858" s="81" t="s">
        <v>46</v>
      </c>
      <c r="Q858" s="81"/>
      <c r="R858" s="81"/>
      <c r="S858" s="81">
        <v>800</v>
      </c>
      <c r="T858" s="81">
        <v>75</v>
      </c>
      <c r="U858" s="81">
        <v>400</v>
      </c>
      <c r="V858" s="81">
        <v>10</v>
      </c>
      <c r="W858" s="81">
        <v>26.5</v>
      </c>
      <c r="X858" s="81">
        <v>2.5</v>
      </c>
      <c r="Y858" s="256">
        <v>40</v>
      </c>
      <c r="Z858" s="81"/>
      <c r="AA858" s="234"/>
      <c r="AB858" s="199"/>
      <c r="AC858" s="81"/>
      <c r="AD858" s="81"/>
      <c r="AE858" s="81"/>
      <c r="AF858" s="81"/>
      <c r="AG858" s="95"/>
      <c r="AH858" s="97">
        <v>401.07997049784598</v>
      </c>
      <c r="AI858" s="20"/>
      <c r="AJ858" s="20">
        <v>10.95</v>
      </c>
      <c r="AK858" s="20">
        <v>1.427</v>
      </c>
      <c r="AL858" s="20"/>
      <c r="AM858" s="81"/>
      <c r="AN858" s="24">
        <f t="shared" si="151"/>
        <v>0</v>
      </c>
      <c r="AO858" s="189">
        <f t="shared" si="155"/>
        <v>0</v>
      </c>
      <c r="AP858" s="184">
        <f t="shared" si="156"/>
        <v>0</v>
      </c>
      <c r="AQ858" s="52"/>
      <c r="AR858" s="357"/>
      <c r="AS858" s="81"/>
      <c r="AT858" s="81"/>
    </row>
    <row r="859" spans="1:46" ht="12">
      <c r="A859" s="326" t="s">
        <v>1146</v>
      </c>
      <c r="B859" s="359" t="str">
        <f t="shared" si="146"/>
        <v>SiNx</v>
      </c>
      <c r="C859" s="141">
        <f t="shared" si="147"/>
        <v>0</v>
      </c>
      <c r="D859" s="277">
        <f t="shared" si="148"/>
        <v>369.32185895486703</v>
      </c>
      <c r="E859" s="20">
        <f t="shared" si="153"/>
        <v>8.0299999999999994</v>
      </c>
      <c r="F859" s="20">
        <f t="shared" si="154"/>
        <v>0</v>
      </c>
      <c r="G859" s="277">
        <f t="shared" si="149"/>
        <v>0</v>
      </c>
      <c r="H859" s="3">
        <f t="shared" si="144"/>
        <v>0</v>
      </c>
      <c r="I859" s="277">
        <f t="shared" si="150"/>
        <v>0</v>
      </c>
      <c r="J859" s="81" t="s">
        <v>814</v>
      </c>
      <c r="K859" s="257" t="s">
        <v>1147</v>
      </c>
      <c r="L859" s="257"/>
      <c r="M859" s="269"/>
      <c r="N859" s="175">
        <v>41363</v>
      </c>
      <c r="O859" s="257">
        <v>306</v>
      </c>
      <c r="P859" s="257" t="s">
        <v>187</v>
      </c>
      <c r="Q859" s="257"/>
      <c r="R859" s="257">
        <v>3</v>
      </c>
      <c r="S859" s="257">
        <v>800</v>
      </c>
      <c r="T859" s="257">
        <v>75</v>
      </c>
      <c r="U859" s="257">
        <v>400</v>
      </c>
      <c r="V859" s="257">
        <v>6</v>
      </c>
      <c r="W859" s="257">
        <v>26.5</v>
      </c>
      <c r="X859" s="257">
        <v>3</v>
      </c>
      <c r="Y859" s="257">
        <v>40</v>
      </c>
      <c r="Z859" s="257"/>
      <c r="AA859" s="164"/>
      <c r="AB859" s="289"/>
      <c r="AC859" s="257"/>
      <c r="AD859" s="257"/>
      <c r="AE859" s="257"/>
      <c r="AF859" s="257"/>
      <c r="AG859" s="114"/>
      <c r="AH859" s="266">
        <v>369.32185895486703</v>
      </c>
      <c r="AI859" s="96"/>
      <c r="AJ859" s="96">
        <v>8.0299999999999994</v>
      </c>
      <c r="AK859" s="96"/>
      <c r="AL859" s="96"/>
      <c r="AM859" s="257"/>
      <c r="AN859" s="24">
        <f t="shared" si="151"/>
        <v>0</v>
      </c>
      <c r="AO859" s="188">
        <f t="shared" si="155"/>
        <v>0</v>
      </c>
      <c r="AP859" s="254">
        <f t="shared" si="156"/>
        <v>0</v>
      </c>
      <c r="AQ859" s="269"/>
      <c r="AR859" s="179"/>
      <c r="AS859" s="257"/>
      <c r="AT859" s="257"/>
    </row>
    <row r="860" spans="1:46" ht="12">
      <c r="A860" s="111" t="s">
        <v>1148</v>
      </c>
      <c r="B860" s="359" t="str">
        <f t="shared" si="146"/>
        <v>MgO</v>
      </c>
      <c r="C860" s="141">
        <f t="shared" si="147"/>
        <v>0</v>
      </c>
      <c r="D860" s="277">
        <f t="shared" si="148"/>
        <v>306.60850947533299</v>
      </c>
      <c r="E860" s="20">
        <f t="shared" si="153"/>
        <v>10.15</v>
      </c>
      <c r="F860" s="20">
        <f t="shared" si="154"/>
        <v>0</v>
      </c>
      <c r="G860" s="277">
        <f t="shared" si="149"/>
        <v>0</v>
      </c>
      <c r="H860" s="3">
        <f t="shared" si="144"/>
        <v>0</v>
      </c>
      <c r="I860" s="277">
        <f t="shared" si="150"/>
        <v>0</v>
      </c>
      <c r="J860" s="81" t="s">
        <v>814</v>
      </c>
      <c r="K860" s="81" t="s">
        <v>1149</v>
      </c>
      <c r="L860" s="81"/>
      <c r="M860" s="52"/>
      <c r="N860" s="336">
        <v>41363</v>
      </c>
      <c r="O860" s="81">
        <v>306</v>
      </c>
      <c r="P860" s="81" t="s">
        <v>46</v>
      </c>
      <c r="Q860" s="81"/>
      <c r="R860" s="81">
        <v>5</v>
      </c>
      <c r="S860" s="81">
        <v>800</v>
      </c>
      <c r="T860" s="81">
        <v>75</v>
      </c>
      <c r="U860" s="81">
        <v>400</v>
      </c>
      <c r="V860" s="81">
        <v>6</v>
      </c>
      <c r="W860" s="81">
        <v>26.5</v>
      </c>
      <c r="X860" s="81">
        <v>3</v>
      </c>
      <c r="Y860" s="256">
        <v>40</v>
      </c>
      <c r="Z860" s="81"/>
      <c r="AA860" s="234"/>
      <c r="AB860" s="199"/>
      <c r="AC860" s="81"/>
      <c r="AD860" s="81"/>
      <c r="AE860" s="81"/>
      <c r="AF860" s="81"/>
      <c r="AG860" s="95"/>
      <c r="AH860" s="97">
        <v>306.60850947533299</v>
      </c>
      <c r="AI860" s="20"/>
      <c r="AJ860" s="20">
        <v>10.15</v>
      </c>
      <c r="AK860" s="20"/>
      <c r="AL860" s="20"/>
      <c r="AM860" s="81"/>
      <c r="AN860" s="24">
        <f t="shared" si="151"/>
        <v>0</v>
      </c>
      <c r="AO860" s="189">
        <f t="shared" si="155"/>
        <v>0</v>
      </c>
      <c r="AP860" s="184">
        <f t="shared" si="156"/>
        <v>0</v>
      </c>
      <c r="AQ860" s="52"/>
      <c r="AR860" s="357"/>
      <c r="AS860" s="81"/>
      <c r="AT860" s="81"/>
    </row>
    <row r="861" spans="1:46" ht="12">
      <c r="A861" s="111" t="s">
        <v>1150</v>
      </c>
      <c r="B861" s="359" t="str">
        <f t="shared" si="146"/>
        <v>MgO</v>
      </c>
      <c r="C861" s="141">
        <f t="shared" si="147"/>
        <v>0</v>
      </c>
      <c r="D861" s="277">
        <f t="shared" si="148"/>
        <v>295.18986262841901</v>
      </c>
      <c r="E861" s="20">
        <f t="shared" si="153"/>
        <v>12.12</v>
      </c>
      <c r="F861" s="20">
        <f t="shared" si="154"/>
        <v>0</v>
      </c>
      <c r="G861" s="277">
        <f t="shared" si="149"/>
        <v>0</v>
      </c>
      <c r="H861" s="3">
        <f t="shared" si="144"/>
        <v>0</v>
      </c>
      <c r="I861" s="277">
        <f t="shared" si="150"/>
        <v>0</v>
      </c>
      <c r="J861" s="81" t="s">
        <v>814</v>
      </c>
      <c r="K861" s="81" t="s">
        <v>1151</v>
      </c>
      <c r="L861" s="81"/>
      <c r="M861" s="52"/>
      <c r="N861" s="336">
        <v>41363</v>
      </c>
      <c r="O861" s="81">
        <v>306</v>
      </c>
      <c r="P861" s="81" t="s">
        <v>46</v>
      </c>
      <c r="Q861" s="81"/>
      <c r="R861" s="81">
        <v>6</v>
      </c>
      <c r="S861" s="81">
        <v>800</v>
      </c>
      <c r="T861" s="81">
        <v>75</v>
      </c>
      <c r="U861" s="81">
        <v>400</v>
      </c>
      <c r="V861" s="81">
        <v>6</v>
      </c>
      <c r="W861" s="81">
        <v>26.5</v>
      </c>
      <c r="X861" s="81">
        <v>3</v>
      </c>
      <c r="Y861" s="256">
        <v>40</v>
      </c>
      <c r="Z861" s="81"/>
      <c r="AA861" s="234"/>
      <c r="AB861" s="199"/>
      <c r="AC861" s="81"/>
      <c r="AD861" s="81"/>
      <c r="AE861" s="81"/>
      <c r="AF861" s="81"/>
      <c r="AG861" s="95"/>
      <c r="AH861" s="97">
        <v>295.18986262841901</v>
      </c>
      <c r="AI861" s="20"/>
      <c r="AJ861" s="20">
        <v>12.12</v>
      </c>
      <c r="AK861" s="20"/>
      <c r="AL861" s="20"/>
      <c r="AM861" s="81"/>
      <c r="AN861" s="24">
        <f t="shared" si="151"/>
        <v>0</v>
      </c>
      <c r="AO861" s="189">
        <f t="shared" si="155"/>
        <v>0</v>
      </c>
      <c r="AP861" s="184">
        <f t="shared" si="156"/>
        <v>0</v>
      </c>
      <c r="AQ861" s="52"/>
      <c r="AR861" s="357"/>
      <c r="AS861" s="81"/>
      <c r="AT861" s="81"/>
    </row>
    <row r="862" spans="1:46" ht="12">
      <c r="A862" s="326" t="s">
        <v>1152</v>
      </c>
      <c r="B862" s="359" t="str">
        <f t="shared" si="146"/>
        <v>SiNx</v>
      </c>
      <c r="C862" s="141">
        <f t="shared" si="147"/>
        <v>0</v>
      </c>
      <c r="D862" s="277">
        <f t="shared" si="148"/>
        <v>386.53903740372903</v>
      </c>
      <c r="E862" s="20">
        <f t="shared" si="153"/>
        <v>8.34</v>
      </c>
      <c r="F862" s="20">
        <f t="shared" si="154"/>
        <v>1.3129999999999999</v>
      </c>
      <c r="G862" s="277">
        <f t="shared" si="149"/>
        <v>0</v>
      </c>
      <c r="H862" s="3">
        <f t="shared" si="144"/>
        <v>0</v>
      </c>
      <c r="I862" s="277">
        <f t="shared" si="150"/>
        <v>0</v>
      </c>
      <c r="J862" s="81" t="s">
        <v>814</v>
      </c>
      <c r="K862" s="257" t="s">
        <v>1153</v>
      </c>
      <c r="L862" s="257"/>
      <c r="M862" s="269"/>
      <c r="N862" s="175">
        <v>41364</v>
      </c>
      <c r="O862" s="257">
        <v>307</v>
      </c>
      <c r="P862" s="257" t="s">
        <v>187</v>
      </c>
      <c r="Q862" s="257"/>
      <c r="R862" s="257">
        <v>3</v>
      </c>
      <c r="S862" s="257">
        <v>800</v>
      </c>
      <c r="T862" s="257">
        <v>75</v>
      </c>
      <c r="U862" s="257">
        <v>400</v>
      </c>
      <c r="V862" s="257">
        <v>6</v>
      </c>
      <c r="W862" s="257">
        <v>26.5</v>
      </c>
      <c r="X862" s="257">
        <v>3</v>
      </c>
      <c r="Y862" s="257">
        <v>40</v>
      </c>
      <c r="Z862" s="257"/>
      <c r="AA862" s="164"/>
      <c r="AB862" s="289"/>
      <c r="AC862" s="257"/>
      <c r="AD862" s="257"/>
      <c r="AE862" s="257"/>
      <c r="AF862" s="257"/>
      <c r="AG862" s="114"/>
      <c r="AH862" s="266">
        <v>386.53903740372903</v>
      </c>
      <c r="AI862" s="96"/>
      <c r="AJ862" s="96">
        <v>8.34</v>
      </c>
      <c r="AK862" s="96">
        <v>1.3129999999999999</v>
      </c>
      <c r="AL862" s="96"/>
      <c r="AM862" s="257"/>
      <c r="AN862" s="24">
        <f t="shared" si="151"/>
        <v>0</v>
      </c>
      <c r="AO862" s="188">
        <f t="shared" si="155"/>
        <v>0</v>
      </c>
      <c r="AP862" s="254">
        <f t="shared" si="156"/>
        <v>0</v>
      </c>
      <c r="AQ862" s="269"/>
      <c r="AR862" s="179"/>
      <c r="AS862" s="257"/>
      <c r="AT862" s="257"/>
    </row>
    <row r="863" spans="1:46" ht="12">
      <c r="A863" s="111" t="s">
        <v>1154</v>
      </c>
      <c r="B863" s="359" t="str">
        <f t="shared" si="146"/>
        <v>MgO</v>
      </c>
      <c r="C863" s="141">
        <f t="shared" si="147"/>
        <v>4.33</v>
      </c>
      <c r="D863" s="277">
        <f t="shared" si="148"/>
        <v>319.72211171358498</v>
      </c>
      <c r="E863" s="20">
        <f t="shared" si="153"/>
        <v>8.61</v>
      </c>
      <c r="F863" s="20">
        <f t="shared" si="154"/>
        <v>0</v>
      </c>
      <c r="G863" s="277">
        <f t="shared" si="149"/>
        <v>138.43967437198231</v>
      </c>
      <c r="H863" s="3">
        <f t="shared" si="144"/>
        <v>0</v>
      </c>
      <c r="I863" s="277">
        <f t="shared" si="150"/>
        <v>11919.655963427675</v>
      </c>
      <c r="J863" s="81" t="s">
        <v>814</v>
      </c>
      <c r="K863" s="81" t="s">
        <v>1155</v>
      </c>
      <c r="L863" s="81"/>
      <c r="M863" s="52"/>
      <c r="N863" s="336">
        <v>41364</v>
      </c>
      <c r="O863" s="81">
        <v>307</v>
      </c>
      <c r="P863" s="81" t="s">
        <v>46</v>
      </c>
      <c r="Q863" s="81"/>
      <c r="R863" s="81">
        <v>5</v>
      </c>
      <c r="S863" s="81">
        <v>800</v>
      </c>
      <c r="T863" s="81">
        <v>75</v>
      </c>
      <c r="U863" s="81">
        <v>400</v>
      </c>
      <c r="V863" s="81">
        <v>6</v>
      </c>
      <c r="W863" s="81">
        <v>26.5</v>
      </c>
      <c r="X863" s="81">
        <v>3</v>
      </c>
      <c r="Y863" s="256">
        <v>40</v>
      </c>
      <c r="Z863" s="81"/>
      <c r="AA863" s="234"/>
      <c r="AB863" s="199">
        <v>0.19950000000000001</v>
      </c>
      <c r="AC863" s="81">
        <v>0.5756</v>
      </c>
      <c r="AD863" s="81">
        <v>0.22489999999999999</v>
      </c>
      <c r="AE863" s="81" t="s">
        <v>47</v>
      </c>
      <c r="AF863" s="81">
        <v>4.33</v>
      </c>
      <c r="AG863" s="95"/>
      <c r="AH863" s="97">
        <v>319.72211171358498</v>
      </c>
      <c r="AI863" s="20"/>
      <c r="AJ863" s="20">
        <v>8.61</v>
      </c>
      <c r="AK863" s="20"/>
      <c r="AL863" s="20"/>
      <c r="AM863" s="81"/>
      <c r="AN863" s="24">
        <f t="shared" si="151"/>
        <v>138.43967437198231</v>
      </c>
      <c r="AO863" s="189">
        <f t="shared" si="155"/>
        <v>11919.655963427675</v>
      </c>
      <c r="AP863" s="184">
        <f t="shared" si="156"/>
        <v>3.464</v>
      </c>
      <c r="AQ863" s="52"/>
      <c r="AR863" s="357"/>
      <c r="AS863" s="81"/>
      <c r="AT863" s="81"/>
    </row>
    <row r="864" spans="1:46" ht="24">
      <c r="A864" s="111" t="s">
        <v>1156</v>
      </c>
      <c r="B864" s="359" t="str">
        <f t="shared" si="146"/>
        <v>MgO</v>
      </c>
      <c r="C864" s="141">
        <f t="shared" si="147"/>
        <v>4.22</v>
      </c>
      <c r="D864" s="277">
        <f t="shared" si="148"/>
        <v>270.83602990023599</v>
      </c>
      <c r="E864" s="20">
        <f t="shared" si="153"/>
        <v>13.17</v>
      </c>
      <c r="F864" s="20">
        <f t="shared" si="154"/>
        <v>0</v>
      </c>
      <c r="G864" s="277">
        <f t="shared" si="149"/>
        <v>114.29280461789958</v>
      </c>
      <c r="H864" s="3">
        <f t="shared" ref="H864:H927" si="157">AL864</f>
        <v>0</v>
      </c>
      <c r="I864" s="277">
        <f t="shared" si="150"/>
        <v>15052.362368177375</v>
      </c>
      <c r="J864" s="81" t="s">
        <v>814</v>
      </c>
      <c r="K864" s="81" t="s">
        <v>1157</v>
      </c>
      <c r="L864" s="81"/>
      <c r="M864" s="52"/>
      <c r="N864" s="336">
        <v>41364</v>
      </c>
      <c r="O864" s="81">
        <v>307</v>
      </c>
      <c r="P864" s="81" t="s">
        <v>46</v>
      </c>
      <c r="Q864" s="81"/>
      <c r="R864" s="81">
        <v>6</v>
      </c>
      <c r="S864" s="81">
        <v>800</v>
      </c>
      <c r="T864" s="81">
        <v>75</v>
      </c>
      <c r="U864" s="81">
        <v>400</v>
      </c>
      <c r="V864" s="81">
        <v>6</v>
      </c>
      <c r="W864" s="81">
        <v>26.5</v>
      </c>
      <c r="X864" s="81">
        <v>3</v>
      </c>
      <c r="Y864" s="256">
        <v>40</v>
      </c>
      <c r="Z864" s="81"/>
      <c r="AA864" s="234"/>
      <c r="AB864" s="199">
        <v>0.2079</v>
      </c>
      <c r="AC864" s="81">
        <v>0.58069999999999999</v>
      </c>
      <c r="AD864" s="81">
        <v>0.21129999999999999</v>
      </c>
      <c r="AE864" s="81" t="s">
        <v>47</v>
      </c>
      <c r="AF864" s="81">
        <v>4.22</v>
      </c>
      <c r="AG864" s="95"/>
      <c r="AH864" s="97">
        <v>270.83602990023599</v>
      </c>
      <c r="AI864" s="20"/>
      <c r="AJ864" s="20">
        <v>13.17</v>
      </c>
      <c r="AK864" s="20"/>
      <c r="AL864" s="20"/>
      <c r="AM864" s="81"/>
      <c r="AN864" s="24">
        <f t="shared" si="151"/>
        <v>114.29280461789958</v>
      </c>
      <c r="AO864" s="189">
        <f t="shared" si="155"/>
        <v>15052.362368177375</v>
      </c>
      <c r="AP864" s="184">
        <f t="shared" si="156"/>
        <v>3.3759999999999999</v>
      </c>
      <c r="AQ864" s="52"/>
      <c r="AR864" s="357"/>
      <c r="AS864" s="81"/>
      <c r="AT864" s="81"/>
    </row>
    <row r="865" spans="1:46" ht="12">
      <c r="A865" s="326" t="s">
        <v>1158</v>
      </c>
      <c r="B865" s="359" t="str">
        <f t="shared" si="146"/>
        <v>SiNx</v>
      </c>
      <c r="C865" s="141">
        <f t="shared" si="147"/>
        <v>0</v>
      </c>
      <c r="D865" s="277">
        <f t="shared" si="148"/>
        <v>327.48322324234698</v>
      </c>
      <c r="E865" s="20">
        <f t="shared" si="153"/>
        <v>11.75</v>
      </c>
      <c r="F865" s="20">
        <f t="shared" si="154"/>
        <v>1.343</v>
      </c>
      <c r="G865" s="277">
        <f t="shared" si="149"/>
        <v>0</v>
      </c>
      <c r="H865" s="3">
        <f t="shared" si="157"/>
        <v>0</v>
      </c>
      <c r="I865" s="277">
        <f t="shared" si="150"/>
        <v>0</v>
      </c>
      <c r="J865" s="81" t="s">
        <v>814</v>
      </c>
      <c r="K865" s="257" t="s">
        <v>1159</v>
      </c>
      <c r="L865" s="257"/>
      <c r="M865" s="269"/>
      <c r="N865" s="175">
        <v>41365</v>
      </c>
      <c r="O865" s="257">
        <v>308</v>
      </c>
      <c r="P865" s="257" t="s">
        <v>187</v>
      </c>
      <c r="Q865" s="257"/>
      <c r="R865" s="257">
        <v>3</v>
      </c>
      <c r="S865" s="257">
        <v>800</v>
      </c>
      <c r="T865" s="257">
        <v>93</v>
      </c>
      <c r="U865" s="257">
        <v>400</v>
      </c>
      <c r="V865" s="257">
        <v>8</v>
      </c>
      <c r="W865" s="257">
        <v>26.5</v>
      </c>
      <c r="X865" s="257">
        <v>2.5</v>
      </c>
      <c r="Y865" s="257">
        <v>40</v>
      </c>
      <c r="Z865" s="257"/>
      <c r="AA865" s="164"/>
      <c r="AB865" s="289"/>
      <c r="AC865" s="257"/>
      <c r="AD865" s="257"/>
      <c r="AE865" s="257"/>
      <c r="AF865" s="257"/>
      <c r="AG865" s="114"/>
      <c r="AH865" s="266">
        <v>327.48322324234698</v>
      </c>
      <c r="AI865" s="96"/>
      <c r="AJ865" s="96">
        <v>11.75</v>
      </c>
      <c r="AK865" s="96">
        <v>1.343</v>
      </c>
      <c r="AL865" s="96"/>
      <c r="AM865" s="257"/>
      <c r="AN865" s="24">
        <f t="shared" si="151"/>
        <v>0</v>
      </c>
      <c r="AO865" s="188">
        <f t="shared" si="155"/>
        <v>0</v>
      </c>
      <c r="AP865" s="254">
        <f t="shared" si="156"/>
        <v>0</v>
      </c>
      <c r="AQ865" s="269"/>
      <c r="AR865" s="179"/>
      <c r="AS865" s="257"/>
      <c r="AT865" s="257"/>
    </row>
    <row r="866" spans="1:46" ht="12">
      <c r="A866" s="326" t="s">
        <v>1160</v>
      </c>
      <c r="B866" s="359" t="str">
        <f t="shared" si="146"/>
        <v>SiNx</v>
      </c>
      <c r="C866" s="141">
        <f t="shared" si="147"/>
        <v>0</v>
      </c>
      <c r="D866" s="277">
        <f t="shared" si="148"/>
        <v>325.69905967251702</v>
      </c>
      <c r="E866" s="20">
        <f t="shared" si="153"/>
        <v>11.95</v>
      </c>
      <c r="F866" s="20">
        <f t="shared" si="154"/>
        <v>1.3360000000000001</v>
      </c>
      <c r="G866" s="277">
        <f t="shared" si="149"/>
        <v>0</v>
      </c>
      <c r="H866" s="3">
        <f t="shared" si="157"/>
        <v>0</v>
      </c>
      <c r="I866" s="277">
        <f t="shared" si="150"/>
        <v>0</v>
      </c>
      <c r="J866" s="81" t="s">
        <v>814</v>
      </c>
      <c r="K866" s="257" t="s">
        <v>1161</v>
      </c>
      <c r="L866" s="257"/>
      <c r="M866" s="269"/>
      <c r="N866" s="175">
        <v>41365</v>
      </c>
      <c r="O866" s="257">
        <v>308</v>
      </c>
      <c r="P866" s="257" t="s">
        <v>187</v>
      </c>
      <c r="Q866" s="257"/>
      <c r="R866" s="257">
        <v>6</v>
      </c>
      <c r="S866" s="257">
        <v>800</v>
      </c>
      <c r="T866" s="257">
        <v>93</v>
      </c>
      <c r="U866" s="257">
        <v>400</v>
      </c>
      <c r="V866" s="257">
        <v>8</v>
      </c>
      <c r="W866" s="257">
        <v>26.5</v>
      </c>
      <c r="X866" s="257">
        <v>2.5</v>
      </c>
      <c r="Y866" s="257">
        <v>40</v>
      </c>
      <c r="Z866" s="257"/>
      <c r="AA866" s="164"/>
      <c r="AB866" s="289"/>
      <c r="AC866" s="257"/>
      <c r="AD866" s="257"/>
      <c r="AE866" s="257"/>
      <c r="AF866" s="257"/>
      <c r="AG866" s="114"/>
      <c r="AH866" s="266">
        <v>325.69905967251702</v>
      </c>
      <c r="AI866" s="96"/>
      <c r="AJ866" s="96">
        <v>11.95</v>
      </c>
      <c r="AK866" s="96">
        <v>1.3360000000000001</v>
      </c>
      <c r="AL866" s="96"/>
      <c r="AM866" s="257"/>
      <c r="AN866" s="24">
        <f t="shared" si="151"/>
        <v>0</v>
      </c>
      <c r="AO866" s="188">
        <f t="shared" si="155"/>
        <v>0</v>
      </c>
      <c r="AP866" s="254">
        <f t="shared" si="156"/>
        <v>0</v>
      </c>
      <c r="AQ866" s="269"/>
      <c r="AR866" s="179"/>
      <c r="AS866" s="257"/>
      <c r="AT866" s="257"/>
    </row>
    <row r="867" spans="1:46" ht="12">
      <c r="A867" s="111" t="s">
        <v>1162</v>
      </c>
      <c r="B867" s="359" t="str">
        <f t="shared" si="146"/>
        <v>MgO</v>
      </c>
      <c r="C867" s="141">
        <f t="shared" si="147"/>
        <v>4.03</v>
      </c>
      <c r="D867" s="277">
        <f t="shared" si="148"/>
        <v>532.33493711836002</v>
      </c>
      <c r="E867" s="20">
        <f t="shared" si="153"/>
        <v>0</v>
      </c>
      <c r="F867" s="20">
        <f t="shared" si="154"/>
        <v>0</v>
      </c>
      <c r="G867" s="277">
        <f t="shared" si="149"/>
        <v>214.5309796586991</v>
      </c>
      <c r="H867" s="3">
        <f t="shared" si="157"/>
        <v>0</v>
      </c>
      <c r="I867" s="277">
        <f t="shared" si="150"/>
        <v>0</v>
      </c>
      <c r="J867" s="81" t="s">
        <v>814</v>
      </c>
      <c r="K867" s="256" t="s">
        <v>1163</v>
      </c>
      <c r="L867" s="256"/>
      <c r="M867" s="68"/>
      <c r="N867" s="18">
        <v>41366</v>
      </c>
      <c r="O867" s="256">
        <v>309</v>
      </c>
      <c r="P867" s="256" t="s">
        <v>46</v>
      </c>
      <c r="Q867" s="256"/>
      <c r="R867" s="256">
        <v>1</v>
      </c>
      <c r="S867" s="256">
        <v>800</v>
      </c>
      <c r="T867" s="256">
        <v>60</v>
      </c>
      <c r="U867" s="256">
        <v>400</v>
      </c>
      <c r="V867" s="256">
        <v>6</v>
      </c>
      <c r="W867" s="256">
        <v>26.5</v>
      </c>
      <c r="X867" s="256">
        <v>3</v>
      </c>
      <c r="Y867" s="256">
        <v>40</v>
      </c>
      <c r="Z867" s="256"/>
      <c r="AA867" s="207"/>
      <c r="AB867" s="86">
        <v>0.17269999999999999</v>
      </c>
      <c r="AC867" s="256">
        <v>0.59019999999999995</v>
      </c>
      <c r="AD867" s="256">
        <v>0.23710000000000001</v>
      </c>
      <c r="AE867" s="81" t="s">
        <v>47</v>
      </c>
      <c r="AF867" s="256">
        <v>4.03</v>
      </c>
      <c r="AG867" s="335"/>
      <c r="AH867" s="213">
        <v>532.33493711836002</v>
      </c>
      <c r="AI867" s="78"/>
      <c r="AJ867" s="78">
        <v>0</v>
      </c>
      <c r="AK867" s="78"/>
      <c r="AL867" s="78"/>
      <c r="AM867" s="256"/>
      <c r="AN867" s="24">
        <f t="shared" si="151"/>
        <v>214.5309796586991</v>
      </c>
      <c r="AO867" s="160">
        <f t="shared" si="155"/>
        <v>0</v>
      </c>
      <c r="AP867" s="209">
        <f t="shared" si="156"/>
        <v>4.03</v>
      </c>
      <c r="AQ867" s="68"/>
      <c r="AR867" s="15"/>
      <c r="AS867" s="256"/>
      <c r="AT867" s="256"/>
    </row>
    <row r="868" spans="1:46" ht="12">
      <c r="A868" s="111" t="s">
        <v>1164</v>
      </c>
      <c r="B868" s="359" t="str">
        <f t="shared" si="146"/>
        <v>MgO</v>
      </c>
      <c r="C868" s="141">
        <f t="shared" si="147"/>
        <v>3.59</v>
      </c>
      <c r="D868" s="277">
        <f t="shared" si="148"/>
        <v>501.825740074262</v>
      </c>
      <c r="E868" s="20">
        <f t="shared" si="153"/>
        <v>8.7200000000000006</v>
      </c>
      <c r="F868" s="20">
        <f t="shared" si="154"/>
        <v>1.51</v>
      </c>
      <c r="G868" s="277">
        <f t="shared" si="149"/>
        <v>180.15544068666003</v>
      </c>
      <c r="H868" s="3">
        <f t="shared" si="157"/>
        <v>0</v>
      </c>
      <c r="I868" s="277">
        <f t="shared" si="150"/>
        <v>15709.554427876757</v>
      </c>
      <c r="J868" s="81" t="s">
        <v>814</v>
      </c>
      <c r="K868" s="256" t="s">
        <v>1163</v>
      </c>
      <c r="L868" s="256"/>
      <c r="M868" s="68"/>
      <c r="N868" s="18">
        <v>41366</v>
      </c>
      <c r="O868" s="256">
        <v>309</v>
      </c>
      <c r="P868" s="256" t="s">
        <v>46</v>
      </c>
      <c r="Q868" s="256"/>
      <c r="R868" s="256">
        <v>3</v>
      </c>
      <c r="S868" s="256">
        <v>800</v>
      </c>
      <c r="T868" s="256">
        <v>60</v>
      </c>
      <c r="U868" s="256">
        <v>400</v>
      </c>
      <c r="V868" s="256">
        <v>6</v>
      </c>
      <c r="W868" s="256">
        <v>26.5</v>
      </c>
      <c r="X868" s="256">
        <v>3</v>
      </c>
      <c r="Y868" s="256">
        <v>40</v>
      </c>
      <c r="Z868" s="256"/>
      <c r="AA868" s="207"/>
      <c r="AB868" s="86">
        <v>0.17929999999999999</v>
      </c>
      <c r="AC868" s="256">
        <v>0.6139</v>
      </c>
      <c r="AD868" s="256">
        <v>0.20669999999999999</v>
      </c>
      <c r="AE868" s="81" t="s">
        <v>47</v>
      </c>
      <c r="AF868" s="256">
        <v>3.59</v>
      </c>
      <c r="AG868" s="335"/>
      <c r="AH868" s="213">
        <v>501.825740074262</v>
      </c>
      <c r="AI868" s="78"/>
      <c r="AJ868" s="78">
        <v>8.7200000000000006</v>
      </c>
      <c r="AK868" s="78">
        <v>1.51</v>
      </c>
      <c r="AL868" s="78"/>
      <c r="AM868" s="256"/>
      <c r="AN868" s="24">
        <f t="shared" si="151"/>
        <v>180.15544068666003</v>
      </c>
      <c r="AO868" s="160">
        <f t="shared" si="155"/>
        <v>15709.554427876757</v>
      </c>
      <c r="AP868" s="209">
        <f t="shared" si="156"/>
        <v>3.59</v>
      </c>
      <c r="AQ868" s="68"/>
      <c r="AR868" s="15"/>
      <c r="AS868" s="256"/>
      <c r="AT868" s="256"/>
    </row>
    <row r="869" spans="1:46" ht="12">
      <c r="A869" s="111" t="s">
        <v>1165</v>
      </c>
      <c r="B869" s="359" t="str">
        <f t="shared" si="146"/>
        <v>MgO</v>
      </c>
      <c r="C869" s="141">
        <f t="shared" si="147"/>
        <v>3.48</v>
      </c>
      <c r="D869" s="277">
        <f t="shared" si="148"/>
        <v>493.67805977203699</v>
      </c>
      <c r="E869" s="20">
        <f t="shared" si="153"/>
        <v>0</v>
      </c>
      <c r="F869" s="20">
        <f t="shared" si="154"/>
        <v>0</v>
      </c>
      <c r="G869" s="277">
        <f t="shared" si="149"/>
        <v>171.79996480066887</v>
      </c>
      <c r="H869" s="3">
        <f t="shared" si="157"/>
        <v>0</v>
      </c>
      <c r="I869" s="277">
        <f t="shared" si="150"/>
        <v>0</v>
      </c>
      <c r="J869" s="81" t="s">
        <v>814</v>
      </c>
      <c r="K869" s="256" t="s">
        <v>1163</v>
      </c>
      <c r="L869" s="256"/>
      <c r="M869" s="68"/>
      <c r="N869" s="18">
        <v>41366</v>
      </c>
      <c r="O869" s="256">
        <v>309</v>
      </c>
      <c r="P869" s="256" t="s">
        <v>46</v>
      </c>
      <c r="Q869" s="256"/>
      <c r="R869" s="256">
        <v>4</v>
      </c>
      <c r="S869" s="256">
        <v>800</v>
      </c>
      <c r="T869" s="256">
        <v>60</v>
      </c>
      <c r="U869" s="256">
        <v>400</v>
      </c>
      <c r="V869" s="256">
        <v>6</v>
      </c>
      <c r="W869" s="256">
        <v>26.5</v>
      </c>
      <c r="X869" s="256">
        <v>3</v>
      </c>
      <c r="Y869" s="256">
        <v>40</v>
      </c>
      <c r="Z869" s="256"/>
      <c r="AA869" s="207"/>
      <c r="AB869" s="86">
        <v>0.17710000000000001</v>
      </c>
      <c r="AC869" s="256">
        <v>0.61990000000000001</v>
      </c>
      <c r="AD869" s="256">
        <v>0.2031</v>
      </c>
      <c r="AE869" s="81" t="s">
        <v>47</v>
      </c>
      <c r="AF869" s="256">
        <v>3.48</v>
      </c>
      <c r="AG869" s="335"/>
      <c r="AH869" s="213">
        <v>493.67805977203699</v>
      </c>
      <c r="AI869" s="78"/>
      <c r="AJ869" s="78">
        <v>0</v>
      </c>
      <c r="AK869" s="78"/>
      <c r="AL869" s="78"/>
      <c r="AM869" s="256"/>
      <c r="AN869" s="24">
        <f t="shared" si="151"/>
        <v>171.79996480066887</v>
      </c>
      <c r="AO869" s="160">
        <f t="shared" si="155"/>
        <v>0</v>
      </c>
      <c r="AP869" s="209">
        <f t="shared" si="156"/>
        <v>3.48</v>
      </c>
      <c r="AQ869" s="68"/>
      <c r="AR869" s="15"/>
      <c r="AS869" s="256"/>
      <c r="AT869" s="256"/>
    </row>
    <row r="870" spans="1:46" ht="12">
      <c r="A870" s="111" t="s">
        <v>1166</v>
      </c>
      <c r="B870" s="359" t="str">
        <f t="shared" si="146"/>
        <v>MgO</v>
      </c>
      <c r="C870" s="141">
        <f t="shared" si="147"/>
        <v>3.63</v>
      </c>
      <c r="D870" s="277">
        <f t="shared" si="148"/>
        <v>474.230676860887</v>
      </c>
      <c r="E870" s="20">
        <f t="shared" si="153"/>
        <v>9.48</v>
      </c>
      <c r="F870" s="20">
        <f t="shared" si="154"/>
        <v>1.579</v>
      </c>
      <c r="G870" s="277">
        <f t="shared" si="149"/>
        <v>172.14573570050197</v>
      </c>
      <c r="H870" s="3">
        <f t="shared" si="157"/>
        <v>0</v>
      </c>
      <c r="I870" s="277">
        <f t="shared" si="150"/>
        <v>16319.415744407588</v>
      </c>
      <c r="J870" s="81" t="s">
        <v>814</v>
      </c>
      <c r="K870" s="256" t="s">
        <v>1163</v>
      </c>
      <c r="L870" s="256"/>
      <c r="M870" s="68"/>
      <c r="N870" s="18">
        <v>41366</v>
      </c>
      <c r="O870" s="256">
        <v>309</v>
      </c>
      <c r="P870" s="256" t="s">
        <v>46</v>
      </c>
      <c r="Q870" s="256"/>
      <c r="R870" s="256">
        <v>6</v>
      </c>
      <c r="S870" s="256">
        <v>800</v>
      </c>
      <c r="T870" s="256">
        <v>60</v>
      </c>
      <c r="U870" s="256">
        <v>400</v>
      </c>
      <c r="V870" s="256">
        <v>6</v>
      </c>
      <c r="W870" s="256">
        <v>26.5</v>
      </c>
      <c r="X870" s="256">
        <v>3</v>
      </c>
      <c r="Y870" s="256">
        <v>40</v>
      </c>
      <c r="Z870" s="256"/>
      <c r="AA870" s="207"/>
      <c r="AB870" s="86">
        <v>0.1789</v>
      </c>
      <c r="AC870" s="256">
        <v>0.61209999999999998</v>
      </c>
      <c r="AD870" s="256">
        <v>0.20899999999999999</v>
      </c>
      <c r="AE870" s="81" t="s">
        <v>47</v>
      </c>
      <c r="AF870" s="256">
        <v>3.63</v>
      </c>
      <c r="AG870" s="335"/>
      <c r="AH870" s="213">
        <v>474.230676860887</v>
      </c>
      <c r="AI870" s="78"/>
      <c r="AJ870" s="78">
        <v>9.48</v>
      </c>
      <c r="AK870" s="78">
        <v>1.579</v>
      </c>
      <c r="AL870" s="78"/>
      <c r="AM870" s="256"/>
      <c r="AN870" s="24">
        <f t="shared" si="151"/>
        <v>172.14573570050197</v>
      </c>
      <c r="AO870" s="160">
        <f t="shared" si="155"/>
        <v>16319.415744407588</v>
      </c>
      <c r="AP870" s="209">
        <f t="shared" si="156"/>
        <v>3.63</v>
      </c>
      <c r="AQ870" s="68"/>
      <c r="AR870" s="15"/>
      <c r="AS870" s="256"/>
      <c r="AT870" s="256"/>
    </row>
    <row r="871" spans="1:46" ht="12">
      <c r="A871" s="111" t="s">
        <v>1167</v>
      </c>
      <c r="B871" s="359" t="str">
        <f t="shared" si="146"/>
        <v>MgO</v>
      </c>
      <c r="C871" s="141">
        <f t="shared" si="147"/>
        <v>3.44</v>
      </c>
      <c r="D871" s="277">
        <f t="shared" si="148"/>
        <v>421.77626790787701</v>
      </c>
      <c r="E871" s="20">
        <f t="shared" si="153"/>
        <v>10.86</v>
      </c>
      <c r="F871" s="20">
        <f t="shared" si="154"/>
        <v>1.181</v>
      </c>
      <c r="G871" s="277">
        <f t="shared" si="149"/>
        <v>145.09103616030967</v>
      </c>
      <c r="H871" s="3">
        <f t="shared" si="157"/>
        <v>0.76959432847577791</v>
      </c>
      <c r="I871" s="277">
        <f t="shared" si="150"/>
        <v>15756.88652700963</v>
      </c>
      <c r="J871" s="81" t="s">
        <v>814</v>
      </c>
      <c r="K871" s="81" t="s">
        <v>1168</v>
      </c>
      <c r="L871" s="81"/>
      <c r="M871" s="52"/>
      <c r="N871" s="336">
        <v>41370</v>
      </c>
      <c r="O871" s="81">
        <v>310</v>
      </c>
      <c r="P871" s="81" t="s">
        <v>46</v>
      </c>
      <c r="Q871" s="81"/>
      <c r="R871" s="81">
        <v>3</v>
      </c>
      <c r="S871" s="256">
        <v>800</v>
      </c>
      <c r="T871" s="256">
        <v>60</v>
      </c>
      <c r="U871" s="256">
        <v>400</v>
      </c>
      <c r="V871" s="256">
        <v>6</v>
      </c>
      <c r="W871" s="256">
        <v>26.5</v>
      </c>
      <c r="X871" s="256">
        <v>3</v>
      </c>
      <c r="Y871" s="256">
        <v>40</v>
      </c>
      <c r="Z871" s="81"/>
      <c r="AA871" s="234"/>
      <c r="AB871" s="199">
        <v>0.1799</v>
      </c>
      <c r="AC871" s="81">
        <v>0.622</v>
      </c>
      <c r="AD871" s="81">
        <v>0.1981</v>
      </c>
      <c r="AE871" s="81" t="s">
        <v>47</v>
      </c>
      <c r="AF871" s="81">
        <v>3.44</v>
      </c>
      <c r="AG871" s="95"/>
      <c r="AH871" s="97">
        <v>421.77626790787701</v>
      </c>
      <c r="AI871" s="20"/>
      <c r="AJ871" s="20">
        <v>10.86</v>
      </c>
      <c r="AK871" s="20">
        <v>1.181</v>
      </c>
      <c r="AL871" s="20">
        <f>(174.9+20.5)/253.9</f>
        <v>0.76959432847577791</v>
      </c>
      <c r="AM871" s="81"/>
      <c r="AN871" s="24">
        <f t="shared" si="151"/>
        <v>145.09103616030967</v>
      </c>
      <c r="AO871" s="160">
        <f t="shared" si="155"/>
        <v>15756.88652700963</v>
      </c>
      <c r="AP871" s="209">
        <f t="shared" si="156"/>
        <v>3.44</v>
      </c>
      <c r="AQ871" s="52"/>
      <c r="AR871" s="357"/>
      <c r="AS871" s="81"/>
      <c r="AT871" s="81"/>
    </row>
    <row r="872" spans="1:46" ht="12">
      <c r="A872" s="111" t="s">
        <v>1169</v>
      </c>
      <c r="B872" s="359" t="str">
        <f t="shared" si="146"/>
        <v>MgO</v>
      </c>
      <c r="C872" s="141">
        <f t="shared" si="147"/>
        <v>3.39</v>
      </c>
      <c r="D872" s="277">
        <f t="shared" si="148"/>
        <v>439.17186271372202</v>
      </c>
      <c r="E872" s="20">
        <f t="shared" si="153"/>
        <v>10.14</v>
      </c>
      <c r="F872" s="20">
        <f t="shared" si="154"/>
        <v>1.429</v>
      </c>
      <c r="G872" s="277">
        <f t="shared" si="149"/>
        <v>148.87926145995178</v>
      </c>
      <c r="H872" s="3">
        <f t="shared" si="157"/>
        <v>0.78953533775868789</v>
      </c>
      <c r="I872" s="277">
        <f t="shared" si="150"/>
        <v>15096.35711203911</v>
      </c>
      <c r="J872" s="81" t="s">
        <v>814</v>
      </c>
      <c r="K872" s="81" t="s">
        <v>1168</v>
      </c>
      <c r="L872" s="81"/>
      <c r="M872" s="52"/>
      <c r="N872" s="336">
        <v>41370</v>
      </c>
      <c r="O872" s="81">
        <v>310</v>
      </c>
      <c r="P872" s="81" t="s">
        <v>46</v>
      </c>
      <c r="Q872" s="81"/>
      <c r="R872" s="81">
        <v>6</v>
      </c>
      <c r="S872" s="256">
        <v>800</v>
      </c>
      <c r="T872" s="256">
        <v>60</v>
      </c>
      <c r="U872" s="256">
        <v>400</v>
      </c>
      <c r="V872" s="256">
        <v>6</v>
      </c>
      <c r="W872" s="256">
        <v>26.5</v>
      </c>
      <c r="X872" s="256">
        <v>3</v>
      </c>
      <c r="Y872" s="256">
        <v>40</v>
      </c>
      <c r="Z872" s="81"/>
      <c r="AA872" s="234"/>
      <c r="AB872" s="199">
        <v>0.18329999999999999</v>
      </c>
      <c r="AC872" s="81">
        <v>0.62470000000000003</v>
      </c>
      <c r="AD872" s="81">
        <v>0.192</v>
      </c>
      <c r="AE872" s="81" t="s">
        <v>47</v>
      </c>
      <c r="AF872" s="81">
        <v>3.39</v>
      </c>
      <c r="AG872" s="95"/>
      <c r="AH872" s="97">
        <v>439.17186271372202</v>
      </c>
      <c r="AI872" s="20"/>
      <c r="AJ872" s="20">
        <v>10.14</v>
      </c>
      <c r="AK872" s="20">
        <v>1.429</v>
      </c>
      <c r="AL872" s="20">
        <f>(181.7+20.5)/256.1</f>
        <v>0.78953533775868789</v>
      </c>
      <c r="AM872" s="81"/>
      <c r="AN872" s="24">
        <f t="shared" si="151"/>
        <v>148.87926145995178</v>
      </c>
      <c r="AO872" s="160">
        <f t="shared" si="155"/>
        <v>15096.35711203911</v>
      </c>
      <c r="AP872" s="209">
        <f t="shared" si="156"/>
        <v>3.39</v>
      </c>
      <c r="AQ872" s="52"/>
      <c r="AR872" s="357"/>
      <c r="AS872" s="81"/>
      <c r="AT872" s="81"/>
    </row>
    <row r="873" spans="1:46" ht="12">
      <c r="A873" s="111" t="s">
        <v>1170</v>
      </c>
      <c r="B873" s="359" t="str">
        <f t="shared" si="146"/>
        <v>MgO</v>
      </c>
      <c r="C873" s="141">
        <f t="shared" si="147"/>
        <v>2.57</v>
      </c>
      <c r="D873" s="277">
        <f t="shared" si="148"/>
        <v>587.52506354511002</v>
      </c>
      <c r="E873" s="20">
        <f t="shared" si="153"/>
        <v>9.77</v>
      </c>
      <c r="F873" s="20">
        <f t="shared" si="154"/>
        <v>1.9</v>
      </c>
      <c r="G873" s="277">
        <f t="shared" si="149"/>
        <v>150.99394133109325</v>
      </c>
      <c r="H873" s="3">
        <f t="shared" si="157"/>
        <v>0.72972198337632566</v>
      </c>
      <c r="I873" s="277">
        <f t="shared" si="150"/>
        <v>14752.108068047812</v>
      </c>
      <c r="J873" s="81" t="s">
        <v>814</v>
      </c>
      <c r="K873" s="81" t="s">
        <v>1168</v>
      </c>
      <c r="L873" s="81"/>
      <c r="M873" s="52"/>
      <c r="N873" s="336">
        <v>41370</v>
      </c>
      <c r="O873" s="81">
        <v>311</v>
      </c>
      <c r="P873" s="81" t="s">
        <v>46</v>
      </c>
      <c r="Q873" s="81"/>
      <c r="R873" s="81">
        <v>3</v>
      </c>
      <c r="S873" s="256">
        <v>800</v>
      </c>
      <c r="T873" s="81">
        <v>48</v>
      </c>
      <c r="U873" s="256">
        <v>400</v>
      </c>
      <c r="V873" s="256">
        <v>6</v>
      </c>
      <c r="W873" s="256">
        <v>26.5</v>
      </c>
      <c r="X873" s="256">
        <v>3</v>
      </c>
      <c r="Y873" s="256">
        <v>40</v>
      </c>
      <c r="Z873" s="81"/>
      <c r="AA873" s="234"/>
      <c r="AB873" s="199">
        <v>0.16869999999999999</v>
      </c>
      <c r="AC873" s="81">
        <v>0.67300000000000004</v>
      </c>
      <c r="AD873" s="81">
        <v>0.1583</v>
      </c>
      <c r="AE873" s="81" t="s">
        <v>47</v>
      </c>
      <c r="AF873" s="81">
        <v>2.57</v>
      </c>
      <c r="AG873" s="95"/>
      <c r="AH873" s="97">
        <v>587.52506354511002</v>
      </c>
      <c r="AI873" s="20"/>
      <c r="AJ873" s="20">
        <v>9.77</v>
      </c>
      <c r="AK873" s="20">
        <v>1.9</v>
      </c>
      <c r="AL873" s="20">
        <f>(234.1+20.5)/348.9</f>
        <v>0.72972198337632566</v>
      </c>
      <c r="AM873" s="81"/>
      <c r="AN873" s="24">
        <f t="shared" si="151"/>
        <v>150.99394133109325</v>
      </c>
      <c r="AO873" s="160">
        <f t="shared" si="155"/>
        <v>14752.108068047812</v>
      </c>
      <c r="AP873" s="209">
        <f t="shared" si="156"/>
        <v>3.2124999999999995</v>
      </c>
      <c r="AQ873" s="52"/>
      <c r="AR873" s="357"/>
      <c r="AS873" s="81"/>
      <c r="AT873" s="81"/>
    </row>
    <row r="874" spans="1:46" ht="12">
      <c r="A874" s="111" t="s">
        <v>1171</v>
      </c>
      <c r="B874" s="359" t="str">
        <f t="shared" si="146"/>
        <v>MgO</v>
      </c>
      <c r="C874" s="141">
        <f t="shared" si="147"/>
        <v>2.68</v>
      </c>
      <c r="D874" s="277">
        <f t="shared" si="148"/>
        <v>575.12512673478898</v>
      </c>
      <c r="E874" s="20">
        <f t="shared" si="153"/>
        <v>9.32</v>
      </c>
      <c r="F874" s="20">
        <f t="shared" si="154"/>
        <v>1.583</v>
      </c>
      <c r="G874" s="277">
        <f t="shared" si="149"/>
        <v>154.13353396492346</v>
      </c>
      <c r="H874" s="3">
        <f t="shared" si="157"/>
        <v>0.76963969285292377</v>
      </c>
      <c r="I874" s="277">
        <f t="shared" si="150"/>
        <v>14365.245365530867</v>
      </c>
      <c r="J874" s="81" t="s">
        <v>814</v>
      </c>
      <c r="K874" s="81" t="s">
        <v>1168</v>
      </c>
      <c r="L874" s="81"/>
      <c r="M874" s="52"/>
      <c r="N874" s="336">
        <v>41370</v>
      </c>
      <c r="O874" s="81">
        <v>311</v>
      </c>
      <c r="P874" s="81" t="s">
        <v>46</v>
      </c>
      <c r="Q874" s="81"/>
      <c r="R874" s="81">
        <v>6</v>
      </c>
      <c r="S874" s="256">
        <v>800</v>
      </c>
      <c r="T874" s="81">
        <v>48</v>
      </c>
      <c r="U874" s="256">
        <v>400</v>
      </c>
      <c r="V874" s="256">
        <v>6</v>
      </c>
      <c r="W874" s="256">
        <v>26.5</v>
      </c>
      <c r="X874" s="256">
        <v>3</v>
      </c>
      <c r="Y874" s="256">
        <v>40</v>
      </c>
      <c r="Z874" s="81"/>
      <c r="AA874" s="234"/>
      <c r="AB874" s="199">
        <v>0.16880000000000001</v>
      </c>
      <c r="AC874" s="81">
        <v>0.6663</v>
      </c>
      <c r="AD874" s="81">
        <v>0.16489999999999999</v>
      </c>
      <c r="AE874" s="81" t="s">
        <v>47</v>
      </c>
      <c r="AF874" s="81">
        <v>2.68</v>
      </c>
      <c r="AG874" s="95"/>
      <c r="AH874" s="97">
        <v>575.12512673478898</v>
      </c>
      <c r="AI874" s="20"/>
      <c r="AJ874" s="20">
        <v>9.32</v>
      </c>
      <c r="AK874" s="20">
        <v>1.583</v>
      </c>
      <c r="AL874" s="20">
        <f>(240.1+20.5)/338.6</f>
        <v>0.76963969285292377</v>
      </c>
      <c r="AM874" s="81"/>
      <c r="AN874" s="24">
        <f t="shared" si="151"/>
        <v>154.13353396492346</v>
      </c>
      <c r="AO874" s="189">
        <f t="shared" si="155"/>
        <v>14365.245365530867</v>
      </c>
      <c r="AP874" s="184">
        <f t="shared" si="156"/>
        <v>3.3500000000000005</v>
      </c>
      <c r="AQ874" s="52"/>
      <c r="AR874" s="357"/>
      <c r="AS874" s="81"/>
      <c r="AT874" s="81"/>
    </row>
    <row r="875" spans="1:46" ht="12">
      <c r="A875" s="326" t="s">
        <v>1172</v>
      </c>
      <c r="B875" s="359" t="str">
        <f t="shared" si="146"/>
        <v>SiNx</v>
      </c>
      <c r="C875" s="141">
        <f t="shared" si="147"/>
        <v>0</v>
      </c>
      <c r="D875" s="277">
        <f t="shared" si="148"/>
        <v>433.10570657629899</v>
      </c>
      <c r="E875" s="20">
        <f t="shared" si="153"/>
        <v>11.83</v>
      </c>
      <c r="F875" s="20">
        <f t="shared" si="154"/>
        <v>1.603</v>
      </c>
      <c r="G875" s="277">
        <f t="shared" si="149"/>
        <v>0</v>
      </c>
      <c r="H875" s="3">
        <f t="shared" si="157"/>
        <v>0</v>
      </c>
      <c r="I875" s="277">
        <f t="shared" si="150"/>
        <v>0</v>
      </c>
      <c r="J875" s="257" t="s">
        <v>814</v>
      </c>
      <c r="K875" s="257" t="s">
        <v>1173</v>
      </c>
      <c r="L875" s="257"/>
      <c r="M875" s="269" t="s">
        <v>1012</v>
      </c>
      <c r="N875" s="175">
        <v>41370</v>
      </c>
      <c r="O875" s="257">
        <v>312</v>
      </c>
      <c r="P875" s="257" t="s">
        <v>187</v>
      </c>
      <c r="Q875" s="257"/>
      <c r="R875" s="257">
        <v>3</v>
      </c>
      <c r="S875" s="257">
        <v>800</v>
      </c>
      <c r="T875" s="257">
        <v>75</v>
      </c>
      <c r="U875" s="257">
        <v>400</v>
      </c>
      <c r="V875" s="257">
        <v>8</v>
      </c>
      <c r="W875" s="257">
        <v>26.5</v>
      </c>
      <c r="X875" s="257">
        <v>2.5</v>
      </c>
      <c r="Y875" s="257">
        <v>40</v>
      </c>
      <c r="Z875" s="257"/>
      <c r="AA875" s="164"/>
      <c r="AB875" s="289"/>
      <c r="AC875" s="257"/>
      <c r="AD875" s="257"/>
      <c r="AE875" s="257"/>
      <c r="AF875" s="257"/>
      <c r="AG875" s="114"/>
      <c r="AH875" s="266">
        <v>433.10570657629899</v>
      </c>
      <c r="AI875" s="96"/>
      <c r="AJ875" s="96">
        <v>11.83</v>
      </c>
      <c r="AK875" s="96">
        <v>1.603</v>
      </c>
      <c r="AL875" s="96"/>
      <c r="AM875" s="257"/>
      <c r="AN875" s="24">
        <f t="shared" si="151"/>
        <v>0</v>
      </c>
      <c r="AO875" s="188">
        <f t="shared" si="155"/>
        <v>0</v>
      </c>
      <c r="AP875" s="254">
        <f t="shared" si="156"/>
        <v>0</v>
      </c>
      <c r="AQ875" s="269"/>
      <c r="AR875" s="179"/>
      <c r="AS875" s="257"/>
      <c r="AT875" s="257"/>
    </row>
    <row r="876" spans="1:46" ht="12">
      <c r="A876" s="326" t="s">
        <v>1174</v>
      </c>
      <c r="B876" s="359" t="str">
        <f t="shared" si="146"/>
        <v>SiNx</v>
      </c>
      <c r="C876" s="141">
        <f t="shared" si="147"/>
        <v>0</v>
      </c>
      <c r="D876" s="277">
        <f t="shared" si="148"/>
        <v>432.65966568384198</v>
      </c>
      <c r="E876" s="20">
        <f t="shared" si="153"/>
        <v>11.87</v>
      </c>
      <c r="F876" s="20">
        <f t="shared" si="154"/>
        <v>1.6</v>
      </c>
      <c r="G876" s="277">
        <f t="shared" si="149"/>
        <v>0</v>
      </c>
      <c r="H876" s="3">
        <f t="shared" si="157"/>
        <v>0</v>
      </c>
      <c r="I876" s="277">
        <f t="shared" si="150"/>
        <v>0</v>
      </c>
      <c r="J876" s="257" t="s">
        <v>814</v>
      </c>
      <c r="K876" s="257" t="s">
        <v>1173</v>
      </c>
      <c r="L876" s="257"/>
      <c r="M876" s="269" t="s">
        <v>1012</v>
      </c>
      <c r="N876" s="175">
        <v>41370</v>
      </c>
      <c r="O876" s="257">
        <v>312</v>
      </c>
      <c r="P876" s="257" t="s">
        <v>187</v>
      </c>
      <c r="Q876" s="257"/>
      <c r="R876" s="257">
        <v>6</v>
      </c>
      <c r="S876" s="257">
        <v>800</v>
      </c>
      <c r="T876" s="257">
        <v>75</v>
      </c>
      <c r="U876" s="257">
        <v>400</v>
      </c>
      <c r="V876" s="257">
        <v>8</v>
      </c>
      <c r="W876" s="257">
        <v>26.5</v>
      </c>
      <c r="X876" s="257">
        <v>2.5</v>
      </c>
      <c r="Y876" s="257">
        <v>40</v>
      </c>
      <c r="Z876" s="257"/>
      <c r="AA876" s="164"/>
      <c r="AB876" s="289"/>
      <c r="AC876" s="257"/>
      <c r="AD876" s="257"/>
      <c r="AE876" s="257"/>
      <c r="AF876" s="257"/>
      <c r="AG876" s="114"/>
      <c r="AH876" s="266">
        <v>432.65966568384198</v>
      </c>
      <c r="AI876" s="96"/>
      <c r="AJ876" s="96">
        <v>11.87</v>
      </c>
      <c r="AK876" s="96">
        <v>1.6</v>
      </c>
      <c r="AL876" s="96"/>
      <c r="AM876" s="257"/>
      <c r="AN876" s="24">
        <f t="shared" si="151"/>
        <v>0</v>
      </c>
      <c r="AO876" s="188">
        <f t="shared" si="155"/>
        <v>0</v>
      </c>
      <c r="AP876" s="254">
        <f t="shared" si="156"/>
        <v>0</v>
      </c>
      <c r="AQ876" s="269"/>
      <c r="AR876" s="179"/>
      <c r="AS876" s="257"/>
      <c r="AT876" s="257"/>
    </row>
    <row r="877" spans="1:46" ht="12">
      <c r="A877" s="326" t="s">
        <v>1175</v>
      </c>
      <c r="B877" s="359" t="str">
        <f t="shared" si="146"/>
        <v>SiNx</v>
      </c>
      <c r="C877" s="141">
        <f t="shared" si="147"/>
        <v>0</v>
      </c>
      <c r="D877" s="277">
        <f t="shared" si="148"/>
        <v>695.645375876824</v>
      </c>
      <c r="E877" s="20">
        <f t="shared" si="153"/>
        <v>10.43</v>
      </c>
      <c r="F877" s="20">
        <f t="shared" si="154"/>
        <v>2.2109999999999999</v>
      </c>
      <c r="G877" s="277">
        <f t="shared" si="149"/>
        <v>0</v>
      </c>
      <c r="H877" s="3">
        <f t="shared" si="157"/>
        <v>0</v>
      </c>
      <c r="I877" s="277">
        <f t="shared" si="150"/>
        <v>0</v>
      </c>
      <c r="J877" s="257" t="s">
        <v>814</v>
      </c>
      <c r="K877" s="257" t="s">
        <v>1173</v>
      </c>
      <c r="L877" s="257"/>
      <c r="M877" s="269" t="s">
        <v>1012</v>
      </c>
      <c r="N877" s="175">
        <v>41371</v>
      </c>
      <c r="O877" s="257">
        <v>313</v>
      </c>
      <c r="P877" s="257" t="s">
        <v>187</v>
      </c>
      <c r="Q877" s="257"/>
      <c r="R877" s="257">
        <v>3</v>
      </c>
      <c r="S877" s="257">
        <v>800</v>
      </c>
      <c r="T877" s="257">
        <v>60</v>
      </c>
      <c r="U877" s="257">
        <v>400</v>
      </c>
      <c r="V877" s="257">
        <v>8</v>
      </c>
      <c r="W877" s="257">
        <v>26.5</v>
      </c>
      <c r="X877" s="257">
        <v>2.5</v>
      </c>
      <c r="Y877" s="257">
        <v>40</v>
      </c>
      <c r="Z877" s="257"/>
      <c r="AA877" s="164"/>
      <c r="AB877" s="289"/>
      <c r="AC877" s="257"/>
      <c r="AD877" s="257"/>
      <c r="AE877" s="257"/>
      <c r="AF877" s="257"/>
      <c r="AG877" s="114"/>
      <c r="AH877" s="266">
        <v>695.645375876824</v>
      </c>
      <c r="AI877" s="96"/>
      <c r="AJ877" s="96">
        <v>10.43</v>
      </c>
      <c r="AK877" s="96">
        <v>2.2109999999999999</v>
      </c>
      <c r="AL877" s="96"/>
      <c r="AM877" s="257"/>
      <c r="AN877" s="24">
        <f t="shared" si="151"/>
        <v>0</v>
      </c>
      <c r="AO877" s="188">
        <f t="shared" si="155"/>
        <v>0</v>
      </c>
      <c r="AP877" s="254">
        <f t="shared" si="156"/>
        <v>0</v>
      </c>
      <c r="AQ877" s="269"/>
      <c r="AR877" s="179"/>
      <c r="AS877" s="257"/>
      <c r="AT877" s="257"/>
    </row>
    <row r="878" spans="1:46" ht="12">
      <c r="A878" s="326" t="s">
        <v>1176</v>
      </c>
      <c r="B878" s="359" t="str">
        <f t="shared" si="146"/>
        <v>SiNx</v>
      </c>
      <c r="C878" s="141">
        <f t="shared" si="147"/>
        <v>0</v>
      </c>
      <c r="D878" s="277">
        <f t="shared" si="148"/>
        <v>675.03828664528396</v>
      </c>
      <c r="E878" s="20">
        <f t="shared" si="153"/>
        <v>10.52</v>
      </c>
      <c r="F878" s="20">
        <f t="shared" si="154"/>
        <v>2.1560000000000001</v>
      </c>
      <c r="G878" s="277">
        <f t="shared" si="149"/>
        <v>0</v>
      </c>
      <c r="H878" s="3">
        <f t="shared" si="157"/>
        <v>0</v>
      </c>
      <c r="I878" s="277">
        <f t="shared" si="150"/>
        <v>0</v>
      </c>
      <c r="J878" s="257" t="s">
        <v>814</v>
      </c>
      <c r="K878" s="257" t="s">
        <v>1173</v>
      </c>
      <c r="L878" s="257"/>
      <c r="M878" s="269" t="s">
        <v>1012</v>
      </c>
      <c r="N878" s="175">
        <v>41371</v>
      </c>
      <c r="O878" s="257">
        <v>313</v>
      </c>
      <c r="P878" s="257" t="s">
        <v>187</v>
      </c>
      <c r="Q878" s="257"/>
      <c r="R878" s="257">
        <v>6</v>
      </c>
      <c r="S878" s="257">
        <v>800</v>
      </c>
      <c r="T878" s="257">
        <v>60</v>
      </c>
      <c r="U878" s="257">
        <v>400</v>
      </c>
      <c r="V878" s="257">
        <v>8</v>
      </c>
      <c r="W878" s="257">
        <v>26.5</v>
      </c>
      <c r="X878" s="257">
        <v>2.5</v>
      </c>
      <c r="Y878" s="257">
        <v>40</v>
      </c>
      <c r="Z878" s="257"/>
      <c r="AA878" s="164"/>
      <c r="AB878" s="289"/>
      <c r="AC878" s="257"/>
      <c r="AD878" s="257"/>
      <c r="AE878" s="257"/>
      <c r="AF878" s="257"/>
      <c r="AG878" s="114"/>
      <c r="AH878" s="266">
        <v>675.03828664528396</v>
      </c>
      <c r="AI878" s="96"/>
      <c r="AJ878" s="96">
        <v>10.52</v>
      </c>
      <c r="AK878" s="96">
        <v>2.1560000000000001</v>
      </c>
      <c r="AL878" s="96"/>
      <c r="AM878" s="257"/>
      <c r="AN878" s="24">
        <f t="shared" si="151"/>
        <v>0</v>
      </c>
      <c r="AO878" s="188">
        <f t="shared" si="155"/>
        <v>0</v>
      </c>
      <c r="AP878" s="254">
        <f t="shared" si="156"/>
        <v>0</v>
      </c>
      <c r="AQ878" s="269"/>
      <c r="AR878" s="179"/>
      <c r="AS878" s="257"/>
      <c r="AT878" s="257"/>
    </row>
    <row r="879" spans="1:46" ht="24">
      <c r="A879" s="14" t="s">
        <v>1177</v>
      </c>
      <c r="B879" s="25" t="str">
        <f t="shared" si="146"/>
        <v>SiNx</v>
      </c>
      <c r="C879" s="141">
        <f t="shared" si="147"/>
        <v>0</v>
      </c>
      <c r="D879" s="277">
        <f t="shared" si="148"/>
        <v>628.02557658025705</v>
      </c>
      <c r="E879" s="20">
        <f t="shared" si="153"/>
        <v>0</v>
      </c>
      <c r="F879" s="20">
        <f t="shared" si="154"/>
        <v>0</v>
      </c>
      <c r="G879" s="277">
        <f t="shared" si="149"/>
        <v>0</v>
      </c>
      <c r="H879" s="3">
        <f t="shared" si="157"/>
        <v>0</v>
      </c>
      <c r="I879" s="277">
        <f t="shared" si="150"/>
        <v>0</v>
      </c>
      <c r="J879" s="112" t="s">
        <v>814</v>
      </c>
      <c r="K879" s="112" t="s">
        <v>1178</v>
      </c>
      <c r="L879" s="112"/>
      <c r="M879" s="55"/>
      <c r="N879" s="264">
        <v>41373</v>
      </c>
      <c r="O879" s="112">
        <v>315</v>
      </c>
      <c r="P879" s="112" t="s">
        <v>187</v>
      </c>
      <c r="Q879" s="112"/>
      <c r="R879" s="112">
        <v>3</v>
      </c>
      <c r="S879" s="112">
        <v>800</v>
      </c>
      <c r="T879" s="112">
        <v>60</v>
      </c>
      <c r="U879" s="112">
        <v>400</v>
      </c>
      <c r="V879" s="112">
        <v>8</v>
      </c>
      <c r="W879" s="112">
        <v>26.5</v>
      </c>
      <c r="X879" s="112">
        <v>2.5</v>
      </c>
      <c r="Y879" s="112">
        <v>40</v>
      </c>
      <c r="Z879" s="112"/>
      <c r="AA879" s="265"/>
      <c r="AB879" s="332"/>
      <c r="AC879" s="112"/>
      <c r="AD879" s="112"/>
      <c r="AE879" s="112"/>
      <c r="AF879" s="112"/>
      <c r="AG879" s="249"/>
      <c r="AH879" s="149">
        <v>628.02557658025705</v>
      </c>
      <c r="AI879" s="388"/>
      <c r="AJ879" s="388"/>
      <c r="AK879" s="388"/>
      <c r="AL879" s="388"/>
      <c r="AM879" s="112"/>
      <c r="AN879" s="24">
        <f t="shared" si="151"/>
        <v>0</v>
      </c>
      <c r="AO879" s="312">
        <f t="shared" si="155"/>
        <v>0</v>
      </c>
      <c r="AP879" s="291">
        <f t="shared" ref="AP879:AP900" si="158">(AF879/T879)*60</f>
        <v>0</v>
      </c>
      <c r="AQ879" s="55"/>
      <c r="AR879" s="167"/>
      <c r="AS879" s="112"/>
      <c r="AT879" s="112"/>
    </row>
    <row r="880" spans="1:46" ht="24">
      <c r="A880" s="326" t="s">
        <v>1179</v>
      </c>
      <c r="B880" s="359" t="str">
        <f t="shared" si="146"/>
        <v>SiNx</v>
      </c>
      <c r="C880" s="141">
        <f t="shared" si="147"/>
        <v>0</v>
      </c>
      <c r="D880" s="277">
        <f t="shared" si="148"/>
        <v>637.12481078639098</v>
      </c>
      <c r="E880" s="20">
        <f t="shared" si="153"/>
        <v>8.84</v>
      </c>
      <c r="F880" s="20">
        <f t="shared" si="154"/>
        <v>2.1139999999999999</v>
      </c>
      <c r="G880" s="277">
        <f t="shared" si="149"/>
        <v>0</v>
      </c>
      <c r="H880" s="3">
        <f t="shared" si="157"/>
        <v>0.88948465892165629</v>
      </c>
      <c r="I880" s="277">
        <f t="shared" si="150"/>
        <v>0</v>
      </c>
      <c r="J880" s="257" t="s">
        <v>1082</v>
      </c>
      <c r="K880" s="257" t="s">
        <v>1178</v>
      </c>
      <c r="L880" s="257"/>
      <c r="M880" s="269"/>
      <c r="N880" s="175">
        <v>41373</v>
      </c>
      <c r="O880" s="257">
        <v>315</v>
      </c>
      <c r="P880" s="257" t="s">
        <v>187</v>
      </c>
      <c r="Q880" s="257"/>
      <c r="R880" s="257">
        <v>6</v>
      </c>
      <c r="S880" s="257">
        <v>800</v>
      </c>
      <c r="T880" s="257">
        <v>60</v>
      </c>
      <c r="U880" s="257">
        <v>400</v>
      </c>
      <c r="V880" s="257">
        <v>8</v>
      </c>
      <c r="W880" s="257">
        <v>26.5</v>
      </c>
      <c r="X880" s="257">
        <v>2.5</v>
      </c>
      <c r="Y880" s="257">
        <v>40</v>
      </c>
      <c r="Z880" s="257"/>
      <c r="AA880" s="164"/>
      <c r="AB880" s="289"/>
      <c r="AC880" s="257"/>
      <c r="AD880" s="257"/>
      <c r="AE880" s="257"/>
      <c r="AF880" s="257"/>
      <c r="AG880" s="114"/>
      <c r="AH880" s="266">
        <v>637.12481078639098</v>
      </c>
      <c r="AI880" s="96"/>
      <c r="AJ880" s="96">
        <v>8.84</v>
      </c>
      <c r="AK880" s="96">
        <v>2.1139999999999999</v>
      </c>
      <c r="AL880" s="96">
        <f>(19+279.6)/335.7</f>
        <v>0.88948465892165629</v>
      </c>
      <c r="AM880" s="257"/>
      <c r="AN880" s="24">
        <f t="shared" si="151"/>
        <v>0</v>
      </c>
      <c r="AO880" s="188">
        <f t="shared" si="155"/>
        <v>0</v>
      </c>
      <c r="AP880" s="254">
        <f t="shared" si="158"/>
        <v>0</v>
      </c>
      <c r="AQ880" s="269"/>
      <c r="AR880" s="179"/>
      <c r="AS880" s="257"/>
      <c r="AT880" s="257"/>
    </row>
    <row r="881" spans="1:46" ht="12">
      <c r="A881" s="137" t="s">
        <v>1180</v>
      </c>
      <c r="B881" s="359" t="str">
        <f t="shared" si="146"/>
        <v>SiO2</v>
      </c>
      <c r="C881" s="141">
        <f t="shared" si="147"/>
        <v>0</v>
      </c>
      <c r="D881" s="277">
        <f t="shared" si="148"/>
        <v>529.98578841808296</v>
      </c>
      <c r="E881" s="20">
        <f t="shared" si="153"/>
        <v>10.72</v>
      </c>
      <c r="F881" s="20">
        <f t="shared" si="154"/>
        <v>1.7749999999999999</v>
      </c>
      <c r="G881" s="277">
        <f t="shared" si="149"/>
        <v>0</v>
      </c>
      <c r="H881" s="3">
        <f t="shared" si="157"/>
        <v>0.84109491645929602</v>
      </c>
      <c r="I881" s="277">
        <f t="shared" si="150"/>
        <v>0</v>
      </c>
      <c r="J881" s="83" t="s">
        <v>1082</v>
      </c>
      <c r="K881" s="83" t="s">
        <v>1181</v>
      </c>
      <c r="L881" s="83"/>
      <c r="M881" s="385"/>
      <c r="N881" s="362">
        <v>41374</v>
      </c>
      <c r="O881" s="83">
        <v>316</v>
      </c>
      <c r="P881" s="83" t="s">
        <v>1182</v>
      </c>
      <c r="Q881" s="83"/>
      <c r="R881" s="83">
        <v>1</v>
      </c>
      <c r="S881" s="83">
        <v>800</v>
      </c>
      <c r="T881" s="83">
        <v>75</v>
      </c>
      <c r="U881" s="83">
        <v>400</v>
      </c>
      <c r="V881" s="83">
        <v>8</v>
      </c>
      <c r="W881" s="83">
        <v>26.5</v>
      </c>
      <c r="X881" s="83">
        <v>2.5</v>
      </c>
      <c r="Y881" s="83">
        <v>40</v>
      </c>
      <c r="Z881" s="83"/>
      <c r="AA881" s="119"/>
      <c r="AB881" s="84"/>
      <c r="AC881" s="83"/>
      <c r="AD881" s="83"/>
      <c r="AE881" s="83"/>
      <c r="AF881" s="83"/>
      <c r="AG881" s="220"/>
      <c r="AH881" s="344">
        <v>529.98578841808296</v>
      </c>
      <c r="AI881" s="139"/>
      <c r="AJ881" s="139">
        <v>10.72</v>
      </c>
      <c r="AK881" s="139">
        <v>1.7749999999999999</v>
      </c>
      <c r="AL881" s="139">
        <f>(217.6+19)/281.3</f>
        <v>0.84109491645929602</v>
      </c>
      <c r="AM881" s="83"/>
      <c r="AN881" s="24">
        <f t="shared" si="151"/>
        <v>0</v>
      </c>
      <c r="AO881" s="252">
        <f t="shared" si="155"/>
        <v>0</v>
      </c>
      <c r="AP881" s="65">
        <f t="shared" si="158"/>
        <v>0</v>
      </c>
      <c r="AQ881" s="385"/>
      <c r="AR881" s="162"/>
      <c r="AS881" s="83"/>
      <c r="AT881" s="83"/>
    </row>
    <row r="882" spans="1:46" ht="12">
      <c r="A882" s="326" t="s">
        <v>1183</v>
      </c>
      <c r="B882" s="359" t="str">
        <f t="shared" si="146"/>
        <v>SiNx</v>
      </c>
      <c r="C882" s="141">
        <f t="shared" si="147"/>
        <v>0</v>
      </c>
      <c r="D882" s="277">
        <f t="shared" si="148"/>
        <v>574.41146130685695</v>
      </c>
      <c r="E882" s="20">
        <f t="shared" si="153"/>
        <v>10.42</v>
      </c>
      <c r="F882" s="20">
        <f t="shared" si="154"/>
        <v>1.9279999999999999</v>
      </c>
      <c r="G882" s="277">
        <f t="shared" si="149"/>
        <v>0</v>
      </c>
      <c r="H882" s="3">
        <f t="shared" si="157"/>
        <v>0.79743268628678776</v>
      </c>
      <c r="I882" s="277">
        <f t="shared" si="150"/>
        <v>0</v>
      </c>
      <c r="J882" s="257" t="s">
        <v>1082</v>
      </c>
      <c r="K882" s="257" t="s">
        <v>1184</v>
      </c>
      <c r="L882" s="257"/>
      <c r="M882" s="269"/>
      <c r="N882" s="175">
        <v>41374</v>
      </c>
      <c r="O882" s="257">
        <v>316</v>
      </c>
      <c r="P882" s="257" t="s">
        <v>187</v>
      </c>
      <c r="Q882" s="257"/>
      <c r="R882" s="257">
        <v>2</v>
      </c>
      <c r="S882" s="257">
        <v>800</v>
      </c>
      <c r="T882" s="257">
        <v>75</v>
      </c>
      <c r="U882" s="257">
        <v>400</v>
      </c>
      <c r="V882" s="257">
        <v>8</v>
      </c>
      <c r="W882" s="257">
        <v>26.5</v>
      </c>
      <c r="X882" s="257">
        <v>2.5</v>
      </c>
      <c r="Y882" s="257">
        <v>40</v>
      </c>
      <c r="Z882" s="257"/>
      <c r="AA882" s="164"/>
      <c r="AB882" s="289"/>
      <c r="AC882" s="257"/>
      <c r="AD882" s="257"/>
      <c r="AE882" s="257"/>
      <c r="AF882" s="257"/>
      <c r="AG882" s="114"/>
      <c r="AH882" s="266">
        <v>574.41146130685695</v>
      </c>
      <c r="AI882" s="96"/>
      <c r="AJ882" s="96">
        <v>10.42</v>
      </c>
      <c r="AK882" s="96">
        <v>1.9279999999999999</v>
      </c>
      <c r="AL882" s="96">
        <f>(19+235.7)/319.4</f>
        <v>0.79743268628678776</v>
      </c>
      <c r="AM882" s="257"/>
      <c r="AN882" s="24">
        <f t="shared" si="151"/>
        <v>0</v>
      </c>
      <c r="AO882" s="188">
        <f t="shared" si="155"/>
        <v>0</v>
      </c>
      <c r="AP882" s="254">
        <f t="shared" si="158"/>
        <v>0</v>
      </c>
      <c r="AQ882" s="269"/>
      <c r="AR882" s="179"/>
      <c r="AS882" s="257"/>
      <c r="AT882" s="257"/>
    </row>
    <row r="883" spans="1:46" ht="12">
      <c r="A883" s="137" t="s">
        <v>1185</v>
      </c>
      <c r="B883" s="359" t="str">
        <f t="shared" si="146"/>
        <v>SiO2</v>
      </c>
      <c r="C883" s="141">
        <f t="shared" si="147"/>
        <v>0</v>
      </c>
      <c r="D883" s="277">
        <f t="shared" si="148"/>
        <v>555.76695200213101</v>
      </c>
      <c r="E883" s="20">
        <f t="shared" si="153"/>
        <v>0</v>
      </c>
      <c r="F883" s="20">
        <f t="shared" si="154"/>
        <v>0</v>
      </c>
      <c r="G883" s="277">
        <f t="shared" si="149"/>
        <v>0</v>
      </c>
      <c r="H883" s="3">
        <f t="shared" si="157"/>
        <v>0</v>
      </c>
      <c r="I883" s="277">
        <f t="shared" si="150"/>
        <v>0</v>
      </c>
      <c r="J883" s="83" t="s">
        <v>814</v>
      </c>
      <c r="K883" s="83" t="s">
        <v>1186</v>
      </c>
      <c r="L883" s="83"/>
      <c r="M883" s="385"/>
      <c r="N883" s="362">
        <v>41374</v>
      </c>
      <c r="O883" s="83">
        <v>316</v>
      </c>
      <c r="P883" s="83" t="s">
        <v>1182</v>
      </c>
      <c r="Q883" s="83"/>
      <c r="R883" s="83">
        <v>3</v>
      </c>
      <c r="S883" s="83">
        <v>800</v>
      </c>
      <c r="T883" s="83">
        <v>75</v>
      </c>
      <c r="U883" s="83">
        <v>400</v>
      </c>
      <c r="V883" s="83">
        <v>8</v>
      </c>
      <c r="W883" s="83">
        <v>26.5</v>
      </c>
      <c r="X883" s="83">
        <v>2.5</v>
      </c>
      <c r="Y883" s="83">
        <v>40</v>
      </c>
      <c r="Z883" s="83"/>
      <c r="AA883" s="119"/>
      <c r="AB883" s="84"/>
      <c r="AC883" s="83"/>
      <c r="AD883" s="83"/>
      <c r="AE883" s="83"/>
      <c r="AF883" s="83"/>
      <c r="AG883" s="220"/>
      <c r="AH883" s="344">
        <v>555.76695200213101</v>
      </c>
      <c r="AI883" s="139"/>
      <c r="AJ883" s="139"/>
      <c r="AK883" s="139"/>
      <c r="AL883" s="241"/>
      <c r="AM883" s="83"/>
      <c r="AN883" s="24">
        <f t="shared" si="151"/>
        <v>0</v>
      </c>
      <c r="AO883" s="252">
        <f t="shared" si="155"/>
        <v>0</v>
      </c>
      <c r="AP883" s="65">
        <f t="shared" si="158"/>
        <v>0</v>
      </c>
      <c r="AQ883" s="385"/>
      <c r="AR883" s="162"/>
      <c r="AS883" s="83"/>
      <c r="AT883" s="83"/>
    </row>
    <row r="884" spans="1:46" ht="12">
      <c r="A884" s="137" t="s">
        <v>1187</v>
      </c>
      <c r="B884" s="359" t="str">
        <f t="shared" si="146"/>
        <v>SiO2</v>
      </c>
      <c r="C884" s="141">
        <f t="shared" si="147"/>
        <v>0</v>
      </c>
      <c r="D884" s="277">
        <f t="shared" si="148"/>
        <v>555.76695200213101</v>
      </c>
      <c r="E884" s="20">
        <f t="shared" si="153"/>
        <v>10.43</v>
      </c>
      <c r="F884" s="20">
        <f t="shared" si="154"/>
        <v>1.8240000000000001</v>
      </c>
      <c r="G884" s="277">
        <f t="shared" si="149"/>
        <v>0</v>
      </c>
      <c r="H884" s="3">
        <f t="shared" si="157"/>
        <v>0.80794923179692724</v>
      </c>
      <c r="I884" s="277">
        <f t="shared" si="150"/>
        <v>0</v>
      </c>
      <c r="J884" s="83" t="s">
        <v>1082</v>
      </c>
      <c r="K884" s="83" t="s">
        <v>1181</v>
      </c>
      <c r="L884" s="83"/>
      <c r="M884" s="385"/>
      <c r="N884" s="362">
        <v>41374</v>
      </c>
      <c r="O884" s="83">
        <v>316</v>
      </c>
      <c r="P884" s="83" t="s">
        <v>1182</v>
      </c>
      <c r="Q884" s="83"/>
      <c r="R884" s="83">
        <v>4</v>
      </c>
      <c r="S884" s="83">
        <v>800</v>
      </c>
      <c r="T884" s="83">
        <v>75</v>
      </c>
      <c r="U884" s="83">
        <v>400</v>
      </c>
      <c r="V884" s="83">
        <v>8</v>
      </c>
      <c r="W884" s="83">
        <v>26.5</v>
      </c>
      <c r="X884" s="83">
        <v>2.5</v>
      </c>
      <c r="Y884" s="83">
        <v>40</v>
      </c>
      <c r="Z884" s="83"/>
      <c r="AA884" s="119"/>
      <c r="AB884" s="84"/>
      <c r="AC884" s="83"/>
      <c r="AD884" s="83"/>
      <c r="AE884" s="83"/>
      <c r="AF884" s="83"/>
      <c r="AG884" s="220"/>
      <c r="AH884" s="344">
        <v>555.76695200213101</v>
      </c>
      <c r="AI884" s="139"/>
      <c r="AJ884" s="139">
        <v>10.43</v>
      </c>
      <c r="AK884" s="139">
        <v>1.8240000000000001</v>
      </c>
      <c r="AL884" s="139">
        <f>(19+222.9)/299.4</f>
        <v>0.80794923179692724</v>
      </c>
      <c r="AM884" s="83"/>
      <c r="AN884" s="24">
        <f t="shared" si="151"/>
        <v>0</v>
      </c>
      <c r="AO884" s="252">
        <f t="shared" si="155"/>
        <v>0</v>
      </c>
      <c r="AP884" s="65">
        <f t="shared" si="158"/>
        <v>0</v>
      </c>
      <c r="AQ884" s="385"/>
      <c r="AR884" s="162"/>
      <c r="AS884" s="83"/>
      <c r="AT884" s="83"/>
    </row>
    <row r="885" spans="1:46" ht="12">
      <c r="A885" s="137" t="s">
        <v>1188</v>
      </c>
      <c r="B885" s="359" t="str">
        <f t="shared" si="146"/>
        <v>SiO2</v>
      </c>
      <c r="C885" s="141">
        <f t="shared" si="147"/>
        <v>0</v>
      </c>
      <c r="D885" s="277">
        <f t="shared" si="148"/>
        <v>466.11273261815899</v>
      </c>
      <c r="E885" s="20">
        <f t="shared" si="153"/>
        <v>11.58</v>
      </c>
      <c r="F885" s="20">
        <f t="shared" si="154"/>
        <v>1.627</v>
      </c>
      <c r="G885" s="277">
        <f t="shared" si="149"/>
        <v>0</v>
      </c>
      <c r="H885" s="3">
        <f t="shared" si="157"/>
        <v>0.85532786885245893</v>
      </c>
      <c r="I885" s="277">
        <f t="shared" si="150"/>
        <v>0</v>
      </c>
      <c r="J885" s="83" t="s">
        <v>1082</v>
      </c>
      <c r="K885" s="83" t="s">
        <v>1181</v>
      </c>
      <c r="L885" s="83"/>
      <c r="M885" s="385"/>
      <c r="N885" s="362">
        <v>41374</v>
      </c>
      <c r="O885" s="83">
        <v>316</v>
      </c>
      <c r="P885" s="83" t="s">
        <v>1182</v>
      </c>
      <c r="Q885" s="83"/>
      <c r="R885" s="83">
        <v>6</v>
      </c>
      <c r="S885" s="83">
        <v>800</v>
      </c>
      <c r="T885" s="83">
        <v>75</v>
      </c>
      <c r="U885" s="83">
        <v>400</v>
      </c>
      <c r="V885" s="83">
        <v>8</v>
      </c>
      <c r="W885" s="83">
        <v>26.5</v>
      </c>
      <c r="X885" s="83">
        <v>2.5</v>
      </c>
      <c r="Y885" s="83">
        <v>40</v>
      </c>
      <c r="Z885" s="83"/>
      <c r="AA885" s="119"/>
      <c r="AB885" s="84"/>
      <c r="AC885" s="83"/>
      <c r="AD885" s="83"/>
      <c r="AE885" s="83"/>
      <c r="AF885" s="83"/>
      <c r="AG885" s="220"/>
      <c r="AH885" s="344">
        <v>466.11273261815899</v>
      </c>
      <c r="AI885" s="139"/>
      <c r="AJ885" s="139">
        <v>11.58</v>
      </c>
      <c r="AK885" s="139">
        <v>1.627</v>
      </c>
      <c r="AL885" s="139">
        <f>(19+189.7)/244</f>
        <v>0.85532786885245893</v>
      </c>
      <c r="AM885" s="83"/>
      <c r="AN885" s="24">
        <f t="shared" si="151"/>
        <v>0</v>
      </c>
      <c r="AO885" s="252">
        <f t="shared" si="155"/>
        <v>0</v>
      </c>
      <c r="AP885" s="65">
        <f t="shared" si="158"/>
        <v>0</v>
      </c>
      <c r="AQ885" s="385"/>
      <c r="AR885" s="162"/>
      <c r="AS885" s="83"/>
      <c r="AT885" s="83"/>
    </row>
    <row r="886" spans="1:46" ht="12">
      <c r="A886" s="326" t="s">
        <v>1189</v>
      </c>
      <c r="B886" s="81" t="str">
        <f t="shared" si="146"/>
        <v>SiNx</v>
      </c>
      <c r="C886" s="141">
        <f t="shared" si="147"/>
        <v>0</v>
      </c>
      <c r="D886" s="277">
        <f t="shared" si="148"/>
        <v>510.44919732844198</v>
      </c>
      <c r="E886" s="20">
        <f t="shared" si="153"/>
        <v>10.8</v>
      </c>
      <c r="F886" s="20">
        <f t="shared" si="154"/>
        <v>1.772</v>
      </c>
      <c r="G886" s="277">
        <f t="shared" si="149"/>
        <v>0</v>
      </c>
      <c r="H886" s="3">
        <f t="shared" si="157"/>
        <v>0</v>
      </c>
      <c r="I886" s="277">
        <f t="shared" si="150"/>
        <v>0</v>
      </c>
      <c r="J886" s="257" t="s">
        <v>1190</v>
      </c>
      <c r="K886" s="257" t="s">
        <v>1191</v>
      </c>
      <c r="L886" s="257"/>
      <c r="M886" s="269"/>
      <c r="N886" s="175">
        <v>41374</v>
      </c>
      <c r="O886" s="257">
        <v>317</v>
      </c>
      <c r="P886" s="257" t="s">
        <v>187</v>
      </c>
      <c r="Q886" s="257"/>
      <c r="R886" s="257">
        <v>1</v>
      </c>
      <c r="S886" s="257">
        <v>800</v>
      </c>
      <c r="T886" s="257">
        <v>81</v>
      </c>
      <c r="U886" s="257">
        <v>400</v>
      </c>
      <c r="V886" s="257">
        <v>8</v>
      </c>
      <c r="W886" s="257">
        <v>26.5</v>
      </c>
      <c r="X886" s="257">
        <v>2.5</v>
      </c>
      <c r="Y886" s="257">
        <v>40</v>
      </c>
      <c r="Z886" s="257"/>
      <c r="AA886" s="164"/>
      <c r="AB886" s="289"/>
      <c r="AC886" s="257"/>
      <c r="AD886" s="257"/>
      <c r="AE886" s="257"/>
      <c r="AF886" s="257"/>
      <c r="AG886" s="114"/>
      <c r="AH886" s="266">
        <v>510.44919732844198</v>
      </c>
      <c r="AI886" s="96"/>
      <c r="AJ886" s="96">
        <v>10.8</v>
      </c>
      <c r="AK886" s="96">
        <v>1.772</v>
      </c>
      <c r="AL886" s="96"/>
      <c r="AM886" s="257"/>
      <c r="AN886" s="24">
        <f t="shared" si="151"/>
        <v>0</v>
      </c>
      <c r="AO886" s="188">
        <f t="shared" si="155"/>
        <v>0</v>
      </c>
      <c r="AP886" s="254">
        <f t="shared" si="158"/>
        <v>0</v>
      </c>
      <c r="AQ886" s="269"/>
      <c r="AR886" s="179"/>
      <c r="AS886" s="257"/>
      <c r="AT886" s="257"/>
    </row>
    <row r="887" spans="1:46" ht="12">
      <c r="A887" s="326" t="s">
        <v>1192</v>
      </c>
      <c r="B887" s="81" t="str">
        <f t="shared" si="146"/>
        <v>SiNx</v>
      </c>
      <c r="C887" s="141">
        <f t="shared" si="147"/>
        <v>0</v>
      </c>
      <c r="D887" s="277">
        <f t="shared" si="148"/>
        <v>508.486617401628</v>
      </c>
      <c r="E887" s="20">
        <f t="shared" si="153"/>
        <v>10.79</v>
      </c>
      <c r="F887" s="20">
        <f t="shared" si="154"/>
        <v>1.758</v>
      </c>
      <c r="G887" s="277">
        <f t="shared" si="149"/>
        <v>0</v>
      </c>
      <c r="H887" s="3">
        <f t="shared" si="157"/>
        <v>0</v>
      </c>
      <c r="I887" s="277">
        <f t="shared" si="150"/>
        <v>0</v>
      </c>
      <c r="J887" s="257" t="s">
        <v>1190</v>
      </c>
      <c r="K887" s="257" t="s">
        <v>1191</v>
      </c>
      <c r="L887" s="257"/>
      <c r="M887" s="269"/>
      <c r="N887" s="175">
        <v>41374</v>
      </c>
      <c r="O887" s="257">
        <v>317</v>
      </c>
      <c r="P887" s="257" t="s">
        <v>187</v>
      </c>
      <c r="Q887" s="257"/>
      <c r="R887" s="257">
        <v>2</v>
      </c>
      <c r="S887" s="257">
        <v>800</v>
      </c>
      <c r="T887" s="257">
        <v>81</v>
      </c>
      <c r="U887" s="257">
        <v>400</v>
      </c>
      <c r="V887" s="257">
        <v>8</v>
      </c>
      <c r="W887" s="257">
        <v>26.5</v>
      </c>
      <c r="X887" s="257">
        <v>2.5</v>
      </c>
      <c r="Y887" s="257">
        <v>40</v>
      </c>
      <c r="Z887" s="257"/>
      <c r="AA887" s="164"/>
      <c r="AB887" s="289"/>
      <c r="AC887" s="257"/>
      <c r="AD887" s="257"/>
      <c r="AE887" s="257"/>
      <c r="AF887" s="257"/>
      <c r="AG887" s="114"/>
      <c r="AH887" s="266">
        <v>508.486617401628</v>
      </c>
      <c r="AI887" s="96"/>
      <c r="AJ887" s="96">
        <v>10.79</v>
      </c>
      <c r="AK887" s="96">
        <v>1.758</v>
      </c>
      <c r="AL887" s="96"/>
      <c r="AM887" s="257"/>
      <c r="AN887" s="24">
        <f t="shared" si="151"/>
        <v>0</v>
      </c>
      <c r="AO887" s="188">
        <f t="shared" si="155"/>
        <v>0</v>
      </c>
      <c r="AP887" s="254">
        <f t="shared" si="158"/>
        <v>0</v>
      </c>
      <c r="AQ887" s="269"/>
      <c r="AR887" s="179"/>
      <c r="AS887" s="257"/>
      <c r="AT887" s="257"/>
    </row>
    <row r="888" spans="1:46" ht="12">
      <c r="A888" s="14" t="s">
        <v>1193</v>
      </c>
      <c r="B888" s="25" t="str">
        <f t="shared" si="146"/>
        <v>SiNx</v>
      </c>
      <c r="C888" s="141">
        <f t="shared" si="147"/>
        <v>0</v>
      </c>
      <c r="D888" s="277">
        <f t="shared" si="148"/>
        <v>426.593509546419</v>
      </c>
      <c r="E888" s="20">
        <f t="shared" si="153"/>
        <v>0</v>
      </c>
      <c r="F888" s="20">
        <f t="shared" si="154"/>
        <v>0</v>
      </c>
      <c r="G888" s="277">
        <f t="shared" si="149"/>
        <v>0</v>
      </c>
      <c r="H888" s="3">
        <f t="shared" si="157"/>
        <v>0</v>
      </c>
      <c r="I888" s="277">
        <f t="shared" si="150"/>
        <v>0</v>
      </c>
      <c r="J888" s="112" t="s">
        <v>1190</v>
      </c>
      <c r="K888" s="112" t="s">
        <v>1191</v>
      </c>
      <c r="L888" s="112"/>
      <c r="M888" s="55"/>
      <c r="N888" s="264">
        <v>41374</v>
      </c>
      <c r="O888" s="112">
        <v>317</v>
      </c>
      <c r="P888" s="112" t="s">
        <v>187</v>
      </c>
      <c r="Q888" s="112"/>
      <c r="R888" s="112">
        <v>3</v>
      </c>
      <c r="S888" s="112">
        <v>800</v>
      </c>
      <c r="T888" s="112">
        <v>81</v>
      </c>
      <c r="U888" s="112">
        <v>400</v>
      </c>
      <c r="V888" s="112">
        <v>8</v>
      </c>
      <c r="W888" s="112">
        <v>26.5</v>
      </c>
      <c r="X888" s="112">
        <v>2.5</v>
      </c>
      <c r="Y888" s="112">
        <v>40</v>
      </c>
      <c r="Z888" s="112"/>
      <c r="AA888" s="265"/>
      <c r="AB888" s="332"/>
      <c r="AC888" s="112"/>
      <c r="AD888" s="112"/>
      <c r="AE888" s="112"/>
      <c r="AF888" s="112"/>
      <c r="AG888" s="249"/>
      <c r="AH888" s="149">
        <v>426.593509546419</v>
      </c>
      <c r="AI888" s="388"/>
      <c r="AJ888" s="156"/>
      <c r="AK888" s="388"/>
      <c r="AL888" s="388"/>
      <c r="AM888" s="112"/>
      <c r="AN888" s="24">
        <f t="shared" si="151"/>
        <v>0</v>
      </c>
      <c r="AO888" s="312">
        <f>(AF888*AH888)*AJ889</f>
        <v>0</v>
      </c>
      <c r="AP888" s="291">
        <f t="shared" si="158"/>
        <v>0</v>
      </c>
      <c r="AQ888" s="55"/>
      <c r="AR888" s="167"/>
      <c r="AS888" s="112"/>
      <c r="AT888" s="112"/>
    </row>
    <row r="889" spans="1:46" ht="12">
      <c r="A889" s="326" t="s">
        <v>1194</v>
      </c>
      <c r="B889" s="81" t="str">
        <f t="shared" si="146"/>
        <v>SiNx</v>
      </c>
      <c r="C889" s="141">
        <f t="shared" si="147"/>
        <v>0</v>
      </c>
      <c r="D889" s="277">
        <f t="shared" si="148"/>
        <v>507.059286545764</v>
      </c>
      <c r="E889" s="20">
        <f t="shared" si="153"/>
        <v>10.8</v>
      </c>
      <c r="F889" s="20">
        <f t="shared" si="154"/>
        <v>1.7749999999999999</v>
      </c>
      <c r="G889" s="277">
        <f t="shared" si="149"/>
        <v>0</v>
      </c>
      <c r="H889" s="3">
        <f t="shared" si="157"/>
        <v>0</v>
      </c>
      <c r="I889" s="277">
        <f t="shared" si="150"/>
        <v>0</v>
      </c>
      <c r="J889" s="257" t="s">
        <v>1190</v>
      </c>
      <c r="K889" s="257" t="s">
        <v>1191</v>
      </c>
      <c r="L889" s="257"/>
      <c r="M889" s="269"/>
      <c r="N889" s="175">
        <v>41374</v>
      </c>
      <c r="O889" s="257">
        <v>317</v>
      </c>
      <c r="P889" s="257" t="s">
        <v>187</v>
      </c>
      <c r="Q889" s="257"/>
      <c r="R889" s="257">
        <v>4</v>
      </c>
      <c r="S889" s="257">
        <v>800</v>
      </c>
      <c r="T889" s="257">
        <v>81</v>
      </c>
      <c r="U889" s="257">
        <v>400</v>
      </c>
      <c r="V889" s="257">
        <v>8</v>
      </c>
      <c r="W889" s="257">
        <v>26.5</v>
      </c>
      <c r="X889" s="257">
        <v>2.5</v>
      </c>
      <c r="Y889" s="257">
        <v>40</v>
      </c>
      <c r="Z889" s="257"/>
      <c r="AA889" s="164"/>
      <c r="AB889" s="289"/>
      <c r="AC889" s="257"/>
      <c r="AD889" s="257"/>
      <c r="AE889" s="257"/>
      <c r="AF889" s="257"/>
      <c r="AG889" s="114"/>
      <c r="AH889" s="266">
        <v>507.059286545764</v>
      </c>
      <c r="AI889" s="96"/>
      <c r="AJ889" s="96">
        <v>10.8</v>
      </c>
      <c r="AK889" s="96">
        <v>1.7749999999999999</v>
      </c>
      <c r="AL889" s="96"/>
      <c r="AM889" s="257"/>
      <c r="AN889" s="24">
        <f t="shared" si="151"/>
        <v>0</v>
      </c>
      <c r="AO889" s="188">
        <f>(AF889*AH889)*AJ890</f>
        <v>0</v>
      </c>
      <c r="AP889" s="254">
        <f t="shared" si="158"/>
        <v>0</v>
      </c>
      <c r="AQ889" s="269"/>
      <c r="AR889" s="179"/>
      <c r="AS889" s="257"/>
      <c r="AT889" s="257"/>
    </row>
    <row r="890" spans="1:46" ht="12">
      <c r="A890" s="326" t="s">
        <v>1195</v>
      </c>
      <c r="B890" s="81" t="str">
        <f t="shared" si="146"/>
        <v>SiNx</v>
      </c>
      <c r="C890" s="141">
        <f t="shared" si="147"/>
        <v>0</v>
      </c>
      <c r="D890" s="277">
        <f t="shared" si="148"/>
        <v>508.04057650917099</v>
      </c>
      <c r="E890" s="20">
        <f t="shared" si="153"/>
        <v>10.77</v>
      </c>
      <c r="F890" s="20">
        <f t="shared" si="154"/>
        <v>1.77</v>
      </c>
      <c r="G890" s="277">
        <f t="shared" si="149"/>
        <v>0</v>
      </c>
      <c r="H890" s="3">
        <f t="shared" si="157"/>
        <v>0</v>
      </c>
      <c r="I890" s="277">
        <f t="shared" si="150"/>
        <v>0</v>
      </c>
      <c r="J890" s="257" t="s">
        <v>1190</v>
      </c>
      <c r="K890" s="257" t="s">
        <v>1191</v>
      </c>
      <c r="L890" s="257"/>
      <c r="M890" s="269"/>
      <c r="N890" s="175">
        <v>41374</v>
      </c>
      <c r="O890" s="257">
        <v>317</v>
      </c>
      <c r="P890" s="257" t="s">
        <v>187</v>
      </c>
      <c r="Q890" s="257"/>
      <c r="R890" s="257">
        <v>5</v>
      </c>
      <c r="S890" s="257">
        <v>800</v>
      </c>
      <c r="T890" s="257">
        <v>81</v>
      </c>
      <c r="U890" s="257">
        <v>400</v>
      </c>
      <c r="V890" s="257">
        <v>8</v>
      </c>
      <c r="W890" s="257">
        <v>26.5</v>
      </c>
      <c r="X890" s="257">
        <v>2.5</v>
      </c>
      <c r="Y890" s="257">
        <v>40</v>
      </c>
      <c r="Z890" s="257"/>
      <c r="AA890" s="164"/>
      <c r="AB890" s="289"/>
      <c r="AC890" s="257"/>
      <c r="AD890" s="257"/>
      <c r="AE890" s="257"/>
      <c r="AF890" s="257"/>
      <c r="AG890" s="114"/>
      <c r="AH890" s="266">
        <v>508.04057650917099</v>
      </c>
      <c r="AI890" s="96"/>
      <c r="AJ890" s="96">
        <v>10.77</v>
      </c>
      <c r="AK890" s="96">
        <v>1.77</v>
      </c>
      <c r="AL890" s="96"/>
      <c r="AM890" s="257"/>
      <c r="AN890" s="24">
        <f t="shared" si="151"/>
        <v>0</v>
      </c>
      <c r="AO890" s="188">
        <f t="shared" ref="AO890:AO932" si="159">(AF890*AH890)*AJ890</f>
        <v>0</v>
      </c>
      <c r="AP890" s="254">
        <f t="shared" si="158"/>
        <v>0</v>
      </c>
      <c r="AQ890" s="269"/>
      <c r="AR890" s="179"/>
      <c r="AS890" s="257"/>
      <c r="AT890" s="257"/>
    </row>
    <row r="891" spans="1:46" ht="12">
      <c r="A891" s="137" t="s">
        <v>1196</v>
      </c>
      <c r="B891" s="81" t="str">
        <f t="shared" si="146"/>
        <v>SiO2</v>
      </c>
      <c r="C891" s="141">
        <f t="shared" si="147"/>
        <v>0</v>
      </c>
      <c r="D891" s="277">
        <f t="shared" si="148"/>
        <v>428.73450583021503</v>
      </c>
      <c r="E891" s="20">
        <f t="shared" si="153"/>
        <v>11.49</v>
      </c>
      <c r="F891" s="20">
        <f t="shared" si="154"/>
        <v>1.5580000000000001</v>
      </c>
      <c r="G891" s="277">
        <f t="shared" si="149"/>
        <v>0</v>
      </c>
      <c r="H891" s="3">
        <f t="shared" si="157"/>
        <v>0</v>
      </c>
      <c r="I891" s="277">
        <f t="shared" si="150"/>
        <v>0</v>
      </c>
      <c r="J891" s="83" t="s">
        <v>1190</v>
      </c>
      <c r="K891" s="83" t="s">
        <v>1191</v>
      </c>
      <c r="L891" s="83"/>
      <c r="M891" s="385"/>
      <c r="N891" s="362">
        <v>41374</v>
      </c>
      <c r="O891" s="83">
        <v>317</v>
      </c>
      <c r="P891" s="83" t="s">
        <v>1182</v>
      </c>
      <c r="Q891" s="83"/>
      <c r="R891" s="83">
        <v>6</v>
      </c>
      <c r="S891" s="83">
        <v>800</v>
      </c>
      <c r="T891" s="83">
        <v>81</v>
      </c>
      <c r="U891" s="83">
        <v>400</v>
      </c>
      <c r="V891" s="83">
        <v>8</v>
      </c>
      <c r="W891" s="83">
        <v>26.5</v>
      </c>
      <c r="X891" s="83">
        <v>2.5</v>
      </c>
      <c r="Y891" s="83">
        <v>40</v>
      </c>
      <c r="Z891" s="83"/>
      <c r="AA891" s="119"/>
      <c r="AB891" s="84"/>
      <c r="AC891" s="83"/>
      <c r="AD891" s="83"/>
      <c r="AE891" s="83"/>
      <c r="AF891" s="83"/>
      <c r="AG891" s="220"/>
      <c r="AH891" s="344">
        <v>428.73450583021503</v>
      </c>
      <c r="AI891" s="139"/>
      <c r="AJ891" s="139">
        <v>11.49</v>
      </c>
      <c r="AK891" s="139">
        <v>1.5580000000000001</v>
      </c>
      <c r="AL891" s="139"/>
      <c r="AM891" s="83"/>
      <c r="AN891" s="24">
        <f t="shared" si="151"/>
        <v>0</v>
      </c>
      <c r="AO891" s="252">
        <f t="shared" si="159"/>
        <v>0</v>
      </c>
      <c r="AP891" s="65">
        <f t="shared" si="158"/>
        <v>0</v>
      </c>
      <c r="AQ891" s="385"/>
      <c r="AR891" s="162"/>
      <c r="AS891" s="83"/>
      <c r="AT891" s="83"/>
    </row>
    <row r="892" spans="1:46" ht="12">
      <c r="A892" s="246" t="s">
        <v>1197</v>
      </c>
      <c r="B892" s="25" t="str">
        <f t="shared" si="146"/>
        <v>SiO2</v>
      </c>
      <c r="C892" s="141">
        <f t="shared" si="147"/>
        <v>0</v>
      </c>
      <c r="D892" s="277">
        <f t="shared" si="148"/>
        <v>0</v>
      </c>
      <c r="E892" s="20">
        <f t="shared" si="153"/>
        <v>0</v>
      </c>
      <c r="F892" s="20">
        <f t="shared" si="154"/>
        <v>0</v>
      </c>
      <c r="G892" s="277">
        <f t="shared" si="149"/>
        <v>0</v>
      </c>
      <c r="H892" s="3">
        <f t="shared" si="157"/>
        <v>0</v>
      </c>
      <c r="I892" s="277">
        <f t="shared" si="150"/>
        <v>0</v>
      </c>
      <c r="J892" s="46" t="s">
        <v>1190</v>
      </c>
      <c r="K892" s="46" t="s">
        <v>1198</v>
      </c>
      <c r="L892" s="46"/>
      <c r="M892" s="72"/>
      <c r="N892" s="292">
        <v>41375</v>
      </c>
      <c r="O892" s="46">
        <v>318</v>
      </c>
      <c r="P892" s="46" t="s">
        <v>1182</v>
      </c>
      <c r="Q892" s="46"/>
      <c r="R892" s="46">
        <v>1</v>
      </c>
      <c r="S892" s="46">
        <v>800</v>
      </c>
      <c r="T892" s="46">
        <v>75</v>
      </c>
      <c r="U892" s="46">
        <v>400</v>
      </c>
      <c r="V892" s="46">
        <v>8</v>
      </c>
      <c r="W892" s="46">
        <v>26.5</v>
      </c>
      <c r="X892" s="46">
        <v>2.5</v>
      </c>
      <c r="Y892" s="46">
        <v>40</v>
      </c>
      <c r="Z892" s="46"/>
      <c r="AA892" s="23"/>
      <c r="AB892" s="283"/>
      <c r="AC892" s="46"/>
      <c r="AD892" s="46"/>
      <c r="AE892" s="46"/>
      <c r="AF892" s="46"/>
      <c r="AG892" s="178"/>
      <c r="AH892" s="122"/>
      <c r="AI892" s="120"/>
      <c r="AJ892" s="120"/>
      <c r="AK892" s="120"/>
      <c r="AL892" s="120"/>
      <c r="AM892" s="46"/>
      <c r="AN892" s="24">
        <f t="shared" si="151"/>
        <v>0</v>
      </c>
      <c r="AO892" s="270">
        <f t="shared" si="159"/>
        <v>0</v>
      </c>
      <c r="AP892" s="285">
        <f t="shared" si="158"/>
        <v>0</v>
      </c>
      <c r="AQ892" s="72"/>
      <c r="AR892" s="60"/>
      <c r="AS892" s="46"/>
      <c r="AT892" s="46"/>
    </row>
    <row r="893" spans="1:46" ht="12">
      <c r="A893" s="348" t="s">
        <v>1199</v>
      </c>
      <c r="B893" s="25" t="str">
        <f t="shared" si="146"/>
        <v>MgO</v>
      </c>
      <c r="C893" s="141">
        <f t="shared" si="147"/>
        <v>0</v>
      </c>
      <c r="D893" s="277">
        <f t="shared" si="148"/>
        <v>0</v>
      </c>
      <c r="E893" s="20">
        <f t="shared" si="153"/>
        <v>0</v>
      </c>
      <c r="F893" s="20">
        <f t="shared" si="154"/>
        <v>0</v>
      </c>
      <c r="G893" s="277">
        <f t="shared" si="149"/>
        <v>0</v>
      </c>
      <c r="H893" s="3">
        <f t="shared" si="157"/>
        <v>0</v>
      </c>
      <c r="I893" s="277">
        <f t="shared" si="150"/>
        <v>0</v>
      </c>
      <c r="J893" s="58" t="s">
        <v>1190</v>
      </c>
      <c r="K893" s="58" t="s">
        <v>1198</v>
      </c>
      <c r="L893" s="58"/>
      <c r="M893" s="158"/>
      <c r="N893" s="320">
        <v>41375</v>
      </c>
      <c r="O893" s="58">
        <v>318</v>
      </c>
      <c r="P893" s="58" t="s">
        <v>46</v>
      </c>
      <c r="Q893" s="58"/>
      <c r="R893" s="58">
        <v>3</v>
      </c>
      <c r="S893" s="58">
        <v>800</v>
      </c>
      <c r="T893" s="58">
        <v>75</v>
      </c>
      <c r="U893" s="58">
        <v>400</v>
      </c>
      <c r="V893" s="58">
        <v>8</v>
      </c>
      <c r="W893" s="58">
        <v>26.5</v>
      </c>
      <c r="X893" s="58">
        <v>2.5</v>
      </c>
      <c r="Y893" s="58">
        <v>40</v>
      </c>
      <c r="Z893" s="58"/>
      <c r="AA893" s="29"/>
      <c r="AB893" s="105"/>
      <c r="AC893" s="58"/>
      <c r="AD893" s="58"/>
      <c r="AE893" s="58"/>
      <c r="AF893" s="58"/>
      <c r="AG893" s="271"/>
      <c r="AH893" s="166"/>
      <c r="AI893" s="174"/>
      <c r="AJ893" s="174"/>
      <c r="AK893" s="174"/>
      <c r="AL893" s="174"/>
      <c r="AM893" s="58"/>
      <c r="AN893" s="24">
        <f t="shared" si="151"/>
        <v>0</v>
      </c>
      <c r="AO893" s="403">
        <f t="shared" si="159"/>
        <v>0</v>
      </c>
      <c r="AP893" s="148">
        <f t="shared" si="158"/>
        <v>0</v>
      </c>
      <c r="AQ893" s="158"/>
      <c r="AR893" s="169"/>
      <c r="AS893" s="58"/>
      <c r="AT893" s="58"/>
    </row>
    <row r="894" spans="1:46" ht="12">
      <c r="A894" s="246" t="s">
        <v>1200</v>
      </c>
      <c r="B894" s="25" t="str">
        <f t="shared" si="146"/>
        <v>SiO2</v>
      </c>
      <c r="C894" s="141">
        <f t="shared" si="147"/>
        <v>0</v>
      </c>
      <c r="D894" s="277">
        <f t="shared" si="148"/>
        <v>0</v>
      </c>
      <c r="E894" s="20">
        <f t="shared" si="153"/>
        <v>11.42</v>
      </c>
      <c r="F894" s="20">
        <f t="shared" si="154"/>
        <v>1.33</v>
      </c>
      <c r="G894" s="277">
        <f t="shared" si="149"/>
        <v>0</v>
      </c>
      <c r="H894" s="3">
        <f t="shared" si="157"/>
        <v>0</v>
      </c>
      <c r="I894" s="277">
        <f t="shared" si="150"/>
        <v>0</v>
      </c>
      <c r="J894" s="46" t="s">
        <v>1190</v>
      </c>
      <c r="K894" s="46" t="s">
        <v>1198</v>
      </c>
      <c r="L894" s="46"/>
      <c r="M894" s="72"/>
      <c r="N894" s="292">
        <v>41375</v>
      </c>
      <c r="O894" s="46">
        <v>318</v>
      </c>
      <c r="P894" s="46" t="s">
        <v>1182</v>
      </c>
      <c r="Q894" s="46"/>
      <c r="R894" s="46">
        <v>4</v>
      </c>
      <c r="S894" s="46">
        <v>800</v>
      </c>
      <c r="T894" s="46">
        <v>75</v>
      </c>
      <c r="U894" s="46">
        <v>400</v>
      </c>
      <c r="V894" s="46">
        <v>8</v>
      </c>
      <c r="W894" s="46">
        <v>26.5</v>
      </c>
      <c r="X894" s="46">
        <v>2.5</v>
      </c>
      <c r="Y894" s="46">
        <v>40</v>
      </c>
      <c r="Z894" s="46"/>
      <c r="AA894" s="23"/>
      <c r="AB894" s="283"/>
      <c r="AC894" s="46"/>
      <c r="AD894" s="46"/>
      <c r="AE894" s="46"/>
      <c r="AF894" s="46"/>
      <c r="AG894" s="178"/>
      <c r="AH894" s="122"/>
      <c r="AI894" s="120"/>
      <c r="AJ894" s="120">
        <v>11.42</v>
      </c>
      <c r="AK894" s="120">
        <v>1.33</v>
      </c>
      <c r="AL894" s="120"/>
      <c r="AM894" s="46"/>
      <c r="AN894" s="24">
        <f t="shared" si="151"/>
        <v>0</v>
      </c>
      <c r="AO894" s="270">
        <f t="shared" si="159"/>
        <v>0</v>
      </c>
      <c r="AP894" s="285">
        <f t="shared" si="158"/>
        <v>0</v>
      </c>
      <c r="AQ894" s="72"/>
      <c r="AR894" s="60"/>
      <c r="AS894" s="46"/>
      <c r="AT894" s="46"/>
    </row>
    <row r="895" spans="1:46" ht="12">
      <c r="A895" s="246" t="s">
        <v>1201</v>
      </c>
      <c r="B895" s="25" t="str">
        <f t="shared" si="146"/>
        <v>SiO2</v>
      </c>
      <c r="C895" s="141">
        <f t="shared" si="147"/>
        <v>0</v>
      </c>
      <c r="D895" s="277">
        <f t="shared" si="148"/>
        <v>0</v>
      </c>
      <c r="E895" s="20">
        <f t="shared" si="153"/>
        <v>0</v>
      </c>
      <c r="F895" s="20">
        <f t="shared" si="154"/>
        <v>0</v>
      </c>
      <c r="G895" s="277">
        <f t="shared" si="149"/>
        <v>0</v>
      </c>
      <c r="H895" s="3">
        <f t="shared" si="157"/>
        <v>0</v>
      </c>
      <c r="I895" s="277">
        <f t="shared" si="150"/>
        <v>0</v>
      </c>
      <c r="J895" s="46" t="s">
        <v>1190</v>
      </c>
      <c r="K895" s="46" t="s">
        <v>1198</v>
      </c>
      <c r="L895" s="46"/>
      <c r="M895" s="72"/>
      <c r="N895" s="292">
        <v>41375</v>
      </c>
      <c r="O895" s="46">
        <v>318</v>
      </c>
      <c r="P895" s="46" t="s">
        <v>1182</v>
      </c>
      <c r="Q895" s="46"/>
      <c r="R895" s="46">
        <v>5</v>
      </c>
      <c r="S895" s="46">
        <v>800</v>
      </c>
      <c r="T895" s="46">
        <v>75</v>
      </c>
      <c r="U895" s="46">
        <v>400</v>
      </c>
      <c r="V895" s="46">
        <v>8</v>
      </c>
      <c r="W895" s="46">
        <v>26.5</v>
      </c>
      <c r="X895" s="46">
        <v>2.5</v>
      </c>
      <c r="Y895" s="46">
        <v>40</v>
      </c>
      <c r="Z895" s="46"/>
      <c r="AA895" s="23"/>
      <c r="AB895" s="283"/>
      <c r="AC895" s="46"/>
      <c r="AD895" s="46"/>
      <c r="AE895" s="46"/>
      <c r="AF895" s="46"/>
      <c r="AG895" s="178"/>
      <c r="AH895" s="122"/>
      <c r="AI895" s="120"/>
      <c r="AJ895" s="120"/>
      <c r="AK895" s="120"/>
      <c r="AL895" s="120"/>
      <c r="AM895" s="46"/>
      <c r="AN895" s="24">
        <f t="shared" si="151"/>
        <v>0</v>
      </c>
      <c r="AO895" s="270">
        <f t="shared" si="159"/>
        <v>0</v>
      </c>
      <c r="AP895" s="285">
        <f t="shared" si="158"/>
        <v>0</v>
      </c>
      <c r="AQ895" s="72"/>
      <c r="AR895" s="60"/>
      <c r="AS895" s="46"/>
      <c r="AT895" s="46"/>
    </row>
    <row r="896" spans="1:46" ht="12">
      <c r="A896" s="246" t="s">
        <v>1202</v>
      </c>
      <c r="B896" s="25" t="str">
        <f t="shared" si="146"/>
        <v>SiO2</v>
      </c>
      <c r="C896" s="141">
        <f t="shared" si="147"/>
        <v>0</v>
      </c>
      <c r="D896" s="277">
        <f t="shared" si="148"/>
        <v>0</v>
      </c>
      <c r="E896" s="20">
        <f t="shared" si="153"/>
        <v>0</v>
      </c>
      <c r="F896" s="20">
        <f t="shared" si="154"/>
        <v>0</v>
      </c>
      <c r="G896" s="277">
        <f t="shared" si="149"/>
        <v>0</v>
      </c>
      <c r="H896" s="3">
        <f t="shared" si="157"/>
        <v>0</v>
      </c>
      <c r="I896" s="277">
        <f t="shared" si="150"/>
        <v>0</v>
      </c>
      <c r="J896" s="46" t="s">
        <v>1190</v>
      </c>
      <c r="K896" s="46" t="s">
        <v>1198</v>
      </c>
      <c r="L896" s="46"/>
      <c r="M896" s="72"/>
      <c r="N896" s="292">
        <v>41375</v>
      </c>
      <c r="O896" s="46">
        <v>318</v>
      </c>
      <c r="P896" s="46" t="s">
        <v>1182</v>
      </c>
      <c r="Q896" s="46"/>
      <c r="R896" s="46">
        <v>6</v>
      </c>
      <c r="S896" s="46">
        <v>800</v>
      </c>
      <c r="T896" s="46">
        <v>75</v>
      </c>
      <c r="U896" s="46">
        <v>400</v>
      </c>
      <c r="V896" s="46">
        <v>8</v>
      </c>
      <c r="W896" s="46">
        <v>26.5</v>
      </c>
      <c r="X896" s="46">
        <v>2.5</v>
      </c>
      <c r="Y896" s="46">
        <v>40</v>
      </c>
      <c r="Z896" s="46"/>
      <c r="AA896" s="23"/>
      <c r="AB896" s="283"/>
      <c r="AC896" s="46"/>
      <c r="AD896" s="46"/>
      <c r="AE896" s="46"/>
      <c r="AF896" s="46"/>
      <c r="AG896" s="178"/>
      <c r="AH896" s="122"/>
      <c r="AI896" s="120"/>
      <c r="AJ896" s="120"/>
      <c r="AK896" s="120"/>
      <c r="AL896" s="120"/>
      <c r="AM896" s="46"/>
      <c r="AN896" s="24">
        <f t="shared" si="151"/>
        <v>0</v>
      </c>
      <c r="AO896" s="270">
        <f t="shared" si="159"/>
        <v>0</v>
      </c>
      <c r="AP896" s="285">
        <f t="shared" si="158"/>
        <v>0</v>
      </c>
      <c r="AQ896" s="72"/>
      <c r="AR896" s="60"/>
      <c r="AS896" s="46"/>
      <c r="AT896" s="46"/>
    </row>
    <row r="897" spans="1:46" ht="12">
      <c r="A897" s="348" t="s">
        <v>1203</v>
      </c>
      <c r="B897" s="25" t="str">
        <f t="shared" si="146"/>
        <v>CVD SiO2</v>
      </c>
      <c r="C897" s="141">
        <f t="shared" si="147"/>
        <v>0</v>
      </c>
      <c r="D897" s="277">
        <f t="shared" si="148"/>
        <v>73.150706363041294</v>
      </c>
      <c r="E897" s="20">
        <f t="shared" si="153"/>
        <v>0</v>
      </c>
      <c r="F897" s="20">
        <f t="shared" si="154"/>
        <v>0</v>
      </c>
      <c r="G897" s="277">
        <f t="shared" si="149"/>
        <v>0</v>
      </c>
      <c r="H897" s="3">
        <f t="shared" si="157"/>
        <v>0</v>
      </c>
      <c r="I897" s="277">
        <f t="shared" si="150"/>
        <v>0</v>
      </c>
      <c r="J897" s="58"/>
      <c r="K897" s="58"/>
      <c r="L897" s="58"/>
      <c r="M897" s="158"/>
      <c r="N897" s="320">
        <v>41382</v>
      </c>
      <c r="O897" s="58">
        <v>319</v>
      </c>
      <c r="P897" s="58" t="s">
        <v>1204</v>
      </c>
      <c r="Q897" s="58"/>
      <c r="R897" s="58">
        <v>1</v>
      </c>
      <c r="S897" s="58">
        <v>800</v>
      </c>
      <c r="T897" s="58">
        <v>115</v>
      </c>
      <c r="U897" s="58">
        <v>400</v>
      </c>
      <c r="V897" s="58">
        <v>8</v>
      </c>
      <c r="W897" s="58">
        <v>26.5</v>
      </c>
      <c r="X897" s="58">
        <v>3.5</v>
      </c>
      <c r="Y897" s="58">
        <v>40</v>
      </c>
      <c r="Z897" s="58"/>
      <c r="AA897" s="29"/>
      <c r="AB897" s="105"/>
      <c r="AC897" s="58"/>
      <c r="AD897" s="58"/>
      <c r="AE897" s="58"/>
      <c r="AF897" s="58"/>
      <c r="AG897" s="271"/>
      <c r="AH897" s="166">
        <v>73.150706363041294</v>
      </c>
      <c r="AI897" s="174"/>
      <c r="AJ897" s="174"/>
      <c r="AK897" s="174"/>
      <c r="AL897" s="174"/>
      <c r="AM897" s="58"/>
      <c r="AN897" s="24">
        <f t="shared" si="151"/>
        <v>0</v>
      </c>
      <c r="AO897" s="403">
        <f t="shared" si="159"/>
        <v>0</v>
      </c>
      <c r="AP897" s="148">
        <f t="shared" si="158"/>
        <v>0</v>
      </c>
      <c r="AQ897" s="158"/>
      <c r="AR897" s="169"/>
      <c r="AS897" s="58"/>
      <c r="AT897" s="58"/>
    </row>
    <row r="898" spans="1:46" ht="12">
      <c r="A898" s="348" t="s">
        <v>1205</v>
      </c>
      <c r="B898" s="25" t="str">
        <f t="shared" si="146"/>
        <v>SiO2</v>
      </c>
      <c r="C898" s="141">
        <f t="shared" si="147"/>
        <v>0</v>
      </c>
      <c r="D898" s="277">
        <f t="shared" si="148"/>
        <v>0</v>
      </c>
      <c r="E898" s="20">
        <f t="shared" si="153"/>
        <v>0</v>
      </c>
      <c r="F898" s="20">
        <f t="shared" si="154"/>
        <v>0</v>
      </c>
      <c r="G898" s="277">
        <f t="shared" si="149"/>
        <v>0</v>
      </c>
      <c r="H898" s="3">
        <f t="shared" si="157"/>
        <v>0</v>
      </c>
      <c r="I898" s="277">
        <f t="shared" si="150"/>
        <v>0</v>
      </c>
      <c r="J898" s="58"/>
      <c r="K898" s="58"/>
      <c r="L898" s="58"/>
      <c r="M898" s="158"/>
      <c r="N898" s="320">
        <v>41382</v>
      </c>
      <c r="O898" s="58">
        <v>319</v>
      </c>
      <c r="P898" s="58" t="s">
        <v>1182</v>
      </c>
      <c r="Q898" s="58"/>
      <c r="R898" s="58">
        <v>3</v>
      </c>
      <c r="S898" s="58">
        <v>800</v>
      </c>
      <c r="T898" s="58">
        <v>115</v>
      </c>
      <c r="U898" s="58">
        <v>400</v>
      </c>
      <c r="V898" s="58">
        <v>8</v>
      </c>
      <c r="W898" s="58">
        <v>26.5</v>
      </c>
      <c r="X898" s="58">
        <v>3.5</v>
      </c>
      <c r="Y898" s="58">
        <v>40</v>
      </c>
      <c r="Z898" s="58"/>
      <c r="AA898" s="29"/>
      <c r="AB898" s="105"/>
      <c r="AC898" s="58"/>
      <c r="AD898" s="58"/>
      <c r="AE898" s="58"/>
      <c r="AF898" s="58"/>
      <c r="AG898" s="271"/>
      <c r="AH898" s="166"/>
      <c r="AI898" s="174"/>
      <c r="AJ898" s="174"/>
      <c r="AK898" s="174"/>
      <c r="AL898" s="174"/>
      <c r="AM898" s="58"/>
      <c r="AN898" s="24">
        <f t="shared" si="151"/>
        <v>0</v>
      </c>
      <c r="AO898" s="403">
        <f t="shared" si="159"/>
        <v>0</v>
      </c>
      <c r="AP898" s="148">
        <f t="shared" si="158"/>
        <v>0</v>
      </c>
      <c r="AQ898" s="158"/>
      <c r="AR898" s="169"/>
      <c r="AS898" s="58"/>
      <c r="AT898" s="58"/>
    </row>
    <row r="899" spans="1:46" ht="12">
      <c r="A899" s="348" t="s">
        <v>1206</v>
      </c>
      <c r="B899" s="25" t="str">
        <f t="shared" ref="B899:B962" si="160">P899</f>
        <v>CVD SiO2</v>
      </c>
      <c r="C899" s="141">
        <f t="shared" ref="C899:C962" si="161">AF899</f>
        <v>0</v>
      </c>
      <c r="D899" s="277">
        <f t="shared" ref="D899:D962" si="162">AH899</f>
        <v>165.39196292326599</v>
      </c>
      <c r="E899" s="20">
        <f t="shared" si="153"/>
        <v>0</v>
      </c>
      <c r="F899" s="20">
        <f t="shared" si="154"/>
        <v>0</v>
      </c>
      <c r="G899" s="277">
        <f t="shared" ref="G899:G962" si="163">AN899</f>
        <v>0</v>
      </c>
      <c r="H899" s="3">
        <f t="shared" si="157"/>
        <v>0</v>
      </c>
      <c r="I899" s="277">
        <f t="shared" ref="I899:I962" si="164">AO899</f>
        <v>0</v>
      </c>
      <c r="J899" s="58"/>
      <c r="K899" s="58"/>
      <c r="L899" s="58"/>
      <c r="M899" s="158"/>
      <c r="N899" s="320">
        <v>41382</v>
      </c>
      <c r="O899" s="58">
        <v>319</v>
      </c>
      <c r="P899" s="58" t="s">
        <v>1204</v>
      </c>
      <c r="Q899" s="58"/>
      <c r="R899" s="58">
        <v>5</v>
      </c>
      <c r="S899" s="58">
        <v>800</v>
      </c>
      <c r="T899" s="58">
        <v>115</v>
      </c>
      <c r="U899" s="58">
        <v>400</v>
      </c>
      <c r="V899" s="58">
        <v>8</v>
      </c>
      <c r="W899" s="58">
        <v>26.5</v>
      </c>
      <c r="X899" s="58">
        <v>3.5</v>
      </c>
      <c r="Y899" s="58">
        <v>40</v>
      </c>
      <c r="Z899" s="58"/>
      <c r="AA899" s="29"/>
      <c r="AB899" s="105"/>
      <c r="AC899" s="58"/>
      <c r="AD899" s="58"/>
      <c r="AE899" s="58"/>
      <c r="AF899" s="58"/>
      <c r="AG899" s="271"/>
      <c r="AH899" s="166">
        <v>165.39196292326599</v>
      </c>
      <c r="AI899" s="174"/>
      <c r="AJ899" s="174"/>
      <c r="AK899" s="174"/>
      <c r="AL899" s="174"/>
      <c r="AM899" s="58"/>
      <c r="AN899" s="24">
        <f t="shared" ref="AN899:AN962" si="165">((AH899*AF899)/10)</f>
        <v>0</v>
      </c>
      <c r="AO899" s="403">
        <f t="shared" si="159"/>
        <v>0</v>
      </c>
      <c r="AP899" s="148">
        <f t="shared" si="158"/>
        <v>0</v>
      </c>
      <c r="AQ899" s="158"/>
      <c r="AR899" s="169"/>
      <c r="AS899" s="58"/>
      <c r="AT899" s="58"/>
    </row>
    <row r="900" spans="1:46" ht="12">
      <c r="A900" s="348" t="s">
        <v>1207</v>
      </c>
      <c r="B900" s="25" t="str">
        <f t="shared" si="160"/>
        <v>SiO2</v>
      </c>
      <c r="C900" s="141">
        <f t="shared" si="161"/>
        <v>0</v>
      </c>
      <c r="D900" s="277">
        <f t="shared" si="162"/>
        <v>60.393936838754797</v>
      </c>
      <c r="E900" s="20">
        <f t="shared" si="153"/>
        <v>0</v>
      </c>
      <c r="F900" s="20">
        <f t="shared" si="154"/>
        <v>0</v>
      </c>
      <c r="G900" s="277">
        <f t="shared" si="163"/>
        <v>0</v>
      </c>
      <c r="H900" s="3">
        <f t="shared" si="157"/>
        <v>0</v>
      </c>
      <c r="I900" s="277">
        <f t="shared" si="164"/>
        <v>0</v>
      </c>
      <c r="J900" s="58"/>
      <c r="K900" s="58"/>
      <c r="L900" s="58"/>
      <c r="M900" s="158"/>
      <c r="N900" s="320">
        <v>41382</v>
      </c>
      <c r="O900" s="58">
        <v>319</v>
      </c>
      <c r="P900" s="58" t="s">
        <v>1182</v>
      </c>
      <c r="Q900" s="58"/>
      <c r="R900" s="58">
        <v>6</v>
      </c>
      <c r="S900" s="58">
        <v>800</v>
      </c>
      <c r="T900" s="58">
        <v>115</v>
      </c>
      <c r="U900" s="58">
        <v>400</v>
      </c>
      <c r="V900" s="58">
        <v>8</v>
      </c>
      <c r="W900" s="58">
        <v>26.5</v>
      </c>
      <c r="X900" s="58">
        <v>3.5</v>
      </c>
      <c r="Y900" s="58">
        <v>40</v>
      </c>
      <c r="Z900" s="58"/>
      <c r="AA900" s="29"/>
      <c r="AB900" s="105"/>
      <c r="AC900" s="58"/>
      <c r="AD900" s="58"/>
      <c r="AE900" s="58"/>
      <c r="AF900" s="58"/>
      <c r="AG900" s="271"/>
      <c r="AH900" s="166">
        <v>60.393936838754797</v>
      </c>
      <c r="AI900" s="174"/>
      <c r="AJ900" s="174"/>
      <c r="AK900" s="174"/>
      <c r="AL900" s="174"/>
      <c r="AM900" s="58"/>
      <c r="AN900" s="24">
        <f t="shared" si="165"/>
        <v>0</v>
      </c>
      <c r="AO900" s="403">
        <f t="shared" si="159"/>
        <v>0</v>
      </c>
      <c r="AP900" s="148">
        <f t="shared" si="158"/>
        <v>0</v>
      </c>
      <c r="AQ900" s="158"/>
      <c r="AR900" s="169"/>
      <c r="AS900" s="58"/>
      <c r="AT900" s="58"/>
    </row>
    <row r="901" spans="1:46" ht="12">
      <c r="A901" s="348" t="s">
        <v>1208</v>
      </c>
      <c r="B901" s="25" t="str">
        <f t="shared" si="160"/>
        <v>G on SiO2</v>
      </c>
      <c r="C901" s="141">
        <f t="shared" si="161"/>
        <v>0</v>
      </c>
      <c r="D901" s="277">
        <f t="shared" si="162"/>
        <v>273.467671165735</v>
      </c>
      <c r="E901" s="20">
        <f t="shared" si="153"/>
        <v>11.48</v>
      </c>
      <c r="F901" s="20">
        <f t="shared" si="154"/>
        <v>1.67</v>
      </c>
      <c r="G901" s="277">
        <f t="shared" si="163"/>
        <v>0</v>
      </c>
      <c r="H901" s="3">
        <f t="shared" si="157"/>
        <v>0</v>
      </c>
      <c r="I901" s="277">
        <f t="shared" si="164"/>
        <v>0</v>
      </c>
      <c r="J901" s="205"/>
      <c r="K901" s="205"/>
      <c r="L901" s="205"/>
      <c r="M901" s="12"/>
      <c r="N901" s="263">
        <v>41387</v>
      </c>
      <c r="O901" s="363">
        <v>321</v>
      </c>
      <c r="P901" s="205" t="s">
        <v>1209</v>
      </c>
      <c r="Q901" s="205"/>
      <c r="R901" s="363">
        <v>2</v>
      </c>
      <c r="S901" s="363">
        <v>775</v>
      </c>
      <c r="T901" s="363">
        <v>105</v>
      </c>
      <c r="U901" s="363">
        <v>400</v>
      </c>
      <c r="V901" s="363">
        <v>8</v>
      </c>
      <c r="W901" s="363">
        <v>26.5</v>
      </c>
      <c r="X901" s="363">
        <v>2.5</v>
      </c>
      <c r="Y901" s="58">
        <v>40</v>
      </c>
      <c r="Z901" s="25"/>
      <c r="AA901" s="13"/>
      <c r="AB901" s="286"/>
      <c r="AC901" s="25"/>
      <c r="AD901" s="25"/>
      <c r="AE901" s="25"/>
      <c r="AF901" s="25"/>
      <c r="AG901" s="274"/>
      <c r="AH901" s="154">
        <v>273.467671165735</v>
      </c>
      <c r="AI901" s="103"/>
      <c r="AJ901" s="103">
        <v>11.48</v>
      </c>
      <c r="AK901" s="103">
        <v>1.67</v>
      </c>
      <c r="AL901" s="103"/>
      <c r="AM901" s="25"/>
      <c r="AN901" s="24">
        <f t="shared" si="165"/>
        <v>0</v>
      </c>
      <c r="AO901" s="91">
        <f t="shared" si="159"/>
        <v>0</v>
      </c>
      <c r="AP901" s="225">
        <f>(AF901/T905)*60</f>
        <v>0</v>
      </c>
      <c r="AQ901" s="236"/>
      <c r="AR901" s="322"/>
      <c r="AS901" s="25"/>
      <c r="AT901" s="25"/>
    </row>
    <row r="902" spans="1:46" ht="12">
      <c r="A902" s="348" t="s">
        <v>1210</v>
      </c>
      <c r="B902" s="25" t="str">
        <f t="shared" si="160"/>
        <v>SiO2</v>
      </c>
      <c r="C902" s="141">
        <f t="shared" si="161"/>
        <v>0</v>
      </c>
      <c r="D902" s="277">
        <f t="shared" si="162"/>
        <v>292.75447935560101</v>
      </c>
      <c r="E902" s="20">
        <f t="shared" si="153"/>
        <v>12.14</v>
      </c>
      <c r="F902" s="20">
        <f t="shared" si="154"/>
        <v>0</v>
      </c>
      <c r="G902" s="277">
        <f t="shared" si="163"/>
        <v>0</v>
      </c>
      <c r="H902" s="3">
        <f t="shared" si="157"/>
        <v>0</v>
      </c>
      <c r="I902" s="277">
        <f t="shared" si="164"/>
        <v>0</v>
      </c>
      <c r="J902" s="205"/>
      <c r="K902" s="205"/>
      <c r="L902" s="205"/>
      <c r="M902" s="12"/>
      <c r="N902" s="263">
        <v>41387</v>
      </c>
      <c r="O902" s="363">
        <v>321</v>
      </c>
      <c r="P902" s="363" t="s">
        <v>1182</v>
      </c>
      <c r="Q902" s="363"/>
      <c r="R902" s="363">
        <v>3</v>
      </c>
      <c r="S902" s="363">
        <v>775</v>
      </c>
      <c r="T902" s="363">
        <v>105</v>
      </c>
      <c r="U902" s="363">
        <v>400</v>
      </c>
      <c r="V902" s="363">
        <v>8</v>
      </c>
      <c r="W902" s="363">
        <v>26.5</v>
      </c>
      <c r="X902" s="363">
        <v>2.5</v>
      </c>
      <c r="Y902" s="58">
        <v>40</v>
      </c>
      <c r="Z902" s="25"/>
      <c r="AA902" s="13"/>
      <c r="AB902" s="286"/>
      <c r="AC902" s="25"/>
      <c r="AD902" s="25"/>
      <c r="AE902" s="25"/>
      <c r="AF902" s="25"/>
      <c r="AG902" s="274"/>
      <c r="AH902" s="154">
        <v>292.75447935560101</v>
      </c>
      <c r="AI902" s="103"/>
      <c r="AJ902" s="103">
        <v>12.14</v>
      </c>
      <c r="AK902" s="103"/>
      <c r="AL902" s="103"/>
      <c r="AM902" s="25"/>
      <c r="AN902" s="24">
        <f t="shared" si="165"/>
        <v>0</v>
      </c>
      <c r="AO902" s="91">
        <f t="shared" si="159"/>
        <v>0</v>
      </c>
      <c r="AP902" s="225">
        <f>(AF902/T906)*60</f>
        <v>0</v>
      </c>
      <c r="AQ902" s="236"/>
      <c r="AR902" s="322"/>
      <c r="AS902" s="25"/>
      <c r="AT902" s="25"/>
    </row>
    <row r="903" spans="1:46" ht="12">
      <c r="A903" s="348" t="s">
        <v>1211</v>
      </c>
      <c r="B903" s="25" t="str">
        <f t="shared" si="160"/>
        <v>SiO2</v>
      </c>
      <c r="C903" s="141">
        <f t="shared" si="161"/>
        <v>0</v>
      </c>
      <c r="D903" s="277">
        <f t="shared" si="162"/>
        <v>335.039155960578</v>
      </c>
      <c r="E903" s="20">
        <f t="shared" si="153"/>
        <v>11.94</v>
      </c>
      <c r="F903" s="20">
        <f t="shared" si="154"/>
        <v>1.33</v>
      </c>
      <c r="G903" s="277">
        <f t="shared" si="163"/>
        <v>0</v>
      </c>
      <c r="H903" s="3">
        <f t="shared" si="157"/>
        <v>0</v>
      </c>
      <c r="I903" s="277">
        <f t="shared" si="164"/>
        <v>0</v>
      </c>
      <c r="J903" s="205"/>
      <c r="K903" s="205"/>
      <c r="L903" s="205"/>
      <c r="M903" s="12"/>
      <c r="N903" s="263">
        <v>41387</v>
      </c>
      <c r="O903" s="363">
        <v>321</v>
      </c>
      <c r="P903" s="363" t="s">
        <v>1182</v>
      </c>
      <c r="Q903" s="363"/>
      <c r="R903" s="363">
        <v>5</v>
      </c>
      <c r="S903" s="363">
        <v>775</v>
      </c>
      <c r="T903" s="363">
        <v>105</v>
      </c>
      <c r="U903" s="363">
        <v>400</v>
      </c>
      <c r="V903" s="363">
        <v>8</v>
      </c>
      <c r="W903" s="363">
        <v>26.5</v>
      </c>
      <c r="X903" s="363">
        <v>2.5</v>
      </c>
      <c r="Y903" s="58">
        <v>40</v>
      </c>
      <c r="Z903" s="25"/>
      <c r="AA903" s="13"/>
      <c r="AB903" s="286"/>
      <c r="AC903" s="25"/>
      <c r="AD903" s="25"/>
      <c r="AE903" s="25"/>
      <c r="AF903" s="25"/>
      <c r="AG903" s="274"/>
      <c r="AH903" s="154">
        <v>335.039155960578</v>
      </c>
      <c r="AI903" s="103"/>
      <c r="AJ903" s="103">
        <v>11.94</v>
      </c>
      <c r="AK903" s="103">
        <v>1.33</v>
      </c>
      <c r="AL903" s="103"/>
      <c r="AM903" s="25"/>
      <c r="AN903" s="24">
        <f t="shared" si="165"/>
        <v>0</v>
      </c>
      <c r="AO903" s="91">
        <f t="shared" si="159"/>
        <v>0</v>
      </c>
      <c r="AP903" s="225">
        <f>(AF903/T907)*60</f>
        <v>0</v>
      </c>
      <c r="AQ903" s="236"/>
      <c r="AR903" s="322"/>
      <c r="AS903" s="25"/>
      <c r="AT903" s="25"/>
    </row>
    <row r="904" spans="1:46" ht="12">
      <c r="A904" s="348" t="s">
        <v>1212</v>
      </c>
      <c r="B904" s="25" t="str">
        <f t="shared" si="160"/>
        <v>SiO2</v>
      </c>
      <c r="C904" s="141">
        <f t="shared" si="161"/>
        <v>0</v>
      </c>
      <c r="D904" s="277">
        <f t="shared" si="162"/>
        <v>289.49838084065999</v>
      </c>
      <c r="E904" s="20">
        <f t="shared" si="153"/>
        <v>12.37</v>
      </c>
      <c r="F904" s="20">
        <f t="shared" si="154"/>
        <v>1.19</v>
      </c>
      <c r="G904" s="277">
        <f t="shared" si="163"/>
        <v>0</v>
      </c>
      <c r="H904" s="3">
        <f t="shared" si="157"/>
        <v>0</v>
      </c>
      <c r="I904" s="277">
        <f t="shared" si="164"/>
        <v>0</v>
      </c>
      <c r="J904" s="25"/>
      <c r="K904" s="25"/>
      <c r="L904" s="25"/>
      <c r="M904" s="236"/>
      <c r="N904" s="263">
        <v>41387</v>
      </c>
      <c r="O904" s="363">
        <v>321</v>
      </c>
      <c r="P904" s="363" t="s">
        <v>1182</v>
      </c>
      <c r="Q904" s="363"/>
      <c r="R904" s="25">
        <v>6</v>
      </c>
      <c r="S904" s="363">
        <v>775</v>
      </c>
      <c r="T904" s="363">
        <v>105</v>
      </c>
      <c r="U904" s="363">
        <v>400</v>
      </c>
      <c r="V904" s="363">
        <v>8</v>
      </c>
      <c r="W904" s="363">
        <v>26.5</v>
      </c>
      <c r="X904" s="363">
        <v>2.5</v>
      </c>
      <c r="Y904" s="58">
        <v>40</v>
      </c>
      <c r="Z904" s="25"/>
      <c r="AA904" s="13"/>
      <c r="AB904" s="286"/>
      <c r="AC904" s="25"/>
      <c r="AD904" s="25"/>
      <c r="AE904" s="25"/>
      <c r="AF904" s="25"/>
      <c r="AG904" s="274"/>
      <c r="AH904" s="154">
        <v>289.49838084065999</v>
      </c>
      <c r="AI904" s="103"/>
      <c r="AJ904" s="103">
        <v>12.37</v>
      </c>
      <c r="AK904" s="103">
        <v>1.19</v>
      </c>
      <c r="AL904" s="103"/>
      <c r="AM904" s="25"/>
      <c r="AN904" s="24">
        <f t="shared" si="165"/>
        <v>0</v>
      </c>
      <c r="AO904" s="91">
        <f t="shared" si="159"/>
        <v>0</v>
      </c>
      <c r="AP904" s="225">
        <f t="shared" ref="AP904:AP935" si="166">(AF904/T904)*60</f>
        <v>0</v>
      </c>
      <c r="AQ904" s="236"/>
      <c r="AR904" s="322"/>
      <c r="AS904" s="25"/>
      <c r="AT904" s="25"/>
    </row>
    <row r="905" spans="1:46" ht="12">
      <c r="A905" s="348" t="s">
        <v>1213</v>
      </c>
      <c r="B905" s="25" t="str">
        <f t="shared" si="160"/>
        <v>MgO</v>
      </c>
      <c r="C905" s="141">
        <f t="shared" si="161"/>
        <v>0</v>
      </c>
      <c r="D905" s="277">
        <f t="shared" si="162"/>
        <v>12.489144988811899</v>
      </c>
      <c r="E905" s="20">
        <f t="shared" ref="E905:E968" si="167">AJ905</f>
        <v>0</v>
      </c>
      <c r="F905" s="20">
        <f t="shared" ref="F905:F968" si="168">AK905</f>
        <v>0</v>
      </c>
      <c r="G905" s="277">
        <f t="shared" si="163"/>
        <v>0</v>
      </c>
      <c r="H905" s="3">
        <f t="shared" si="157"/>
        <v>0</v>
      </c>
      <c r="I905" s="277">
        <f t="shared" si="164"/>
        <v>0</v>
      </c>
      <c r="J905" s="25" t="s">
        <v>1214</v>
      </c>
      <c r="K905" s="25" t="s">
        <v>1215</v>
      </c>
      <c r="L905" s="25"/>
      <c r="M905" s="236"/>
      <c r="N905" s="218">
        <v>41402</v>
      </c>
      <c r="O905" s="25">
        <v>324</v>
      </c>
      <c r="P905" s="25" t="s">
        <v>46</v>
      </c>
      <c r="Q905" s="25"/>
      <c r="R905" s="25">
        <v>3</v>
      </c>
      <c r="S905" s="25">
        <v>800</v>
      </c>
      <c r="T905" s="25">
        <v>1200</v>
      </c>
      <c r="U905" s="25">
        <v>400</v>
      </c>
      <c r="V905" s="25">
        <v>6</v>
      </c>
      <c r="W905" s="25">
        <v>26.5</v>
      </c>
      <c r="X905" s="25">
        <v>3</v>
      </c>
      <c r="Y905" s="25">
        <v>40</v>
      </c>
      <c r="Z905" s="25"/>
      <c r="AA905" s="13"/>
      <c r="AB905" s="286"/>
      <c r="AC905" s="25"/>
      <c r="AD905" s="25"/>
      <c r="AE905" s="25"/>
      <c r="AF905" s="25"/>
      <c r="AG905" s="274"/>
      <c r="AH905" s="154">
        <v>12.489144988811899</v>
      </c>
      <c r="AI905" s="103"/>
      <c r="AJ905" s="103"/>
      <c r="AK905" s="103"/>
      <c r="AL905" s="103"/>
      <c r="AM905" s="25"/>
      <c r="AN905" s="24">
        <f t="shared" si="165"/>
        <v>0</v>
      </c>
      <c r="AO905" s="91">
        <f t="shared" si="159"/>
        <v>0</v>
      </c>
      <c r="AP905" s="225">
        <f t="shared" si="166"/>
        <v>0</v>
      </c>
      <c r="AQ905" s="236"/>
      <c r="AR905" s="322"/>
      <c r="AS905" s="25"/>
      <c r="AT905" s="25"/>
    </row>
    <row r="906" spans="1:46" ht="12">
      <c r="A906" s="348" t="s">
        <v>1216</v>
      </c>
      <c r="B906" s="25" t="str">
        <f t="shared" si="160"/>
        <v>MgO</v>
      </c>
      <c r="C906" s="141">
        <f t="shared" si="161"/>
        <v>0</v>
      </c>
      <c r="D906" s="277">
        <f t="shared" si="162"/>
        <v>13.202810416744001</v>
      </c>
      <c r="E906" s="20">
        <f t="shared" si="167"/>
        <v>0</v>
      </c>
      <c r="F906" s="20">
        <f t="shared" si="168"/>
        <v>0</v>
      </c>
      <c r="G906" s="277">
        <f t="shared" si="163"/>
        <v>0</v>
      </c>
      <c r="H906" s="3">
        <f t="shared" si="157"/>
        <v>0</v>
      </c>
      <c r="I906" s="277">
        <f t="shared" si="164"/>
        <v>0</v>
      </c>
      <c r="J906" s="25" t="s">
        <v>1214</v>
      </c>
      <c r="K906" s="25" t="s">
        <v>1215</v>
      </c>
      <c r="L906" s="25"/>
      <c r="M906" s="236"/>
      <c r="N906" s="218">
        <v>41402</v>
      </c>
      <c r="O906" s="25">
        <v>324</v>
      </c>
      <c r="P906" s="25" t="s">
        <v>46</v>
      </c>
      <c r="Q906" s="25"/>
      <c r="R906" s="25">
        <v>2</v>
      </c>
      <c r="S906" s="25">
        <v>800</v>
      </c>
      <c r="T906" s="25">
        <v>1200</v>
      </c>
      <c r="U906" s="25">
        <v>400</v>
      </c>
      <c r="V906" s="25">
        <v>6</v>
      </c>
      <c r="W906" s="25">
        <v>26.5</v>
      </c>
      <c r="X906" s="25">
        <v>3</v>
      </c>
      <c r="Y906" s="25">
        <v>40</v>
      </c>
      <c r="Z906" s="25"/>
      <c r="AA906" s="13"/>
      <c r="AB906" s="286"/>
      <c r="AC906" s="25"/>
      <c r="AD906" s="25"/>
      <c r="AE906" s="25"/>
      <c r="AF906" s="25"/>
      <c r="AG906" s="274"/>
      <c r="AH906" s="154">
        <v>13.202810416744001</v>
      </c>
      <c r="AI906" s="103"/>
      <c r="AJ906" s="103"/>
      <c r="AK906" s="103"/>
      <c r="AL906" s="103"/>
      <c r="AM906" s="25"/>
      <c r="AN906" s="24">
        <f t="shared" si="165"/>
        <v>0</v>
      </c>
      <c r="AO906" s="91">
        <f t="shared" si="159"/>
        <v>0</v>
      </c>
      <c r="AP906" s="225">
        <f t="shared" si="166"/>
        <v>0</v>
      </c>
      <c r="AQ906" s="236"/>
      <c r="AR906" s="322"/>
      <c r="AS906" s="25"/>
      <c r="AT906" s="25"/>
    </row>
    <row r="907" spans="1:46" ht="12">
      <c r="A907" s="348" t="s">
        <v>1217</v>
      </c>
      <c r="B907" s="25" t="str">
        <f t="shared" si="160"/>
        <v>MgO</v>
      </c>
      <c r="C907" s="141">
        <f t="shared" si="161"/>
        <v>0</v>
      </c>
      <c r="D907" s="277">
        <f t="shared" si="162"/>
        <v>12.935185881269501</v>
      </c>
      <c r="E907" s="20">
        <f t="shared" si="167"/>
        <v>0</v>
      </c>
      <c r="F907" s="20">
        <f t="shared" si="168"/>
        <v>0</v>
      </c>
      <c r="G907" s="277">
        <f t="shared" si="163"/>
        <v>0</v>
      </c>
      <c r="H907" s="3">
        <f t="shared" si="157"/>
        <v>0</v>
      </c>
      <c r="I907" s="277">
        <f t="shared" si="164"/>
        <v>0</v>
      </c>
      <c r="J907" s="25" t="s">
        <v>1214</v>
      </c>
      <c r="K907" s="25" t="s">
        <v>1215</v>
      </c>
      <c r="L907" s="25"/>
      <c r="M907" s="236"/>
      <c r="N907" s="218">
        <v>41402</v>
      </c>
      <c r="O907" s="25">
        <v>324</v>
      </c>
      <c r="P907" s="25" t="s">
        <v>46</v>
      </c>
      <c r="Q907" s="25"/>
      <c r="R907" s="25">
        <v>6</v>
      </c>
      <c r="S907" s="25">
        <v>800</v>
      </c>
      <c r="T907" s="25">
        <v>1200</v>
      </c>
      <c r="U907" s="25">
        <v>400</v>
      </c>
      <c r="V907" s="25">
        <v>6</v>
      </c>
      <c r="W907" s="25">
        <v>26.5</v>
      </c>
      <c r="X907" s="25">
        <v>3</v>
      </c>
      <c r="Y907" s="25">
        <v>40</v>
      </c>
      <c r="Z907" s="25"/>
      <c r="AA907" s="13"/>
      <c r="AB907" s="286"/>
      <c r="AC907" s="25"/>
      <c r="AD907" s="25"/>
      <c r="AE907" s="25"/>
      <c r="AF907" s="25"/>
      <c r="AG907" s="274"/>
      <c r="AH907" s="154">
        <v>12.935185881269501</v>
      </c>
      <c r="AI907" s="103"/>
      <c r="AJ907" s="103"/>
      <c r="AK907" s="103"/>
      <c r="AL907" s="103"/>
      <c r="AM907" s="25"/>
      <c r="AN907" s="24">
        <f t="shared" si="165"/>
        <v>0</v>
      </c>
      <c r="AO907" s="91">
        <f t="shared" si="159"/>
        <v>0</v>
      </c>
      <c r="AP907" s="225">
        <f t="shared" si="166"/>
        <v>0</v>
      </c>
      <c r="AQ907" s="236"/>
      <c r="AR907" s="322"/>
      <c r="AS907" s="25"/>
      <c r="AT907" s="25"/>
    </row>
    <row r="908" spans="1:46" ht="12">
      <c r="A908" s="14" t="s">
        <v>1218</v>
      </c>
      <c r="B908" s="112" t="str">
        <f t="shared" si="160"/>
        <v>SiNx</v>
      </c>
      <c r="C908" s="280">
        <f t="shared" si="161"/>
        <v>0</v>
      </c>
      <c r="D908" s="183">
        <f t="shared" si="162"/>
        <v>21.588379194946299</v>
      </c>
      <c r="E908" s="96">
        <f t="shared" si="167"/>
        <v>0</v>
      </c>
      <c r="F908" s="96">
        <f t="shared" si="168"/>
        <v>0</v>
      </c>
      <c r="G908" s="183">
        <f t="shared" si="163"/>
        <v>0</v>
      </c>
      <c r="H908" s="215">
        <f t="shared" si="157"/>
        <v>0</v>
      </c>
      <c r="I908" s="183">
        <f t="shared" si="164"/>
        <v>0</v>
      </c>
      <c r="J908" s="112" t="s">
        <v>1190</v>
      </c>
      <c r="K908" s="112" t="s">
        <v>1219</v>
      </c>
      <c r="L908" s="112"/>
      <c r="M908" s="55"/>
      <c r="N908" s="264">
        <v>41404</v>
      </c>
      <c r="O908" s="112">
        <v>325</v>
      </c>
      <c r="P908" s="112" t="s">
        <v>187</v>
      </c>
      <c r="Q908" s="112"/>
      <c r="R908" s="112">
        <v>1</v>
      </c>
      <c r="S908" s="112">
        <v>800</v>
      </c>
      <c r="T908" s="112">
        <v>600</v>
      </c>
      <c r="U908" s="112">
        <v>400</v>
      </c>
      <c r="V908" s="112">
        <v>8</v>
      </c>
      <c r="W908" s="112">
        <v>26.5</v>
      </c>
      <c r="X908" s="112">
        <v>2.5</v>
      </c>
      <c r="Y908" s="112">
        <v>40</v>
      </c>
      <c r="Z908" s="112"/>
      <c r="AA908" s="265"/>
      <c r="AB908" s="332"/>
      <c r="AC908" s="112"/>
      <c r="AD908" s="112"/>
      <c r="AE908" s="112"/>
      <c r="AF908" s="112"/>
      <c r="AG908" s="249"/>
      <c r="AH908" s="149">
        <v>21.588379194946299</v>
      </c>
      <c r="AI908" s="388"/>
      <c r="AJ908" s="388"/>
      <c r="AK908" s="388"/>
      <c r="AL908" s="388"/>
      <c r="AM908" s="112"/>
      <c r="AN908" s="24">
        <f t="shared" si="165"/>
        <v>0</v>
      </c>
      <c r="AO908" s="312">
        <f t="shared" si="159"/>
        <v>0</v>
      </c>
      <c r="AP908" s="291">
        <f t="shared" si="166"/>
        <v>0</v>
      </c>
      <c r="AQ908" s="55"/>
      <c r="AR908" s="167"/>
      <c r="AS908" s="112"/>
      <c r="AT908" s="112"/>
    </row>
    <row r="909" spans="1:46" ht="12">
      <c r="A909" s="348" t="s">
        <v>1220</v>
      </c>
      <c r="B909" s="25" t="str">
        <f t="shared" si="160"/>
        <v>MgO</v>
      </c>
      <c r="C909" s="141">
        <f t="shared" si="161"/>
        <v>0</v>
      </c>
      <c r="D909" s="277">
        <f t="shared" si="162"/>
        <v>27.3869107968947</v>
      </c>
      <c r="E909" s="20">
        <f t="shared" si="167"/>
        <v>0</v>
      </c>
      <c r="F909" s="20">
        <f t="shared" si="168"/>
        <v>0</v>
      </c>
      <c r="G909" s="277">
        <f t="shared" si="163"/>
        <v>0</v>
      </c>
      <c r="H909" s="3">
        <f t="shared" si="157"/>
        <v>0</v>
      </c>
      <c r="I909" s="277">
        <f t="shared" si="164"/>
        <v>0</v>
      </c>
      <c r="J909" s="25" t="s">
        <v>1190</v>
      </c>
      <c r="K909" s="58" t="s">
        <v>1219</v>
      </c>
      <c r="L909" s="25"/>
      <c r="M909" s="236"/>
      <c r="N909" s="218">
        <v>41404</v>
      </c>
      <c r="O909" s="25">
        <v>325</v>
      </c>
      <c r="P909" s="58" t="s">
        <v>46</v>
      </c>
      <c r="Q909" s="25"/>
      <c r="R909" s="25">
        <v>3</v>
      </c>
      <c r="S909" s="25">
        <v>800</v>
      </c>
      <c r="T909" s="25">
        <v>600</v>
      </c>
      <c r="U909" s="25">
        <v>400</v>
      </c>
      <c r="V909" s="25">
        <v>8</v>
      </c>
      <c r="W909" s="25">
        <v>26.5</v>
      </c>
      <c r="X909" s="25">
        <v>2.5</v>
      </c>
      <c r="Y909" s="25">
        <v>40</v>
      </c>
      <c r="Z909" s="25"/>
      <c r="AA909" s="13"/>
      <c r="AB909" s="286"/>
      <c r="AC909" s="25"/>
      <c r="AD909" s="25"/>
      <c r="AE909" s="25"/>
      <c r="AF909" s="25"/>
      <c r="AG909" s="274"/>
      <c r="AH909" s="154">
        <v>27.3869107968947</v>
      </c>
      <c r="AI909" s="103"/>
      <c r="AJ909" s="103"/>
      <c r="AK909" s="103"/>
      <c r="AL909" s="103"/>
      <c r="AM909" s="25"/>
      <c r="AN909" s="24">
        <f t="shared" si="165"/>
        <v>0</v>
      </c>
      <c r="AO909" s="91">
        <f t="shared" si="159"/>
        <v>0</v>
      </c>
      <c r="AP909" s="225">
        <f t="shared" si="166"/>
        <v>0</v>
      </c>
      <c r="AQ909" s="236"/>
      <c r="AR909" s="322"/>
      <c r="AS909" s="25"/>
      <c r="AT909" s="25"/>
    </row>
    <row r="910" spans="1:46" ht="12">
      <c r="A910" s="14" t="s">
        <v>1221</v>
      </c>
      <c r="B910" s="112" t="str">
        <f t="shared" si="160"/>
        <v>SiNx</v>
      </c>
      <c r="C910" s="141">
        <f t="shared" si="161"/>
        <v>0</v>
      </c>
      <c r="D910" s="277">
        <f t="shared" si="162"/>
        <v>0</v>
      </c>
      <c r="E910" s="20">
        <f t="shared" si="167"/>
        <v>11.8</v>
      </c>
      <c r="F910" s="20">
        <f t="shared" si="168"/>
        <v>0</v>
      </c>
      <c r="G910" s="277">
        <f t="shared" si="163"/>
        <v>0</v>
      </c>
      <c r="H910" s="3">
        <f t="shared" si="157"/>
        <v>0</v>
      </c>
      <c r="I910" s="277">
        <f t="shared" si="164"/>
        <v>0</v>
      </c>
      <c r="J910" s="112" t="s">
        <v>1190</v>
      </c>
      <c r="K910" s="112" t="s">
        <v>1219</v>
      </c>
      <c r="L910" s="112"/>
      <c r="M910" s="55"/>
      <c r="N910" s="264">
        <v>41404</v>
      </c>
      <c r="O910" s="112">
        <v>325</v>
      </c>
      <c r="P910" s="112" t="s">
        <v>187</v>
      </c>
      <c r="Q910" s="112"/>
      <c r="R910" s="112">
        <v>6</v>
      </c>
      <c r="S910" s="112">
        <v>800</v>
      </c>
      <c r="T910" s="112">
        <v>600</v>
      </c>
      <c r="U910" s="112">
        <v>400</v>
      </c>
      <c r="V910" s="112">
        <v>8</v>
      </c>
      <c r="W910" s="112">
        <v>26.5</v>
      </c>
      <c r="X910" s="112">
        <v>2.5</v>
      </c>
      <c r="Y910" s="112">
        <v>40</v>
      </c>
      <c r="Z910" s="112"/>
      <c r="AA910" s="265"/>
      <c r="AB910" s="332"/>
      <c r="AC910" s="112"/>
      <c r="AD910" s="112"/>
      <c r="AE910" s="112"/>
      <c r="AF910" s="112"/>
      <c r="AG910" s="249"/>
      <c r="AH910" s="149"/>
      <c r="AI910" s="388"/>
      <c r="AJ910" s="388">
        <v>11.8</v>
      </c>
      <c r="AK910" s="388"/>
      <c r="AL910" s="388"/>
      <c r="AM910" s="112"/>
      <c r="AN910" s="24">
        <f t="shared" si="165"/>
        <v>0</v>
      </c>
      <c r="AO910" s="312">
        <f t="shared" si="159"/>
        <v>0</v>
      </c>
      <c r="AP910" s="291">
        <f t="shared" si="166"/>
        <v>0</v>
      </c>
      <c r="AQ910" s="55"/>
      <c r="AR910" s="167"/>
      <c r="AS910" s="112"/>
      <c r="AT910" s="112"/>
    </row>
    <row r="911" spans="1:46" ht="12">
      <c r="A911" s="348" t="s">
        <v>1222</v>
      </c>
      <c r="B911" s="25" t="str">
        <f t="shared" si="160"/>
        <v>SiNx</v>
      </c>
      <c r="C911" s="141">
        <f t="shared" si="161"/>
        <v>0</v>
      </c>
      <c r="D911" s="277">
        <f t="shared" si="162"/>
        <v>559.95973639123201</v>
      </c>
      <c r="E911" s="20">
        <f t="shared" si="167"/>
        <v>10.49</v>
      </c>
      <c r="F911" s="20">
        <f t="shared" si="168"/>
        <v>0</v>
      </c>
      <c r="G911" s="277">
        <f t="shared" si="163"/>
        <v>0</v>
      </c>
      <c r="H911" s="3">
        <f t="shared" si="157"/>
        <v>0</v>
      </c>
      <c r="I911" s="277">
        <f t="shared" si="164"/>
        <v>0</v>
      </c>
      <c r="J911" s="25"/>
      <c r="K911" s="25"/>
      <c r="L911" s="25"/>
      <c r="M911" s="236"/>
      <c r="N911" s="218">
        <v>41405</v>
      </c>
      <c r="O911" s="25">
        <v>326</v>
      </c>
      <c r="P911" s="25" t="s">
        <v>187</v>
      </c>
      <c r="Q911" s="25"/>
      <c r="R911" s="25">
        <v>1</v>
      </c>
      <c r="S911" s="25">
        <v>800</v>
      </c>
      <c r="T911" s="25">
        <v>72</v>
      </c>
      <c r="U911" s="25">
        <v>400</v>
      </c>
      <c r="V911" s="25">
        <v>8</v>
      </c>
      <c r="W911" s="25">
        <v>26.5</v>
      </c>
      <c r="X911" s="25">
        <v>2.5</v>
      </c>
      <c r="Y911" s="25">
        <v>40</v>
      </c>
      <c r="Z911" s="25"/>
      <c r="AA911" s="13"/>
      <c r="AB911" s="286"/>
      <c r="AC911" s="25"/>
      <c r="AD911" s="25"/>
      <c r="AE911" s="25"/>
      <c r="AF911" s="25"/>
      <c r="AG911" s="274"/>
      <c r="AH911" s="154">
        <v>559.95973639123201</v>
      </c>
      <c r="AI911" s="103"/>
      <c r="AJ911" s="103">
        <v>10.49</v>
      </c>
      <c r="AK911" s="103"/>
      <c r="AL911" s="103"/>
      <c r="AM911" s="25"/>
      <c r="AN911" s="24">
        <f t="shared" si="165"/>
        <v>0</v>
      </c>
      <c r="AO911" s="91">
        <f t="shared" si="159"/>
        <v>0</v>
      </c>
      <c r="AP911" s="225">
        <f t="shared" si="166"/>
        <v>0</v>
      </c>
      <c r="AQ911" s="236"/>
      <c r="AR911" s="322"/>
      <c r="AS911" s="25"/>
      <c r="AT911" s="25"/>
    </row>
    <row r="912" spans="1:46" ht="12">
      <c r="A912" s="111" t="s">
        <v>1223</v>
      </c>
      <c r="B912" s="81" t="str">
        <f t="shared" si="160"/>
        <v>SiNx</v>
      </c>
      <c r="C912" s="141">
        <f t="shared" si="161"/>
        <v>0</v>
      </c>
      <c r="D912" s="277">
        <f t="shared" si="162"/>
        <v>459.15449469582097</v>
      </c>
      <c r="E912" s="20">
        <f t="shared" si="167"/>
        <v>11.81</v>
      </c>
      <c r="F912" s="20">
        <f t="shared" si="168"/>
        <v>0</v>
      </c>
      <c r="G912" s="277">
        <f t="shared" si="163"/>
        <v>0</v>
      </c>
      <c r="H912" s="3">
        <f t="shared" si="157"/>
        <v>0.87092882991556098</v>
      </c>
      <c r="I912" s="277">
        <f t="shared" si="164"/>
        <v>0</v>
      </c>
      <c r="J912" s="81"/>
      <c r="K912" s="81"/>
      <c r="L912" s="81"/>
      <c r="M912" s="52"/>
      <c r="N912" s="336">
        <v>41405</v>
      </c>
      <c r="O912" s="81">
        <v>326</v>
      </c>
      <c r="P912" s="81" t="s">
        <v>187</v>
      </c>
      <c r="Q912" s="81"/>
      <c r="R912" s="81">
        <v>3</v>
      </c>
      <c r="S912" s="81">
        <v>800</v>
      </c>
      <c r="T912" s="81">
        <v>72</v>
      </c>
      <c r="U912" s="81">
        <v>400</v>
      </c>
      <c r="V912" s="81">
        <v>8</v>
      </c>
      <c r="W912" s="81">
        <v>26.5</v>
      </c>
      <c r="X912" s="81">
        <v>2.5</v>
      </c>
      <c r="Y912" s="81">
        <v>40</v>
      </c>
      <c r="Z912" s="81"/>
      <c r="AA912" s="234"/>
      <c r="AB912" s="199"/>
      <c r="AC912" s="81"/>
      <c r="AD912" s="81"/>
      <c r="AE912" s="81"/>
      <c r="AF912" s="81"/>
      <c r="AG912" s="95"/>
      <c r="AH912" s="97">
        <v>459.15449469582097</v>
      </c>
      <c r="AI912" s="20"/>
      <c r="AJ912" s="20">
        <v>11.81</v>
      </c>
      <c r="AK912" s="20"/>
      <c r="AL912" s="20">
        <f>(20+196.6)/248.7</f>
        <v>0.87092882991556098</v>
      </c>
      <c r="AM912" s="81"/>
      <c r="AN912" s="24">
        <f t="shared" si="165"/>
        <v>0</v>
      </c>
      <c r="AO912" s="189">
        <f t="shared" si="159"/>
        <v>0</v>
      </c>
      <c r="AP912" s="184">
        <f t="shared" si="166"/>
        <v>0</v>
      </c>
      <c r="AQ912" s="52"/>
      <c r="AR912" s="357"/>
      <c r="AS912" s="81"/>
      <c r="AT912" s="81"/>
    </row>
    <row r="913" spans="1:46" ht="12">
      <c r="A913" s="348" t="s">
        <v>1224</v>
      </c>
      <c r="B913" s="25" t="str">
        <f t="shared" si="160"/>
        <v>SiNx</v>
      </c>
      <c r="C913" s="141">
        <f t="shared" si="161"/>
        <v>0</v>
      </c>
      <c r="D913" s="277">
        <f t="shared" si="162"/>
        <v>553.62595571833401</v>
      </c>
      <c r="E913" s="20">
        <f t="shared" si="167"/>
        <v>10.5</v>
      </c>
      <c r="F913" s="20">
        <f t="shared" si="168"/>
        <v>0</v>
      </c>
      <c r="G913" s="277">
        <f t="shared" si="163"/>
        <v>0</v>
      </c>
      <c r="H913" s="3">
        <f t="shared" si="157"/>
        <v>0</v>
      </c>
      <c r="I913" s="277">
        <f t="shared" si="164"/>
        <v>0</v>
      </c>
      <c r="J913" s="25"/>
      <c r="K913" s="25"/>
      <c r="L913" s="25"/>
      <c r="M913" s="236"/>
      <c r="N913" s="218">
        <v>41405</v>
      </c>
      <c r="O913" s="25">
        <v>326</v>
      </c>
      <c r="P913" s="25" t="s">
        <v>187</v>
      </c>
      <c r="Q913" s="25"/>
      <c r="R913" s="25">
        <v>4</v>
      </c>
      <c r="S913" s="25">
        <v>800</v>
      </c>
      <c r="T913" s="25">
        <v>72</v>
      </c>
      <c r="U913" s="25">
        <v>400</v>
      </c>
      <c r="V913" s="25">
        <v>8</v>
      </c>
      <c r="W913" s="25">
        <v>26.5</v>
      </c>
      <c r="X913" s="25">
        <v>2.5</v>
      </c>
      <c r="Y913" s="25">
        <v>40</v>
      </c>
      <c r="Z913" s="25"/>
      <c r="AA913" s="13"/>
      <c r="AB913" s="286"/>
      <c r="AC913" s="25"/>
      <c r="AD913" s="25"/>
      <c r="AE913" s="25"/>
      <c r="AF913" s="25"/>
      <c r="AG913" s="274"/>
      <c r="AH913" s="154">
        <v>553.62595571833401</v>
      </c>
      <c r="AI913" s="103"/>
      <c r="AJ913" s="103">
        <v>10.5</v>
      </c>
      <c r="AK913" s="103"/>
      <c r="AL913" s="103"/>
      <c r="AM913" s="25"/>
      <c r="AN913" s="24">
        <f t="shared" si="165"/>
        <v>0</v>
      </c>
      <c r="AO913" s="91">
        <f t="shared" si="159"/>
        <v>0</v>
      </c>
      <c r="AP913" s="225">
        <f t="shared" si="166"/>
        <v>0</v>
      </c>
      <c r="AQ913" s="236"/>
      <c r="AR913" s="322"/>
      <c r="AS913" s="25"/>
      <c r="AT913" s="25"/>
    </row>
    <row r="914" spans="1:46" ht="12">
      <c r="A914" s="348" t="s">
        <v>1225</v>
      </c>
      <c r="B914" s="25" t="str">
        <f t="shared" si="160"/>
        <v>MgO</v>
      </c>
      <c r="C914" s="141">
        <f t="shared" si="161"/>
        <v>3.79</v>
      </c>
      <c r="D914" s="277">
        <f t="shared" si="162"/>
        <v>343.00544629987002</v>
      </c>
      <c r="E914" s="20">
        <f t="shared" si="167"/>
        <v>11.78</v>
      </c>
      <c r="F914" s="20">
        <f t="shared" si="168"/>
        <v>0</v>
      </c>
      <c r="G914" s="277">
        <f t="shared" si="163"/>
        <v>129.99906414765073</v>
      </c>
      <c r="H914" s="3">
        <f t="shared" si="157"/>
        <v>0</v>
      </c>
      <c r="I914" s="277">
        <f t="shared" si="164"/>
        <v>15313.889756593255</v>
      </c>
      <c r="J914" s="25"/>
      <c r="K914" s="25"/>
      <c r="L914" s="25"/>
      <c r="M914" s="236"/>
      <c r="N914" s="218">
        <v>41405</v>
      </c>
      <c r="O914" s="25">
        <v>326</v>
      </c>
      <c r="P914" s="25" t="s">
        <v>46</v>
      </c>
      <c r="Q914" s="25"/>
      <c r="R914" s="25">
        <v>6</v>
      </c>
      <c r="S914" s="25">
        <v>800</v>
      </c>
      <c r="T914" s="25">
        <v>72</v>
      </c>
      <c r="U914" s="25">
        <v>400</v>
      </c>
      <c r="V914" s="25">
        <v>8</v>
      </c>
      <c r="W914" s="25">
        <v>26.5</v>
      </c>
      <c r="X914" s="25">
        <v>2.5</v>
      </c>
      <c r="Y914" s="25">
        <v>40</v>
      </c>
      <c r="Z914" s="25"/>
      <c r="AA914" s="13"/>
      <c r="AB914" s="286">
        <v>0.19159999999999999</v>
      </c>
      <c r="AC914" s="25">
        <v>0.60319999999999996</v>
      </c>
      <c r="AD914" s="25">
        <v>0.20519999999999999</v>
      </c>
      <c r="AE914" s="25" t="s">
        <v>47</v>
      </c>
      <c r="AF914" s="25">
        <v>3.79</v>
      </c>
      <c r="AG914" s="274"/>
      <c r="AH914" s="154">
        <v>343.00544629987002</v>
      </c>
      <c r="AI914" s="103"/>
      <c r="AJ914" s="103">
        <v>11.78</v>
      </c>
      <c r="AK914" s="103"/>
      <c r="AL914" s="103"/>
      <c r="AM914" s="25"/>
      <c r="AN914" s="24">
        <f t="shared" si="165"/>
        <v>129.99906414765073</v>
      </c>
      <c r="AO914" s="91">
        <f t="shared" si="159"/>
        <v>15313.889756593255</v>
      </c>
      <c r="AP914" s="225">
        <f t="shared" si="166"/>
        <v>3.1583333333333332</v>
      </c>
      <c r="AQ914" s="236"/>
      <c r="AR914" s="322"/>
      <c r="AS914" s="25"/>
      <c r="AT914" s="25"/>
    </row>
    <row r="915" spans="1:46" ht="12">
      <c r="A915" s="348" t="s">
        <v>1226</v>
      </c>
      <c r="B915" s="25" t="str">
        <f t="shared" si="160"/>
        <v>SiO2</v>
      </c>
      <c r="C915" s="141">
        <f t="shared" si="161"/>
        <v>0</v>
      </c>
      <c r="D915" s="277">
        <f t="shared" si="162"/>
        <v>520.172888784017</v>
      </c>
      <c r="E915" s="20">
        <f t="shared" si="167"/>
        <v>0</v>
      </c>
      <c r="F915" s="20">
        <f t="shared" si="168"/>
        <v>0</v>
      </c>
      <c r="G915" s="277">
        <f t="shared" si="163"/>
        <v>0</v>
      </c>
      <c r="H915" s="3">
        <f t="shared" si="157"/>
        <v>0</v>
      </c>
      <c r="I915" s="277">
        <f t="shared" si="164"/>
        <v>0</v>
      </c>
      <c r="J915" s="25" t="s">
        <v>1082</v>
      </c>
      <c r="K915" s="25" t="s">
        <v>1227</v>
      </c>
      <c r="L915" s="25"/>
      <c r="M915" s="236"/>
      <c r="N915" s="218">
        <v>41405</v>
      </c>
      <c r="O915" s="25">
        <v>327</v>
      </c>
      <c r="P915" s="25" t="s">
        <v>1182</v>
      </c>
      <c r="Q915" s="25"/>
      <c r="R915" s="25">
        <v>1</v>
      </c>
      <c r="S915" s="25">
        <v>800</v>
      </c>
      <c r="T915" s="25">
        <v>72</v>
      </c>
      <c r="U915" s="25">
        <v>400</v>
      </c>
      <c r="V915" s="25">
        <v>8</v>
      </c>
      <c r="W915" s="25">
        <v>26.5</v>
      </c>
      <c r="X915" s="25">
        <v>2.5</v>
      </c>
      <c r="Y915" s="25">
        <v>40</v>
      </c>
      <c r="Z915" s="25"/>
      <c r="AA915" s="13"/>
      <c r="AB915" s="286"/>
      <c r="AC915" s="25"/>
      <c r="AD915" s="25"/>
      <c r="AE915" s="25"/>
      <c r="AF915" s="25"/>
      <c r="AG915" s="274"/>
      <c r="AH915" s="154">
        <v>520.172888784017</v>
      </c>
      <c r="AI915" s="103"/>
      <c r="AJ915" s="103"/>
      <c r="AK915" s="103"/>
      <c r="AL915" s="103"/>
      <c r="AM915" s="25"/>
      <c r="AN915" s="24">
        <f t="shared" si="165"/>
        <v>0</v>
      </c>
      <c r="AO915" s="91">
        <f t="shared" si="159"/>
        <v>0</v>
      </c>
      <c r="AP915" s="225">
        <f t="shared" si="166"/>
        <v>0</v>
      </c>
      <c r="AQ915" s="236"/>
      <c r="AR915" s="322"/>
      <c r="AS915" s="25"/>
      <c r="AT915" s="25"/>
    </row>
    <row r="916" spans="1:46" ht="12">
      <c r="A916" s="348" t="s">
        <v>1228</v>
      </c>
      <c r="B916" s="25" t="str">
        <f t="shared" si="160"/>
        <v>SiNx</v>
      </c>
      <c r="C916" s="141">
        <f t="shared" si="161"/>
        <v>0</v>
      </c>
      <c r="D916" s="277">
        <f t="shared" si="162"/>
        <v>540.60156165857302</v>
      </c>
      <c r="E916" s="20">
        <f t="shared" si="167"/>
        <v>0</v>
      </c>
      <c r="F916" s="20">
        <f t="shared" si="168"/>
        <v>0</v>
      </c>
      <c r="G916" s="277">
        <f t="shared" si="163"/>
        <v>0</v>
      </c>
      <c r="H916" s="3">
        <f t="shared" si="157"/>
        <v>0</v>
      </c>
      <c r="I916" s="277">
        <f t="shared" si="164"/>
        <v>0</v>
      </c>
      <c r="J916" s="25" t="s">
        <v>1082</v>
      </c>
      <c r="K916" s="25" t="s">
        <v>1227</v>
      </c>
      <c r="L916" s="25"/>
      <c r="M916" s="236"/>
      <c r="N916" s="218">
        <v>41405</v>
      </c>
      <c r="O916" s="25">
        <v>327</v>
      </c>
      <c r="P916" s="25" t="s">
        <v>187</v>
      </c>
      <c r="Q916" s="25"/>
      <c r="R916" s="25">
        <v>2</v>
      </c>
      <c r="S916" s="25">
        <v>800</v>
      </c>
      <c r="T916" s="25">
        <v>72</v>
      </c>
      <c r="U916" s="25">
        <v>400</v>
      </c>
      <c r="V916" s="25">
        <v>8</v>
      </c>
      <c r="W916" s="25">
        <v>26.5</v>
      </c>
      <c r="X916" s="25">
        <v>2.5</v>
      </c>
      <c r="Y916" s="25">
        <v>40</v>
      </c>
      <c r="Z916" s="25"/>
      <c r="AA916" s="13"/>
      <c r="AB916" s="286"/>
      <c r="AC916" s="25"/>
      <c r="AD916" s="25"/>
      <c r="AE916" s="25"/>
      <c r="AF916" s="25"/>
      <c r="AG916" s="274"/>
      <c r="AH916" s="154">
        <v>540.60156165857302</v>
      </c>
      <c r="AI916" s="103"/>
      <c r="AJ916" s="103"/>
      <c r="AK916" s="103"/>
      <c r="AL916" s="103"/>
      <c r="AM916" s="25"/>
      <c r="AN916" s="24">
        <f t="shared" si="165"/>
        <v>0</v>
      </c>
      <c r="AO916" s="91">
        <f t="shared" si="159"/>
        <v>0</v>
      </c>
      <c r="AP916" s="225">
        <f t="shared" si="166"/>
        <v>0</v>
      </c>
      <c r="AQ916" s="236"/>
      <c r="AR916" s="322"/>
      <c r="AS916" s="25"/>
      <c r="AT916" s="25"/>
    </row>
    <row r="917" spans="1:46" ht="12">
      <c r="A917" s="348" t="s">
        <v>1229</v>
      </c>
      <c r="B917" s="25" t="str">
        <f t="shared" si="160"/>
        <v>SiO2</v>
      </c>
      <c r="C917" s="141">
        <f t="shared" si="161"/>
        <v>0</v>
      </c>
      <c r="D917" s="277">
        <f t="shared" si="162"/>
        <v>456.03220844861801</v>
      </c>
      <c r="E917" s="20">
        <f t="shared" si="167"/>
        <v>0</v>
      </c>
      <c r="F917" s="20">
        <f t="shared" si="168"/>
        <v>0</v>
      </c>
      <c r="G917" s="277">
        <f t="shared" si="163"/>
        <v>0</v>
      </c>
      <c r="H917" s="3">
        <f t="shared" si="157"/>
        <v>0</v>
      </c>
      <c r="I917" s="277">
        <f t="shared" si="164"/>
        <v>0</v>
      </c>
      <c r="J917" s="25" t="s">
        <v>1082</v>
      </c>
      <c r="K917" s="25" t="s">
        <v>1227</v>
      </c>
      <c r="L917" s="25"/>
      <c r="M917" s="236"/>
      <c r="N917" s="218">
        <v>41405</v>
      </c>
      <c r="O917" s="25">
        <v>327</v>
      </c>
      <c r="P917" s="25" t="s">
        <v>1182</v>
      </c>
      <c r="Q917" s="25"/>
      <c r="R917" s="25">
        <v>3</v>
      </c>
      <c r="S917" s="25">
        <v>800</v>
      </c>
      <c r="T917" s="25">
        <v>72</v>
      </c>
      <c r="U917" s="25">
        <v>400</v>
      </c>
      <c r="V917" s="25">
        <v>8</v>
      </c>
      <c r="W917" s="25">
        <v>26.5</v>
      </c>
      <c r="X917" s="25">
        <v>2.5</v>
      </c>
      <c r="Y917" s="25">
        <v>40</v>
      </c>
      <c r="Z917" s="25"/>
      <c r="AA917" s="13"/>
      <c r="AB917" s="286"/>
      <c r="AC917" s="25"/>
      <c r="AD917" s="25"/>
      <c r="AE917" s="25"/>
      <c r="AF917" s="25"/>
      <c r="AG917" s="274"/>
      <c r="AH917" s="154">
        <v>456.03220844861801</v>
      </c>
      <c r="AI917" s="103"/>
      <c r="AJ917" s="103"/>
      <c r="AK917" s="103"/>
      <c r="AL917" s="103"/>
      <c r="AM917" s="25"/>
      <c r="AN917" s="24">
        <f t="shared" si="165"/>
        <v>0</v>
      </c>
      <c r="AO917" s="91">
        <f t="shared" si="159"/>
        <v>0</v>
      </c>
      <c r="AP917" s="225">
        <f t="shared" si="166"/>
        <v>0</v>
      </c>
      <c r="AQ917" s="236"/>
      <c r="AR917" s="322"/>
      <c r="AS917" s="25"/>
      <c r="AT917" s="25"/>
    </row>
    <row r="918" spans="1:46" ht="12">
      <c r="A918" s="246" t="s">
        <v>1230</v>
      </c>
      <c r="B918" s="46" t="str">
        <f t="shared" si="160"/>
        <v>SiO2</v>
      </c>
      <c r="C918" s="329">
        <f t="shared" si="161"/>
        <v>0</v>
      </c>
      <c r="D918" s="168">
        <f t="shared" si="162"/>
        <v>515.35564714547502</v>
      </c>
      <c r="E918" s="139">
        <f t="shared" si="167"/>
        <v>0</v>
      </c>
      <c r="F918" s="139">
        <f t="shared" si="168"/>
        <v>0</v>
      </c>
      <c r="G918" s="168">
        <f t="shared" si="163"/>
        <v>0</v>
      </c>
      <c r="H918" s="150">
        <f t="shared" si="157"/>
        <v>0</v>
      </c>
      <c r="I918" s="168">
        <f t="shared" si="164"/>
        <v>0</v>
      </c>
      <c r="J918" s="46" t="s">
        <v>1082</v>
      </c>
      <c r="K918" s="46" t="s">
        <v>1227</v>
      </c>
      <c r="L918" s="46"/>
      <c r="M918" s="72"/>
      <c r="N918" s="292">
        <v>41405</v>
      </c>
      <c r="O918" s="46">
        <v>327</v>
      </c>
      <c r="P918" s="46" t="s">
        <v>1182</v>
      </c>
      <c r="Q918" s="46"/>
      <c r="R918" s="46">
        <v>4</v>
      </c>
      <c r="S918" s="46">
        <v>800</v>
      </c>
      <c r="T918" s="46">
        <v>72</v>
      </c>
      <c r="U918" s="46">
        <v>400</v>
      </c>
      <c r="V918" s="46">
        <v>8</v>
      </c>
      <c r="W918" s="46">
        <v>26.5</v>
      </c>
      <c r="X918" s="46">
        <v>2.5</v>
      </c>
      <c r="Y918" s="46">
        <v>40</v>
      </c>
      <c r="Z918" s="46"/>
      <c r="AA918" s="23"/>
      <c r="AB918" s="283"/>
      <c r="AC918" s="46"/>
      <c r="AD918" s="46"/>
      <c r="AE918" s="46"/>
      <c r="AF918" s="46"/>
      <c r="AG918" s="178"/>
      <c r="AH918" s="122">
        <v>515.35564714547502</v>
      </c>
      <c r="AI918" s="120"/>
      <c r="AJ918" s="120"/>
      <c r="AK918" s="120"/>
      <c r="AL918" s="120"/>
      <c r="AM918" s="46"/>
      <c r="AN918" s="24">
        <f t="shared" si="165"/>
        <v>0</v>
      </c>
      <c r="AO918" s="270">
        <f t="shared" si="159"/>
        <v>0</v>
      </c>
      <c r="AP918" s="285">
        <f t="shared" si="166"/>
        <v>0</v>
      </c>
      <c r="AQ918" s="72"/>
      <c r="AR918" s="60"/>
      <c r="AS918" s="46"/>
      <c r="AT918" s="46"/>
    </row>
    <row r="919" spans="1:46" ht="12">
      <c r="A919" s="348" t="s">
        <v>1231</v>
      </c>
      <c r="B919" s="25" t="str">
        <f t="shared" si="160"/>
        <v>SiNx</v>
      </c>
      <c r="C919" s="141">
        <f t="shared" si="161"/>
        <v>0</v>
      </c>
      <c r="D919" s="277">
        <f t="shared" si="162"/>
        <v>550.94971036358902</v>
      </c>
      <c r="E919" s="20">
        <f t="shared" si="167"/>
        <v>0</v>
      </c>
      <c r="F919" s="20">
        <f t="shared" si="168"/>
        <v>0</v>
      </c>
      <c r="G919" s="277">
        <f t="shared" si="163"/>
        <v>0</v>
      </c>
      <c r="H919" s="3">
        <f t="shared" si="157"/>
        <v>0</v>
      </c>
      <c r="I919" s="277">
        <f t="shared" si="164"/>
        <v>0</v>
      </c>
      <c r="J919" s="25" t="s">
        <v>1082</v>
      </c>
      <c r="K919" s="25" t="s">
        <v>1227</v>
      </c>
      <c r="L919" s="25"/>
      <c r="M919" s="236"/>
      <c r="N919" s="218">
        <v>41405</v>
      </c>
      <c r="O919" s="25">
        <v>327</v>
      </c>
      <c r="P919" s="25" t="s">
        <v>187</v>
      </c>
      <c r="Q919" s="25"/>
      <c r="R919" s="25">
        <v>5</v>
      </c>
      <c r="S919" s="25">
        <v>800</v>
      </c>
      <c r="T919" s="25">
        <v>72</v>
      </c>
      <c r="U919" s="25">
        <v>400</v>
      </c>
      <c r="V919" s="25">
        <v>8</v>
      </c>
      <c r="W919" s="25">
        <v>26.5</v>
      </c>
      <c r="X919" s="25">
        <v>2.5</v>
      </c>
      <c r="Y919" s="25">
        <v>40</v>
      </c>
      <c r="Z919" s="25"/>
      <c r="AA919" s="13"/>
      <c r="AB919" s="286"/>
      <c r="AC919" s="25"/>
      <c r="AD919" s="25"/>
      <c r="AE919" s="25"/>
      <c r="AF919" s="25"/>
      <c r="AG919" s="274"/>
      <c r="AH919" s="154">
        <v>550.94971036358902</v>
      </c>
      <c r="AI919" s="103"/>
      <c r="AJ919" s="103"/>
      <c r="AK919" s="103"/>
      <c r="AL919" s="103"/>
      <c r="AM919" s="25"/>
      <c r="AN919" s="24">
        <f t="shared" si="165"/>
        <v>0</v>
      </c>
      <c r="AO919" s="91">
        <f t="shared" si="159"/>
        <v>0</v>
      </c>
      <c r="AP919" s="225">
        <f t="shared" si="166"/>
        <v>0</v>
      </c>
      <c r="AQ919" s="236"/>
      <c r="AR919" s="322"/>
      <c r="AS919" s="25"/>
      <c r="AT919" s="25"/>
    </row>
    <row r="920" spans="1:46" ht="12">
      <c r="A920" s="348" t="s">
        <v>1232</v>
      </c>
      <c r="B920" s="25" t="str">
        <f t="shared" si="160"/>
        <v>MgO</v>
      </c>
      <c r="C920" s="141">
        <f t="shared" si="161"/>
        <v>3.74</v>
      </c>
      <c r="D920" s="277">
        <f t="shared" si="162"/>
        <v>303.84305594209599</v>
      </c>
      <c r="E920" s="20">
        <f t="shared" si="167"/>
        <v>0</v>
      </c>
      <c r="F920" s="20">
        <f t="shared" si="168"/>
        <v>0</v>
      </c>
      <c r="G920" s="277">
        <f t="shared" si="163"/>
        <v>113.63730292234391</v>
      </c>
      <c r="H920" s="3">
        <f t="shared" si="157"/>
        <v>0</v>
      </c>
      <c r="I920" s="277">
        <f t="shared" si="164"/>
        <v>0</v>
      </c>
      <c r="J920" s="25" t="s">
        <v>1082</v>
      </c>
      <c r="K920" s="25" t="s">
        <v>1227</v>
      </c>
      <c r="L920" s="25"/>
      <c r="M920" s="236"/>
      <c r="N920" s="218">
        <v>41405</v>
      </c>
      <c r="O920" s="25">
        <v>327</v>
      </c>
      <c r="P920" s="25" t="s">
        <v>46</v>
      </c>
      <c r="Q920" s="25"/>
      <c r="R920" s="25">
        <v>6</v>
      </c>
      <c r="S920" s="25">
        <v>800</v>
      </c>
      <c r="T920" s="25">
        <v>72</v>
      </c>
      <c r="U920" s="25">
        <v>400</v>
      </c>
      <c r="V920" s="25">
        <v>8</v>
      </c>
      <c r="W920" s="25">
        <v>26.5</v>
      </c>
      <c r="X920" s="25">
        <v>2.5</v>
      </c>
      <c r="Y920" s="25">
        <v>40</v>
      </c>
      <c r="Z920" s="25"/>
      <c r="AA920" s="13"/>
      <c r="AB920" s="286">
        <v>0.18840000000000001</v>
      </c>
      <c r="AC920" s="25">
        <v>0.60580000000000001</v>
      </c>
      <c r="AD920" s="25">
        <v>0.2059</v>
      </c>
      <c r="AE920" s="25" t="s">
        <v>47</v>
      </c>
      <c r="AF920" s="25">
        <v>3.74</v>
      </c>
      <c r="AG920" s="274"/>
      <c r="AH920" s="154">
        <v>303.84305594209599</v>
      </c>
      <c r="AI920" s="103"/>
      <c r="AJ920" s="103"/>
      <c r="AK920" s="103"/>
      <c r="AL920" s="103"/>
      <c r="AM920" s="25"/>
      <c r="AN920" s="24">
        <f t="shared" si="165"/>
        <v>113.63730292234391</v>
      </c>
      <c r="AO920" s="91">
        <f t="shared" si="159"/>
        <v>0</v>
      </c>
      <c r="AP920" s="225">
        <f t="shared" si="166"/>
        <v>3.1166666666666667</v>
      </c>
      <c r="AQ920" s="236"/>
      <c r="AR920" s="322"/>
      <c r="AS920" s="25"/>
      <c r="AT920" s="25"/>
    </row>
    <row r="921" spans="1:46" ht="12">
      <c r="A921" s="246" t="s">
        <v>1233</v>
      </c>
      <c r="B921" s="46" t="str">
        <f t="shared" si="160"/>
        <v>SiO2</v>
      </c>
      <c r="C921" s="141">
        <f t="shared" si="161"/>
        <v>0</v>
      </c>
      <c r="D921" s="277">
        <f t="shared" si="162"/>
        <v>0</v>
      </c>
      <c r="E921" s="20">
        <f t="shared" si="167"/>
        <v>0</v>
      </c>
      <c r="F921" s="20">
        <f t="shared" si="168"/>
        <v>0</v>
      </c>
      <c r="G921" s="277">
        <f t="shared" si="163"/>
        <v>0</v>
      </c>
      <c r="H921" s="3">
        <f t="shared" si="157"/>
        <v>0</v>
      </c>
      <c r="I921" s="277">
        <f t="shared" si="164"/>
        <v>0</v>
      </c>
      <c r="J921" s="46"/>
      <c r="K921" s="46"/>
      <c r="L921" s="46"/>
      <c r="M921" s="72"/>
      <c r="N921" s="292">
        <v>41407</v>
      </c>
      <c r="O921" s="46">
        <v>328</v>
      </c>
      <c r="P921" s="46" t="s">
        <v>1182</v>
      </c>
      <c r="Q921" s="46"/>
      <c r="R921" s="46">
        <v>1</v>
      </c>
      <c r="S921" s="46">
        <v>800</v>
      </c>
      <c r="T921" s="46">
        <v>72</v>
      </c>
      <c r="U921" s="46">
        <v>400</v>
      </c>
      <c r="V921" s="46">
        <v>8</v>
      </c>
      <c r="W921" s="46">
        <v>26.5</v>
      </c>
      <c r="X921" s="46">
        <v>2.5</v>
      </c>
      <c r="Y921" s="46">
        <v>40</v>
      </c>
      <c r="Z921" s="46"/>
      <c r="AA921" s="23"/>
      <c r="AB921" s="283"/>
      <c r="AC921" s="46"/>
      <c r="AD921" s="46"/>
      <c r="AE921" s="46"/>
      <c r="AF921" s="46"/>
      <c r="AG921" s="178"/>
      <c r="AH921" s="122"/>
      <c r="AI921" s="120"/>
      <c r="AJ921" s="120"/>
      <c r="AK921" s="120"/>
      <c r="AL921" s="120"/>
      <c r="AM921" s="46"/>
      <c r="AN921" s="24">
        <f t="shared" si="165"/>
        <v>0</v>
      </c>
      <c r="AO921" s="270">
        <f t="shared" si="159"/>
        <v>0</v>
      </c>
      <c r="AP921" s="285">
        <f t="shared" si="166"/>
        <v>0</v>
      </c>
      <c r="AQ921" s="72"/>
      <c r="AR921" s="60"/>
      <c r="AS921" s="46"/>
      <c r="AT921" s="46"/>
    </row>
    <row r="922" spans="1:46" ht="12">
      <c r="A922" s="348" t="s">
        <v>1234</v>
      </c>
      <c r="B922" s="25" t="str">
        <f t="shared" si="160"/>
        <v>MgO</v>
      </c>
      <c r="C922" s="141">
        <f t="shared" si="161"/>
        <v>3.83</v>
      </c>
      <c r="D922" s="277">
        <f t="shared" si="162"/>
        <v>0</v>
      </c>
      <c r="E922" s="20">
        <f t="shared" si="167"/>
        <v>0</v>
      </c>
      <c r="F922" s="20">
        <f t="shared" si="168"/>
        <v>0</v>
      </c>
      <c r="G922" s="277">
        <f t="shared" si="163"/>
        <v>0</v>
      </c>
      <c r="H922" s="3">
        <f t="shared" si="157"/>
        <v>0</v>
      </c>
      <c r="I922" s="277">
        <f t="shared" si="164"/>
        <v>0</v>
      </c>
      <c r="J922" s="25"/>
      <c r="K922" s="25"/>
      <c r="L922" s="25"/>
      <c r="M922" s="236"/>
      <c r="N922" s="218">
        <v>41407</v>
      </c>
      <c r="O922" s="25">
        <v>328</v>
      </c>
      <c r="P922" s="25" t="s">
        <v>46</v>
      </c>
      <c r="Q922" s="25"/>
      <c r="R922" s="25">
        <v>2</v>
      </c>
      <c r="S922" s="25">
        <v>800</v>
      </c>
      <c r="T922" s="25">
        <v>72</v>
      </c>
      <c r="U922" s="25">
        <v>400</v>
      </c>
      <c r="V922" s="25">
        <v>8</v>
      </c>
      <c r="W922" s="25">
        <v>26.5</v>
      </c>
      <c r="X922" s="25">
        <v>2.5</v>
      </c>
      <c r="Y922" s="25">
        <v>40</v>
      </c>
      <c r="Z922" s="25"/>
      <c r="AA922" s="13"/>
      <c r="AB922" s="286">
        <v>0.1971</v>
      </c>
      <c r="AC922" s="25">
        <v>0.6008</v>
      </c>
      <c r="AD922" s="25">
        <v>0.2021</v>
      </c>
      <c r="AE922" s="25" t="s">
        <v>47</v>
      </c>
      <c r="AF922" s="25">
        <v>3.83</v>
      </c>
      <c r="AG922" s="274"/>
      <c r="AH922" s="154"/>
      <c r="AI922" s="103"/>
      <c r="AJ922" s="103"/>
      <c r="AK922" s="103"/>
      <c r="AL922" s="103"/>
      <c r="AM922" s="25"/>
      <c r="AN922" s="24">
        <f t="shared" si="165"/>
        <v>0</v>
      </c>
      <c r="AO922" s="91">
        <f t="shared" si="159"/>
        <v>0</v>
      </c>
      <c r="AP922" s="225">
        <f t="shared" si="166"/>
        <v>3.1916666666666669</v>
      </c>
      <c r="AQ922" s="236"/>
      <c r="AR922" s="322"/>
      <c r="AS922" s="25"/>
      <c r="AT922" s="25"/>
    </row>
    <row r="923" spans="1:46" ht="12">
      <c r="A923" s="246" t="s">
        <v>1235</v>
      </c>
      <c r="B923" s="46" t="str">
        <f t="shared" si="160"/>
        <v>SiO2</v>
      </c>
      <c r="C923" s="141">
        <f t="shared" si="161"/>
        <v>0</v>
      </c>
      <c r="D923" s="277">
        <f t="shared" si="162"/>
        <v>0</v>
      </c>
      <c r="E923" s="20">
        <f t="shared" si="167"/>
        <v>11.42</v>
      </c>
      <c r="F923" s="20">
        <f t="shared" si="168"/>
        <v>0</v>
      </c>
      <c r="G923" s="277">
        <f t="shared" si="163"/>
        <v>0</v>
      </c>
      <c r="H923" s="3">
        <f t="shared" si="157"/>
        <v>0</v>
      </c>
      <c r="I923" s="277">
        <f t="shared" si="164"/>
        <v>0</v>
      </c>
      <c r="J923" s="46"/>
      <c r="K923" s="46"/>
      <c r="L923" s="46"/>
      <c r="M923" s="72"/>
      <c r="N923" s="292">
        <v>41407</v>
      </c>
      <c r="O923" s="46">
        <v>328</v>
      </c>
      <c r="P923" s="46" t="s">
        <v>1182</v>
      </c>
      <c r="Q923" s="46"/>
      <c r="R923" s="46">
        <v>3</v>
      </c>
      <c r="S923" s="46">
        <v>800</v>
      </c>
      <c r="T923" s="46">
        <v>72</v>
      </c>
      <c r="U923" s="46">
        <v>400</v>
      </c>
      <c r="V923" s="46">
        <v>8</v>
      </c>
      <c r="W923" s="46">
        <v>26.5</v>
      </c>
      <c r="X923" s="46">
        <v>2.5</v>
      </c>
      <c r="Y923" s="46">
        <v>40</v>
      </c>
      <c r="Z923" s="46"/>
      <c r="AA923" s="23"/>
      <c r="AB923" s="283"/>
      <c r="AC923" s="46"/>
      <c r="AD923" s="46"/>
      <c r="AE923" s="46"/>
      <c r="AF923" s="46"/>
      <c r="AG923" s="178"/>
      <c r="AH923" s="122"/>
      <c r="AI923" s="120"/>
      <c r="AJ923" s="120">
        <v>11.42</v>
      </c>
      <c r="AK923" s="120"/>
      <c r="AL923" s="120"/>
      <c r="AM923" s="46"/>
      <c r="AN923" s="24">
        <f t="shared" si="165"/>
        <v>0</v>
      </c>
      <c r="AO923" s="270">
        <f t="shared" si="159"/>
        <v>0</v>
      </c>
      <c r="AP923" s="285">
        <f t="shared" si="166"/>
        <v>0</v>
      </c>
      <c r="AQ923" s="72"/>
      <c r="AR923" s="60"/>
      <c r="AS923" s="46"/>
      <c r="AT923" s="46"/>
    </row>
    <row r="924" spans="1:46" ht="12">
      <c r="A924" s="348" t="s">
        <v>1236</v>
      </c>
      <c r="B924" s="25" t="str">
        <f t="shared" si="160"/>
        <v>G on SiO2</v>
      </c>
      <c r="C924" s="141">
        <f t="shared" si="161"/>
        <v>0</v>
      </c>
      <c r="D924" s="277">
        <f t="shared" si="162"/>
        <v>0</v>
      </c>
      <c r="E924" s="20">
        <f t="shared" si="167"/>
        <v>0</v>
      </c>
      <c r="F924" s="20">
        <f t="shared" si="168"/>
        <v>0</v>
      </c>
      <c r="G924" s="277">
        <f t="shared" si="163"/>
        <v>0</v>
      </c>
      <c r="H924" s="3">
        <f t="shared" si="157"/>
        <v>0</v>
      </c>
      <c r="I924" s="277">
        <f t="shared" si="164"/>
        <v>0</v>
      </c>
      <c r="J924" s="25"/>
      <c r="K924" s="25"/>
      <c r="L924" s="25"/>
      <c r="M924" s="236"/>
      <c r="N924" s="218">
        <v>41407</v>
      </c>
      <c r="O924" s="25">
        <v>328</v>
      </c>
      <c r="P924" s="25" t="s">
        <v>1209</v>
      </c>
      <c r="Q924" s="25"/>
      <c r="R924" s="25">
        <v>4</v>
      </c>
      <c r="S924" s="25">
        <v>800</v>
      </c>
      <c r="T924" s="25">
        <v>72</v>
      </c>
      <c r="U924" s="25">
        <v>400</v>
      </c>
      <c r="V924" s="25">
        <v>8</v>
      </c>
      <c r="W924" s="25">
        <v>26.5</v>
      </c>
      <c r="X924" s="25">
        <v>2.5</v>
      </c>
      <c r="Y924" s="25">
        <v>40</v>
      </c>
      <c r="Z924" s="25"/>
      <c r="AA924" s="13"/>
      <c r="AB924" s="286"/>
      <c r="AC924" s="25"/>
      <c r="AD924" s="25"/>
      <c r="AE924" s="25"/>
      <c r="AF924" s="25"/>
      <c r="AG924" s="274"/>
      <c r="AH924" s="154"/>
      <c r="AI924" s="103"/>
      <c r="AJ924" s="103"/>
      <c r="AK924" s="103"/>
      <c r="AL924" s="103"/>
      <c r="AM924" s="25"/>
      <c r="AN924" s="24">
        <f t="shared" si="165"/>
        <v>0</v>
      </c>
      <c r="AO924" s="91">
        <f t="shared" si="159"/>
        <v>0</v>
      </c>
      <c r="AP924" s="225">
        <f t="shared" si="166"/>
        <v>0</v>
      </c>
      <c r="AQ924" s="236"/>
      <c r="AR924" s="322"/>
      <c r="AS924" s="25"/>
      <c r="AT924" s="25"/>
    </row>
    <row r="925" spans="1:46" ht="12">
      <c r="A925" s="348" t="s">
        <v>1237</v>
      </c>
      <c r="B925" s="25" t="str">
        <f t="shared" si="160"/>
        <v>G on SiO2</v>
      </c>
      <c r="C925" s="141">
        <f t="shared" si="161"/>
        <v>0</v>
      </c>
      <c r="D925" s="277">
        <f t="shared" si="162"/>
        <v>0</v>
      </c>
      <c r="E925" s="20">
        <f t="shared" si="167"/>
        <v>0</v>
      </c>
      <c r="F925" s="20">
        <f t="shared" si="168"/>
        <v>0</v>
      </c>
      <c r="G925" s="277">
        <f t="shared" si="163"/>
        <v>0</v>
      </c>
      <c r="H925" s="3">
        <f t="shared" si="157"/>
        <v>0</v>
      </c>
      <c r="I925" s="277">
        <f t="shared" si="164"/>
        <v>0</v>
      </c>
      <c r="J925" s="25"/>
      <c r="K925" s="25"/>
      <c r="L925" s="25"/>
      <c r="M925" s="236"/>
      <c r="N925" s="218">
        <v>41407</v>
      </c>
      <c r="O925" s="25">
        <v>328</v>
      </c>
      <c r="P925" s="25" t="s">
        <v>1209</v>
      </c>
      <c r="Q925" s="25"/>
      <c r="R925" s="25">
        <v>6</v>
      </c>
      <c r="S925" s="25">
        <v>800</v>
      </c>
      <c r="T925" s="25">
        <v>72</v>
      </c>
      <c r="U925" s="25">
        <v>400</v>
      </c>
      <c r="V925" s="25">
        <v>8</v>
      </c>
      <c r="W925" s="25">
        <v>26.5</v>
      </c>
      <c r="X925" s="25">
        <v>2.5</v>
      </c>
      <c r="Y925" s="25">
        <v>40</v>
      </c>
      <c r="Z925" s="25"/>
      <c r="AA925" s="13"/>
      <c r="AB925" s="286"/>
      <c r="AC925" s="25"/>
      <c r="AD925" s="25"/>
      <c r="AE925" s="25"/>
      <c r="AF925" s="25"/>
      <c r="AG925" s="274"/>
      <c r="AH925" s="154"/>
      <c r="AI925" s="103"/>
      <c r="AJ925" s="103"/>
      <c r="AK925" s="103"/>
      <c r="AL925" s="103"/>
      <c r="AM925" s="25"/>
      <c r="AN925" s="24">
        <f t="shared" si="165"/>
        <v>0</v>
      </c>
      <c r="AO925" s="91">
        <f t="shared" si="159"/>
        <v>0</v>
      </c>
      <c r="AP925" s="225">
        <f t="shared" si="166"/>
        <v>0</v>
      </c>
      <c r="AQ925" s="236"/>
      <c r="AR925" s="322"/>
      <c r="AS925" s="25"/>
      <c r="AT925" s="25"/>
    </row>
    <row r="926" spans="1:46" ht="12">
      <c r="A926" s="348" t="s">
        <v>1238</v>
      </c>
      <c r="B926" s="25" t="str">
        <f t="shared" si="160"/>
        <v>G on SiO2</v>
      </c>
      <c r="C926" s="141">
        <f t="shared" si="161"/>
        <v>0</v>
      </c>
      <c r="D926" s="277">
        <f t="shared" si="162"/>
        <v>447.37901513494199</v>
      </c>
      <c r="E926" s="20">
        <f t="shared" si="167"/>
        <v>9.68</v>
      </c>
      <c r="F926" s="20">
        <f t="shared" si="168"/>
        <v>0</v>
      </c>
      <c r="G926" s="277">
        <f t="shared" si="163"/>
        <v>0</v>
      </c>
      <c r="H926" s="3">
        <f t="shared" si="157"/>
        <v>0</v>
      </c>
      <c r="I926" s="277">
        <f t="shared" si="164"/>
        <v>0</v>
      </c>
      <c r="J926" s="25"/>
      <c r="K926" s="25"/>
      <c r="L926" s="25"/>
      <c r="M926" s="236"/>
      <c r="N926" s="218">
        <v>41407</v>
      </c>
      <c r="O926" s="25">
        <v>329</v>
      </c>
      <c r="P926" s="25" t="s">
        <v>1209</v>
      </c>
      <c r="Q926" s="25"/>
      <c r="R926" s="25">
        <v>1</v>
      </c>
      <c r="S926" s="25">
        <v>800</v>
      </c>
      <c r="T926" s="25">
        <v>72</v>
      </c>
      <c r="U926" s="25">
        <v>400</v>
      </c>
      <c r="V926" s="25">
        <v>8</v>
      </c>
      <c r="W926" s="25">
        <v>26.5</v>
      </c>
      <c r="X926" s="25">
        <v>2.5</v>
      </c>
      <c r="Y926" s="25">
        <v>40</v>
      </c>
      <c r="Z926" s="25"/>
      <c r="AA926" s="13"/>
      <c r="AB926" s="286"/>
      <c r="AC926" s="25"/>
      <c r="AD926" s="25"/>
      <c r="AE926" s="25"/>
      <c r="AF926" s="25"/>
      <c r="AG926" s="274"/>
      <c r="AH926" s="154">
        <v>447.37901513494199</v>
      </c>
      <c r="AI926" s="103"/>
      <c r="AJ926" s="103">
        <v>9.68</v>
      </c>
      <c r="AK926" s="103"/>
      <c r="AL926" s="103"/>
      <c r="AM926" s="25"/>
      <c r="AN926" s="24">
        <f t="shared" si="165"/>
        <v>0</v>
      </c>
      <c r="AO926" s="91">
        <f t="shared" si="159"/>
        <v>0</v>
      </c>
      <c r="AP926" s="225">
        <f t="shared" si="166"/>
        <v>0</v>
      </c>
      <c r="AQ926" s="236"/>
      <c r="AR926" s="322"/>
      <c r="AS926" s="25"/>
      <c r="AT926" s="25"/>
    </row>
    <row r="927" spans="1:46" ht="12">
      <c r="A927" s="348" t="s">
        <v>1239</v>
      </c>
      <c r="B927" s="25" t="str">
        <f t="shared" si="160"/>
        <v>G on SiO2</v>
      </c>
      <c r="C927" s="141">
        <f t="shared" si="161"/>
        <v>0</v>
      </c>
      <c r="D927" s="277">
        <f t="shared" si="162"/>
        <v>368.42977716995199</v>
      </c>
      <c r="E927" s="20">
        <f t="shared" si="167"/>
        <v>10.71</v>
      </c>
      <c r="F927" s="20">
        <f t="shared" si="168"/>
        <v>0</v>
      </c>
      <c r="G927" s="277">
        <f t="shared" si="163"/>
        <v>0</v>
      </c>
      <c r="H927" s="3">
        <f t="shared" si="157"/>
        <v>0</v>
      </c>
      <c r="I927" s="277">
        <f t="shared" si="164"/>
        <v>0</v>
      </c>
      <c r="J927" s="25"/>
      <c r="K927" s="25"/>
      <c r="L927" s="25"/>
      <c r="M927" s="236"/>
      <c r="N927" s="218">
        <v>41407</v>
      </c>
      <c r="O927" s="25">
        <v>329</v>
      </c>
      <c r="P927" s="25" t="s">
        <v>1209</v>
      </c>
      <c r="Q927" s="25"/>
      <c r="R927" s="25">
        <v>3</v>
      </c>
      <c r="S927" s="25">
        <v>800</v>
      </c>
      <c r="T927" s="25">
        <v>72</v>
      </c>
      <c r="U927" s="25">
        <v>400</v>
      </c>
      <c r="V927" s="25">
        <v>8</v>
      </c>
      <c r="W927" s="25">
        <v>26.5</v>
      </c>
      <c r="X927" s="25">
        <v>2.5</v>
      </c>
      <c r="Y927" s="25">
        <v>40</v>
      </c>
      <c r="Z927" s="25"/>
      <c r="AA927" s="13"/>
      <c r="AB927" s="286"/>
      <c r="AC927" s="25"/>
      <c r="AD927" s="25"/>
      <c r="AE927" s="25"/>
      <c r="AF927" s="25"/>
      <c r="AG927" s="274"/>
      <c r="AH927" s="154">
        <v>368.42977716995199</v>
      </c>
      <c r="AI927" s="103"/>
      <c r="AJ927" s="103">
        <v>10.71</v>
      </c>
      <c r="AK927" s="103"/>
      <c r="AL927" s="103"/>
      <c r="AM927" s="25"/>
      <c r="AN927" s="24">
        <f t="shared" si="165"/>
        <v>0</v>
      </c>
      <c r="AO927" s="91">
        <f t="shared" si="159"/>
        <v>0</v>
      </c>
      <c r="AP927" s="225">
        <f t="shared" si="166"/>
        <v>0</v>
      </c>
      <c r="AQ927" s="236"/>
      <c r="AR927" s="322"/>
      <c r="AS927" s="25"/>
      <c r="AT927" s="25"/>
    </row>
    <row r="928" spans="1:46" ht="12">
      <c r="A928" s="246" t="s">
        <v>1240</v>
      </c>
      <c r="B928" s="46" t="str">
        <f t="shared" si="160"/>
        <v>SiO2</v>
      </c>
      <c r="C928" s="141">
        <f t="shared" si="161"/>
        <v>0</v>
      </c>
      <c r="D928" s="277">
        <f t="shared" si="162"/>
        <v>0</v>
      </c>
      <c r="E928" s="20">
        <f t="shared" si="167"/>
        <v>0</v>
      </c>
      <c r="F928" s="20">
        <f t="shared" si="168"/>
        <v>0</v>
      </c>
      <c r="G928" s="277">
        <f t="shared" si="163"/>
        <v>0</v>
      </c>
      <c r="H928" s="3">
        <f t="shared" ref="H928:H991" si="169">AL928</f>
        <v>0</v>
      </c>
      <c r="I928" s="277">
        <f t="shared" si="164"/>
        <v>0</v>
      </c>
      <c r="J928" s="46"/>
      <c r="K928" s="46"/>
      <c r="L928" s="46"/>
      <c r="M928" s="72"/>
      <c r="N928" s="292">
        <v>41407</v>
      </c>
      <c r="O928" s="46">
        <v>329</v>
      </c>
      <c r="P928" s="46" t="s">
        <v>1182</v>
      </c>
      <c r="Q928" s="46"/>
      <c r="R928" s="46">
        <v>4</v>
      </c>
      <c r="S928" s="46">
        <v>800</v>
      </c>
      <c r="T928" s="46">
        <v>72</v>
      </c>
      <c r="U928" s="46">
        <v>400</v>
      </c>
      <c r="V928" s="46">
        <v>8</v>
      </c>
      <c r="W928" s="46">
        <v>26.5</v>
      </c>
      <c r="X928" s="46">
        <v>2.5</v>
      </c>
      <c r="Y928" s="46">
        <v>40</v>
      </c>
      <c r="Z928" s="46"/>
      <c r="AA928" s="23"/>
      <c r="AB928" s="283"/>
      <c r="AC928" s="46"/>
      <c r="AD928" s="46"/>
      <c r="AE928" s="46"/>
      <c r="AF928" s="46"/>
      <c r="AG928" s="178"/>
      <c r="AH928" s="122"/>
      <c r="AI928" s="120"/>
      <c r="AJ928" s="120"/>
      <c r="AK928" s="120"/>
      <c r="AL928" s="120"/>
      <c r="AM928" s="46"/>
      <c r="AN928" s="24">
        <f t="shared" si="165"/>
        <v>0</v>
      </c>
      <c r="AO928" s="270">
        <f t="shared" si="159"/>
        <v>0</v>
      </c>
      <c r="AP928" s="285">
        <f t="shared" si="166"/>
        <v>0</v>
      </c>
      <c r="AQ928" s="72"/>
      <c r="AR928" s="60"/>
      <c r="AS928" s="46"/>
      <c r="AT928" s="46"/>
    </row>
    <row r="929" spans="1:46" ht="12">
      <c r="A929" s="348" t="s">
        <v>1241</v>
      </c>
      <c r="B929" s="25" t="str">
        <f t="shared" si="160"/>
        <v>MgO</v>
      </c>
      <c r="C929" s="141">
        <f t="shared" si="161"/>
        <v>3.86</v>
      </c>
      <c r="D929" s="277">
        <f t="shared" si="162"/>
        <v>384.48724929842399</v>
      </c>
      <c r="E929" s="20">
        <f t="shared" si="167"/>
        <v>11.16</v>
      </c>
      <c r="F929" s="20">
        <f t="shared" si="168"/>
        <v>0</v>
      </c>
      <c r="G929" s="277">
        <f t="shared" si="163"/>
        <v>148.41207822919165</v>
      </c>
      <c r="H929" s="3">
        <f t="shared" si="169"/>
        <v>0</v>
      </c>
      <c r="I929" s="277">
        <f t="shared" si="164"/>
        <v>16562.787930377788</v>
      </c>
      <c r="J929" s="25"/>
      <c r="K929" s="25"/>
      <c r="L929" s="25"/>
      <c r="M929" s="236"/>
      <c r="N929" s="218">
        <v>41407</v>
      </c>
      <c r="O929" s="25">
        <v>329</v>
      </c>
      <c r="P929" s="25" t="s">
        <v>46</v>
      </c>
      <c r="Q929" s="25"/>
      <c r="R929" s="25">
        <v>5</v>
      </c>
      <c r="S929" s="25">
        <v>800</v>
      </c>
      <c r="T929" s="25">
        <v>72</v>
      </c>
      <c r="U929" s="25">
        <v>400</v>
      </c>
      <c r="V929" s="25">
        <v>8</v>
      </c>
      <c r="W929" s="25">
        <v>26.5</v>
      </c>
      <c r="X929" s="25">
        <v>2.5</v>
      </c>
      <c r="Y929" s="25">
        <v>40</v>
      </c>
      <c r="Z929" s="25"/>
      <c r="AA929" s="13"/>
      <c r="AB929" s="286">
        <v>0.19070000000000001</v>
      </c>
      <c r="AC929" s="25">
        <v>0.59950000000000003</v>
      </c>
      <c r="AD929" s="25">
        <v>0.20979999999999999</v>
      </c>
      <c r="AE929" s="25" t="s">
        <v>47</v>
      </c>
      <c r="AF929" s="25">
        <v>3.86</v>
      </c>
      <c r="AG929" s="274"/>
      <c r="AH929" s="154">
        <v>384.48724929842399</v>
      </c>
      <c r="AI929" s="103"/>
      <c r="AJ929" s="103">
        <v>11.16</v>
      </c>
      <c r="AK929" s="103"/>
      <c r="AL929" s="103"/>
      <c r="AM929" s="25"/>
      <c r="AN929" s="24">
        <f t="shared" si="165"/>
        <v>148.41207822919165</v>
      </c>
      <c r="AO929" s="91">
        <f t="shared" si="159"/>
        <v>16562.787930377788</v>
      </c>
      <c r="AP929" s="225">
        <f t="shared" si="166"/>
        <v>3.2166666666666668</v>
      </c>
      <c r="AQ929" s="236"/>
      <c r="AR929" s="322"/>
      <c r="AS929" s="25"/>
      <c r="AT929" s="25"/>
    </row>
    <row r="930" spans="1:46" ht="12">
      <c r="A930" s="246" t="s">
        <v>1242</v>
      </c>
      <c r="B930" s="46" t="str">
        <f t="shared" si="160"/>
        <v>SiO2</v>
      </c>
      <c r="C930" s="141">
        <f t="shared" si="161"/>
        <v>0</v>
      </c>
      <c r="D930" s="277">
        <f t="shared" si="162"/>
        <v>459.06528651732998</v>
      </c>
      <c r="E930" s="20">
        <f t="shared" si="167"/>
        <v>11.73</v>
      </c>
      <c r="F930" s="20">
        <f t="shared" si="168"/>
        <v>0</v>
      </c>
      <c r="G930" s="277">
        <f t="shared" si="163"/>
        <v>0</v>
      </c>
      <c r="H930" s="3">
        <f t="shared" si="169"/>
        <v>0</v>
      </c>
      <c r="I930" s="277">
        <f t="shared" si="164"/>
        <v>0</v>
      </c>
      <c r="J930" s="46"/>
      <c r="K930" s="46"/>
      <c r="L930" s="46"/>
      <c r="M930" s="72"/>
      <c r="N930" s="292">
        <v>41407</v>
      </c>
      <c r="O930" s="46">
        <v>329</v>
      </c>
      <c r="P930" s="46" t="s">
        <v>1182</v>
      </c>
      <c r="Q930" s="46"/>
      <c r="R930" s="46">
        <v>6</v>
      </c>
      <c r="S930" s="46">
        <v>800</v>
      </c>
      <c r="T930" s="46">
        <v>72</v>
      </c>
      <c r="U930" s="46">
        <v>400</v>
      </c>
      <c r="V930" s="46">
        <v>8</v>
      </c>
      <c r="W930" s="46">
        <v>26.5</v>
      </c>
      <c r="X930" s="46">
        <v>2.5</v>
      </c>
      <c r="Y930" s="46">
        <v>40</v>
      </c>
      <c r="Z930" s="46"/>
      <c r="AA930" s="23"/>
      <c r="AB930" s="283"/>
      <c r="AC930" s="46"/>
      <c r="AD930" s="46"/>
      <c r="AE930" s="46"/>
      <c r="AF930" s="46"/>
      <c r="AG930" s="178"/>
      <c r="AH930" s="122">
        <v>459.06528651732998</v>
      </c>
      <c r="AI930" s="120"/>
      <c r="AJ930" s="120">
        <v>11.73</v>
      </c>
      <c r="AK930" s="120"/>
      <c r="AL930" s="120"/>
      <c r="AM930" s="46"/>
      <c r="AN930" s="24">
        <f t="shared" si="165"/>
        <v>0</v>
      </c>
      <c r="AO930" s="270">
        <f t="shared" si="159"/>
        <v>0</v>
      </c>
      <c r="AP930" s="285">
        <f t="shared" si="166"/>
        <v>0</v>
      </c>
      <c r="AQ930" s="72"/>
      <c r="AR930" s="60"/>
      <c r="AS930" s="46"/>
      <c r="AT930" s="46"/>
    </row>
    <row r="931" spans="1:46" ht="12">
      <c r="A931" s="137" t="s">
        <v>1243</v>
      </c>
      <c r="B931" s="83" t="str">
        <f t="shared" si="160"/>
        <v>SiO2</v>
      </c>
      <c r="C931" s="141">
        <f t="shared" si="161"/>
        <v>0</v>
      </c>
      <c r="D931" s="277">
        <f t="shared" si="162"/>
        <v>439.70711178467099</v>
      </c>
      <c r="E931" s="20">
        <f t="shared" si="167"/>
        <v>11.1</v>
      </c>
      <c r="F931" s="20">
        <f t="shared" si="168"/>
        <v>1.5669999999999999</v>
      </c>
      <c r="G931" s="277">
        <f t="shared" si="163"/>
        <v>0</v>
      </c>
      <c r="H931" s="3">
        <f t="shared" si="169"/>
        <v>0.8354265915980944</v>
      </c>
      <c r="I931" s="277">
        <f t="shared" si="164"/>
        <v>0</v>
      </c>
      <c r="J931" s="83"/>
      <c r="K931" s="83"/>
      <c r="L931" s="83"/>
      <c r="M931" s="385"/>
      <c r="N931" s="362">
        <v>41415</v>
      </c>
      <c r="O931" s="83">
        <v>330</v>
      </c>
      <c r="P931" s="83" t="s">
        <v>1182</v>
      </c>
      <c r="Q931" s="83"/>
      <c r="R931" s="83">
        <v>1</v>
      </c>
      <c r="S931" s="83">
        <v>800</v>
      </c>
      <c r="T931" s="83">
        <v>84</v>
      </c>
      <c r="U931" s="83">
        <v>400</v>
      </c>
      <c r="V931" s="83">
        <v>8</v>
      </c>
      <c r="W931" s="83">
        <v>26.5</v>
      </c>
      <c r="X931" s="83">
        <v>2.5</v>
      </c>
      <c r="Y931" s="83">
        <v>40</v>
      </c>
      <c r="Z931" s="83"/>
      <c r="AA931" s="119"/>
      <c r="AB931" s="84"/>
      <c r="AC931" s="83"/>
      <c r="AD931" s="83"/>
      <c r="AE931" s="83"/>
      <c r="AF931" s="83"/>
      <c r="AG931" s="220"/>
      <c r="AH931" s="344">
        <v>439.70711178467099</v>
      </c>
      <c r="AI931" s="139"/>
      <c r="AJ931" s="139">
        <v>11.1</v>
      </c>
      <c r="AK931" s="139">
        <v>1.5669999999999999</v>
      </c>
      <c r="AL931" s="139">
        <f>(172.6+20.3)/(230.9)</f>
        <v>0.8354265915980944</v>
      </c>
      <c r="AM931" s="83"/>
      <c r="AN931" s="24">
        <f t="shared" si="165"/>
        <v>0</v>
      </c>
      <c r="AO931" s="252">
        <f t="shared" si="159"/>
        <v>0</v>
      </c>
      <c r="AP931" s="65">
        <f t="shared" si="166"/>
        <v>0</v>
      </c>
      <c r="AQ931" s="385"/>
      <c r="AR931" s="162"/>
      <c r="AS931" s="83"/>
      <c r="AT931" s="83"/>
    </row>
    <row r="932" spans="1:46" ht="12">
      <c r="A932" s="137" t="s">
        <v>1244</v>
      </c>
      <c r="B932" s="83" t="str">
        <f t="shared" si="160"/>
        <v>SiO2</v>
      </c>
      <c r="C932" s="141">
        <f t="shared" si="161"/>
        <v>0</v>
      </c>
      <c r="D932" s="277">
        <f t="shared" si="162"/>
        <v>429.26975490116399</v>
      </c>
      <c r="E932" s="20">
        <f t="shared" si="167"/>
        <v>11.31</v>
      </c>
      <c r="F932" s="20">
        <f t="shared" si="168"/>
        <v>1.5580000000000001</v>
      </c>
      <c r="G932" s="277">
        <f t="shared" si="163"/>
        <v>0</v>
      </c>
      <c r="H932" s="3">
        <f t="shared" si="169"/>
        <v>0.84131868131868137</v>
      </c>
      <c r="I932" s="277">
        <f t="shared" si="164"/>
        <v>0</v>
      </c>
      <c r="J932" s="83"/>
      <c r="K932" s="83"/>
      <c r="L932" s="83"/>
      <c r="M932" s="385"/>
      <c r="N932" s="362">
        <v>41415</v>
      </c>
      <c r="O932" s="83">
        <v>330</v>
      </c>
      <c r="P932" s="83" t="s">
        <v>1182</v>
      </c>
      <c r="Q932" s="83"/>
      <c r="R932" s="83">
        <v>2</v>
      </c>
      <c r="S932" s="83">
        <v>800</v>
      </c>
      <c r="T932" s="83">
        <v>84</v>
      </c>
      <c r="U932" s="83">
        <v>400</v>
      </c>
      <c r="V932" s="83">
        <v>8</v>
      </c>
      <c r="W932" s="83">
        <v>26.5</v>
      </c>
      <c r="X932" s="83">
        <v>2.5</v>
      </c>
      <c r="Y932" s="83">
        <v>40</v>
      </c>
      <c r="Z932" s="83"/>
      <c r="AA932" s="119"/>
      <c r="AB932" s="84"/>
      <c r="AC932" s="83"/>
      <c r="AD932" s="83"/>
      <c r="AE932" s="83"/>
      <c r="AF932" s="83"/>
      <c r="AG932" s="220"/>
      <c r="AH932" s="344">
        <v>429.26975490116399</v>
      </c>
      <c r="AI932" s="139"/>
      <c r="AJ932" s="139">
        <v>11.31</v>
      </c>
      <c r="AK932" s="139">
        <v>1.5580000000000001</v>
      </c>
      <c r="AL932" s="139">
        <f>(171.1+20.3)/(227.5)</f>
        <v>0.84131868131868137</v>
      </c>
      <c r="AM932" s="83"/>
      <c r="AN932" s="24">
        <f t="shared" si="165"/>
        <v>0</v>
      </c>
      <c r="AO932" s="252">
        <f t="shared" si="159"/>
        <v>0</v>
      </c>
      <c r="AP932" s="65">
        <f t="shared" si="166"/>
        <v>0</v>
      </c>
      <c r="AQ932" s="385"/>
      <c r="AR932" s="162"/>
      <c r="AS932" s="83"/>
      <c r="AT932" s="83"/>
    </row>
    <row r="933" spans="1:46" ht="12">
      <c r="A933" s="137" t="s">
        <v>1245</v>
      </c>
      <c r="B933" s="83" t="str">
        <f t="shared" si="160"/>
        <v>SiO2</v>
      </c>
      <c r="C933" s="141">
        <f t="shared" si="161"/>
        <v>0</v>
      </c>
      <c r="D933" s="277">
        <f t="shared" si="162"/>
        <v>363.96936824537602</v>
      </c>
      <c r="E933" s="20">
        <f t="shared" si="167"/>
        <v>12.14</v>
      </c>
      <c r="F933" s="20">
        <f t="shared" si="168"/>
        <v>1.395</v>
      </c>
      <c r="G933" s="277">
        <f t="shared" si="163"/>
        <v>0</v>
      </c>
      <c r="H933" s="3">
        <f t="shared" si="169"/>
        <v>0.89148128052088982</v>
      </c>
      <c r="I933" s="277">
        <f t="shared" si="164"/>
        <v>0</v>
      </c>
      <c r="J933" s="83"/>
      <c r="K933" s="83"/>
      <c r="L933" s="83"/>
      <c r="M933" s="385"/>
      <c r="N933" s="362">
        <v>41415</v>
      </c>
      <c r="O933" s="83">
        <v>330</v>
      </c>
      <c r="P933" s="83" t="s">
        <v>1182</v>
      </c>
      <c r="Q933" s="83"/>
      <c r="R933" s="83">
        <v>3</v>
      </c>
      <c r="S933" s="83">
        <v>800</v>
      </c>
      <c r="T933" s="83">
        <v>84</v>
      </c>
      <c r="U933" s="83">
        <v>400</v>
      </c>
      <c r="V933" s="83">
        <v>8</v>
      </c>
      <c r="W933" s="83">
        <v>26.5</v>
      </c>
      <c r="X933" s="83">
        <v>2.5</v>
      </c>
      <c r="Y933" s="83">
        <v>40</v>
      </c>
      <c r="Z933" s="83"/>
      <c r="AA933" s="119"/>
      <c r="AB933" s="84"/>
      <c r="AC933" s="83"/>
      <c r="AD933" s="83"/>
      <c r="AE933" s="83"/>
      <c r="AF933" s="83"/>
      <c r="AG933" s="220"/>
      <c r="AH933" s="344">
        <v>363.96936824537602</v>
      </c>
      <c r="AI933" s="139"/>
      <c r="AJ933" s="394">
        <v>12.14</v>
      </c>
      <c r="AK933" s="64">
        <v>1.395</v>
      </c>
      <c r="AL933" s="139">
        <f>(20+144.3)/184.3</f>
        <v>0.89148128052088982</v>
      </c>
      <c r="AM933" s="83"/>
      <c r="AN933" s="24">
        <f t="shared" si="165"/>
        <v>0</v>
      </c>
      <c r="AO933" s="252">
        <f>(AF933*AH933)*AJ934</f>
        <v>0</v>
      </c>
      <c r="AP933" s="65">
        <f t="shared" si="166"/>
        <v>0</v>
      </c>
      <c r="AQ933" s="385"/>
      <c r="AR933" s="162"/>
      <c r="AS933" s="83"/>
      <c r="AT933" s="83"/>
    </row>
    <row r="934" spans="1:46" ht="12">
      <c r="A934" s="137" t="s">
        <v>1246</v>
      </c>
      <c r="B934" s="83" t="str">
        <f t="shared" si="160"/>
        <v>SiO2</v>
      </c>
      <c r="C934" s="141">
        <f t="shared" si="161"/>
        <v>0</v>
      </c>
      <c r="D934" s="277">
        <f t="shared" si="162"/>
        <v>436.76324189445103</v>
      </c>
      <c r="E934" s="20">
        <f t="shared" si="167"/>
        <v>11.17</v>
      </c>
      <c r="F934" s="20">
        <f t="shared" si="168"/>
        <v>1.5820000000000001</v>
      </c>
      <c r="G934" s="277">
        <f t="shared" si="163"/>
        <v>0</v>
      </c>
      <c r="H934" s="3">
        <f t="shared" si="169"/>
        <v>0.82772364924712138</v>
      </c>
      <c r="I934" s="277">
        <f t="shared" si="164"/>
        <v>0</v>
      </c>
      <c r="J934" s="83"/>
      <c r="K934" s="83"/>
      <c r="L934" s="83"/>
      <c r="M934" s="385"/>
      <c r="N934" s="362">
        <v>41415</v>
      </c>
      <c r="O934" s="83">
        <v>330</v>
      </c>
      <c r="P934" s="83" t="s">
        <v>1182</v>
      </c>
      <c r="Q934" s="83"/>
      <c r="R934" s="83">
        <v>4</v>
      </c>
      <c r="S934" s="83">
        <v>800</v>
      </c>
      <c r="T934" s="83">
        <v>84</v>
      </c>
      <c r="U934" s="83">
        <v>400</v>
      </c>
      <c r="V934" s="83">
        <v>8</v>
      </c>
      <c r="W934" s="83">
        <v>26.5</v>
      </c>
      <c r="X934" s="83">
        <v>2.5</v>
      </c>
      <c r="Y934" s="83">
        <v>40</v>
      </c>
      <c r="Z934" s="83"/>
      <c r="AA934" s="119"/>
      <c r="AB934" s="84"/>
      <c r="AC934" s="83"/>
      <c r="AD934" s="83"/>
      <c r="AE934" s="83"/>
      <c r="AF934" s="83"/>
      <c r="AG934" s="220"/>
      <c r="AH934" s="344">
        <v>436.76324189445103</v>
      </c>
      <c r="AI934" s="139"/>
      <c r="AJ934" s="139">
        <v>11.17</v>
      </c>
      <c r="AK934" s="139">
        <v>1.5820000000000001</v>
      </c>
      <c r="AL934" s="139">
        <f>(166.6+20.3)/(225.8)</f>
        <v>0.82772364924712138</v>
      </c>
      <c r="AM934" s="83"/>
      <c r="AN934" s="24">
        <f t="shared" si="165"/>
        <v>0</v>
      </c>
      <c r="AO934" s="252">
        <f t="shared" ref="AO934:AO997" si="170">(AF934*AH934)*AJ934</f>
        <v>0</v>
      </c>
      <c r="AP934" s="65">
        <f t="shared" si="166"/>
        <v>0</v>
      </c>
      <c r="AQ934" s="385"/>
      <c r="AR934" s="162"/>
      <c r="AS934" s="83"/>
      <c r="AT934" s="83"/>
    </row>
    <row r="935" spans="1:46" ht="12">
      <c r="A935" s="137" t="s">
        <v>1247</v>
      </c>
      <c r="B935" s="83" t="str">
        <f t="shared" si="160"/>
        <v>SiO2</v>
      </c>
      <c r="C935" s="141">
        <f t="shared" si="161"/>
        <v>0</v>
      </c>
      <c r="D935" s="277">
        <f t="shared" si="162"/>
        <v>441.13444264053601</v>
      </c>
      <c r="E935" s="20">
        <f t="shared" si="167"/>
        <v>11.09</v>
      </c>
      <c r="F935" s="20">
        <f t="shared" si="168"/>
        <v>1.581</v>
      </c>
      <c r="G935" s="277">
        <f t="shared" si="163"/>
        <v>0</v>
      </c>
      <c r="H935" s="3">
        <f t="shared" si="169"/>
        <v>0.8295847750865053</v>
      </c>
      <c r="I935" s="277">
        <f t="shared" si="164"/>
        <v>0</v>
      </c>
      <c r="J935" s="83"/>
      <c r="K935" s="83"/>
      <c r="L935" s="83"/>
      <c r="M935" s="385"/>
      <c r="N935" s="362">
        <v>41415</v>
      </c>
      <c r="O935" s="83">
        <v>330</v>
      </c>
      <c r="P935" s="83" t="s">
        <v>1182</v>
      </c>
      <c r="Q935" s="83"/>
      <c r="R935" s="83">
        <v>5</v>
      </c>
      <c r="S935" s="83">
        <v>800</v>
      </c>
      <c r="T935" s="83">
        <v>84</v>
      </c>
      <c r="U935" s="83">
        <v>400</v>
      </c>
      <c r="V935" s="83">
        <v>8</v>
      </c>
      <c r="W935" s="83">
        <v>26.5</v>
      </c>
      <c r="X935" s="83">
        <v>2.5</v>
      </c>
      <c r="Y935" s="83">
        <v>40</v>
      </c>
      <c r="Z935" s="83"/>
      <c r="AA935" s="119"/>
      <c r="AB935" s="84"/>
      <c r="AC935" s="83"/>
      <c r="AD935" s="83"/>
      <c r="AE935" s="83"/>
      <c r="AF935" s="83"/>
      <c r="AG935" s="220"/>
      <c r="AH935" s="344">
        <v>441.13444264053601</v>
      </c>
      <c r="AI935" s="139"/>
      <c r="AJ935" s="139">
        <v>11.09</v>
      </c>
      <c r="AK935" s="139">
        <v>1.581</v>
      </c>
      <c r="AL935" s="139">
        <f>(171.5+20.3)/(231.2)</f>
        <v>0.8295847750865053</v>
      </c>
      <c r="AM935" s="83"/>
      <c r="AN935" s="24">
        <f t="shared" si="165"/>
        <v>0</v>
      </c>
      <c r="AO935" s="252">
        <f t="shared" si="170"/>
        <v>0</v>
      </c>
      <c r="AP935" s="65">
        <f t="shared" si="166"/>
        <v>0</v>
      </c>
      <c r="AQ935" s="385"/>
      <c r="AR935" s="162"/>
      <c r="AS935" s="83"/>
      <c r="AT935" s="83"/>
    </row>
    <row r="936" spans="1:46" ht="12">
      <c r="A936" s="111" t="s">
        <v>1248</v>
      </c>
      <c r="B936" s="81" t="str">
        <f t="shared" si="160"/>
        <v>MgO</v>
      </c>
      <c r="C936" s="141">
        <f t="shared" si="161"/>
        <v>4.46</v>
      </c>
      <c r="D936" s="277">
        <f t="shared" si="162"/>
        <v>308.21425668818</v>
      </c>
      <c r="E936" s="20">
        <f t="shared" si="167"/>
        <v>12.02</v>
      </c>
      <c r="F936" s="20">
        <f t="shared" si="168"/>
        <v>1.3939999999999999</v>
      </c>
      <c r="G936" s="277">
        <f t="shared" si="163"/>
        <v>137.46355848292828</v>
      </c>
      <c r="H936" s="3">
        <f t="shared" si="169"/>
        <v>0.76553980370774266</v>
      </c>
      <c r="I936" s="277">
        <f t="shared" si="164"/>
        <v>16523.11972964798</v>
      </c>
      <c r="J936" s="81"/>
      <c r="K936" s="81"/>
      <c r="L936" s="81"/>
      <c r="M936" s="52"/>
      <c r="N936" s="336">
        <v>41415</v>
      </c>
      <c r="O936" s="81">
        <v>330</v>
      </c>
      <c r="P936" s="81" t="s">
        <v>46</v>
      </c>
      <c r="Q936" s="81"/>
      <c r="R936" s="81">
        <v>6</v>
      </c>
      <c r="S936" s="81">
        <v>800</v>
      </c>
      <c r="T936" s="81">
        <v>84</v>
      </c>
      <c r="U936" s="81">
        <v>400</v>
      </c>
      <c r="V936" s="81">
        <v>8</v>
      </c>
      <c r="W936" s="81">
        <v>26.5</v>
      </c>
      <c r="X936" s="81">
        <v>2.5</v>
      </c>
      <c r="Y936" s="81">
        <v>40</v>
      </c>
      <c r="Z936" s="81"/>
      <c r="AA936" s="234"/>
      <c r="AB936" s="199">
        <v>0.19950000000000001</v>
      </c>
      <c r="AC936" s="81">
        <v>0.56950000000000001</v>
      </c>
      <c r="AD936" s="81">
        <v>0.2311</v>
      </c>
      <c r="AE936" s="81" t="s">
        <v>47</v>
      </c>
      <c r="AF936" s="81">
        <v>4.46</v>
      </c>
      <c r="AG936" s="95"/>
      <c r="AH936" s="97">
        <v>308.21425668818</v>
      </c>
      <c r="AI936" s="20"/>
      <c r="AJ936" s="20">
        <v>12.02</v>
      </c>
      <c r="AK936" s="20">
        <v>1.3939999999999999</v>
      </c>
      <c r="AL936" s="20">
        <f>(20+120.4)/183.4</f>
        <v>0.76553980370774266</v>
      </c>
      <c r="AM936" s="81"/>
      <c r="AN936" s="24">
        <f t="shared" si="165"/>
        <v>137.46355848292828</v>
      </c>
      <c r="AO936" s="189">
        <f t="shared" si="170"/>
        <v>16523.11972964798</v>
      </c>
      <c r="AP936" s="184">
        <f t="shared" ref="AP936:AP967" si="171">(AF936/T936)*60</f>
        <v>3.1857142857142859</v>
      </c>
      <c r="AQ936" s="52"/>
      <c r="AR936" s="357"/>
      <c r="AS936" s="81"/>
      <c r="AT936" s="81"/>
    </row>
    <row r="937" spans="1:46" ht="12">
      <c r="A937" s="326" t="s">
        <v>1249</v>
      </c>
      <c r="B937" s="257" t="str">
        <f t="shared" si="160"/>
        <v>SiNx</v>
      </c>
      <c r="C937" s="141">
        <f t="shared" si="161"/>
        <v>0</v>
      </c>
      <c r="D937" s="277">
        <f t="shared" si="162"/>
        <v>445.86247610058598</v>
      </c>
      <c r="E937" s="20">
        <f t="shared" si="167"/>
        <v>11.01</v>
      </c>
      <c r="F937" s="20">
        <f t="shared" si="168"/>
        <v>1.67</v>
      </c>
      <c r="G937" s="277">
        <f t="shared" si="163"/>
        <v>0</v>
      </c>
      <c r="H937" s="3">
        <f t="shared" si="169"/>
        <v>0.82480556692591078</v>
      </c>
      <c r="I937" s="277">
        <f t="shared" si="164"/>
        <v>0</v>
      </c>
      <c r="J937" s="257"/>
      <c r="K937" s="257" t="s">
        <v>1250</v>
      </c>
      <c r="L937" s="257"/>
      <c r="M937" s="269"/>
      <c r="N937" s="175">
        <v>41416</v>
      </c>
      <c r="O937" s="257">
        <v>332</v>
      </c>
      <c r="P937" s="257" t="s">
        <v>187</v>
      </c>
      <c r="Q937" s="257"/>
      <c r="R937" s="257">
        <v>1</v>
      </c>
      <c r="S937" s="257">
        <v>800</v>
      </c>
      <c r="T937" s="257">
        <v>84</v>
      </c>
      <c r="U937" s="257">
        <v>400</v>
      </c>
      <c r="V937" s="257">
        <v>8</v>
      </c>
      <c r="W937" s="257">
        <v>26.5</v>
      </c>
      <c r="X937" s="257">
        <v>2.5</v>
      </c>
      <c r="Y937" s="257">
        <v>40</v>
      </c>
      <c r="Z937" s="257"/>
      <c r="AA937" s="164"/>
      <c r="AB937" s="289"/>
      <c r="AC937" s="257"/>
      <c r="AD937" s="257"/>
      <c r="AE937" s="257"/>
      <c r="AF937" s="257"/>
      <c r="AG937" s="114"/>
      <c r="AH937" s="266">
        <v>445.86247610058598</v>
      </c>
      <c r="AI937" s="96"/>
      <c r="AJ937" s="96">
        <v>11.01</v>
      </c>
      <c r="AK937" s="96">
        <v>1.67</v>
      </c>
      <c r="AL937" s="96">
        <f>(182.5+19)/(244.3)</f>
        <v>0.82480556692591078</v>
      </c>
      <c r="AM937" s="257"/>
      <c r="AN937" s="24">
        <f t="shared" si="165"/>
        <v>0</v>
      </c>
      <c r="AO937" s="188">
        <f t="shared" si="170"/>
        <v>0</v>
      </c>
      <c r="AP937" s="254">
        <f t="shared" si="171"/>
        <v>0</v>
      </c>
      <c r="AQ937" s="269"/>
      <c r="AR937" s="179"/>
      <c r="AS937" s="257"/>
      <c r="AT937" s="257"/>
    </row>
    <row r="938" spans="1:46" ht="12">
      <c r="A938" s="326" t="s">
        <v>1251</v>
      </c>
      <c r="B938" s="257" t="str">
        <f t="shared" si="160"/>
        <v>SiNx</v>
      </c>
      <c r="C938" s="141">
        <f t="shared" si="161"/>
        <v>0</v>
      </c>
      <c r="D938" s="277">
        <f t="shared" si="162"/>
        <v>439.26107089221398</v>
      </c>
      <c r="E938" s="20">
        <f t="shared" si="167"/>
        <v>11.07</v>
      </c>
      <c r="F938" s="20">
        <f t="shared" si="168"/>
        <v>1.61</v>
      </c>
      <c r="G938" s="277">
        <f t="shared" si="163"/>
        <v>0</v>
      </c>
      <c r="H938" s="3">
        <f t="shared" si="169"/>
        <v>0.82642276422764227</v>
      </c>
      <c r="I938" s="277">
        <f t="shared" si="164"/>
        <v>0</v>
      </c>
      <c r="J938" s="257"/>
      <c r="K938" s="257" t="s">
        <v>1250</v>
      </c>
      <c r="L938" s="257"/>
      <c r="M938" s="269"/>
      <c r="N938" s="175">
        <v>41416</v>
      </c>
      <c r="O938" s="257">
        <v>332</v>
      </c>
      <c r="P938" s="257" t="s">
        <v>187</v>
      </c>
      <c r="Q938" s="257"/>
      <c r="R938" s="257">
        <v>2</v>
      </c>
      <c r="S938" s="257">
        <v>800</v>
      </c>
      <c r="T938" s="257">
        <v>84</v>
      </c>
      <c r="U938" s="257">
        <v>400</v>
      </c>
      <c r="V938" s="257">
        <v>8</v>
      </c>
      <c r="W938" s="257">
        <v>26.5</v>
      </c>
      <c r="X938" s="257">
        <v>2.5</v>
      </c>
      <c r="Y938" s="257">
        <v>40</v>
      </c>
      <c r="Z938" s="257"/>
      <c r="AA938" s="164"/>
      <c r="AB938" s="289"/>
      <c r="AC938" s="257"/>
      <c r="AD938" s="257"/>
      <c r="AE938" s="257"/>
      <c r="AF938" s="257"/>
      <c r="AG938" s="114"/>
      <c r="AH938" s="266">
        <v>439.26107089221398</v>
      </c>
      <c r="AI938" s="96"/>
      <c r="AJ938" s="96">
        <v>11.07</v>
      </c>
      <c r="AK938" s="96">
        <v>1.61</v>
      </c>
      <c r="AL938" s="96">
        <f>(184.3+19)/246</f>
        <v>0.82642276422764227</v>
      </c>
      <c r="AM938" s="257"/>
      <c r="AN938" s="24">
        <f t="shared" si="165"/>
        <v>0</v>
      </c>
      <c r="AO938" s="188">
        <f t="shared" si="170"/>
        <v>0</v>
      </c>
      <c r="AP938" s="254">
        <f t="shared" si="171"/>
        <v>0</v>
      </c>
      <c r="AQ938" s="269"/>
      <c r="AR938" s="179"/>
      <c r="AS938" s="257"/>
      <c r="AT938" s="257"/>
    </row>
    <row r="939" spans="1:46" ht="12">
      <c r="A939" s="326" t="s">
        <v>1252</v>
      </c>
      <c r="B939" s="257" t="str">
        <f t="shared" si="160"/>
        <v>SiNx</v>
      </c>
      <c r="C939" s="141">
        <f t="shared" si="161"/>
        <v>0</v>
      </c>
      <c r="D939" s="277">
        <f t="shared" si="162"/>
        <v>364.50461731632498</v>
      </c>
      <c r="E939" s="20">
        <f t="shared" si="167"/>
        <v>12.04</v>
      </c>
      <c r="F939" s="20">
        <f t="shared" si="168"/>
        <v>1.44</v>
      </c>
      <c r="G939" s="277">
        <f t="shared" si="163"/>
        <v>0</v>
      </c>
      <c r="H939" s="3">
        <f t="shared" si="169"/>
        <v>0.88338658146964855</v>
      </c>
      <c r="I939" s="277">
        <f t="shared" si="164"/>
        <v>0</v>
      </c>
      <c r="J939" s="257"/>
      <c r="K939" s="257" t="s">
        <v>1250</v>
      </c>
      <c r="L939" s="257"/>
      <c r="M939" s="269"/>
      <c r="N939" s="175">
        <v>41416</v>
      </c>
      <c r="O939" s="257">
        <v>332</v>
      </c>
      <c r="P939" s="257" t="s">
        <v>187</v>
      </c>
      <c r="Q939" s="257"/>
      <c r="R939" s="257">
        <v>3</v>
      </c>
      <c r="S939" s="257">
        <v>800</v>
      </c>
      <c r="T939" s="257">
        <v>84</v>
      </c>
      <c r="U939" s="257">
        <v>400</v>
      </c>
      <c r="V939" s="257">
        <v>8</v>
      </c>
      <c r="W939" s="257">
        <v>26.5</v>
      </c>
      <c r="X939" s="257">
        <v>2.5</v>
      </c>
      <c r="Y939" s="257">
        <v>40</v>
      </c>
      <c r="Z939" s="257"/>
      <c r="AA939" s="164"/>
      <c r="AB939" s="289"/>
      <c r="AC939" s="257"/>
      <c r="AD939" s="257"/>
      <c r="AE939" s="257"/>
      <c r="AF939" s="257"/>
      <c r="AG939" s="114"/>
      <c r="AH939" s="266">
        <v>364.50461731632498</v>
      </c>
      <c r="AI939" s="96"/>
      <c r="AJ939" s="96">
        <v>12.04</v>
      </c>
      <c r="AK939" s="96">
        <v>1.44</v>
      </c>
      <c r="AL939" s="96">
        <f>(146.9+19)/187.8</f>
        <v>0.88338658146964855</v>
      </c>
      <c r="AM939" s="257"/>
      <c r="AN939" s="24">
        <f t="shared" si="165"/>
        <v>0</v>
      </c>
      <c r="AO939" s="188">
        <f t="shared" si="170"/>
        <v>0</v>
      </c>
      <c r="AP939" s="254">
        <f t="shared" si="171"/>
        <v>0</v>
      </c>
      <c r="AQ939" s="269"/>
      <c r="AR939" s="179"/>
      <c r="AS939" s="257"/>
      <c r="AT939" s="257"/>
    </row>
    <row r="940" spans="1:46" ht="12">
      <c r="A940" s="326" t="s">
        <v>1253</v>
      </c>
      <c r="B940" s="257" t="str">
        <f t="shared" si="160"/>
        <v>SiNx</v>
      </c>
      <c r="C940" s="141">
        <f t="shared" si="161"/>
        <v>0</v>
      </c>
      <c r="D940" s="277">
        <f t="shared" si="162"/>
        <v>438.90423817824802</v>
      </c>
      <c r="E940" s="20">
        <f t="shared" si="167"/>
        <v>11.04</v>
      </c>
      <c r="F940" s="20">
        <f t="shared" si="168"/>
        <v>1.68</v>
      </c>
      <c r="G940" s="277">
        <f t="shared" si="163"/>
        <v>0</v>
      </c>
      <c r="H940" s="3">
        <f t="shared" si="169"/>
        <v>0.82821576763485472</v>
      </c>
      <c r="I940" s="277">
        <f t="shared" si="164"/>
        <v>0</v>
      </c>
      <c r="J940" s="257"/>
      <c r="K940" s="257" t="s">
        <v>1250</v>
      </c>
      <c r="L940" s="257"/>
      <c r="M940" s="269"/>
      <c r="N940" s="175">
        <v>41416</v>
      </c>
      <c r="O940" s="257">
        <v>332</v>
      </c>
      <c r="P940" s="257" t="s">
        <v>187</v>
      </c>
      <c r="Q940" s="257"/>
      <c r="R940" s="257">
        <v>4</v>
      </c>
      <c r="S940" s="257">
        <v>800</v>
      </c>
      <c r="T940" s="257">
        <v>84</v>
      </c>
      <c r="U940" s="257">
        <v>400</v>
      </c>
      <c r="V940" s="257">
        <v>8</v>
      </c>
      <c r="W940" s="257">
        <v>26.5</v>
      </c>
      <c r="X940" s="257">
        <v>2.5</v>
      </c>
      <c r="Y940" s="257">
        <v>40</v>
      </c>
      <c r="Z940" s="257"/>
      <c r="AA940" s="164"/>
      <c r="AB940" s="289"/>
      <c r="AC940" s="257"/>
      <c r="AD940" s="257"/>
      <c r="AE940" s="257"/>
      <c r="AF940" s="257"/>
      <c r="AG940" s="114"/>
      <c r="AH940" s="266">
        <v>438.90423817824802</v>
      </c>
      <c r="AI940" s="96"/>
      <c r="AJ940" s="96">
        <v>11.04</v>
      </c>
      <c r="AK940" s="96">
        <v>1.68</v>
      </c>
      <c r="AL940" s="96">
        <f>(180.6+19)/241</f>
        <v>0.82821576763485472</v>
      </c>
      <c r="AM940" s="257"/>
      <c r="AN940" s="24">
        <f t="shared" si="165"/>
        <v>0</v>
      </c>
      <c r="AO940" s="188">
        <f t="shared" si="170"/>
        <v>0</v>
      </c>
      <c r="AP940" s="254">
        <f t="shared" si="171"/>
        <v>0</v>
      </c>
      <c r="AQ940" s="269"/>
      <c r="AR940" s="179"/>
      <c r="AS940" s="257"/>
      <c r="AT940" s="257"/>
    </row>
    <row r="941" spans="1:46" ht="12">
      <c r="A941" s="326" t="s">
        <v>1254</v>
      </c>
      <c r="B941" s="257" t="str">
        <f t="shared" si="160"/>
        <v>SiNx</v>
      </c>
      <c r="C941" s="141">
        <f t="shared" si="161"/>
        <v>0</v>
      </c>
      <c r="D941" s="277">
        <f t="shared" si="162"/>
        <v>443.72147981678899</v>
      </c>
      <c r="E941" s="20">
        <f t="shared" si="167"/>
        <v>10.99</v>
      </c>
      <c r="F941" s="20">
        <f t="shared" si="168"/>
        <v>1.67</v>
      </c>
      <c r="G941" s="277">
        <f t="shared" si="163"/>
        <v>0</v>
      </c>
      <c r="H941" s="3">
        <f t="shared" si="169"/>
        <v>0.82407782732063239</v>
      </c>
      <c r="I941" s="277">
        <f t="shared" si="164"/>
        <v>0</v>
      </c>
      <c r="J941" s="257"/>
      <c r="K941" s="257" t="s">
        <v>1250</v>
      </c>
      <c r="L941" s="257"/>
      <c r="M941" s="269"/>
      <c r="N941" s="175">
        <v>41416</v>
      </c>
      <c r="O941" s="257">
        <v>332</v>
      </c>
      <c r="P941" s="257" t="s">
        <v>187</v>
      </c>
      <c r="Q941" s="257"/>
      <c r="R941" s="257">
        <v>5</v>
      </c>
      <c r="S941" s="257">
        <v>800</v>
      </c>
      <c r="T941" s="257">
        <v>84</v>
      </c>
      <c r="U941" s="257">
        <v>400</v>
      </c>
      <c r="V941" s="257">
        <v>8</v>
      </c>
      <c r="W941" s="257">
        <v>26.5</v>
      </c>
      <c r="X941" s="257">
        <v>2.5</v>
      </c>
      <c r="Y941" s="257">
        <v>40</v>
      </c>
      <c r="Z941" s="257"/>
      <c r="AA941" s="164"/>
      <c r="AB941" s="289"/>
      <c r="AC941" s="257"/>
      <c r="AD941" s="257"/>
      <c r="AE941" s="257"/>
      <c r="AF941" s="257"/>
      <c r="AG941" s="114"/>
      <c r="AH941" s="266">
        <v>443.72147981678899</v>
      </c>
      <c r="AI941" s="96"/>
      <c r="AJ941" s="96">
        <v>10.99</v>
      </c>
      <c r="AK941" s="96">
        <v>1.67</v>
      </c>
      <c r="AL941" s="96">
        <f>(184.3+19)/246.7</f>
        <v>0.82407782732063239</v>
      </c>
      <c r="AM941" s="257"/>
      <c r="AN941" s="24">
        <f t="shared" si="165"/>
        <v>0</v>
      </c>
      <c r="AO941" s="188">
        <f t="shared" si="170"/>
        <v>0</v>
      </c>
      <c r="AP941" s="254">
        <f t="shared" si="171"/>
        <v>0</v>
      </c>
      <c r="AQ941" s="269"/>
      <c r="AR941" s="179"/>
      <c r="AS941" s="257"/>
      <c r="AT941" s="257"/>
    </row>
    <row r="942" spans="1:46" ht="12">
      <c r="A942" s="111" t="s">
        <v>1255</v>
      </c>
      <c r="B942" s="81" t="str">
        <f t="shared" si="160"/>
        <v>MgO</v>
      </c>
      <c r="C942" s="141">
        <f t="shared" si="161"/>
        <v>4.54</v>
      </c>
      <c r="D942" s="277">
        <f t="shared" si="162"/>
        <v>282.25467674714901</v>
      </c>
      <c r="E942" s="20">
        <f t="shared" si="167"/>
        <v>12.24</v>
      </c>
      <c r="F942" s="20">
        <f t="shared" si="168"/>
        <v>1.1599999999999999</v>
      </c>
      <c r="G942" s="277">
        <f t="shared" si="163"/>
        <v>128.14362324320564</v>
      </c>
      <c r="H942" s="3">
        <f t="shared" si="169"/>
        <v>0.81424375917767999</v>
      </c>
      <c r="I942" s="277">
        <f t="shared" si="164"/>
        <v>15684.779484968371</v>
      </c>
      <c r="J942" s="81"/>
      <c r="K942" s="81"/>
      <c r="L942" s="81"/>
      <c r="M942" s="52"/>
      <c r="N942" s="336">
        <v>41416</v>
      </c>
      <c r="O942" s="81">
        <v>332</v>
      </c>
      <c r="P942" s="81" t="s">
        <v>46</v>
      </c>
      <c r="Q942" s="81"/>
      <c r="R942" s="81">
        <v>6</v>
      </c>
      <c r="S942" s="81">
        <v>800</v>
      </c>
      <c r="T942" s="81">
        <v>84</v>
      </c>
      <c r="U942" s="81">
        <v>400</v>
      </c>
      <c r="V942" s="81">
        <v>8</v>
      </c>
      <c r="W942" s="81">
        <v>26.5</v>
      </c>
      <c r="X942" s="81">
        <v>2.5</v>
      </c>
      <c r="Y942" s="81">
        <v>40</v>
      </c>
      <c r="Z942" s="81"/>
      <c r="AA942" s="234"/>
      <c r="AB942" s="199">
        <v>0.20380000000000001</v>
      </c>
      <c r="AC942" s="81">
        <v>0.56559999999999999</v>
      </c>
      <c r="AD942" s="81">
        <v>0.23069999999999999</v>
      </c>
      <c r="AE942" s="81" t="s">
        <v>47</v>
      </c>
      <c r="AF942" s="81">
        <v>4.54</v>
      </c>
      <c r="AG942" s="95"/>
      <c r="AH942" s="97">
        <v>282.25467674714901</v>
      </c>
      <c r="AI942" s="20"/>
      <c r="AJ942" s="20">
        <v>12.24</v>
      </c>
      <c r="AK942" s="20">
        <v>1.1599999999999999</v>
      </c>
      <c r="AL942" s="96">
        <f>(91.9+19)/136.2</f>
        <v>0.81424375917767999</v>
      </c>
      <c r="AM942" s="81"/>
      <c r="AN942" s="24">
        <f t="shared" si="165"/>
        <v>128.14362324320564</v>
      </c>
      <c r="AO942" s="189">
        <f t="shared" si="170"/>
        <v>15684.779484968371</v>
      </c>
      <c r="AP942" s="184">
        <f t="shared" si="171"/>
        <v>3.2428571428571429</v>
      </c>
      <c r="AQ942" s="52"/>
      <c r="AR942" s="357"/>
      <c r="AS942" s="81"/>
      <c r="AT942" s="81"/>
    </row>
    <row r="943" spans="1:46" ht="12">
      <c r="A943" s="326" t="s">
        <v>1256</v>
      </c>
      <c r="B943" s="257" t="str">
        <f t="shared" si="160"/>
        <v>SiNx</v>
      </c>
      <c r="C943" s="141">
        <f t="shared" si="161"/>
        <v>0</v>
      </c>
      <c r="D943" s="277">
        <f t="shared" si="162"/>
        <v>317.58111542978901</v>
      </c>
      <c r="E943" s="20">
        <f t="shared" si="167"/>
        <v>11.77</v>
      </c>
      <c r="F943" s="20">
        <f t="shared" si="168"/>
        <v>1.339</v>
      </c>
      <c r="G943" s="277">
        <f t="shared" si="163"/>
        <v>0</v>
      </c>
      <c r="H943" s="3">
        <f t="shared" si="169"/>
        <v>0.86897767332549947</v>
      </c>
      <c r="I943" s="277">
        <f t="shared" si="164"/>
        <v>0</v>
      </c>
      <c r="J943" s="257"/>
      <c r="K943" s="257" t="s">
        <v>1250</v>
      </c>
      <c r="L943" s="257"/>
      <c r="M943" s="269"/>
      <c r="N943" s="175">
        <v>41417</v>
      </c>
      <c r="O943" s="257">
        <v>333</v>
      </c>
      <c r="P943" s="257" t="s">
        <v>187</v>
      </c>
      <c r="Q943" s="257"/>
      <c r="R943" s="257">
        <v>1</v>
      </c>
      <c r="S943" s="257">
        <v>800</v>
      </c>
      <c r="T943" s="257">
        <v>105</v>
      </c>
      <c r="U943" s="257">
        <v>400</v>
      </c>
      <c r="V943" s="257">
        <v>8</v>
      </c>
      <c r="W943" s="257">
        <v>26.5</v>
      </c>
      <c r="X943" s="257">
        <v>2.5</v>
      </c>
      <c r="Y943" s="257">
        <v>40</v>
      </c>
      <c r="Z943" s="257"/>
      <c r="AA943" s="164"/>
      <c r="AB943" s="289"/>
      <c r="AC943" s="257"/>
      <c r="AD943" s="257"/>
      <c r="AE943" s="257"/>
      <c r="AF943" s="257"/>
      <c r="AG943" s="114"/>
      <c r="AH943" s="266">
        <v>317.58111542978901</v>
      </c>
      <c r="AI943" s="96"/>
      <c r="AJ943" s="96">
        <v>11.77</v>
      </c>
      <c r="AK943" s="96">
        <v>1.339</v>
      </c>
      <c r="AL943" s="96">
        <f>(20+127.9)/170.2</f>
        <v>0.86897767332549947</v>
      </c>
      <c r="AM943" s="257"/>
      <c r="AN943" s="24">
        <f t="shared" si="165"/>
        <v>0</v>
      </c>
      <c r="AO943" s="188">
        <f t="shared" si="170"/>
        <v>0</v>
      </c>
      <c r="AP943" s="254">
        <f t="shared" si="171"/>
        <v>0</v>
      </c>
      <c r="AQ943" s="269"/>
      <c r="AR943" s="179"/>
      <c r="AS943" s="257"/>
      <c r="AT943" s="257"/>
    </row>
    <row r="944" spans="1:46" ht="12">
      <c r="A944" s="326" t="s">
        <v>1257</v>
      </c>
      <c r="B944" s="257" t="str">
        <f t="shared" si="160"/>
        <v>SiNx</v>
      </c>
      <c r="C944" s="141">
        <f t="shared" si="161"/>
        <v>0</v>
      </c>
      <c r="D944" s="277">
        <f t="shared" si="162"/>
        <v>315.61853550297599</v>
      </c>
      <c r="E944" s="20">
        <f t="shared" si="167"/>
        <v>11.8</v>
      </c>
      <c r="F944" s="20">
        <f t="shared" si="168"/>
        <v>1.3109999999999999</v>
      </c>
      <c r="G944" s="277">
        <f t="shared" si="163"/>
        <v>0</v>
      </c>
      <c r="H944" s="3">
        <f t="shared" si="169"/>
        <v>0.86886227544910177</v>
      </c>
      <c r="I944" s="277">
        <f t="shared" si="164"/>
        <v>0</v>
      </c>
      <c r="J944" s="257"/>
      <c r="K944" s="257" t="s">
        <v>1250</v>
      </c>
      <c r="L944" s="257"/>
      <c r="M944" s="269"/>
      <c r="N944" s="175">
        <v>41417</v>
      </c>
      <c r="O944" s="257">
        <v>333</v>
      </c>
      <c r="P944" s="257" t="s">
        <v>187</v>
      </c>
      <c r="Q944" s="257"/>
      <c r="R944" s="257">
        <v>2</v>
      </c>
      <c r="S944" s="257">
        <v>800</v>
      </c>
      <c r="T944" s="257">
        <v>105</v>
      </c>
      <c r="U944" s="257">
        <v>400</v>
      </c>
      <c r="V944" s="257">
        <v>8</v>
      </c>
      <c r="W944" s="257">
        <v>26.5</v>
      </c>
      <c r="X944" s="257">
        <v>2.5</v>
      </c>
      <c r="Y944" s="257">
        <v>40</v>
      </c>
      <c r="Z944" s="257"/>
      <c r="AA944" s="164"/>
      <c r="AB944" s="289"/>
      <c r="AC944" s="257"/>
      <c r="AD944" s="257"/>
      <c r="AE944" s="257"/>
      <c r="AF944" s="257"/>
      <c r="AG944" s="114"/>
      <c r="AH944" s="266">
        <v>315.61853550297599</v>
      </c>
      <c r="AI944" s="96"/>
      <c r="AJ944" s="96">
        <v>11.8</v>
      </c>
      <c r="AK944" s="96">
        <v>1.3109999999999999</v>
      </c>
      <c r="AL944" s="96">
        <f>(20+125.1)/167</f>
        <v>0.86886227544910177</v>
      </c>
      <c r="AM944" s="257"/>
      <c r="AN944" s="24">
        <f t="shared" si="165"/>
        <v>0</v>
      </c>
      <c r="AO944" s="188">
        <f t="shared" si="170"/>
        <v>0</v>
      </c>
      <c r="AP944" s="254">
        <f t="shared" si="171"/>
        <v>0</v>
      </c>
      <c r="AQ944" s="269"/>
      <c r="AR944" s="179"/>
      <c r="AS944" s="257"/>
      <c r="AT944" s="257"/>
    </row>
    <row r="945" spans="1:46" ht="12">
      <c r="A945" s="326" t="s">
        <v>1258</v>
      </c>
      <c r="B945" s="257" t="str">
        <f t="shared" si="160"/>
        <v>SiNx</v>
      </c>
      <c r="C945" s="141">
        <f t="shared" si="161"/>
        <v>0</v>
      </c>
      <c r="D945" s="277">
        <f t="shared" si="162"/>
        <v>263.87779197789803</v>
      </c>
      <c r="E945" s="20">
        <f t="shared" si="167"/>
        <v>12.53</v>
      </c>
      <c r="F945" s="20">
        <f t="shared" si="168"/>
        <v>1.069</v>
      </c>
      <c r="G945" s="277">
        <f t="shared" si="163"/>
        <v>0</v>
      </c>
      <c r="H945" s="3">
        <f t="shared" si="169"/>
        <v>0.92431192660550454</v>
      </c>
      <c r="I945" s="277">
        <f t="shared" si="164"/>
        <v>0</v>
      </c>
      <c r="J945" s="257"/>
      <c r="K945" s="257" t="s">
        <v>1250</v>
      </c>
      <c r="L945" s="257"/>
      <c r="M945" s="269"/>
      <c r="N945" s="175">
        <v>41417</v>
      </c>
      <c r="O945" s="257">
        <v>333</v>
      </c>
      <c r="P945" s="257" t="s">
        <v>187</v>
      </c>
      <c r="Q945" s="257"/>
      <c r="R945" s="257">
        <v>3</v>
      </c>
      <c r="S945" s="257">
        <v>800</v>
      </c>
      <c r="T945" s="257">
        <v>105</v>
      </c>
      <c r="U945" s="257">
        <v>400</v>
      </c>
      <c r="V945" s="257">
        <v>8</v>
      </c>
      <c r="W945" s="257">
        <v>26.5</v>
      </c>
      <c r="X945" s="257">
        <v>2.5</v>
      </c>
      <c r="Y945" s="257">
        <v>40</v>
      </c>
      <c r="Z945" s="257"/>
      <c r="AA945" s="164"/>
      <c r="AB945" s="289"/>
      <c r="AC945" s="257"/>
      <c r="AD945" s="257"/>
      <c r="AE945" s="257"/>
      <c r="AF945" s="257"/>
      <c r="AG945" s="114"/>
      <c r="AH945" s="266">
        <v>263.87779197789803</v>
      </c>
      <c r="AI945" s="96"/>
      <c r="AJ945" s="96">
        <v>12.53</v>
      </c>
      <c r="AK945" s="96">
        <v>1.069</v>
      </c>
      <c r="AL945" s="96">
        <f>(20+100.9)/130.8</f>
        <v>0.92431192660550454</v>
      </c>
      <c r="AM945" s="257"/>
      <c r="AN945" s="24">
        <f t="shared" si="165"/>
        <v>0</v>
      </c>
      <c r="AO945" s="188">
        <f t="shared" si="170"/>
        <v>0</v>
      </c>
      <c r="AP945" s="254">
        <f t="shared" si="171"/>
        <v>0</v>
      </c>
      <c r="AQ945" s="269"/>
      <c r="AR945" s="179"/>
      <c r="AS945" s="257"/>
      <c r="AT945" s="257"/>
    </row>
    <row r="946" spans="1:46" ht="12">
      <c r="A946" s="326" t="s">
        <v>1259</v>
      </c>
      <c r="B946" s="257" t="str">
        <f t="shared" si="160"/>
        <v>SiNx</v>
      </c>
      <c r="C946" s="141">
        <f t="shared" si="161"/>
        <v>0</v>
      </c>
      <c r="D946" s="277">
        <f t="shared" si="162"/>
        <v>317.22428271582299</v>
      </c>
      <c r="E946" s="20">
        <f t="shared" si="167"/>
        <v>11.73</v>
      </c>
      <c r="F946" s="20">
        <f t="shared" si="168"/>
        <v>1.3140000000000001</v>
      </c>
      <c r="G946" s="277">
        <f t="shared" si="163"/>
        <v>0</v>
      </c>
      <c r="H946" s="3">
        <f t="shared" si="169"/>
        <v>0.86786786786786785</v>
      </c>
      <c r="I946" s="277">
        <f t="shared" si="164"/>
        <v>0</v>
      </c>
      <c r="J946" s="257"/>
      <c r="K946" s="257" t="s">
        <v>1250</v>
      </c>
      <c r="L946" s="257"/>
      <c r="M946" s="269"/>
      <c r="N946" s="175">
        <v>41417</v>
      </c>
      <c r="O946" s="257">
        <v>333</v>
      </c>
      <c r="P946" s="257" t="s">
        <v>187</v>
      </c>
      <c r="Q946" s="257"/>
      <c r="R946" s="257">
        <v>4</v>
      </c>
      <c r="S946" s="257">
        <v>800</v>
      </c>
      <c r="T946" s="257">
        <v>105</v>
      </c>
      <c r="U946" s="257">
        <v>400</v>
      </c>
      <c r="V946" s="257">
        <v>8</v>
      </c>
      <c r="W946" s="257">
        <v>26.5</v>
      </c>
      <c r="X946" s="257">
        <v>2.5</v>
      </c>
      <c r="Y946" s="257">
        <v>40</v>
      </c>
      <c r="Z946" s="257"/>
      <c r="AA946" s="164"/>
      <c r="AB946" s="289"/>
      <c r="AC946" s="257"/>
      <c r="AD946" s="257"/>
      <c r="AE946" s="257"/>
      <c r="AF946" s="257"/>
      <c r="AG946" s="114"/>
      <c r="AH946" s="266">
        <v>317.22428271582299</v>
      </c>
      <c r="AI946" s="96"/>
      <c r="AJ946" s="96">
        <v>11.73</v>
      </c>
      <c r="AK946" s="96">
        <v>1.3140000000000001</v>
      </c>
      <c r="AL946" s="96">
        <f>(20+124.5)/166.5</f>
        <v>0.86786786786786785</v>
      </c>
      <c r="AM946" s="257"/>
      <c r="AN946" s="24">
        <f t="shared" si="165"/>
        <v>0</v>
      </c>
      <c r="AO946" s="188">
        <f t="shared" si="170"/>
        <v>0</v>
      </c>
      <c r="AP946" s="254">
        <f t="shared" si="171"/>
        <v>0</v>
      </c>
      <c r="AQ946" s="269"/>
      <c r="AR946" s="179"/>
      <c r="AS946" s="257"/>
      <c r="AT946" s="257"/>
    </row>
    <row r="947" spans="1:46" ht="12">
      <c r="A947" s="326" t="s">
        <v>1260</v>
      </c>
      <c r="B947" s="257" t="str">
        <f t="shared" si="160"/>
        <v>SiNx</v>
      </c>
      <c r="C947" s="141">
        <f t="shared" si="161"/>
        <v>0</v>
      </c>
      <c r="D947" s="277">
        <f t="shared" si="162"/>
        <v>321.14944256945</v>
      </c>
      <c r="E947" s="20">
        <f t="shared" si="167"/>
        <v>11.73</v>
      </c>
      <c r="F947" s="20">
        <f t="shared" si="168"/>
        <v>1.3</v>
      </c>
      <c r="G947" s="277">
        <f t="shared" si="163"/>
        <v>0</v>
      </c>
      <c r="H947" s="3">
        <f t="shared" si="169"/>
        <v>0.86787391012743131</v>
      </c>
      <c r="I947" s="277">
        <f t="shared" si="164"/>
        <v>0</v>
      </c>
      <c r="J947" s="257"/>
      <c r="K947" s="257" t="s">
        <v>1250</v>
      </c>
      <c r="L947" s="257"/>
      <c r="M947" s="269"/>
      <c r="N947" s="175">
        <v>41417</v>
      </c>
      <c r="O947" s="257">
        <v>333</v>
      </c>
      <c r="P947" s="257" t="s">
        <v>187</v>
      </c>
      <c r="Q947" s="257"/>
      <c r="R947" s="257">
        <v>5</v>
      </c>
      <c r="S947" s="257">
        <v>800</v>
      </c>
      <c r="T947" s="257">
        <v>105</v>
      </c>
      <c r="U947" s="257">
        <v>400</v>
      </c>
      <c r="V947" s="257">
        <v>8</v>
      </c>
      <c r="W947" s="257">
        <v>26.5</v>
      </c>
      <c r="X947" s="257">
        <v>2.5</v>
      </c>
      <c r="Y947" s="257">
        <v>40</v>
      </c>
      <c r="Z947" s="257"/>
      <c r="AA947" s="164"/>
      <c r="AB947" s="289"/>
      <c r="AC947" s="257"/>
      <c r="AD947" s="257"/>
      <c r="AE947" s="257"/>
      <c r="AF947" s="257"/>
      <c r="AG947" s="114"/>
      <c r="AH947" s="266">
        <v>321.14944256945</v>
      </c>
      <c r="AI947" s="96"/>
      <c r="AJ947" s="96">
        <v>11.73</v>
      </c>
      <c r="AK947" s="96">
        <v>1.3</v>
      </c>
      <c r="AL947" s="96">
        <f>(20+109.4)/149.1</f>
        <v>0.86787391012743131</v>
      </c>
      <c r="AM947" s="257"/>
      <c r="AN947" s="24">
        <f t="shared" si="165"/>
        <v>0</v>
      </c>
      <c r="AO947" s="188">
        <f t="shared" si="170"/>
        <v>0</v>
      </c>
      <c r="AP947" s="254">
        <f t="shared" si="171"/>
        <v>0</v>
      </c>
      <c r="AQ947" s="269"/>
      <c r="AR947" s="179"/>
      <c r="AS947" s="257"/>
      <c r="AT947" s="257"/>
    </row>
    <row r="948" spans="1:46" ht="12">
      <c r="A948" s="111" t="s">
        <v>1261</v>
      </c>
      <c r="B948" s="81" t="str">
        <f t="shared" si="160"/>
        <v>MgO</v>
      </c>
      <c r="C948" s="141">
        <f t="shared" si="161"/>
        <v>5.55</v>
      </c>
      <c r="D948" s="277">
        <f t="shared" si="162"/>
        <v>182.965974086095</v>
      </c>
      <c r="E948" s="20">
        <f t="shared" si="167"/>
        <v>13.86</v>
      </c>
      <c r="F948" s="20">
        <f t="shared" si="168"/>
        <v>0.79700000000000004</v>
      </c>
      <c r="G948" s="277">
        <f t="shared" si="163"/>
        <v>101.54611561778272</v>
      </c>
      <c r="H948" s="3">
        <f t="shared" si="169"/>
        <v>0.87267080745341619</v>
      </c>
      <c r="I948" s="277">
        <f t="shared" si="164"/>
        <v>14074.291624624684</v>
      </c>
      <c r="J948" s="81"/>
      <c r="K948" s="81"/>
      <c r="L948" s="81"/>
      <c r="M948" s="52"/>
      <c r="N948" s="336">
        <v>41417</v>
      </c>
      <c r="O948" s="81">
        <v>333</v>
      </c>
      <c r="P948" s="81" t="s">
        <v>46</v>
      </c>
      <c r="Q948" s="81"/>
      <c r="R948" s="81">
        <v>6</v>
      </c>
      <c r="S948" s="81">
        <v>800</v>
      </c>
      <c r="T948" s="257">
        <v>105</v>
      </c>
      <c r="U948" s="81">
        <v>400</v>
      </c>
      <c r="V948" s="81">
        <v>8</v>
      </c>
      <c r="W948" s="81">
        <v>26.5</v>
      </c>
      <c r="X948" s="81">
        <v>2.5</v>
      </c>
      <c r="Y948" s="81">
        <v>40</v>
      </c>
      <c r="Z948" s="81"/>
      <c r="AA948" s="234"/>
      <c r="AB948" s="199">
        <v>0.23250000000000001</v>
      </c>
      <c r="AC948" s="81">
        <v>0.51929999999999998</v>
      </c>
      <c r="AD948" s="81">
        <v>0.2482</v>
      </c>
      <c r="AE948" s="81" t="s">
        <v>47</v>
      </c>
      <c r="AF948" s="81">
        <v>5.55</v>
      </c>
      <c r="AG948" s="95"/>
      <c r="AH948" s="97">
        <v>182.965974086095</v>
      </c>
      <c r="AI948" s="20"/>
      <c r="AJ948" s="20">
        <v>13.86</v>
      </c>
      <c r="AK948" s="20">
        <v>0.79700000000000004</v>
      </c>
      <c r="AL948" s="20">
        <f>(20+64.3)/96.6</f>
        <v>0.87267080745341619</v>
      </c>
      <c r="AM948" s="81"/>
      <c r="AN948" s="24">
        <f t="shared" si="165"/>
        <v>101.54611561778272</v>
      </c>
      <c r="AO948" s="189">
        <f t="shared" si="170"/>
        <v>14074.291624624684</v>
      </c>
      <c r="AP948" s="184">
        <f t="shared" si="171"/>
        <v>3.1714285714285713</v>
      </c>
      <c r="AQ948" s="52"/>
      <c r="AR948" s="357"/>
      <c r="AS948" s="81"/>
      <c r="AT948" s="81"/>
    </row>
    <row r="949" spans="1:46" ht="24">
      <c r="A949" s="111" t="s">
        <v>1262</v>
      </c>
      <c r="B949" s="256" t="str">
        <f t="shared" si="160"/>
        <v>MgO</v>
      </c>
      <c r="C949" s="32">
        <f t="shared" si="161"/>
        <v>1.5</v>
      </c>
      <c r="D949" s="279">
        <f t="shared" si="162"/>
        <v>1412.07625734217</v>
      </c>
      <c r="E949" s="78" t="str">
        <f t="shared" si="167"/>
        <v>&lt;7</v>
      </c>
      <c r="F949" s="78">
        <f t="shared" si="168"/>
        <v>0</v>
      </c>
      <c r="G949" s="279">
        <f t="shared" si="163"/>
        <v>211.81143860132551</v>
      </c>
      <c r="H949" s="190">
        <f t="shared" si="169"/>
        <v>0</v>
      </c>
      <c r="I949" s="279" t="e">
        <f t="shared" si="164"/>
        <v>#VALUE!</v>
      </c>
      <c r="J949" s="256"/>
      <c r="K949" s="256"/>
      <c r="L949" s="256"/>
      <c r="M949" s="68"/>
      <c r="N949" s="18">
        <v>41424</v>
      </c>
      <c r="O949" s="256">
        <v>334</v>
      </c>
      <c r="P949" s="256" t="s">
        <v>46</v>
      </c>
      <c r="Q949" s="256"/>
      <c r="R949" s="256">
        <v>3</v>
      </c>
      <c r="S949" s="256">
        <v>800</v>
      </c>
      <c r="T949" s="256">
        <v>30</v>
      </c>
      <c r="U949" s="256">
        <v>400</v>
      </c>
      <c r="V949" s="256">
        <v>8</v>
      </c>
      <c r="W949" s="256">
        <v>26.5</v>
      </c>
      <c r="X949" s="256">
        <v>2.5</v>
      </c>
      <c r="Y949" s="256">
        <v>40</v>
      </c>
      <c r="Z949" s="256"/>
      <c r="AA949" s="207"/>
      <c r="AB949" s="86">
        <v>0.15559999999999999</v>
      </c>
      <c r="AC949" s="256">
        <v>0.74650000000000005</v>
      </c>
      <c r="AD949" s="256">
        <v>9.7900000000000001E-2</v>
      </c>
      <c r="AE949" s="81" t="s">
        <v>47</v>
      </c>
      <c r="AF949" s="256">
        <v>1.5</v>
      </c>
      <c r="AG949" s="335"/>
      <c r="AH949" s="213">
        <v>1412.07625734217</v>
      </c>
      <c r="AI949" s="78"/>
      <c r="AJ949" s="78" t="s">
        <v>1263</v>
      </c>
      <c r="AK949" s="78"/>
      <c r="AL949" s="78"/>
      <c r="AM949" s="256"/>
      <c r="AN949" s="24">
        <f t="shared" si="165"/>
        <v>211.81143860132551</v>
      </c>
      <c r="AO949" s="160" t="e">
        <f t="shared" si="170"/>
        <v>#VALUE!</v>
      </c>
      <c r="AP949" s="209">
        <f t="shared" si="171"/>
        <v>3</v>
      </c>
      <c r="AQ949" s="68"/>
      <c r="AR949" s="15"/>
      <c r="AS949" s="256"/>
      <c r="AT949" s="256"/>
    </row>
    <row r="950" spans="1:46" ht="12">
      <c r="A950" s="137" t="s">
        <v>1264</v>
      </c>
      <c r="B950" s="83" t="str">
        <f t="shared" si="160"/>
        <v>SiO2</v>
      </c>
      <c r="C950" s="329">
        <f t="shared" si="161"/>
        <v>0</v>
      </c>
      <c r="D950" s="168">
        <f t="shared" si="162"/>
        <v>3473.2312213885998</v>
      </c>
      <c r="E950" s="139">
        <f t="shared" si="167"/>
        <v>0</v>
      </c>
      <c r="F950" s="139">
        <f t="shared" si="168"/>
        <v>0</v>
      </c>
      <c r="G950" s="168">
        <f t="shared" si="163"/>
        <v>0</v>
      </c>
      <c r="H950" s="150">
        <f t="shared" si="169"/>
        <v>0</v>
      </c>
      <c r="I950" s="168">
        <f t="shared" si="164"/>
        <v>0</v>
      </c>
      <c r="J950" s="83"/>
      <c r="K950" s="83"/>
      <c r="L950" s="83"/>
      <c r="M950" s="385"/>
      <c r="N950" s="362">
        <v>41424</v>
      </c>
      <c r="O950" s="83">
        <v>334</v>
      </c>
      <c r="P950" s="83" t="s">
        <v>1182</v>
      </c>
      <c r="Q950" s="83"/>
      <c r="R950" s="83">
        <v>6</v>
      </c>
      <c r="S950" s="83">
        <v>800</v>
      </c>
      <c r="T950" s="83">
        <v>30</v>
      </c>
      <c r="U950" s="83">
        <v>400</v>
      </c>
      <c r="V950" s="83">
        <v>8</v>
      </c>
      <c r="W950" s="83">
        <v>26.5</v>
      </c>
      <c r="X950" s="83">
        <v>2.5</v>
      </c>
      <c r="Y950" s="83">
        <v>40</v>
      </c>
      <c r="Z950" s="83"/>
      <c r="AA950" s="119"/>
      <c r="AB950" s="84"/>
      <c r="AC950" s="83"/>
      <c r="AD950" s="83"/>
      <c r="AE950" s="83"/>
      <c r="AF950" s="83"/>
      <c r="AG950" s="220"/>
      <c r="AH950" s="344">
        <v>3473.2312213885998</v>
      </c>
      <c r="AI950" s="139"/>
      <c r="AJ950" s="139">
        <v>0</v>
      </c>
      <c r="AK950" s="139"/>
      <c r="AL950" s="139"/>
      <c r="AM950" s="83"/>
      <c r="AN950" s="24">
        <f t="shared" si="165"/>
        <v>0</v>
      </c>
      <c r="AO950" s="252">
        <f t="shared" si="170"/>
        <v>0</v>
      </c>
      <c r="AP950" s="65">
        <f t="shared" si="171"/>
        <v>0</v>
      </c>
      <c r="AQ950" s="385"/>
      <c r="AR950" s="162"/>
      <c r="AS950" s="83"/>
      <c r="AT950" s="83"/>
    </row>
    <row r="951" spans="1:46" ht="12">
      <c r="A951" s="111" t="s">
        <v>1265</v>
      </c>
      <c r="B951" s="256" t="str">
        <f t="shared" si="160"/>
        <v>MgO</v>
      </c>
      <c r="C951" s="32">
        <f t="shared" si="161"/>
        <v>2.5</v>
      </c>
      <c r="D951" s="279">
        <f t="shared" si="162"/>
        <v>590.37972525683801</v>
      </c>
      <c r="E951" s="78">
        <f t="shared" si="167"/>
        <v>9.35</v>
      </c>
      <c r="F951" s="78">
        <f t="shared" si="168"/>
        <v>1.895</v>
      </c>
      <c r="G951" s="279">
        <f t="shared" si="163"/>
        <v>147.5949313142095</v>
      </c>
      <c r="H951" s="190">
        <f t="shared" si="169"/>
        <v>0</v>
      </c>
      <c r="I951" s="279">
        <f t="shared" si="164"/>
        <v>13800.126077878587</v>
      </c>
      <c r="J951" s="256"/>
      <c r="K951" s="256"/>
      <c r="L951" s="256"/>
      <c r="M951" s="68"/>
      <c r="N951" s="18">
        <v>41428</v>
      </c>
      <c r="O951" s="256">
        <v>335</v>
      </c>
      <c r="P951" s="256" t="s">
        <v>46</v>
      </c>
      <c r="Q951" s="256"/>
      <c r="R951" s="256">
        <v>3</v>
      </c>
      <c r="S951" s="256">
        <v>800</v>
      </c>
      <c r="T951" s="256">
        <v>48</v>
      </c>
      <c r="U951" s="256">
        <v>400</v>
      </c>
      <c r="V951" s="256">
        <v>8</v>
      </c>
      <c r="W951" s="256">
        <v>26.5</v>
      </c>
      <c r="X951" s="256">
        <v>2.5</v>
      </c>
      <c r="Y951" s="256">
        <v>40</v>
      </c>
      <c r="Z951" s="64"/>
      <c r="AA951" s="77"/>
      <c r="AB951" s="239">
        <v>0.16880000000000001</v>
      </c>
      <c r="AC951" s="64">
        <v>0.67820000000000003</v>
      </c>
      <c r="AD951" s="64">
        <v>0.15290000000000001</v>
      </c>
      <c r="AE951" s="81" t="s">
        <v>47</v>
      </c>
      <c r="AF951" s="256">
        <v>2.5</v>
      </c>
      <c r="AG951" s="335"/>
      <c r="AH951" s="213">
        <v>590.37972525683801</v>
      </c>
      <c r="AI951" s="78"/>
      <c r="AJ951" s="78">
        <v>9.35</v>
      </c>
      <c r="AK951" s="78">
        <v>1.895</v>
      </c>
      <c r="AL951" s="78"/>
      <c r="AM951" s="256"/>
      <c r="AN951" s="24">
        <f t="shared" si="165"/>
        <v>147.5949313142095</v>
      </c>
      <c r="AO951" s="160">
        <f t="shared" si="170"/>
        <v>13800.126077878587</v>
      </c>
      <c r="AP951" s="209">
        <f t="shared" si="171"/>
        <v>3.125</v>
      </c>
      <c r="AQ951" s="68"/>
      <c r="AR951" s="15"/>
      <c r="AS951" s="256"/>
      <c r="AT951" s="256"/>
    </row>
    <row r="952" spans="1:46" ht="12">
      <c r="A952" s="137" t="s">
        <v>1266</v>
      </c>
      <c r="B952" s="83" t="str">
        <f t="shared" si="160"/>
        <v>SiO2</v>
      </c>
      <c r="C952" s="329">
        <f t="shared" si="161"/>
        <v>0</v>
      </c>
      <c r="D952" s="168">
        <f t="shared" si="162"/>
        <v>931.244175272912</v>
      </c>
      <c r="E952" s="139">
        <f t="shared" si="167"/>
        <v>9.1199999999999992</v>
      </c>
      <c r="F952" s="139">
        <f t="shared" si="168"/>
        <v>2.6339999999999999</v>
      </c>
      <c r="G952" s="168">
        <f t="shared" si="163"/>
        <v>0</v>
      </c>
      <c r="H952" s="150">
        <f t="shared" si="169"/>
        <v>0</v>
      </c>
      <c r="I952" s="168">
        <f t="shared" si="164"/>
        <v>0</v>
      </c>
      <c r="J952" s="83"/>
      <c r="K952" s="83"/>
      <c r="L952" s="83"/>
      <c r="M952" s="385"/>
      <c r="N952" s="362">
        <v>41428</v>
      </c>
      <c r="O952" s="83">
        <v>335</v>
      </c>
      <c r="P952" s="83" t="s">
        <v>1182</v>
      </c>
      <c r="Q952" s="83"/>
      <c r="R952" s="83">
        <v>6</v>
      </c>
      <c r="S952" s="83">
        <v>800</v>
      </c>
      <c r="T952" s="83">
        <v>48</v>
      </c>
      <c r="U952" s="83">
        <v>400</v>
      </c>
      <c r="V952" s="83">
        <v>8</v>
      </c>
      <c r="W952" s="83">
        <v>26.5</v>
      </c>
      <c r="X952" s="83">
        <v>2.5</v>
      </c>
      <c r="Y952" s="83">
        <v>40</v>
      </c>
      <c r="Z952" s="83"/>
      <c r="AA952" s="119"/>
      <c r="AB952" s="84"/>
      <c r="AC952" s="83"/>
      <c r="AD952" s="83"/>
      <c r="AE952" s="83"/>
      <c r="AF952" s="83"/>
      <c r="AG952" s="220"/>
      <c r="AH952" s="344">
        <v>931.244175272912</v>
      </c>
      <c r="AI952" s="139"/>
      <c r="AJ952" s="139">
        <v>9.1199999999999992</v>
      </c>
      <c r="AK952" s="139">
        <v>2.6339999999999999</v>
      </c>
      <c r="AL952" s="139"/>
      <c r="AM952" s="83"/>
      <c r="AN952" s="24">
        <f t="shared" si="165"/>
        <v>0</v>
      </c>
      <c r="AO952" s="252">
        <f t="shared" si="170"/>
        <v>0</v>
      </c>
      <c r="AP952" s="65">
        <f t="shared" si="171"/>
        <v>0</v>
      </c>
      <c r="AQ952" s="385"/>
      <c r="AR952" s="162"/>
      <c r="AS952" s="83"/>
      <c r="AT952" s="83"/>
    </row>
    <row r="953" spans="1:46" ht="12">
      <c r="A953" s="137" t="s">
        <v>1267</v>
      </c>
      <c r="B953" s="83" t="str">
        <f t="shared" si="160"/>
        <v>SiO2</v>
      </c>
      <c r="C953" s="329">
        <f t="shared" si="161"/>
        <v>0</v>
      </c>
      <c r="D953" s="168">
        <f t="shared" si="162"/>
        <v>0</v>
      </c>
      <c r="E953" s="139">
        <f t="shared" si="167"/>
        <v>0</v>
      </c>
      <c r="F953" s="139">
        <f t="shared" si="168"/>
        <v>0</v>
      </c>
      <c r="G953" s="168">
        <f t="shared" si="163"/>
        <v>0</v>
      </c>
      <c r="H953" s="150">
        <f t="shared" si="169"/>
        <v>0</v>
      </c>
      <c r="I953" s="168">
        <f t="shared" si="164"/>
        <v>0</v>
      </c>
      <c r="J953" s="138"/>
      <c r="K953" s="138"/>
      <c r="L953" s="138"/>
      <c r="M953" s="316"/>
      <c r="N953" s="135">
        <v>41429</v>
      </c>
      <c r="O953" s="138">
        <v>336</v>
      </c>
      <c r="P953" s="83" t="s">
        <v>1182</v>
      </c>
      <c r="Q953" s="240"/>
      <c r="R953" s="138">
        <v>3</v>
      </c>
      <c r="S953" s="83">
        <v>800</v>
      </c>
      <c r="T953" s="83">
        <v>48</v>
      </c>
      <c r="U953" s="83">
        <v>400</v>
      </c>
      <c r="V953" s="83">
        <v>8</v>
      </c>
      <c r="W953" s="83">
        <v>26.5</v>
      </c>
      <c r="X953" s="83">
        <v>2.5</v>
      </c>
      <c r="Y953" s="83">
        <v>40</v>
      </c>
      <c r="Z953" s="240"/>
      <c r="AA953" s="75"/>
      <c r="AB953" s="300"/>
      <c r="AC953" s="138"/>
      <c r="AD953" s="138"/>
      <c r="AE953" s="138"/>
      <c r="AF953" s="138"/>
      <c r="AG953" s="63"/>
      <c r="AH953" s="70"/>
      <c r="AI953" s="121"/>
      <c r="AJ953" s="121"/>
      <c r="AK953" s="121"/>
      <c r="AL953" s="121"/>
      <c r="AM953" s="138"/>
      <c r="AN953" s="24">
        <f t="shared" si="165"/>
        <v>0</v>
      </c>
      <c r="AO953" s="353">
        <f t="shared" si="170"/>
        <v>0</v>
      </c>
      <c r="AP953" s="36">
        <f t="shared" si="171"/>
        <v>0</v>
      </c>
      <c r="AQ953" s="316"/>
      <c r="AR953" s="258"/>
      <c r="AS953" s="138"/>
      <c r="AT953" s="138"/>
    </row>
    <row r="954" spans="1:46" ht="12">
      <c r="A954" s="137" t="s">
        <v>1268</v>
      </c>
      <c r="B954" s="83" t="str">
        <f t="shared" si="160"/>
        <v>SiO2</v>
      </c>
      <c r="C954" s="329">
        <f t="shared" si="161"/>
        <v>0</v>
      </c>
      <c r="D954" s="168">
        <f t="shared" si="162"/>
        <v>0</v>
      </c>
      <c r="E954" s="139">
        <f t="shared" si="167"/>
        <v>0</v>
      </c>
      <c r="F954" s="139">
        <f t="shared" si="168"/>
        <v>0</v>
      </c>
      <c r="G954" s="168">
        <f t="shared" si="163"/>
        <v>0</v>
      </c>
      <c r="H954" s="150">
        <f t="shared" si="169"/>
        <v>0</v>
      </c>
      <c r="I954" s="168">
        <f t="shared" si="164"/>
        <v>0</v>
      </c>
      <c r="J954" s="138"/>
      <c r="K954" s="138"/>
      <c r="L954" s="138"/>
      <c r="M954" s="316"/>
      <c r="N954" s="135">
        <v>41429</v>
      </c>
      <c r="O954" s="138">
        <v>336</v>
      </c>
      <c r="P954" s="83" t="s">
        <v>1182</v>
      </c>
      <c r="Q954" s="240"/>
      <c r="R954" s="138">
        <v>6</v>
      </c>
      <c r="S954" s="83">
        <v>800</v>
      </c>
      <c r="T954" s="83">
        <v>48</v>
      </c>
      <c r="U954" s="83">
        <v>400</v>
      </c>
      <c r="V954" s="83">
        <v>8</v>
      </c>
      <c r="W954" s="83">
        <v>26.5</v>
      </c>
      <c r="X954" s="83">
        <v>2.5</v>
      </c>
      <c r="Y954" s="83">
        <v>40</v>
      </c>
      <c r="Z954" s="240"/>
      <c r="AA954" s="75"/>
      <c r="AB954" s="300"/>
      <c r="AC954" s="138"/>
      <c r="AD954" s="138"/>
      <c r="AE954" s="138"/>
      <c r="AF954" s="138"/>
      <c r="AG954" s="63"/>
      <c r="AH954" s="70"/>
      <c r="AI954" s="121"/>
      <c r="AJ954" s="121"/>
      <c r="AK954" s="121"/>
      <c r="AL954" s="121"/>
      <c r="AM954" s="138"/>
      <c r="AN954" s="24">
        <f t="shared" si="165"/>
        <v>0</v>
      </c>
      <c r="AO954" s="353">
        <f t="shared" si="170"/>
        <v>0</v>
      </c>
      <c r="AP954" s="36">
        <f t="shared" si="171"/>
        <v>0</v>
      </c>
      <c r="AQ954" s="316"/>
      <c r="AR954" s="258"/>
      <c r="AS954" s="138"/>
      <c r="AT954" s="138"/>
    </row>
    <row r="955" spans="1:46" ht="12">
      <c r="A955" s="111" t="s">
        <v>1269</v>
      </c>
      <c r="B955" s="67">
        <f t="shared" si="160"/>
        <v>0</v>
      </c>
      <c r="C955" s="32">
        <f t="shared" si="161"/>
        <v>0</v>
      </c>
      <c r="D955" s="279">
        <f t="shared" si="162"/>
        <v>0</v>
      </c>
      <c r="E955" s="78">
        <f t="shared" si="167"/>
        <v>0</v>
      </c>
      <c r="F955" s="78">
        <f t="shared" si="168"/>
        <v>0</v>
      </c>
      <c r="G955" s="279">
        <f t="shared" si="163"/>
        <v>0</v>
      </c>
      <c r="H955" s="190">
        <f t="shared" si="169"/>
        <v>0</v>
      </c>
      <c r="I955" s="279">
        <f t="shared" si="164"/>
        <v>0</v>
      </c>
      <c r="J955" s="67"/>
      <c r="K955" s="67"/>
      <c r="L955" s="67"/>
      <c r="M955" s="371"/>
      <c r="N955" s="41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159"/>
      <c r="AB955" s="182"/>
      <c r="AC955" s="67"/>
      <c r="AD955" s="67"/>
      <c r="AE955" s="67"/>
      <c r="AF955" s="67"/>
      <c r="AG955" s="315"/>
      <c r="AH955" s="66"/>
      <c r="AI955" s="216"/>
      <c r="AJ955" s="216"/>
      <c r="AK955" s="216"/>
      <c r="AL955" s="216"/>
      <c r="AM955" s="67"/>
      <c r="AN955" s="24">
        <f t="shared" si="165"/>
        <v>0</v>
      </c>
      <c r="AO955" s="389">
        <f t="shared" si="170"/>
        <v>0</v>
      </c>
      <c r="AP955" s="187" t="e">
        <f t="shared" si="171"/>
        <v>#DIV/0!</v>
      </c>
      <c r="AQ955" s="371"/>
      <c r="AR955" s="41"/>
      <c r="AS955" s="67"/>
      <c r="AT955" s="67"/>
    </row>
    <row r="956" spans="1:46" ht="12">
      <c r="A956" s="111" t="s">
        <v>1270</v>
      </c>
      <c r="B956" s="67">
        <f t="shared" si="160"/>
        <v>0</v>
      </c>
      <c r="C956" s="32">
        <f t="shared" si="161"/>
        <v>0</v>
      </c>
      <c r="D956" s="279">
        <f t="shared" si="162"/>
        <v>0</v>
      </c>
      <c r="E956" s="78">
        <f t="shared" si="167"/>
        <v>0</v>
      </c>
      <c r="F956" s="78">
        <f t="shared" si="168"/>
        <v>0</v>
      </c>
      <c r="G956" s="279">
        <f t="shared" si="163"/>
        <v>0</v>
      </c>
      <c r="H956" s="190">
        <f t="shared" si="169"/>
        <v>0</v>
      </c>
      <c r="I956" s="279">
        <f t="shared" si="164"/>
        <v>0</v>
      </c>
      <c r="J956" s="67"/>
      <c r="K956" s="67"/>
      <c r="L956" s="67"/>
      <c r="M956" s="371"/>
      <c r="N956" s="41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159"/>
      <c r="AB956" s="182"/>
      <c r="AC956" s="67"/>
      <c r="AD956" s="67"/>
      <c r="AE956" s="67"/>
      <c r="AF956" s="67"/>
      <c r="AG956" s="315"/>
      <c r="AH956" s="66"/>
      <c r="AI956" s="216"/>
      <c r="AJ956" s="216"/>
      <c r="AK956" s="216"/>
      <c r="AL956" s="216"/>
      <c r="AM956" s="67"/>
      <c r="AN956" s="24">
        <f t="shared" si="165"/>
        <v>0</v>
      </c>
      <c r="AO956" s="389">
        <f t="shared" si="170"/>
        <v>0</v>
      </c>
      <c r="AP956" s="187" t="e">
        <f t="shared" si="171"/>
        <v>#DIV/0!</v>
      </c>
      <c r="AQ956" s="371"/>
      <c r="AR956" s="41"/>
      <c r="AS956" s="67"/>
      <c r="AT956" s="67"/>
    </row>
    <row r="957" spans="1:46" ht="12">
      <c r="A957" s="111" t="s">
        <v>1271</v>
      </c>
      <c r="B957" s="67">
        <f t="shared" si="160"/>
        <v>0</v>
      </c>
      <c r="C957" s="32">
        <f t="shared" si="161"/>
        <v>0</v>
      </c>
      <c r="D957" s="279">
        <f t="shared" si="162"/>
        <v>0</v>
      </c>
      <c r="E957" s="78">
        <f t="shared" si="167"/>
        <v>0</v>
      </c>
      <c r="F957" s="78">
        <f t="shared" si="168"/>
        <v>0</v>
      </c>
      <c r="G957" s="279">
        <f t="shared" si="163"/>
        <v>0</v>
      </c>
      <c r="H957" s="190">
        <f t="shared" si="169"/>
        <v>0</v>
      </c>
      <c r="I957" s="279">
        <f t="shared" si="164"/>
        <v>0</v>
      </c>
      <c r="J957" s="67"/>
      <c r="K957" s="67"/>
      <c r="L957" s="67"/>
      <c r="M957" s="371"/>
      <c r="N957" s="41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159"/>
      <c r="AB957" s="182"/>
      <c r="AC957" s="67"/>
      <c r="AD957" s="67"/>
      <c r="AE957" s="67"/>
      <c r="AF957" s="67"/>
      <c r="AG957" s="315"/>
      <c r="AH957" s="66"/>
      <c r="AI957" s="216"/>
      <c r="AJ957" s="216"/>
      <c r="AK957" s="216"/>
      <c r="AL957" s="216"/>
      <c r="AM957" s="67"/>
      <c r="AN957" s="24">
        <f t="shared" si="165"/>
        <v>0</v>
      </c>
      <c r="AO957" s="389">
        <f t="shared" si="170"/>
        <v>0</v>
      </c>
      <c r="AP957" s="187" t="e">
        <f t="shared" si="171"/>
        <v>#DIV/0!</v>
      </c>
      <c r="AQ957" s="371"/>
      <c r="AR957" s="41"/>
      <c r="AS957" s="67"/>
      <c r="AT957" s="67"/>
    </row>
    <row r="958" spans="1:46" ht="12">
      <c r="A958" s="111" t="s">
        <v>1272</v>
      </c>
      <c r="B958" s="67">
        <f t="shared" si="160"/>
        <v>0</v>
      </c>
      <c r="C958" s="32">
        <f t="shared" si="161"/>
        <v>0</v>
      </c>
      <c r="D958" s="279">
        <f t="shared" si="162"/>
        <v>0</v>
      </c>
      <c r="E958" s="78">
        <f t="shared" si="167"/>
        <v>0</v>
      </c>
      <c r="F958" s="78">
        <f t="shared" si="168"/>
        <v>0</v>
      </c>
      <c r="G958" s="279">
        <f t="shared" si="163"/>
        <v>0</v>
      </c>
      <c r="H958" s="190">
        <f t="shared" si="169"/>
        <v>0</v>
      </c>
      <c r="I958" s="279">
        <f t="shared" si="164"/>
        <v>0</v>
      </c>
      <c r="J958" s="67"/>
      <c r="K958" s="67"/>
      <c r="L958" s="67"/>
      <c r="M958" s="371"/>
      <c r="N958" s="41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159"/>
      <c r="AB958" s="182"/>
      <c r="AC958" s="67"/>
      <c r="AD958" s="67"/>
      <c r="AE958" s="67"/>
      <c r="AF958" s="67"/>
      <c r="AG958" s="315"/>
      <c r="AH958" s="66"/>
      <c r="AI958" s="216"/>
      <c r="AJ958" s="216"/>
      <c r="AK958" s="216"/>
      <c r="AL958" s="216"/>
      <c r="AM958" s="67"/>
      <c r="AN958" s="24">
        <f t="shared" si="165"/>
        <v>0</v>
      </c>
      <c r="AO958" s="389">
        <f t="shared" si="170"/>
        <v>0</v>
      </c>
      <c r="AP958" s="187" t="e">
        <f t="shared" si="171"/>
        <v>#DIV/0!</v>
      </c>
      <c r="AQ958" s="371"/>
      <c r="AR958" s="41"/>
      <c r="AS958" s="67"/>
      <c r="AT958" s="67"/>
    </row>
    <row r="959" spans="1:46" ht="12">
      <c r="A959" s="111" t="s">
        <v>1273</v>
      </c>
      <c r="B959" s="67">
        <f t="shared" si="160"/>
        <v>0</v>
      </c>
      <c r="C959" s="32">
        <f t="shared" si="161"/>
        <v>0</v>
      </c>
      <c r="D959" s="279">
        <f t="shared" si="162"/>
        <v>0</v>
      </c>
      <c r="E959" s="78">
        <f t="shared" si="167"/>
        <v>0</v>
      </c>
      <c r="F959" s="78">
        <f t="shared" si="168"/>
        <v>0</v>
      </c>
      <c r="G959" s="279">
        <f t="shared" si="163"/>
        <v>0</v>
      </c>
      <c r="H959" s="190">
        <f t="shared" si="169"/>
        <v>0</v>
      </c>
      <c r="I959" s="279">
        <f t="shared" si="164"/>
        <v>0</v>
      </c>
      <c r="J959" s="67"/>
      <c r="K959" s="67"/>
      <c r="L959" s="67"/>
      <c r="M959" s="371"/>
      <c r="N959" s="41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159"/>
      <c r="AB959" s="182"/>
      <c r="AC959" s="67"/>
      <c r="AD959" s="67"/>
      <c r="AE959" s="67"/>
      <c r="AF959" s="67"/>
      <c r="AG959" s="315"/>
      <c r="AH959" s="66"/>
      <c r="AI959" s="216"/>
      <c r="AJ959" s="216"/>
      <c r="AK959" s="216"/>
      <c r="AL959" s="216"/>
      <c r="AM959" s="67"/>
      <c r="AN959" s="24">
        <f t="shared" si="165"/>
        <v>0</v>
      </c>
      <c r="AO959" s="389">
        <f t="shared" si="170"/>
        <v>0</v>
      </c>
      <c r="AP959" s="187" t="e">
        <f t="shared" si="171"/>
        <v>#DIV/0!</v>
      </c>
      <c r="AQ959" s="371"/>
      <c r="AR959" s="41"/>
      <c r="AS959" s="67"/>
      <c r="AT959" s="67"/>
    </row>
    <row r="960" spans="1:46" ht="12">
      <c r="A960" s="111" t="s">
        <v>1274</v>
      </c>
      <c r="B960" s="67">
        <f t="shared" si="160"/>
        <v>0</v>
      </c>
      <c r="C960" s="32">
        <f t="shared" si="161"/>
        <v>0</v>
      </c>
      <c r="D960" s="279">
        <f t="shared" si="162"/>
        <v>0</v>
      </c>
      <c r="E960" s="78">
        <f t="shared" si="167"/>
        <v>0</v>
      </c>
      <c r="F960" s="78">
        <f t="shared" si="168"/>
        <v>0</v>
      </c>
      <c r="G960" s="279">
        <f t="shared" si="163"/>
        <v>0</v>
      </c>
      <c r="H960" s="190">
        <f t="shared" si="169"/>
        <v>0</v>
      </c>
      <c r="I960" s="279">
        <f t="shared" si="164"/>
        <v>0</v>
      </c>
      <c r="J960" s="67"/>
      <c r="K960" s="67"/>
      <c r="L960" s="67"/>
      <c r="M960" s="371"/>
      <c r="N960" s="41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159"/>
      <c r="AB960" s="182"/>
      <c r="AC960" s="67"/>
      <c r="AD960" s="67"/>
      <c r="AE960" s="67"/>
      <c r="AF960" s="67"/>
      <c r="AG960" s="315"/>
      <c r="AH960" s="66"/>
      <c r="AI960" s="216"/>
      <c r="AJ960" s="216"/>
      <c r="AK960" s="216"/>
      <c r="AL960" s="216"/>
      <c r="AM960" s="67"/>
      <c r="AN960" s="24">
        <f t="shared" si="165"/>
        <v>0</v>
      </c>
      <c r="AO960" s="389">
        <f t="shared" si="170"/>
        <v>0</v>
      </c>
      <c r="AP960" s="187" t="e">
        <f t="shared" si="171"/>
        <v>#DIV/0!</v>
      </c>
      <c r="AQ960" s="371"/>
      <c r="AR960" s="41"/>
      <c r="AS960" s="67"/>
      <c r="AT960" s="67"/>
    </row>
    <row r="961" spans="1:46" ht="12">
      <c r="A961" s="111" t="s">
        <v>1275</v>
      </c>
      <c r="B961" s="67">
        <f t="shared" si="160"/>
        <v>0</v>
      </c>
      <c r="C961" s="32">
        <f t="shared" si="161"/>
        <v>0</v>
      </c>
      <c r="D961" s="279">
        <f t="shared" si="162"/>
        <v>0</v>
      </c>
      <c r="E961" s="78">
        <f t="shared" si="167"/>
        <v>0</v>
      </c>
      <c r="F961" s="78">
        <f t="shared" si="168"/>
        <v>0</v>
      </c>
      <c r="G961" s="279">
        <f t="shared" si="163"/>
        <v>0</v>
      </c>
      <c r="H961" s="190">
        <f t="shared" si="169"/>
        <v>0</v>
      </c>
      <c r="I961" s="279">
        <f t="shared" si="164"/>
        <v>0</v>
      </c>
      <c r="J961" s="67"/>
      <c r="K961" s="67"/>
      <c r="L961" s="67"/>
      <c r="M961" s="371"/>
      <c r="N961" s="41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159"/>
      <c r="AB961" s="182"/>
      <c r="AC961" s="67"/>
      <c r="AD961" s="67"/>
      <c r="AE961" s="67"/>
      <c r="AF961" s="67"/>
      <c r="AG961" s="315"/>
      <c r="AH961" s="66"/>
      <c r="AI961" s="216"/>
      <c r="AJ961" s="216"/>
      <c r="AK961" s="216"/>
      <c r="AL961" s="216"/>
      <c r="AM961" s="67"/>
      <c r="AN961" s="24">
        <f t="shared" si="165"/>
        <v>0</v>
      </c>
      <c r="AO961" s="389">
        <f t="shared" si="170"/>
        <v>0</v>
      </c>
      <c r="AP961" s="187" t="e">
        <f t="shared" si="171"/>
        <v>#DIV/0!</v>
      </c>
      <c r="AQ961" s="371"/>
      <c r="AR961" s="41"/>
      <c r="AS961" s="67"/>
      <c r="AT961" s="67"/>
    </row>
    <row r="962" spans="1:46" ht="12">
      <c r="A962" s="111" t="s">
        <v>1276</v>
      </c>
      <c r="B962" s="67">
        <f t="shared" si="160"/>
        <v>0</v>
      </c>
      <c r="C962" s="32">
        <f t="shared" si="161"/>
        <v>0</v>
      </c>
      <c r="D962" s="279">
        <f t="shared" si="162"/>
        <v>0</v>
      </c>
      <c r="E962" s="78">
        <f t="shared" si="167"/>
        <v>0</v>
      </c>
      <c r="F962" s="78">
        <f t="shared" si="168"/>
        <v>0</v>
      </c>
      <c r="G962" s="279">
        <f t="shared" si="163"/>
        <v>0</v>
      </c>
      <c r="H962" s="190">
        <f t="shared" si="169"/>
        <v>0</v>
      </c>
      <c r="I962" s="279">
        <f t="shared" si="164"/>
        <v>0</v>
      </c>
      <c r="J962" s="67"/>
      <c r="K962" s="67"/>
      <c r="L962" s="67"/>
      <c r="M962" s="371"/>
      <c r="N962" s="41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159"/>
      <c r="AB962" s="182"/>
      <c r="AC962" s="67"/>
      <c r="AD962" s="67"/>
      <c r="AE962" s="67"/>
      <c r="AF962" s="67"/>
      <c r="AG962" s="315"/>
      <c r="AH962" s="66"/>
      <c r="AI962" s="216"/>
      <c r="AJ962" s="216"/>
      <c r="AK962" s="216"/>
      <c r="AL962" s="216"/>
      <c r="AM962" s="67"/>
      <c r="AN962" s="24">
        <f t="shared" si="165"/>
        <v>0</v>
      </c>
      <c r="AO962" s="389">
        <f t="shared" si="170"/>
        <v>0</v>
      </c>
      <c r="AP962" s="187" t="e">
        <f t="shared" si="171"/>
        <v>#DIV/0!</v>
      </c>
      <c r="AQ962" s="371"/>
      <c r="AR962" s="41"/>
      <c r="AS962" s="67"/>
      <c r="AT962" s="67"/>
    </row>
    <row r="963" spans="1:46" ht="12">
      <c r="A963" s="111" t="s">
        <v>1277</v>
      </c>
      <c r="B963" s="67">
        <f t="shared" ref="B963:B1026" si="172">P963</f>
        <v>0</v>
      </c>
      <c r="C963" s="32">
        <f t="shared" ref="C963:C1026" si="173">AF963</f>
        <v>0</v>
      </c>
      <c r="D963" s="279">
        <f t="shared" ref="D963:D1026" si="174">AH963</f>
        <v>0</v>
      </c>
      <c r="E963" s="78">
        <f t="shared" si="167"/>
        <v>0</v>
      </c>
      <c r="F963" s="78">
        <f t="shared" si="168"/>
        <v>0</v>
      </c>
      <c r="G963" s="279">
        <f t="shared" ref="G963:G1026" si="175">AN963</f>
        <v>0</v>
      </c>
      <c r="H963" s="190">
        <f t="shared" si="169"/>
        <v>0</v>
      </c>
      <c r="I963" s="279">
        <f t="shared" ref="I963:I1026" si="176">AO963</f>
        <v>0</v>
      </c>
      <c r="J963" s="67"/>
      <c r="K963" s="67"/>
      <c r="L963" s="67"/>
      <c r="M963" s="371"/>
      <c r="N963" s="41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159"/>
      <c r="AB963" s="182"/>
      <c r="AC963" s="67"/>
      <c r="AD963" s="67"/>
      <c r="AE963" s="67"/>
      <c r="AF963" s="67"/>
      <c r="AG963" s="315"/>
      <c r="AH963" s="66"/>
      <c r="AI963" s="216"/>
      <c r="AJ963" s="216"/>
      <c r="AK963" s="216"/>
      <c r="AL963" s="216"/>
      <c r="AM963" s="67"/>
      <c r="AN963" s="24">
        <f t="shared" ref="AN963:AN1026" si="177">((AH963*AF963)/10)</f>
        <v>0</v>
      </c>
      <c r="AO963" s="389">
        <f t="shared" si="170"/>
        <v>0</v>
      </c>
      <c r="AP963" s="187" t="e">
        <f t="shared" si="171"/>
        <v>#DIV/0!</v>
      </c>
      <c r="AQ963" s="371"/>
      <c r="AR963" s="41"/>
      <c r="AS963" s="67"/>
      <c r="AT963" s="67"/>
    </row>
    <row r="964" spans="1:46" ht="12">
      <c r="A964" s="111" t="s">
        <v>1278</v>
      </c>
      <c r="B964" s="359">
        <f t="shared" si="172"/>
        <v>0</v>
      </c>
      <c r="C964" s="141">
        <f t="shared" si="173"/>
        <v>0</v>
      </c>
      <c r="D964" s="277">
        <f t="shared" si="174"/>
        <v>0</v>
      </c>
      <c r="E964" s="20">
        <f t="shared" si="167"/>
        <v>0</v>
      </c>
      <c r="F964" s="20">
        <f t="shared" si="168"/>
        <v>0</v>
      </c>
      <c r="G964" s="277">
        <f t="shared" si="175"/>
        <v>0</v>
      </c>
      <c r="H964" s="3">
        <f t="shared" si="169"/>
        <v>0</v>
      </c>
      <c r="I964" s="277">
        <f t="shared" si="176"/>
        <v>0</v>
      </c>
      <c r="J964" s="359"/>
      <c r="K964" s="359"/>
      <c r="L964" s="359"/>
      <c r="M964" s="338"/>
      <c r="N964" s="45"/>
      <c r="O964" s="359"/>
      <c r="P964" s="359"/>
      <c r="Q964" s="359"/>
      <c r="R964" s="359"/>
      <c r="S964" s="359"/>
      <c r="T964" s="359"/>
      <c r="U964" s="359"/>
      <c r="V964" s="359"/>
      <c r="W964" s="359"/>
      <c r="X964" s="359"/>
      <c r="Y964" s="359"/>
      <c r="Z964" s="359"/>
      <c r="AA964" s="210"/>
      <c r="AB964" s="248"/>
      <c r="AC964" s="359"/>
      <c r="AD964" s="359"/>
      <c r="AE964" s="359"/>
      <c r="AF964" s="359"/>
      <c r="AG964" s="153"/>
      <c r="AH964" s="346"/>
      <c r="AI964" s="24"/>
      <c r="AJ964" s="24"/>
      <c r="AK964" s="24"/>
      <c r="AL964" s="24"/>
      <c r="AM964" s="359"/>
      <c r="AN964" s="24">
        <f t="shared" si="177"/>
        <v>0</v>
      </c>
      <c r="AO964" s="54">
        <f t="shared" si="170"/>
        <v>0</v>
      </c>
      <c r="AP964" s="261" t="e">
        <f t="shared" si="171"/>
        <v>#DIV/0!</v>
      </c>
      <c r="AQ964" s="338"/>
      <c r="AR964" s="45"/>
      <c r="AS964" s="359"/>
      <c r="AT964" s="359"/>
    </row>
    <row r="965" spans="1:46" ht="12">
      <c r="A965" s="111" t="s">
        <v>1279</v>
      </c>
      <c r="B965" s="359">
        <f t="shared" si="172"/>
        <v>0</v>
      </c>
      <c r="C965" s="141">
        <f t="shared" si="173"/>
        <v>0</v>
      </c>
      <c r="D965" s="277">
        <f t="shared" si="174"/>
        <v>0</v>
      </c>
      <c r="E965" s="20">
        <f t="shared" si="167"/>
        <v>0</v>
      </c>
      <c r="F965" s="20">
        <f t="shared" si="168"/>
        <v>0</v>
      </c>
      <c r="G965" s="277">
        <f t="shared" si="175"/>
        <v>0</v>
      </c>
      <c r="H965" s="3">
        <f t="shared" si="169"/>
        <v>0</v>
      </c>
      <c r="I965" s="277">
        <f t="shared" si="176"/>
        <v>0</v>
      </c>
      <c r="J965" s="359"/>
      <c r="K965" s="359"/>
      <c r="L965" s="359"/>
      <c r="M965" s="338"/>
      <c r="N965" s="45"/>
      <c r="O965" s="359"/>
      <c r="P965" s="359"/>
      <c r="Q965" s="359"/>
      <c r="R965" s="359"/>
      <c r="S965" s="359"/>
      <c r="T965" s="359"/>
      <c r="U965" s="359"/>
      <c r="V965" s="359"/>
      <c r="W965" s="359"/>
      <c r="X965" s="359"/>
      <c r="Y965" s="359"/>
      <c r="Z965" s="359"/>
      <c r="AA965" s="210"/>
      <c r="AB965" s="248"/>
      <c r="AC965" s="359"/>
      <c r="AD965" s="359"/>
      <c r="AE965" s="359"/>
      <c r="AF965" s="359"/>
      <c r="AG965" s="153"/>
      <c r="AH965" s="346"/>
      <c r="AI965" s="24"/>
      <c r="AJ965" s="24"/>
      <c r="AK965" s="24"/>
      <c r="AL965" s="24"/>
      <c r="AM965" s="359"/>
      <c r="AN965" s="24">
        <f t="shared" si="177"/>
        <v>0</v>
      </c>
      <c r="AO965" s="54">
        <f t="shared" si="170"/>
        <v>0</v>
      </c>
      <c r="AP965" s="261" t="e">
        <f t="shared" si="171"/>
        <v>#DIV/0!</v>
      </c>
      <c r="AQ965" s="338"/>
      <c r="AR965" s="45"/>
      <c r="AS965" s="359"/>
      <c r="AT965" s="359"/>
    </row>
    <row r="966" spans="1:46" ht="12">
      <c r="A966" s="137" t="s">
        <v>1280</v>
      </c>
      <c r="B966" s="83" t="str">
        <f t="shared" si="172"/>
        <v>SiO2</v>
      </c>
      <c r="C966" s="329">
        <f t="shared" si="173"/>
        <v>0</v>
      </c>
      <c r="D966" s="168">
        <f t="shared" si="174"/>
        <v>438.54740546428201</v>
      </c>
      <c r="E966" s="139">
        <f t="shared" si="167"/>
        <v>11.44</v>
      </c>
      <c r="F966" s="139">
        <f t="shared" si="168"/>
        <v>1.5589999999999999</v>
      </c>
      <c r="G966" s="168">
        <f t="shared" si="175"/>
        <v>0</v>
      </c>
      <c r="H966" s="150">
        <f t="shared" si="169"/>
        <v>0.84380453752181506</v>
      </c>
      <c r="I966" s="168">
        <f t="shared" si="176"/>
        <v>0</v>
      </c>
      <c r="J966" s="83"/>
      <c r="K966" s="83" t="s">
        <v>1281</v>
      </c>
      <c r="L966" s="83"/>
      <c r="M966" s="385"/>
      <c r="N966" s="362">
        <v>41450</v>
      </c>
      <c r="O966" s="83">
        <v>340</v>
      </c>
      <c r="P966" s="83" t="s">
        <v>1182</v>
      </c>
      <c r="Q966" s="83"/>
      <c r="R966" s="83">
        <v>1</v>
      </c>
      <c r="S966" s="83">
        <v>800</v>
      </c>
      <c r="T966" s="83">
        <v>84</v>
      </c>
      <c r="U966" s="83">
        <v>400</v>
      </c>
      <c r="V966" s="83">
        <v>8</v>
      </c>
      <c r="W966" s="83">
        <v>26.5</v>
      </c>
      <c r="X966" s="83">
        <v>2.5</v>
      </c>
      <c r="Y966" s="83">
        <v>40</v>
      </c>
      <c r="Z966" s="83"/>
      <c r="AA966" s="119"/>
      <c r="AB966" s="84"/>
      <c r="AC966" s="83"/>
      <c r="AD966" s="83"/>
      <c r="AE966" s="83"/>
      <c r="AF966" s="83"/>
      <c r="AG966" s="220"/>
      <c r="AH966" s="344">
        <v>438.54740546428201</v>
      </c>
      <c r="AI966" s="139"/>
      <c r="AJ966" s="139">
        <v>11.44</v>
      </c>
      <c r="AK966" s="139">
        <v>1.5589999999999999</v>
      </c>
      <c r="AL966" s="139">
        <f>(173.9+19.5)/229.2</f>
        <v>0.84380453752181506</v>
      </c>
      <c r="AM966" s="83"/>
      <c r="AN966" s="24">
        <f t="shared" si="177"/>
        <v>0</v>
      </c>
      <c r="AO966" s="252">
        <f t="shared" si="170"/>
        <v>0</v>
      </c>
      <c r="AP966" s="65">
        <f t="shared" si="171"/>
        <v>0</v>
      </c>
      <c r="AQ966" s="385"/>
      <c r="AR966" s="162"/>
      <c r="AS966" s="83"/>
      <c r="AT966" s="83"/>
    </row>
    <row r="967" spans="1:46" ht="12">
      <c r="A967" s="137" t="s">
        <v>1282</v>
      </c>
      <c r="B967" s="83" t="str">
        <f t="shared" si="172"/>
        <v>SiO2</v>
      </c>
      <c r="C967" s="329">
        <f t="shared" si="173"/>
        <v>0</v>
      </c>
      <c r="D967" s="168">
        <f t="shared" si="174"/>
        <v>479.85079210585201</v>
      </c>
      <c r="E967" s="139">
        <f t="shared" si="167"/>
        <v>10.8</v>
      </c>
      <c r="F967" s="139">
        <f t="shared" si="168"/>
        <v>1.6679999999999999</v>
      </c>
      <c r="G967" s="168">
        <f t="shared" si="175"/>
        <v>0</v>
      </c>
      <c r="H967" s="150">
        <f t="shared" si="169"/>
        <v>0.80203236733157701</v>
      </c>
      <c r="I967" s="168">
        <f t="shared" si="176"/>
        <v>0</v>
      </c>
      <c r="J967" s="83"/>
      <c r="K967" s="83" t="s">
        <v>1281</v>
      </c>
      <c r="L967" s="83"/>
      <c r="M967" s="385"/>
      <c r="N967" s="362">
        <v>41450</v>
      </c>
      <c r="O967" s="83">
        <v>340</v>
      </c>
      <c r="P967" s="83" t="s">
        <v>1182</v>
      </c>
      <c r="Q967" s="83"/>
      <c r="R967" s="83">
        <v>2</v>
      </c>
      <c r="S967" s="83">
        <v>800</v>
      </c>
      <c r="T967" s="83">
        <v>84</v>
      </c>
      <c r="U967" s="83">
        <v>400</v>
      </c>
      <c r="V967" s="83">
        <v>8</v>
      </c>
      <c r="W967" s="83">
        <v>26.5</v>
      </c>
      <c r="X967" s="83">
        <v>2.5</v>
      </c>
      <c r="Y967" s="83">
        <v>40</v>
      </c>
      <c r="Z967" s="83"/>
      <c r="AA967" s="119"/>
      <c r="AB967" s="84"/>
      <c r="AC967" s="83"/>
      <c r="AD967" s="83"/>
      <c r="AE967" s="83"/>
      <c r="AF967" s="83"/>
      <c r="AG967" s="220"/>
      <c r="AH967" s="344">
        <v>479.85079210585201</v>
      </c>
      <c r="AI967" s="139"/>
      <c r="AJ967" s="139">
        <v>10.8</v>
      </c>
      <c r="AK967" s="139">
        <v>1.6679999999999999</v>
      </c>
      <c r="AL967" s="139">
        <f>(193.6+19.5)/265.7</f>
        <v>0.80203236733157701</v>
      </c>
      <c r="AM967" s="83"/>
      <c r="AN967" s="24">
        <f t="shared" si="177"/>
        <v>0</v>
      </c>
      <c r="AO967" s="252">
        <f t="shared" si="170"/>
        <v>0</v>
      </c>
      <c r="AP967" s="65">
        <f t="shared" si="171"/>
        <v>0</v>
      </c>
      <c r="AQ967" s="385"/>
      <c r="AR967" s="162"/>
      <c r="AS967" s="83"/>
      <c r="AT967" s="83"/>
    </row>
    <row r="968" spans="1:46" ht="12">
      <c r="A968" s="111" t="s">
        <v>1283</v>
      </c>
      <c r="B968" s="256" t="str">
        <f t="shared" si="172"/>
        <v>MgO</v>
      </c>
      <c r="C968" s="32">
        <f t="shared" si="173"/>
        <v>4.3</v>
      </c>
      <c r="D968" s="279">
        <f t="shared" si="174"/>
        <v>337.29612287641402</v>
      </c>
      <c r="E968" s="78">
        <f t="shared" si="167"/>
        <v>11.16</v>
      </c>
      <c r="F968" s="78">
        <f t="shared" si="168"/>
        <v>1.4159999999999999</v>
      </c>
      <c r="G968" s="279">
        <f t="shared" si="175"/>
        <v>145.03733283685801</v>
      </c>
      <c r="H968" s="190">
        <f t="shared" si="169"/>
        <v>0.74446680080482897</v>
      </c>
      <c r="I968" s="279">
        <f t="shared" si="176"/>
        <v>16186.166344593354</v>
      </c>
      <c r="J968" s="256"/>
      <c r="K968" s="83" t="s">
        <v>1284</v>
      </c>
      <c r="L968" s="256"/>
      <c r="M968" s="68"/>
      <c r="N968" s="18">
        <v>41450</v>
      </c>
      <c r="O968" s="256">
        <v>340</v>
      </c>
      <c r="P968" s="256" t="s">
        <v>46</v>
      </c>
      <c r="Q968" s="256"/>
      <c r="R968" s="256">
        <v>3</v>
      </c>
      <c r="S968" s="256">
        <v>800</v>
      </c>
      <c r="T968" s="256">
        <v>84</v>
      </c>
      <c r="U968" s="256">
        <v>400</v>
      </c>
      <c r="V968" s="256">
        <v>8</v>
      </c>
      <c r="W968" s="256">
        <v>26.5</v>
      </c>
      <c r="X968" s="256">
        <v>2.5</v>
      </c>
      <c r="Y968" s="256">
        <v>40</v>
      </c>
      <c r="Z968" s="256"/>
      <c r="AA968" s="207"/>
      <c r="AB968" s="86">
        <v>0.1961</v>
      </c>
      <c r="AC968" s="256">
        <v>0.57689999999999997</v>
      </c>
      <c r="AD968" s="256">
        <v>0.22700000000000001</v>
      </c>
      <c r="AE968" s="81" t="s">
        <v>47</v>
      </c>
      <c r="AF968" s="256">
        <v>4.3</v>
      </c>
      <c r="AG968" s="335"/>
      <c r="AH968" s="213">
        <v>337.29612287641402</v>
      </c>
      <c r="AI968" s="78"/>
      <c r="AJ968" s="78">
        <v>11.16</v>
      </c>
      <c r="AK968" s="78">
        <v>1.4159999999999999</v>
      </c>
      <c r="AL968" s="139">
        <f>(128.5+19.5)/198.8</f>
        <v>0.74446680080482897</v>
      </c>
      <c r="AM968" s="256"/>
      <c r="AN968" s="24">
        <f t="shared" si="177"/>
        <v>145.03733283685801</v>
      </c>
      <c r="AO968" s="160">
        <f t="shared" si="170"/>
        <v>16186.166344593354</v>
      </c>
      <c r="AP968" s="209">
        <f t="shared" ref="AP968:AP983" si="178">(AF968/T968)*60</f>
        <v>3.0714285714285712</v>
      </c>
      <c r="AQ968" s="68"/>
      <c r="AR968" s="15"/>
      <c r="AS968" s="256"/>
      <c r="AT968" s="256"/>
    </row>
    <row r="969" spans="1:46" ht="12">
      <c r="A969" s="137" t="s">
        <v>1285</v>
      </c>
      <c r="B969" s="83" t="str">
        <f t="shared" si="172"/>
        <v>SiO2</v>
      </c>
      <c r="C969" s="329">
        <f t="shared" si="173"/>
        <v>0</v>
      </c>
      <c r="D969" s="168">
        <f t="shared" si="174"/>
        <v>472.00047239859902</v>
      </c>
      <c r="E969" s="139">
        <f t="shared" ref="E969:E1032" si="179">AJ969</f>
        <v>10.51</v>
      </c>
      <c r="F969" s="139">
        <f t="shared" ref="F969:F1032" si="180">AK969</f>
        <v>1.528</v>
      </c>
      <c r="G969" s="168">
        <f t="shared" si="175"/>
        <v>0</v>
      </c>
      <c r="H969" s="150">
        <f t="shared" si="169"/>
        <v>0.80491673275178433</v>
      </c>
      <c r="I969" s="168">
        <f t="shared" si="176"/>
        <v>0</v>
      </c>
      <c r="J969" s="83"/>
      <c r="K969" s="83" t="s">
        <v>1281</v>
      </c>
      <c r="L969" s="83"/>
      <c r="M969" s="385"/>
      <c r="N969" s="362">
        <v>41450</v>
      </c>
      <c r="O969" s="83">
        <v>340</v>
      </c>
      <c r="P969" s="83" t="s">
        <v>1182</v>
      </c>
      <c r="Q969" s="83"/>
      <c r="R969" s="83">
        <v>4</v>
      </c>
      <c r="S969" s="83">
        <v>800</v>
      </c>
      <c r="T969" s="83">
        <v>84</v>
      </c>
      <c r="U969" s="83">
        <v>400</v>
      </c>
      <c r="V969" s="83">
        <v>8</v>
      </c>
      <c r="W969" s="83">
        <v>26.5</v>
      </c>
      <c r="X969" s="83">
        <v>2.5</v>
      </c>
      <c r="Y969" s="83">
        <v>40</v>
      </c>
      <c r="Z969" s="83"/>
      <c r="AA969" s="119"/>
      <c r="AB969" s="84"/>
      <c r="AC969" s="83"/>
      <c r="AD969" s="83"/>
      <c r="AE969" s="83"/>
      <c r="AF969" s="83"/>
      <c r="AG969" s="220"/>
      <c r="AH969" s="344">
        <v>472.00047239859902</v>
      </c>
      <c r="AI969" s="139"/>
      <c r="AJ969" s="139">
        <v>10.51</v>
      </c>
      <c r="AK969" s="139">
        <v>1.528</v>
      </c>
      <c r="AL969" s="139">
        <f>(183.5+19.5)/252.2</f>
        <v>0.80491673275178433</v>
      </c>
      <c r="AM969" s="83"/>
      <c r="AN969" s="24">
        <f t="shared" si="177"/>
        <v>0</v>
      </c>
      <c r="AO969" s="252">
        <f t="shared" si="170"/>
        <v>0</v>
      </c>
      <c r="AP969" s="65">
        <f t="shared" si="178"/>
        <v>0</v>
      </c>
      <c r="AQ969" s="385"/>
      <c r="AR969" s="162"/>
      <c r="AS969" s="83"/>
      <c r="AT969" s="83"/>
    </row>
    <row r="970" spans="1:46" ht="12">
      <c r="A970" s="137" t="s">
        <v>1286</v>
      </c>
      <c r="B970" s="83" t="str">
        <f t="shared" si="172"/>
        <v>SiO2</v>
      </c>
      <c r="C970" s="329">
        <f t="shared" si="173"/>
        <v>0</v>
      </c>
      <c r="D970" s="168">
        <f t="shared" si="174"/>
        <v>474.49830139636202</v>
      </c>
      <c r="E970" s="139">
        <f t="shared" si="179"/>
        <v>10.67</v>
      </c>
      <c r="F970" s="139">
        <f t="shared" si="180"/>
        <v>1.59</v>
      </c>
      <c r="G970" s="168">
        <f t="shared" si="175"/>
        <v>0</v>
      </c>
      <c r="H970" s="150">
        <f t="shared" si="169"/>
        <v>0.8062992125984253</v>
      </c>
      <c r="I970" s="168">
        <f t="shared" si="176"/>
        <v>0</v>
      </c>
      <c r="J970" s="83"/>
      <c r="K970" s="83" t="s">
        <v>1281</v>
      </c>
      <c r="L970" s="83"/>
      <c r="M970" s="385"/>
      <c r="N970" s="362">
        <v>41450</v>
      </c>
      <c r="O970" s="83">
        <v>340</v>
      </c>
      <c r="P970" s="83" t="s">
        <v>1182</v>
      </c>
      <c r="Q970" s="83"/>
      <c r="R970" s="83">
        <v>5</v>
      </c>
      <c r="S970" s="83">
        <v>800</v>
      </c>
      <c r="T970" s="83">
        <v>84</v>
      </c>
      <c r="U970" s="83">
        <v>400</v>
      </c>
      <c r="V970" s="83">
        <v>8</v>
      </c>
      <c r="W970" s="83">
        <v>26.5</v>
      </c>
      <c r="X970" s="83">
        <v>2.5</v>
      </c>
      <c r="Y970" s="83">
        <v>40</v>
      </c>
      <c r="Z970" s="83"/>
      <c r="AA970" s="119"/>
      <c r="AB970" s="84"/>
      <c r="AC970" s="83"/>
      <c r="AD970" s="83"/>
      <c r="AE970" s="83"/>
      <c r="AF970" s="83"/>
      <c r="AG970" s="220"/>
      <c r="AH970" s="344">
        <v>474.49830139636202</v>
      </c>
      <c r="AI970" s="139"/>
      <c r="AJ970" s="139">
        <v>10.67</v>
      </c>
      <c r="AK970" s="139">
        <v>1.59</v>
      </c>
      <c r="AL970" s="139">
        <f>(185.3+19.5)/254</f>
        <v>0.8062992125984253</v>
      </c>
      <c r="AM970" s="83"/>
      <c r="AN970" s="24">
        <f t="shared" si="177"/>
        <v>0</v>
      </c>
      <c r="AO970" s="252">
        <f t="shared" si="170"/>
        <v>0</v>
      </c>
      <c r="AP970" s="65">
        <f t="shared" si="178"/>
        <v>0</v>
      </c>
      <c r="AQ970" s="385"/>
      <c r="AR970" s="162"/>
      <c r="AS970" s="83"/>
      <c r="AT970" s="83"/>
    </row>
    <row r="971" spans="1:46" ht="12">
      <c r="A971" s="111" t="s">
        <v>1287</v>
      </c>
      <c r="B971" s="256" t="str">
        <f t="shared" si="172"/>
        <v>MgO</v>
      </c>
      <c r="C971" s="32">
        <f t="shared" si="173"/>
        <v>4.3</v>
      </c>
      <c r="D971" s="279">
        <f t="shared" si="174"/>
        <v>333.10333848731199</v>
      </c>
      <c r="E971" s="78">
        <f t="shared" si="179"/>
        <v>11.38</v>
      </c>
      <c r="F971" s="78">
        <f t="shared" si="180"/>
        <v>1.3440000000000001</v>
      </c>
      <c r="G971" s="279">
        <f t="shared" si="175"/>
        <v>143.23443554954414</v>
      </c>
      <c r="H971" s="190">
        <f t="shared" si="169"/>
        <v>0.74033467974610501</v>
      </c>
      <c r="I971" s="279">
        <f t="shared" si="176"/>
        <v>16300.078765538125</v>
      </c>
      <c r="J971" s="256"/>
      <c r="K971" s="83" t="s">
        <v>1284</v>
      </c>
      <c r="L971" s="256"/>
      <c r="M971" s="68"/>
      <c r="N971" s="18">
        <v>41450</v>
      </c>
      <c r="O971" s="256">
        <v>340</v>
      </c>
      <c r="P971" s="256" t="s">
        <v>46</v>
      </c>
      <c r="Q971" s="256"/>
      <c r="R971" s="256">
        <v>6</v>
      </c>
      <c r="S971" s="256">
        <v>800</v>
      </c>
      <c r="T971" s="256">
        <v>84</v>
      </c>
      <c r="U971" s="256">
        <v>400</v>
      </c>
      <c r="V971" s="256">
        <v>8</v>
      </c>
      <c r="W971" s="256">
        <v>26.5</v>
      </c>
      <c r="X971" s="256">
        <v>2.5</v>
      </c>
      <c r="Y971" s="256">
        <v>40</v>
      </c>
      <c r="Z971" s="256"/>
      <c r="AA971" s="207"/>
      <c r="AB971" s="86">
        <v>0.2026</v>
      </c>
      <c r="AC971" s="256">
        <v>0.57689999999999997</v>
      </c>
      <c r="AD971" s="256">
        <v>0.2205</v>
      </c>
      <c r="AE971" s="81" t="s">
        <v>47</v>
      </c>
      <c r="AF971" s="256">
        <v>4.3</v>
      </c>
      <c r="AG971" s="335"/>
      <c r="AH971" s="213">
        <v>333.10333848731199</v>
      </c>
      <c r="AI971" s="78"/>
      <c r="AJ971" s="78">
        <v>11.38</v>
      </c>
      <c r="AK971" s="78">
        <v>1.3440000000000001</v>
      </c>
      <c r="AL971" s="139">
        <f>(108.8+19.5)/173.3</f>
        <v>0.74033467974610501</v>
      </c>
      <c r="AM971" s="256"/>
      <c r="AN971" s="24">
        <f t="shared" si="177"/>
        <v>143.23443554954414</v>
      </c>
      <c r="AO971" s="160">
        <f t="shared" si="170"/>
        <v>16300.078765538125</v>
      </c>
      <c r="AP971" s="209">
        <f t="shared" si="178"/>
        <v>3.0714285714285712</v>
      </c>
      <c r="AQ971" s="68"/>
      <c r="AR971" s="15"/>
      <c r="AS971" s="256"/>
      <c r="AT971" s="256"/>
    </row>
    <row r="972" spans="1:46" ht="12">
      <c r="A972" s="326" t="s">
        <v>1288</v>
      </c>
      <c r="B972" s="257" t="str">
        <f t="shared" si="172"/>
        <v>SiNx</v>
      </c>
      <c r="C972" s="280">
        <f t="shared" si="173"/>
        <v>0</v>
      </c>
      <c r="D972" s="183">
        <f t="shared" si="174"/>
        <v>524.81171406557496</v>
      </c>
      <c r="E972" s="96">
        <f t="shared" si="179"/>
        <v>10.57</v>
      </c>
      <c r="F972" s="96">
        <f t="shared" si="180"/>
        <v>1.8129999999999999</v>
      </c>
      <c r="G972" s="183">
        <f t="shared" si="175"/>
        <v>0</v>
      </c>
      <c r="H972" s="215">
        <f t="shared" si="169"/>
        <v>0.78858131487889271</v>
      </c>
      <c r="I972" s="183">
        <f t="shared" si="176"/>
        <v>0</v>
      </c>
      <c r="J972" s="366"/>
      <c r="K972" s="366" t="s">
        <v>1289</v>
      </c>
      <c r="L972" s="366"/>
      <c r="M972" s="373"/>
      <c r="N972" s="191">
        <v>41456</v>
      </c>
      <c r="O972" s="366">
        <v>341</v>
      </c>
      <c r="P972" s="366" t="s">
        <v>187</v>
      </c>
      <c r="Q972" s="366"/>
      <c r="R972" s="366">
        <v>1</v>
      </c>
      <c r="S972" s="366">
        <v>800</v>
      </c>
      <c r="T972" s="366">
        <v>81</v>
      </c>
      <c r="U972" s="257">
        <v>400</v>
      </c>
      <c r="V972" s="257">
        <v>8</v>
      </c>
      <c r="W972" s="257">
        <v>26.5</v>
      </c>
      <c r="X972" s="257">
        <v>2.5</v>
      </c>
      <c r="Y972" s="257">
        <v>40</v>
      </c>
      <c r="Z972" s="161"/>
      <c r="AA972" s="76"/>
      <c r="AB972" s="51"/>
      <c r="AC972" s="366"/>
      <c r="AD972" s="366"/>
      <c r="AE972" s="366"/>
      <c r="AF972" s="366"/>
      <c r="AG972" s="349"/>
      <c r="AH972" s="113">
        <v>524.81171406557496</v>
      </c>
      <c r="AI972" s="53"/>
      <c r="AJ972" s="53">
        <v>10.57</v>
      </c>
      <c r="AK972" s="53">
        <v>1.8129999999999999</v>
      </c>
      <c r="AL972" s="53">
        <f>(208.5+19.4)/289</f>
        <v>0.78858131487889271</v>
      </c>
      <c r="AM972" s="366"/>
      <c r="AN972" s="24">
        <f t="shared" si="177"/>
        <v>0</v>
      </c>
      <c r="AO972" s="198">
        <f t="shared" si="170"/>
        <v>0</v>
      </c>
      <c r="AP972" s="399">
        <f t="shared" si="178"/>
        <v>0</v>
      </c>
      <c r="AQ972" s="373"/>
      <c r="AR972" s="44"/>
      <c r="AS972" s="366"/>
      <c r="AT972" s="366"/>
    </row>
    <row r="973" spans="1:46" ht="12">
      <c r="A973" s="326" t="s">
        <v>1290</v>
      </c>
      <c r="B973" s="257" t="str">
        <f t="shared" si="172"/>
        <v>SiNx</v>
      </c>
      <c r="C973" s="280">
        <f t="shared" si="173"/>
        <v>0</v>
      </c>
      <c r="D973" s="183">
        <f t="shared" si="174"/>
        <v>521.689427818372</v>
      </c>
      <c r="E973" s="96">
        <f t="shared" si="179"/>
        <v>10.58</v>
      </c>
      <c r="F973" s="96">
        <f t="shared" si="180"/>
        <v>1.823</v>
      </c>
      <c r="G973" s="183">
        <f t="shared" si="175"/>
        <v>0</v>
      </c>
      <c r="H973" s="215">
        <f t="shared" si="169"/>
        <v>0.78673469387755102</v>
      </c>
      <c r="I973" s="183">
        <f t="shared" si="176"/>
        <v>0</v>
      </c>
      <c r="J973" s="366"/>
      <c r="K973" s="366" t="s">
        <v>1289</v>
      </c>
      <c r="L973" s="366"/>
      <c r="M973" s="373"/>
      <c r="N973" s="191">
        <v>41456</v>
      </c>
      <c r="O973" s="366">
        <v>341</v>
      </c>
      <c r="P973" s="366" t="s">
        <v>187</v>
      </c>
      <c r="Q973" s="366"/>
      <c r="R973" s="366">
        <v>2</v>
      </c>
      <c r="S973" s="366">
        <v>800</v>
      </c>
      <c r="T973" s="366">
        <v>81</v>
      </c>
      <c r="U973" s="257">
        <v>400</v>
      </c>
      <c r="V973" s="257">
        <v>8</v>
      </c>
      <c r="W973" s="257">
        <v>26.5</v>
      </c>
      <c r="X973" s="257">
        <v>2.5</v>
      </c>
      <c r="Y973" s="257">
        <v>40</v>
      </c>
      <c r="Z973" s="161"/>
      <c r="AA973" s="76"/>
      <c r="AB973" s="51"/>
      <c r="AC973" s="366"/>
      <c r="AD973" s="366"/>
      <c r="AE973" s="366"/>
      <c r="AF973" s="366"/>
      <c r="AG973" s="349"/>
      <c r="AH973" s="113">
        <v>521.689427818372</v>
      </c>
      <c r="AI973" s="53"/>
      <c r="AJ973" s="53">
        <v>10.58</v>
      </c>
      <c r="AK973" s="53">
        <v>1.823</v>
      </c>
      <c r="AL973" s="53">
        <f>(211.9+19.4)/294</f>
        <v>0.78673469387755102</v>
      </c>
      <c r="AM973" s="366"/>
      <c r="AN973" s="24">
        <f t="shared" si="177"/>
        <v>0</v>
      </c>
      <c r="AO973" s="198">
        <f t="shared" si="170"/>
        <v>0</v>
      </c>
      <c r="AP973" s="399">
        <f t="shared" si="178"/>
        <v>0</v>
      </c>
      <c r="AQ973" s="373"/>
      <c r="AR973" s="44"/>
      <c r="AS973" s="366"/>
      <c r="AT973" s="366"/>
    </row>
    <row r="974" spans="1:46" ht="12">
      <c r="A974" s="326" t="s">
        <v>1291</v>
      </c>
      <c r="B974" s="257" t="str">
        <f t="shared" si="172"/>
        <v>SiNx</v>
      </c>
      <c r="C974" s="280">
        <f t="shared" si="173"/>
        <v>0</v>
      </c>
      <c r="D974" s="183">
        <f t="shared" si="174"/>
        <v>412.49861734476002</v>
      </c>
      <c r="E974" s="96">
        <f t="shared" si="179"/>
        <v>11.94</v>
      </c>
      <c r="F974" s="96">
        <f t="shared" si="180"/>
        <v>1.5449999999999999</v>
      </c>
      <c r="G974" s="183">
        <f t="shared" si="175"/>
        <v>0</v>
      </c>
      <c r="H974" s="215">
        <f t="shared" si="169"/>
        <v>0.87342995169082127</v>
      </c>
      <c r="I974" s="183">
        <f t="shared" si="176"/>
        <v>0</v>
      </c>
      <c r="J974" s="366"/>
      <c r="K974" s="366" t="s">
        <v>1289</v>
      </c>
      <c r="L974" s="366"/>
      <c r="M974" s="373"/>
      <c r="N974" s="191">
        <v>41456</v>
      </c>
      <c r="O974" s="366">
        <v>341</v>
      </c>
      <c r="P974" s="366" t="s">
        <v>187</v>
      </c>
      <c r="Q974" s="366"/>
      <c r="R974" s="366">
        <v>3</v>
      </c>
      <c r="S974" s="366">
        <v>800</v>
      </c>
      <c r="T974" s="366">
        <v>81</v>
      </c>
      <c r="U974" s="257">
        <v>400</v>
      </c>
      <c r="V974" s="257">
        <v>8</v>
      </c>
      <c r="W974" s="257">
        <v>26.5</v>
      </c>
      <c r="X974" s="257">
        <v>2.5</v>
      </c>
      <c r="Y974" s="257">
        <v>40</v>
      </c>
      <c r="Z974" s="161"/>
      <c r="AA974" s="76"/>
      <c r="AB974" s="51"/>
      <c r="AC974" s="366"/>
      <c r="AD974" s="366"/>
      <c r="AE974" s="366"/>
      <c r="AF974" s="366"/>
      <c r="AG974" s="349"/>
      <c r="AH974" s="113">
        <v>412.49861734476002</v>
      </c>
      <c r="AI974" s="53"/>
      <c r="AJ974" s="53">
        <v>11.94</v>
      </c>
      <c r="AK974" s="53">
        <v>1.5449999999999999</v>
      </c>
      <c r="AL974" s="53">
        <f>(161.4+19.4)/207</f>
        <v>0.87342995169082127</v>
      </c>
      <c r="AM974" s="366"/>
      <c r="AN974" s="24">
        <f t="shared" si="177"/>
        <v>0</v>
      </c>
      <c r="AO974" s="198">
        <f t="shared" si="170"/>
        <v>0</v>
      </c>
      <c r="AP974" s="399">
        <f t="shared" si="178"/>
        <v>0</v>
      </c>
      <c r="AQ974" s="373"/>
      <c r="AR974" s="44"/>
      <c r="AS974" s="366"/>
      <c r="AT974" s="366"/>
    </row>
    <row r="975" spans="1:46" ht="12">
      <c r="A975" s="326" t="s">
        <v>1292</v>
      </c>
      <c r="B975" s="257" t="str">
        <f t="shared" si="172"/>
        <v>SiNx</v>
      </c>
      <c r="C975" s="280">
        <f t="shared" si="173"/>
        <v>0</v>
      </c>
      <c r="D975" s="183">
        <f t="shared" si="174"/>
        <v>508.397409223137</v>
      </c>
      <c r="E975" s="96">
        <f t="shared" si="179"/>
        <v>10.63</v>
      </c>
      <c r="F975" s="96">
        <f t="shared" si="180"/>
        <v>1.77</v>
      </c>
      <c r="G975" s="183">
        <f t="shared" si="175"/>
        <v>0</v>
      </c>
      <c r="H975" s="215">
        <f t="shared" si="169"/>
        <v>0.79604316546762599</v>
      </c>
      <c r="I975" s="183">
        <f t="shared" si="176"/>
        <v>0</v>
      </c>
      <c r="J975" s="366"/>
      <c r="K975" s="366" t="s">
        <v>1289</v>
      </c>
      <c r="L975" s="366"/>
      <c r="M975" s="373"/>
      <c r="N975" s="191">
        <v>41456</v>
      </c>
      <c r="O975" s="366">
        <v>341</v>
      </c>
      <c r="P975" s="366" t="s">
        <v>187</v>
      </c>
      <c r="Q975" s="366"/>
      <c r="R975" s="366">
        <v>4</v>
      </c>
      <c r="S975" s="366">
        <v>800</v>
      </c>
      <c r="T975" s="366">
        <v>81</v>
      </c>
      <c r="U975" s="257">
        <v>400</v>
      </c>
      <c r="V975" s="257">
        <v>8</v>
      </c>
      <c r="W975" s="257">
        <v>26.5</v>
      </c>
      <c r="X975" s="257">
        <v>2.5</v>
      </c>
      <c r="Y975" s="257">
        <v>40</v>
      </c>
      <c r="Z975" s="161"/>
      <c r="AA975" s="76"/>
      <c r="AB975" s="51"/>
      <c r="AC975" s="366"/>
      <c r="AD975" s="366"/>
      <c r="AE975" s="366"/>
      <c r="AF975" s="366"/>
      <c r="AG975" s="349"/>
      <c r="AH975" s="113">
        <v>508.397409223137</v>
      </c>
      <c r="AI975" s="53"/>
      <c r="AJ975" s="53">
        <v>10.63</v>
      </c>
      <c r="AK975" s="53">
        <v>1.77</v>
      </c>
      <c r="AL975" s="53">
        <f>(201.9+19.4)/278</f>
        <v>0.79604316546762599</v>
      </c>
      <c r="AM975" s="366"/>
      <c r="AN975" s="24">
        <f t="shared" si="177"/>
        <v>0</v>
      </c>
      <c r="AO975" s="198">
        <f t="shared" si="170"/>
        <v>0</v>
      </c>
      <c r="AP975" s="399">
        <f t="shared" si="178"/>
        <v>0</v>
      </c>
      <c r="AQ975" s="373"/>
      <c r="AR975" s="44"/>
      <c r="AS975" s="366"/>
      <c r="AT975" s="366"/>
    </row>
    <row r="976" spans="1:46" ht="12">
      <c r="A976" s="326" t="s">
        <v>1293</v>
      </c>
      <c r="B976" s="257" t="str">
        <f t="shared" si="172"/>
        <v>SiNx</v>
      </c>
      <c r="C976" s="280">
        <f t="shared" si="173"/>
        <v>0</v>
      </c>
      <c r="D976" s="183">
        <f t="shared" si="174"/>
        <v>514.37435718206802</v>
      </c>
      <c r="E976" s="96">
        <f t="shared" si="179"/>
        <v>10.55</v>
      </c>
      <c r="F976" s="96">
        <f t="shared" si="180"/>
        <v>1.7889999999999999</v>
      </c>
      <c r="G976" s="183">
        <f t="shared" si="175"/>
        <v>0</v>
      </c>
      <c r="H976" s="215">
        <f t="shared" si="169"/>
        <v>0.78541666666666676</v>
      </c>
      <c r="I976" s="183">
        <f t="shared" si="176"/>
        <v>0</v>
      </c>
      <c r="J976" s="366"/>
      <c r="K976" s="366" t="s">
        <v>1289</v>
      </c>
      <c r="L976" s="366"/>
      <c r="M976" s="373"/>
      <c r="N976" s="191">
        <v>41456</v>
      </c>
      <c r="O976" s="366">
        <v>341</v>
      </c>
      <c r="P976" s="366" t="s">
        <v>187</v>
      </c>
      <c r="Q976" s="366"/>
      <c r="R976" s="366">
        <v>5</v>
      </c>
      <c r="S976" s="366">
        <v>800</v>
      </c>
      <c r="T976" s="366">
        <v>81</v>
      </c>
      <c r="U976" s="257">
        <v>400</v>
      </c>
      <c r="V976" s="257">
        <v>8</v>
      </c>
      <c r="W976" s="257">
        <v>26.5</v>
      </c>
      <c r="X976" s="257">
        <v>2.5</v>
      </c>
      <c r="Y976" s="257">
        <v>40</v>
      </c>
      <c r="Z976" s="161"/>
      <c r="AA976" s="76"/>
      <c r="AB976" s="51"/>
      <c r="AC976" s="366"/>
      <c r="AD976" s="366"/>
      <c r="AE976" s="366"/>
      <c r="AF976" s="366"/>
      <c r="AG976" s="349"/>
      <c r="AH976" s="113">
        <v>514.37435718206802</v>
      </c>
      <c r="AI976" s="53"/>
      <c r="AJ976" s="53">
        <v>10.55</v>
      </c>
      <c r="AK976" s="53">
        <v>1.7889999999999999</v>
      </c>
      <c r="AL976" s="53">
        <f>(206.8+19.4)/288</f>
        <v>0.78541666666666676</v>
      </c>
      <c r="AM976" s="366"/>
      <c r="AN976" s="24">
        <f t="shared" si="177"/>
        <v>0</v>
      </c>
      <c r="AO976" s="198">
        <f t="shared" si="170"/>
        <v>0</v>
      </c>
      <c r="AP976" s="399">
        <f t="shared" si="178"/>
        <v>0</v>
      </c>
      <c r="AQ976" s="373"/>
      <c r="AR976" s="44"/>
      <c r="AS976" s="366"/>
      <c r="AT976" s="366"/>
    </row>
    <row r="977" spans="1:46" ht="12">
      <c r="A977" s="111" t="s">
        <v>1294</v>
      </c>
      <c r="B977" s="256" t="str">
        <f t="shared" si="172"/>
        <v>MgO</v>
      </c>
      <c r="C977" s="141">
        <f t="shared" si="173"/>
        <v>4.2300000000000004</v>
      </c>
      <c r="D977" s="277">
        <f t="shared" si="174"/>
        <v>341.042866373057</v>
      </c>
      <c r="E977" s="20">
        <f t="shared" si="179"/>
        <v>11.12</v>
      </c>
      <c r="F977" s="20">
        <f t="shared" si="180"/>
        <v>1.278</v>
      </c>
      <c r="G977" s="277">
        <f t="shared" si="175"/>
        <v>144.26113247580312</v>
      </c>
      <c r="H977" s="3">
        <f t="shared" si="169"/>
        <v>0.74885057471264371</v>
      </c>
      <c r="I977" s="277">
        <f t="shared" si="176"/>
        <v>16041.837931309306</v>
      </c>
      <c r="J977" s="359"/>
      <c r="K977" s="359" t="s">
        <v>1289</v>
      </c>
      <c r="L977" s="359"/>
      <c r="M977" s="338"/>
      <c r="N977" s="89">
        <v>41456</v>
      </c>
      <c r="O977" s="359">
        <v>341</v>
      </c>
      <c r="P977" s="359" t="s">
        <v>46</v>
      </c>
      <c r="Q977" s="359"/>
      <c r="R977" s="359">
        <v>6</v>
      </c>
      <c r="S977" s="359">
        <v>800</v>
      </c>
      <c r="T977" s="359">
        <v>81</v>
      </c>
      <c r="U977" s="256">
        <v>400</v>
      </c>
      <c r="V977" s="256">
        <v>8</v>
      </c>
      <c r="W977" s="256">
        <v>26.5</v>
      </c>
      <c r="X977" s="256">
        <v>2.5</v>
      </c>
      <c r="Y977" s="256">
        <v>40</v>
      </c>
      <c r="Z977" s="71"/>
      <c r="AA977" s="387"/>
      <c r="AB977" s="248">
        <v>0.20599999999999999</v>
      </c>
      <c r="AC977" s="359">
        <v>0.58030000000000004</v>
      </c>
      <c r="AD977" s="359">
        <v>0.2137</v>
      </c>
      <c r="AE977" s="81" t="s">
        <v>47</v>
      </c>
      <c r="AF977" s="359">
        <v>4.2300000000000004</v>
      </c>
      <c r="AG977" s="153"/>
      <c r="AH977" s="346">
        <v>341.042866373057</v>
      </c>
      <c r="AI977" s="24"/>
      <c r="AJ977" s="24">
        <v>11.12</v>
      </c>
      <c r="AK977" s="24">
        <v>1.278</v>
      </c>
      <c r="AL977" s="24">
        <f>(110.9+19.4)/174</f>
        <v>0.74885057471264371</v>
      </c>
      <c r="AM977" s="359"/>
      <c r="AN977" s="24">
        <f t="shared" si="177"/>
        <v>144.26113247580312</v>
      </c>
      <c r="AO977" s="54">
        <f t="shared" si="170"/>
        <v>16041.837931309306</v>
      </c>
      <c r="AP977" s="261">
        <f t="shared" si="178"/>
        <v>3.1333333333333337</v>
      </c>
      <c r="AQ977" s="338"/>
      <c r="AR977" s="45"/>
      <c r="AS977" s="359"/>
      <c r="AT977" s="359"/>
    </row>
    <row r="978" spans="1:46" ht="12">
      <c r="A978" s="111" t="s">
        <v>1295</v>
      </c>
      <c r="B978" s="67" t="str">
        <f t="shared" si="172"/>
        <v>MgO</v>
      </c>
      <c r="C978" s="32">
        <f t="shared" si="173"/>
        <v>4.1399999999999997</v>
      </c>
      <c r="D978" s="279">
        <f t="shared" si="174"/>
        <v>360.04420839174998</v>
      </c>
      <c r="E978" s="78">
        <f t="shared" si="179"/>
        <v>11.25</v>
      </c>
      <c r="F978" s="78">
        <f t="shared" si="180"/>
        <v>1.4450000000000001</v>
      </c>
      <c r="G978" s="279">
        <f t="shared" si="175"/>
        <v>149.05830227418448</v>
      </c>
      <c r="H978" s="190">
        <f t="shared" si="169"/>
        <v>0.72009132420091315</v>
      </c>
      <c r="I978" s="279">
        <f t="shared" si="176"/>
        <v>16769.059005845753</v>
      </c>
      <c r="J978" s="67"/>
      <c r="K978" s="67" t="s">
        <v>1296</v>
      </c>
      <c r="L978" s="67"/>
      <c r="M978" s="371"/>
      <c r="N978" s="309">
        <v>41463</v>
      </c>
      <c r="O978" s="67">
        <v>342</v>
      </c>
      <c r="P978" s="67" t="s">
        <v>46</v>
      </c>
      <c r="Q978" s="67"/>
      <c r="R978" s="67">
        <v>1</v>
      </c>
      <c r="S978" s="67">
        <v>800</v>
      </c>
      <c r="T978" s="67">
        <v>81</v>
      </c>
      <c r="U978" s="256">
        <v>400</v>
      </c>
      <c r="V978" s="256">
        <v>8</v>
      </c>
      <c r="W978" s="256">
        <v>26.5</v>
      </c>
      <c r="X978" s="256">
        <v>2.5</v>
      </c>
      <c r="Y978" s="256">
        <v>40</v>
      </c>
      <c r="Z978" s="306"/>
      <c r="AA978" s="317"/>
      <c r="AB978" s="182">
        <v>0.1923</v>
      </c>
      <c r="AC978" s="67">
        <v>0.58479999999999999</v>
      </c>
      <c r="AD978" s="67">
        <v>0.22289999999999999</v>
      </c>
      <c r="AE978" s="81" t="s">
        <v>47</v>
      </c>
      <c r="AF978" s="67">
        <v>4.1399999999999997</v>
      </c>
      <c r="AG978" s="315"/>
      <c r="AH978" s="66">
        <v>360.04420839174998</v>
      </c>
      <c r="AI978" s="216"/>
      <c r="AJ978" s="216">
        <v>11.25</v>
      </c>
      <c r="AK978" s="216">
        <v>1.4450000000000001</v>
      </c>
      <c r="AL978" s="216">
        <f>(138.6+19.1)/219</f>
        <v>0.72009132420091315</v>
      </c>
      <c r="AM978" s="67"/>
      <c r="AN978" s="24">
        <f t="shared" si="177"/>
        <v>149.05830227418448</v>
      </c>
      <c r="AO978" s="389">
        <f t="shared" si="170"/>
        <v>16769.059005845753</v>
      </c>
      <c r="AP978" s="187">
        <f t="shared" si="178"/>
        <v>3.0666666666666664</v>
      </c>
      <c r="AQ978" s="371"/>
      <c r="AR978" s="41"/>
      <c r="AS978" s="67"/>
      <c r="AT978" s="67"/>
    </row>
    <row r="979" spans="1:46" ht="12">
      <c r="A979" s="111" t="s">
        <v>1297</v>
      </c>
      <c r="B979" s="67" t="str">
        <f t="shared" si="172"/>
        <v>MgO</v>
      </c>
      <c r="C979" s="32">
        <f t="shared" si="173"/>
        <v>4.25</v>
      </c>
      <c r="D979" s="279">
        <f t="shared" si="174"/>
        <v>378.15346862552701</v>
      </c>
      <c r="E979" s="78">
        <f t="shared" si="179"/>
        <v>11.22</v>
      </c>
      <c r="F979" s="78">
        <f t="shared" si="180"/>
        <v>1.0629999999999999</v>
      </c>
      <c r="G979" s="279">
        <f t="shared" si="175"/>
        <v>160.71522416584898</v>
      </c>
      <c r="H979" s="190">
        <f t="shared" si="169"/>
        <v>0.70851063829787231</v>
      </c>
      <c r="I979" s="279">
        <f t="shared" si="176"/>
        <v>18032.248151408257</v>
      </c>
      <c r="J979" s="67"/>
      <c r="K979" s="67" t="s">
        <v>1296</v>
      </c>
      <c r="L979" s="67"/>
      <c r="M979" s="371"/>
      <c r="N979" s="309">
        <v>41463</v>
      </c>
      <c r="O979" s="67">
        <v>342</v>
      </c>
      <c r="P979" s="67" t="s">
        <v>46</v>
      </c>
      <c r="Q979" s="67"/>
      <c r="R979" s="67">
        <v>2</v>
      </c>
      <c r="S979" s="67">
        <v>800</v>
      </c>
      <c r="T979" s="67">
        <v>81</v>
      </c>
      <c r="U979" s="256">
        <v>400</v>
      </c>
      <c r="V979" s="256">
        <v>8</v>
      </c>
      <c r="W979" s="256">
        <v>26.5</v>
      </c>
      <c r="X979" s="256">
        <v>2.5</v>
      </c>
      <c r="Y979" s="256">
        <v>40</v>
      </c>
      <c r="Z979" s="306"/>
      <c r="AA979" s="317"/>
      <c r="AB979" s="182">
        <v>0.19500000000000001</v>
      </c>
      <c r="AC979" s="67">
        <v>0.57969999999999999</v>
      </c>
      <c r="AD979" s="67">
        <v>0.2253</v>
      </c>
      <c r="AE979" s="81" t="s">
        <v>47</v>
      </c>
      <c r="AF979" s="67">
        <v>4.25</v>
      </c>
      <c r="AG979" s="315"/>
      <c r="AH979" s="66">
        <v>378.15346862552701</v>
      </c>
      <c r="AI979" s="216"/>
      <c r="AJ979" s="216">
        <v>11.22</v>
      </c>
      <c r="AK979" s="216">
        <v>1.0629999999999999</v>
      </c>
      <c r="AL979" s="216">
        <f>(147+19.5)/235</f>
        <v>0.70851063829787231</v>
      </c>
      <c r="AM979" s="67"/>
      <c r="AN979" s="24">
        <f t="shared" si="177"/>
        <v>160.71522416584898</v>
      </c>
      <c r="AO979" s="389">
        <f t="shared" si="170"/>
        <v>18032.248151408257</v>
      </c>
      <c r="AP979" s="187">
        <f t="shared" si="178"/>
        <v>3.1481481481481479</v>
      </c>
      <c r="AQ979" s="371"/>
      <c r="AR979" s="41"/>
      <c r="AS979" s="67"/>
      <c r="AT979" s="67"/>
    </row>
    <row r="980" spans="1:46" ht="12">
      <c r="A980" s="326" t="s">
        <v>1298</v>
      </c>
      <c r="B980" s="366" t="str">
        <f t="shared" si="172"/>
        <v>SiNx</v>
      </c>
      <c r="C980" s="280">
        <f t="shared" si="173"/>
        <v>0</v>
      </c>
      <c r="D980" s="183">
        <f t="shared" si="174"/>
        <v>388.05557643808498</v>
      </c>
      <c r="E980" s="96">
        <f t="shared" si="179"/>
        <v>12.51</v>
      </c>
      <c r="F980" s="96">
        <f t="shared" si="180"/>
        <v>1.391</v>
      </c>
      <c r="G980" s="183">
        <f t="shared" si="175"/>
        <v>0</v>
      </c>
      <c r="H980" s="215">
        <f t="shared" si="169"/>
        <v>0.87918781725888318</v>
      </c>
      <c r="I980" s="183">
        <f t="shared" si="176"/>
        <v>0</v>
      </c>
      <c r="J980" s="366"/>
      <c r="K980" s="366" t="s">
        <v>1296</v>
      </c>
      <c r="L980" s="366"/>
      <c r="M980" s="373"/>
      <c r="N980" s="191">
        <v>41463</v>
      </c>
      <c r="O980" s="366">
        <v>342</v>
      </c>
      <c r="P980" s="366" t="s">
        <v>187</v>
      </c>
      <c r="Q980" s="366"/>
      <c r="R980" s="366">
        <v>3</v>
      </c>
      <c r="S980" s="366">
        <v>800</v>
      </c>
      <c r="T980" s="366">
        <v>81</v>
      </c>
      <c r="U980" s="257">
        <v>400</v>
      </c>
      <c r="V980" s="257">
        <v>8</v>
      </c>
      <c r="W980" s="257">
        <v>26.5</v>
      </c>
      <c r="X980" s="257">
        <v>2.5</v>
      </c>
      <c r="Y980" s="257">
        <v>40</v>
      </c>
      <c r="Z980" s="161"/>
      <c r="AA980" s="76"/>
      <c r="AB980" s="51"/>
      <c r="AC980" s="366"/>
      <c r="AD980" s="366"/>
      <c r="AE980" s="366"/>
      <c r="AF980" s="366"/>
      <c r="AG980" s="349"/>
      <c r="AH980" s="113">
        <v>388.05557643808498</v>
      </c>
      <c r="AI980" s="53"/>
      <c r="AJ980" s="53">
        <v>12.51</v>
      </c>
      <c r="AK980" s="53">
        <v>1.391</v>
      </c>
      <c r="AL980" s="53">
        <f>(154.6+18.6)/197</f>
        <v>0.87918781725888318</v>
      </c>
      <c r="AM980" s="366"/>
      <c r="AN980" s="24">
        <f t="shared" si="177"/>
        <v>0</v>
      </c>
      <c r="AO980" s="198">
        <f t="shared" si="170"/>
        <v>0</v>
      </c>
      <c r="AP980" s="399">
        <f t="shared" si="178"/>
        <v>0</v>
      </c>
      <c r="AQ980" s="373"/>
      <c r="AR980" s="44"/>
      <c r="AS980" s="366"/>
      <c r="AT980" s="366"/>
    </row>
    <row r="981" spans="1:46" ht="12">
      <c r="A981" s="111" t="s">
        <v>1299</v>
      </c>
      <c r="B981" s="67" t="str">
        <f t="shared" si="172"/>
        <v>MgO</v>
      </c>
      <c r="C981" s="32">
        <f t="shared" si="173"/>
        <v>4.1500000000000004</v>
      </c>
      <c r="D981" s="279">
        <f t="shared" si="174"/>
        <v>354.51330132527602</v>
      </c>
      <c r="E981" s="78">
        <f t="shared" si="179"/>
        <v>11.06</v>
      </c>
      <c r="F981" s="78">
        <f t="shared" si="180"/>
        <v>1.33</v>
      </c>
      <c r="G981" s="279">
        <f t="shared" si="175"/>
        <v>147.12302004998955</v>
      </c>
      <c r="H981" s="190">
        <f t="shared" si="169"/>
        <v>0.71059907834101377</v>
      </c>
      <c r="I981" s="279">
        <f t="shared" si="176"/>
        <v>16271.806017528845</v>
      </c>
      <c r="J981" s="67"/>
      <c r="K981" s="67" t="s">
        <v>1296</v>
      </c>
      <c r="L981" s="67"/>
      <c r="M981" s="371"/>
      <c r="N981" s="309">
        <v>41463</v>
      </c>
      <c r="O981" s="67">
        <v>342</v>
      </c>
      <c r="P981" s="67" t="s">
        <v>46</v>
      </c>
      <c r="Q981" s="67"/>
      <c r="R981" s="67">
        <v>4</v>
      </c>
      <c r="S981" s="67">
        <v>800</v>
      </c>
      <c r="T981" s="67">
        <v>81</v>
      </c>
      <c r="U981" s="256">
        <v>400</v>
      </c>
      <c r="V981" s="256">
        <v>8</v>
      </c>
      <c r="W981" s="256">
        <v>26.5</v>
      </c>
      <c r="X981" s="256">
        <v>2.5</v>
      </c>
      <c r="Y981" s="256">
        <v>40</v>
      </c>
      <c r="Z981" s="306"/>
      <c r="AA981" s="317"/>
      <c r="AB981" s="182">
        <v>0.1928</v>
      </c>
      <c r="AC981" s="67">
        <v>0.58430000000000004</v>
      </c>
      <c r="AD981" s="67">
        <v>0.22289999999999999</v>
      </c>
      <c r="AE981" s="81" t="s">
        <v>47</v>
      </c>
      <c r="AF981" s="67">
        <v>4.1500000000000004</v>
      </c>
      <c r="AG981" s="315"/>
      <c r="AH981" s="66">
        <v>354.51330132527602</v>
      </c>
      <c r="AI981" s="216"/>
      <c r="AJ981" s="216">
        <v>11.06</v>
      </c>
      <c r="AK981" s="216">
        <v>1.33</v>
      </c>
      <c r="AL981" s="216">
        <f>(135.1+19.1)/217</f>
        <v>0.71059907834101377</v>
      </c>
      <c r="AM981" s="67"/>
      <c r="AN981" s="24">
        <f t="shared" si="177"/>
        <v>147.12302004998955</v>
      </c>
      <c r="AO981" s="389">
        <f t="shared" si="170"/>
        <v>16271.806017528845</v>
      </c>
      <c r="AP981" s="187">
        <f t="shared" si="178"/>
        <v>3.0740740740740744</v>
      </c>
      <c r="AQ981" s="371"/>
      <c r="AR981" s="41"/>
      <c r="AS981" s="67"/>
      <c r="AT981" s="67"/>
    </row>
    <row r="982" spans="1:46" ht="12">
      <c r="A982" s="111" t="s">
        <v>1300</v>
      </c>
      <c r="B982" s="67" t="str">
        <f t="shared" si="172"/>
        <v>MgO</v>
      </c>
      <c r="C982" s="32">
        <f t="shared" si="173"/>
        <v>4.16</v>
      </c>
      <c r="D982" s="279">
        <f t="shared" si="174"/>
        <v>357.36796303700402</v>
      </c>
      <c r="E982" s="78">
        <f t="shared" si="179"/>
        <v>11.34</v>
      </c>
      <c r="F982" s="78">
        <f t="shared" si="180"/>
        <v>1.26</v>
      </c>
      <c r="G982" s="279">
        <f t="shared" si="175"/>
        <v>148.66507262339366</v>
      </c>
      <c r="H982" s="190">
        <f t="shared" si="169"/>
        <v>0.70347826086956522</v>
      </c>
      <c r="I982" s="279">
        <f t="shared" si="176"/>
        <v>16858.619235492843</v>
      </c>
      <c r="J982" s="67"/>
      <c r="K982" s="67" t="s">
        <v>1296</v>
      </c>
      <c r="L982" s="67"/>
      <c r="M982" s="371"/>
      <c r="N982" s="309">
        <v>41463</v>
      </c>
      <c r="O982" s="67">
        <v>342</v>
      </c>
      <c r="P982" s="67" t="s">
        <v>46</v>
      </c>
      <c r="Q982" s="67"/>
      <c r="R982" s="67">
        <v>5</v>
      </c>
      <c r="S982" s="67">
        <v>800</v>
      </c>
      <c r="T982" s="67">
        <v>81</v>
      </c>
      <c r="U982" s="256">
        <v>400</v>
      </c>
      <c r="V982" s="256">
        <v>8</v>
      </c>
      <c r="W982" s="256">
        <v>26.5</v>
      </c>
      <c r="X982" s="256">
        <v>2.5</v>
      </c>
      <c r="Y982" s="256">
        <v>40</v>
      </c>
      <c r="Z982" s="306"/>
      <c r="AA982" s="317"/>
      <c r="AB982" s="182">
        <v>0.19339999999999999</v>
      </c>
      <c r="AC982" s="67">
        <v>0.58360000000000001</v>
      </c>
      <c r="AD982" s="67">
        <v>0.22289999999999999</v>
      </c>
      <c r="AE982" s="81" t="s">
        <v>47</v>
      </c>
      <c r="AF982" s="67">
        <v>4.16</v>
      </c>
      <c r="AG982" s="315"/>
      <c r="AH982" s="66">
        <v>357.36796303700402</v>
      </c>
      <c r="AI982" s="216"/>
      <c r="AJ982" s="216">
        <v>11.34</v>
      </c>
      <c r="AK982" s="216">
        <v>1.26</v>
      </c>
      <c r="AL982" s="216">
        <f>(142.4+19.4)/230</f>
        <v>0.70347826086956522</v>
      </c>
      <c r="AM982" s="67"/>
      <c r="AN982" s="24">
        <f t="shared" si="177"/>
        <v>148.66507262339366</v>
      </c>
      <c r="AO982" s="389">
        <f t="shared" si="170"/>
        <v>16858.619235492843</v>
      </c>
      <c r="AP982" s="187">
        <f t="shared" si="178"/>
        <v>3.0814814814814815</v>
      </c>
      <c r="AQ982" s="371"/>
      <c r="AR982" s="41"/>
      <c r="AS982" s="67"/>
      <c r="AT982" s="67"/>
    </row>
    <row r="983" spans="1:46" ht="12">
      <c r="A983" s="326" t="s">
        <v>1301</v>
      </c>
      <c r="B983" s="366" t="str">
        <f t="shared" si="172"/>
        <v>SiNx</v>
      </c>
      <c r="C983" s="280">
        <f t="shared" si="173"/>
        <v>0</v>
      </c>
      <c r="D983" s="183">
        <f t="shared" si="174"/>
        <v>389.39369911545799</v>
      </c>
      <c r="E983" s="96">
        <f t="shared" si="179"/>
        <v>12.42</v>
      </c>
      <c r="F983" s="96">
        <f t="shared" si="180"/>
        <v>1.4350000000000001</v>
      </c>
      <c r="G983" s="183">
        <f t="shared" si="175"/>
        <v>0</v>
      </c>
      <c r="H983" s="215">
        <f t="shared" si="169"/>
        <v>0.87191011235955052</v>
      </c>
      <c r="I983" s="183">
        <f t="shared" si="176"/>
        <v>0</v>
      </c>
      <c r="J983" s="366"/>
      <c r="K983" s="366" t="s">
        <v>1296</v>
      </c>
      <c r="L983" s="366"/>
      <c r="M983" s="373"/>
      <c r="N983" s="191">
        <v>41463</v>
      </c>
      <c r="O983" s="366">
        <v>342</v>
      </c>
      <c r="P983" s="366" t="s">
        <v>187</v>
      </c>
      <c r="Q983" s="366"/>
      <c r="R983" s="366">
        <v>6</v>
      </c>
      <c r="S983" s="366">
        <v>800</v>
      </c>
      <c r="T983" s="366">
        <v>81</v>
      </c>
      <c r="U983" s="257">
        <v>400</v>
      </c>
      <c r="V983" s="257">
        <v>8</v>
      </c>
      <c r="W983" s="257">
        <v>26.5</v>
      </c>
      <c r="X983" s="257">
        <v>2.5</v>
      </c>
      <c r="Y983" s="257">
        <v>40</v>
      </c>
      <c r="Z983" s="161"/>
      <c r="AA983" s="76"/>
      <c r="AB983" s="51"/>
      <c r="AC983" s="366"/>
      <c r="AD983" s="366"/>
      <c r="AE983" s="366"/>
      <c r="AF983" s="366"/>
      <c r="AG983" s="349"/>
      <c r="AH983" s="113">
        <v>389.39369911545799</v>
      </c>
      <c r="AI983" s="53"/>
      <c r="AJ983" s="53">
        <v>12.42</v>
      </c>
      <c r="AK983" s="53">
        <v>1.4350000000000001</v>
      </c>
      <c r="AL983" s="53">
        <f>(137.6+17.6)/178</f>
        <v>0.87191011235955052</v>
      </c>
      <c r="AM983" s="366"/>
      <c r="AN983" s="24">
        <f t="shared" si="177"/>
        <v>0</v>
      </c>
      <c r="AO983" s="198">
        <f t="shared" si="170"/>
        <v>0</v>
      </c>
      <c r="AP983" s="399">
        <f t="shared" si="178"/>
        <v>0</v>
      </c>
      <c r="AQ983" s="373"/>
      <c r="AR983" s="44"/>
      <c r="AS983" s="366"/>
      <c r="AT983" s="366"/>
    </row>
    <row r="984" spans="1:46" ht="12">
      <c r="A984" s="217" t="s">
        <v>1302</v>
      </c>
      <c r="B984" s="366">
        <f t="shared" si="172"/>
        <v>0</v>
      </c>
      <c r="C984" s="329">
        <f t="shared" si="173"/>
        <v>0</v>
      </c>
      <c r="D984" s="168">
        <f t="shared" si="174"/>
        <v>0</v>
      </c>
      <c r="E984" s="139">
        <f t="shared" si="179"/>
        <v>0</v>
      </c>
      <c r="F984" s="139">
        <f t="shared" si="180"/>
        <v>0</v>
      </c>
      <c r="G984" s="168">
        <f t="shared" si="175"/>
        <v>0</v>
      </c>
      <c r="H984" s="150">
        <f t="shared" si="169"/>
        <v>0</v>
      </c>
      <c r="I984" s="168">
        <f t="shared" si="176"/>
        <v>0</v>
      </c>
      <c r="J984" s="138"/>
      <c r="K984" s="138"/>
      <c r="L984" s="138"/>
      <c r="M984" s="316"/>
      <c r="N984" s="358"/>
      <c r="AA984" s="226"/>
      <c r="AB984" s="300"/>
      <c r="AC984" s="138"/>
      <c r="AD984" s="138"/>
      <c r="AE984" s="138"/>
      <c r="AF984" s="138"/>
      <c r="AG984" s="63"/>
      <c r="AH984" s="70"/>
      <c r="AI984" s="121"/>
      <c r="AJ984" s="121"/>
      <c r="AK984" s="121"/>
      <c r="AL984" s="121"/>
      <c r="AM984" s="138"/>
      <c r="AN984" s="24">
        <f t="shared" si="177"/>
        <v>0</v>
      </c>
      <c r="AO984" s="353">
        <f t="shared" si="170"/>
        <v>0</v>
      </c>
      <c r="AP984" s="36">
        <f>(AF984/T992)*60</f>
        <v>0</v>
      </c>
      <c r="AQ984" s="316"/>
      <c r="AR984" s="258"/>
      <c r="AS984" s="138"/>
      <c r="AT984" s="138"/>
    </row>
    <row r="985" spans="1:46" ht="12">
      <c r="A985" s="217" t="s">
        <v>1303</v>
      </c>
      <c r="B985" s="366">
        <f t="shared" si="172"/>
        <v>0</v>
      </c>
      <c r="C985" s="329">
        <f t="shared" si="173"/>
        <v>0</v>
      </c>
      <c r="D985" s="168">
        <f t="shared" si="174"/>
        <v>0</v>
      </c>
      <c r="E985" s="139">
        <f t="shared" si="179"/>
        <v>0</v>
      </c>
      <c r="F985" s="139">
        <f t="shared" si="180"/>
        <v>0</v>
      </c>
      <c r="G985" s="168">
        <f t="shared" si="175"/>
        <v>0</v>
      </c>
      <c r="H985" s="150">
        <f t="shared" si="169"/>
        <v>0</v>
      </c>
      <c r="I985" s="168">
        <f t="shared" si="176"/>
        <v>0</v>
      </c>
      <c r="J985" s="138"/>
      <c r="K985" s="138"/>
      <c r="L985" s="138"/>
      <c r="M985" s="316"/>
      <c r="N985" s="358"/>
      <c r="AA985" s="226"/>
      <c r="AB985" s="300"/>
      <c r="AC985" s="138"/>
      <c r="AD985" s="138"/>
      <c r="AE985" s="138"/>
      <c r="AF985" s="138"/>
      <c r="AG985" s="63"/>
      <c r="AH985" s="70"/>
      <c r="AI985" s="121"/>
      <c r="AJ985" s="121"/>
      <c r="AK985" s="121"/>
      <c r="AL985" s="121"/>
      <c r="AM985" s="138"/>
      <c r="AN985" s="24">
        <f t="shared" si="177"/>
        <v>0</v>
      </c>
      <c r="AO985" s="353">
        <f t="shared" si="170"/>
        <v>0</v>
      </c>
      <c r="AP985" s="36">
        <f>(AF985/T991)*60</f>
        <v>0</v>
      </c>
      <c r="AQ985" s="316"/>
      <c r="AR985" s="258"/>
      <c r="AS985" s="138"/>
      <c r="AT985" s="138"/>
    </row>
    <row r="986" spans="1:46" ht="12">
      <c r="A986" s="217" t="s">
        <v>1304</v>
      </c>
      <c r="B986" s="366">
        <f t="shared" si="172"/>
        <v>0</v>
      </c>
      <c r="C986" s="32">
        <f t="shared" si="173"/>
        <v>0</v>
      </c>
      <c r="D986" s="279">
        <f t="shared" si="174"/>
        <v>0</v>
      </c>
      <c r="E986" s="78">
        <f t="shared" si="179"/>
        <v>0</v>
      </c>
      <c r="F986" s="78">
        <f t="shared" si="180"/>
        <v>0</v>
      </c>
      <c r="G986" s="279">
        <f t="shared" si="175"/>
        <v>0</v>
      </c>
      <c r="H986" s="190">
        <f t="shared" si="169"/>
        <v>0</v>
      </c>
      <c r="I986" s="279">
        <f t="shared" si="176"/>
        <v>0</v>
      </c>
      <c r="J986" s="67"/>
      <c r="K986" s="67"/>
      <c r="L986" s="67"/>
      <c r="M986" s="371"/>
      <c r="N986" s="358"/>
      <c r="AA986" s="226"/>
      <c r="AB986" s="182"/>
      <c r="AC986" s="67"/>
      <c r="AD986" s="67"/>
      <c r="AE986" s="67"/>
      <c r="AF986" s="67"/>
      <c r="AG986" s="315"/>
      <c r="AH986" s="66"/>
      <c r="AI986" s="216"/>
      <c r="AJ986" s="216"/>
      <c r="AK986" s="216"/>
      <c r="AL986" s="216"/>
      <c r="AM986" s="67"/>
      <c r="AN986" s="24">
        <f t="shared" si="177"/>
        <v>0</v>
      </c>
      <c r="AO986" s="389">
        <f t="shared" si="170"/>
        <v>0</v>
      </c>
      <c r="AP986" s="187">
        <f>(AF986/T992)*60</f>
        <v>0</v>
      </c>
      <c r="AQ986" s="371"/>
      <c r="AR986" s="41"/>
      <c r="AS986" s="67"/>
      <c r="AT986" s="67"/>
    </row>
    <row r="987" spans="1:46" ht="12">
      <c r="A987" s="217" t="s">
        <v>1305</v>
      </c>
      <c r="B987" s="366">
        <f t="shared" si="172"/>
        <v>0</v>
      </c>
      <c r="C987" s="329">
        <f t="shared" si="173"/>
        <v>0</v>
      </c>
      <c r="D987" s="168">
        <f t="shared" si="174"/>
        <v>0</v>
      </c>
      <c r="E987" s="139">
        <f t="shared" si="179"/>
        <v>0</v>
      </c>
      <c r="F987" s="139">
        <f t="shared" si="180"/>
        <v>0</v>
      </c>
      <c r="G987" s="168">
        <f t="shared" si="175"/>
        <v>0</v>
      </c>
      <c r="H987" s="150">
        <f t="shared" si="169"/>
        <v>0</v>
      </c>
      <c r="I987" s="168">
        <f t="shared" si="176"/>
        <v>0</v>
      </c>
      <c r="J987" s="138"/>
      <c r="K987" s="138"/>
      <c r="L987" s="138"/>
      <c r="M987" s="316"/>
      <c r="N987" s="358"/>
      <c r="AA987" s="226"/>
      <c r="AB987" s="300"/>
      <c r="AC987" s="138"/>
      <c r="AD987" s="138"/>
      <c r="AE987" s="138"/>
      <c r="AF987" s="138"/>
      <c r="AG987" s="63"/>
      <c r="AH987" s="70"/>
      <c r="AI987" s="121"/>
      <c r="AJ987" s="121"/>
      <c r="AK987" s="121"/>
      <c r="AL987" s="121"/>
      <c r="AM987" s="138"/>
      <c r="AN987" s="24">
        <f t="shared" si="177"/>
        <v>0</v>
      </c>
      <c r="AO987" s="353">
        <f t="shared" si="170"/>
        <v>0</v>
      </c>
      <c r="AP987" s="36">
        <f>(AF987/T993)*60</f>
        <v>0</v>
      </c>
      <c r="AQ987" s="316"/>
      <c r="AR987" s="258"/>
      <c r="AS987" s="138"/>
      <c r="AT987" s="138"/>
    </row>
    <row r="988" spans="1:46" ht="12">
      <c r="A988" s="217" t="s">
        <v>1306</v>
      </c>
      <c r="B988" s="366">
        <f t="shared" si="172"/>
        <v>0</v>
      </c>
      <c r="C988" s="329">
        <f t="shared" si="173"/>
        <v>0</v>
      </c>
      <c r="D988" s="168">
        <f t="shared" si="174"/>
        <v>0</v>
      </c>
      <c r="E988" s="139">
        <f t="shared" si="179"/>
        <v>0</v>
      </c>
      <c r="F988" s="139">
        <f t="shared" si="180"/>
        <v>0</v>
      </c>
      <c r="G988" s="168">
        <f t="shared" si="175"/>
        <v>0</v>
      </c>
      <c r="H988" s="150">
        <f t="shared" si="169"/>
        <v>0</v>
      </c>
      <c r="I988" s="168">
        <f t="shared" si="176"/>
        <v>0</v>
      </c>
      <c r="J988" s="138"/>
      <c r="K988" s="138"/>
      <c r="L988" s="138"/>
      <c r="M988" s="316"/>
      <c r="N988" s="358"/>
      <c r="AA988" s="226"/>
      <c r="AB988" s="300"/>
      <c r="AC988" s="138"/>
      <c r="AD988" s="138"/>
      <c r="AE988" s="138"/>
      <c r="AF988" s="138"/>
      <c r="AG988" s="63"/>
      <c r="AH988" s="70"/>
      <c r="AI988" s="121"/>
      <c r="AJ988" s="121"/>
      <c r="AK988" s="121"/>
      <c r="AL988" s="121"/>
      <c r="AM988" s="138"/>
      <c r="AN988" s="24">
        <f t="shared" si="177"/>
        <v>0</v>
      </c>
      <c r="AO988" s="353">
        <f t="shared" si="170"/>
        <v>0</v>
      </c>
      <c r="AP988" s="36">
        <f>(AF988/T994)*60</f>
        <v>0</v>
      </c>
      <c r="AQ988" s="316"/>
      <c r="AR988" s="258"/>
      <c r="AS988" s="138"/>
      <c r="AT988" s="138"/>
    </row>
    <row r="989" spans="1:46" ht="12">
      <c r="A989" s="217" t="s">
        <v>1307</v>
      </c>
      <c r="B989" s="366">
        <f t="shared" si="172"/>
        <v>0</v>
      </c>
      <c r="C989" s="329">
        <f t="shared" si="173"/>
        <v>0</v>
      </c>
      <c r="D989" s="168">
        <f t="shared" si="174"/>
        <v>0</v>
      </c>
      <c r="E989" s="139">
        <f t="shared" si="179"/>
        <v>0</v>
      </c>
      <c r="F989" s="139">
        <f t="shared" si="180"/>
        <v>0</v>
      </c>
      <c r="G989" s="168">
        <f t="shared" si="175"/>
        <v>0</v>
      </c>
      <c r="H989" s="150">
        <f t="shared" si="169"/>
        <v>0</v>
      </c>
      <c r="I989" s="168">
        <f t="shared" si="176"/>
        <v>0</v>
      </c>
      <c r="J989" s="138"/>
      <c r="K989" s="138"/>
      <c r="L989" s="138"/>
      <c r="M989" s="316"/>
      <c r="N989" s="358"/>
      <c r="AA989" s="226"/>
      <c r="AB989" s="300"/>
      <c r="AC989" s="138"/>
      <c r="AD989" s="138"/>
      <c r="AE989" s="138"/>
      <c r="AF989" s="138"/>
      <c r="AG989" s="63"/>
      <c r="AH989" s="70"/>
      <c r="AI989" s="121"/>
      <c r="AJ989" s="121"/>
      <c r="AK989" s="121"/>
      <c r="AL989" s="121"/>
      <c r="AM989" s="138"/>
      <c r="AN989" s="24">
        <f t="shared" si="177"/>
        <v>0</v>
      </c>
      <c r="AO989" s="353">
        <f t="shared" si="170"/>
        <v>0</v>
      </c>
      <c r="AP989" s="36">
        <f>(AF989/T995)*60</f>
        <v>0</v>
      </c>
      <c r="AQ989" s="316"/>
      <c r="AR989" s="258"/>
      <c r="AS989" s="138"/>
      <c r="AT989" s="138"/>
    </row>
    <row r="990" spans="1:46" ht="12">
      <c r="A990" s="137" t="s">
        <v>1308</v>
      </c>
      <c r="B990" s="138" t="str">
        <f t="shared" si="172"/>
        <v>SiO2</v>
      </c>
      <c r="C990" s="329">
        <f t="shared" si="173"/>
        <v>0</v>
      </c>
      <c r="D990" s="168">
        <f t="shared" si="174"/>
        <v>431.58916754194399</v>
      </c>
      <c r="E990" s="139">
        <f t="shared" si="179"/>
        <v>10.8</v>
      </c>
      <c r="F990" s="139">
        <f t="shared" si="180"/>
        <v>1.544</v>
      </c>
      <c r="G990" s="168">
        <f t="shared" si="175"/>
        <v>0</v>
      </c>
      <c r="H990" s="150">
        <f t="shared" si="169"/>
        <v>0.86901408450704221</v>
      </c>
      <c r="I990" s="168">
        <f t="shared" si="176"/>
        <v>0</v>
      </c>
      <c r="J990" s="138"/>
      <c r="K990" s="138" t="s">
        <v>1309</v>
      </c>
      <c r="L990" s="138"/>
      <c r="M990" s="316"/>
      <c r="N990" s="135">
        <v>41476</v>
      </c>
      <c r="O990" s="138">
        <v>345</v>
      </c>
      <c r="P990" s="138" t="s">
        <v>1182</v>
      </c>
      <c r="Q990" s="138"/>
      <c r="R990" s="138">
        <v>1</v>
      </c>
      <c r="S990" s="138">
        <v>800</v>
      </c>
      <c r="T990" s="138">
        <v>84</v>
      </c>
      <c r="U990" s="138">
        <v>400</v>
      </c>
      <c r="V990" s="138">
        <v>8</v>
      </c>
      <c r="W990" s="138">
        <v>26.5</v>
      </c>
      <c r="X990" s="138">
        <v>2.5</v>
      </c>
      <c r="Y990" s="138">
        <v>40</v>
      </c>
      <c r="Z990" s="138"/>
      <c r="AA990" s="6"/>
      <c r="AB990" s="300"/>
      <c r="AC990" s="138"/>
      <c r="AD990" s="138"/>
      <c r="AE990" s="138"/>
      <c r="AF990" s="138"/>
      <c r="AG990" s="63"/>
      <c r="AH990" s="70">
        <v>431.58916754194399</v>
      </c>
      <c r="AI990" s="121"/>
      <c r="AJ990" s="121">
        <v>10.8</v>
      </c>
      <c r="AK990" s="121">
        <v>1.544</v>
      </c>
      <c r="AL990" s="121">
        <f>(166.5+18.6)/213</f>
        <v>0.86901408450704221</v>
      </c>
      <c r="AM990" s="138"/>
      <c r="AN990" s="24">
        <f t="shared" si="177"/>
        <v>0</v>
      </c>
      <c r="AO990" s="353">
        <f t="shared" si="170"/>
        <v>0</v>
      </c>
      <c r="AP990" s="36">
        <f t="shared" ref="AP990:AP1021" si="181">(AF990/T990)*60</f>
        <v>0</v>
      </c>
      <c r="AQ990" s="316"/>
      <c r="AR990" s="258"/>
      <c r="AS990" s="138"/>
      <c r="AT990" s="138"/>
    </row>
    <row r="991" spans="1:46" ht="12">
      <c r="A991" s="137" t="s">
        <v>1310</v>
      </c>
      <c r="B991" s="138" t="str">
        <f t="shared" si="172"/>
        <v>SiO2</v>
      </c>
      <c r="C991" s="329">
        <f t="shared" si="173"/>
        <v>0</v>
      </c>
      <c r="D991" s="168">
        <f t="shared" si="174"/>
        <v>434.26541289668899</v>
      </c>
      <c r="E991" s="139">
        <f t="shared" si="179"/>
        <v>10.88</v>
      </c>
      <c r="F991" s="139">
        <f t="shared" si="180"/>
        <v>1.554</v>
      </c>
      <c r="G991" s="168">
        <f t="shared" si="175"/>
        <v>0</v>
      </c>
      <c r="H991" s="150">
        <f t="shared" si="169"/>
        <v>0.8650000000000001</v>
      </c>
      <c r="I991" s="168">
        <f t="shared" si="176"/>
        <v>0</v>
      </c>
      <c r="J991" s="138"/>
      <c r="K991" s="138" t="s">
        <v>1309</v>
      </c>
      <c r="L991" s="138"/>
      <c r="M991" s="316"/>
      <c r="N991" s="135">
        <v>41476</v>
      </c>
      <c r="O991" s="138">
        <v>345</v>
      </c>
      <c r="P991" s="138" t="s">
        <v>1182</v>
      </c>
      <c r="Q991" s="138"/>
      <c r="R991" s="138">
        <v>2</v>
      </c>
      <c r="S991" s="138">
        <v>800</v>
      </c>
      <c r="T991" s="138">
        <v>84</v>
      </c>
      <c r="U991" s="138">
        <v>400</v>
      </c>
      <c r="V991" s="138">
        <v>8</v>
      </c>
      <c r="W991" s="138">
        <v>26.5</v>
      </c>
      <c r="X991" s="138">
        <v>2.5</v>
      </c>
      <c r="Y991" s="138">
        <v>40</v>
      </c>
      <c r="Z991" s="138"/>
      <c r="AA991" s="6"/>
      <c r="AB991" s="300"/>
      <c r="AC991" s="138"/>
      <c r="AD991" s="138"/>
      <c r="AE991" s="138"/>
      <c r="AF991" s="138"/>
      <c r="AG991" s="63"/>
      <c r="AH991" s="70">
        <v>434.26541289668899</v>
      </c>
      <c r="AI991" s="121"/>
      <c r="AJ991" s="121">
        <v>10.88</v>
      </c>
      <c r="AK991" s="121">
        <v>1.554</v>
      </c>
      <c r="AL991" s="121">
        <f>(172+18.3)/220</f>
        <v>0.8650000000000001</v>
      </c>
      <c r="AM991" s="138"/>
      <c r="AN991" s="24">
        <f t="shared" si="177"/>
        <v>0</v>
      </c>
      <c r="AO991" s="353">
        <f t="shared" si="170"/>
        <v>0</v>
      </c>
      <c r="AP991" s="36">
        <f t="shared" si="181"/>
        <v>0</v>
      </c>
      <c r="AQ991" s="316"/>
      <c r="AR991" s="258"/>
      <c r="AS991" s="138"/>
      <c r="AT991" s="138"/>
    </row>
    <row r="992" spans="1:46" ht="12">
      <c r="A992" s="111" t="s">
        <v>1311</v>
      </c>
      <c r="B992" s="256" t="str">
        <f t="shared" si="172"/>
        <v>MgO</v>
      </c>
      <c r="C992" s="32">
        <f t="shared" si="173"/>
        <v>4.5</v>
      </c>
      <c r="D992" s="279">
        <f t="shared" si="174"/>
        <v>266.91087004660898</v>
      </c>
      <c r="E992" s="78">
        <f t="shared" si="179"/>
        <v>12.88</v>
      </c>
      <c r="F992" s="78">
        <f t="shared" si="180"/>
        <v>1.21</v>
      </c>
      <c r="G992" s="279">
        <f t="shared" si="175"/>
        <v>120.10989152097405</v>
      </c>
      <c r="H992" s="190">
        <f t="shared" ref="H992:H1055" si="182">AL992</f>
        <v>0.90781249999999991</v>
      </c>
      <c r="I992" s="279">
        <f t="shared" si="176"/>
        <v>15470.154027901457</v>
      </c>
      <c r="J992" s="256"/>
      <c r="K992" s="67" t="s">
        <v>1309</v>
      </c>
      <c r="L992" s="256"/>
      <c r="M992" s="68"/>
      <c r="N992" s="18">
        <v>41476</v>
      </c>
      <c r="O992" s="256">
        <v>345</v>
      </c>
      <c r="P992" s="256" t="s">
        <v>46</v>
      </c>
      <c r="Q992" s="256"/>
      <c r="R992" s="256">
        <v>3</v>
      </c>
      <c r="S992" s="256">
        <v>800</v>
      </c>
      <c r="T992" s="256">
        <v>84</v>
      </c>
      <c r="U992" s="256">
        <v>400</v>
      </c>
      <c r="V992" s="256">
        <v>8</v>
      </c>
      <c r="W992" s="256">
        <v>26.5</v>
      </c>
      <c r="X992" s="256">
        <v>2.5</v>
      </c>
      <c r="Y992" s="256">
        <v>40</v>
      </c>
      <c r="Z992" s="256"/>
      <c r="AA992" s="207"/>
      <c r="AB992" s="86">
        <v>0.20130000000000001</v>
      </c>
      <c r="AC992" s="256">
        <v>0.56699999999999995</v>
      </c>
      <c r="AD992" s="256">
        <v>0.23169999999999999</v>
      </c>
      <c r="AE992" s="81" t="s">
        <v>47</v>
      </c>
      <c r="AF992" s="256">
        <v>4.5</v>
      </c>
      <c r="AG992" s="335"/>
      <c r="AH992" s="213">
        <v>266.91087004660898</v>
      </c>
      <c r="AI992" s="78"/>
      <c r="AJ992" s="78">
        <v>12.88</v>
      </c>
      <c r="AK992" s="78">
        <v>1.21</v>
      </c>
      <c r="AL992" s="78">
        <f>(96.8+19.4)/128</f>
        <v>0.90781249999999991</v>
      </c>
      <c r="AM992" s="256"/>
      <c r="AN992" s="24">
        <f t="shared" si="177"/>
        <v>120.10989152097405</v>
      </c>
      <c r="AO992" s="160">
        <f t="shared" si="170"/>
        <v>15470.154027901457</v>
      </c>
      <c r="AP992" s="209">
        <f t="shared" si="181"/>
        <v>3.214285714285714</v>
      </c>
      <c r="AQ992" s="68"/>
      <c r="AR992" s="15"/>
      <c r="AS992" s="256"/>
      <c r="AT992" s="256"/>
    </row>
    <row r="993" spans="1:46" ht="12">
      <c r="A993" s="137" t="s">
        <v>1312</v>
      </c>
      <c r="B993" s="138" t="str">
        <f t="shared" si="172"/>
        <v>SiO2</v>
      </c>
      <c r="C993" s="329">
        <f t="shared" si="173"/>
        <v>0</v>
      </c>
      <c r="D993" s="168">
        <f t="shared" si="174"/>
        <v>426.05826047546998</v>
      </c>
      <c r="E993" s="139">
        <f t="shared" si="179"/>
        <v>10.87</v>
      </c>
      <c r="F993" s="139">
        <f t="shared" si="180"/>
        <v>1.5549999999999999</v>
      </c>
      <c r="G993" s="168">
        <f t="shared" si="175"/>
        <v>0</v>
      </c>
      <c r="H993" s="150">
        <f t="shared" si="182"/>
        <v>0.86872037914691946</v>
      </c>
      <c r="I993" s="168">
        <f t="shared" si="176"/>
        <v>0</v>
      </c>
      <c r="J993" s="138"/>
      <c r="K993" s="138" t="s">
        <v>1309</v>
      </c>
      <c r="L993" s="138"/>
      <c r="M993" s="316"/>
      <c r="N993" s="135">
        <v>41476</v>
      </c>
      <c r="O993" s="138">
        <v>345</v>
      </c>
      <c r="P993" s="138" t="s">
        <v>1182</v>
      </c>
      <c r="Q993" s="138"/>
      <c r="R993" s="138">
        <v>4</v>
      </c>
      <c r="S993" s="138">
        <v>800</v>
      </c>
      <c r="T993" s="138">
        <v>84</v>
      </c>
      <c r="U993" s="138">
        <v>400</v>
      </c>
      <c r="V993" s="138">
        <v>8</v>
      </c>
      <c r="W993" s="138">
        <v>26.5</v>
      </c>
      <c r="X993" s="138">
        <v>2.5</v>
      </c>
      <c r="Y993" s="138">
        <v>40</v>
      </c>
      <c r="Z993" s="138"/>
      <c r="AA993" s="6"/>
      <c r="AB993" s="300"/>
      <c r="AC993" s="138"/>
      <c r="AD993" s="138"/>
      <c r="AE993" s="138"/>
      <c r="AF993" s="138"/>
      <c r="AG993" s="63"/>
      <c r="AH993" s="70">
        <v>426.05826047546998</v>
      </c>
      <c r="AI993" s="121"/>
      <c r="AJ993" s="121">
        <v>10.87</v>
      </c>
      <c r="AK993" s="121">
        <v>1.5549999999999999</v>
      </c>
      <c r="AL993" s="121">
        <f>(165.4+17.9)/211</f>
        <v>0.86872037914691946</v>
      </c>
      <c r="AM993" s="138"/>
      <c r="AN993" s="24">
        <f t="shared" si="177"/>
        <v>0</v>
      </c>
      <c r="AO993" s="353">
        <f t="shared" si="170"/>
        <v>0</v>
      </c>
      <c r="AP993" s="36">
        <f t="shared" si="181"/>
        <v>0</v>
      </c>
      <c r="AQ993" s="316"/>
      <c r="AR993" s="258"/>
      <c r="AS993" s="138"/>
      <c r="AT993" s="138"/>
    </row>
    <row r="994" spans="1:46" ht="12">
      <c r="A994" s="137" t="s">
        <v>1313</v>
      </c>
      <c r="B994" s="138" t="str">
        <f t="shared" si="172"/>
        <v>SiO2</v>
      </c>
      <c r="C994" s="329">
        <f t="shared" si="173"/>
        <v>0</v>
      </c>
      <c r="D994" s="168">
        <f t="shared" si="174"/>
        <v>430.16183668607903</v>
      </c>
      <c r="E994" s="139">
        <f t="shared" si="179"/>
        <v>10.78</v>
      </c>
      <c r="F994" s="139">
        <f t="shared" si="180"/>
        <v>1.5349999999999999</v>
      </c>
      <c r="G994" s="168">
        <f t="shared" si="175"/>
        <v>0</v>
      </c>
      <c r="H994" s="150">
        <f t="shared" si="182"/>
        <v>0.86635944700460832</v>
      </c>
      <c r="I994" s="168">
        <f t="shared" si="176"/>
        <v>0</v>
      </c>
      <c r="J994" s="138"/>
      <c r="K994" s="138" t="s">
        <v>1309</v>
      </c>
      <c r="L994" s="138"/>
      <c r="M994" s="316"/>
      <c r="N994" s="135">
        <v>41476</v>
      </c>
      <c r="O994" s="138">
        <v>345</v>
      </c>
      <c r="P994" s="138" t="s">
        <v>1182</v>
      </c>
      <c r="Q994" s="138"/>
      <c r="R994" s="138">
        <v>5</v>
      </c>
      <c r="S994" s="138">
        <v>800</v>
      </c>
      <c r="T994" s="138">
        <v>84</v>
      </c>
      <c r="U994" s="138">
        <v>400</v>
      </c>
      <c r="V994" s="138">
        <v>8</v>
      </c>
      <c r="W994" s="138">
        <v>26.5</v>
      </c>
      <c r="X994" s="138">
        <v>2.5</v>
      </c>
      <c r="Y994" s="138">
        <v>40</v>
      </c>
      <c r="Z994" s="138"/>
      <c r="AA994" s="6"/>
      <c r="AB994" s="300"/>
      <c r="AC994" s="138"/>
      <c r="AD994" s="138"/>
      <c r="AE994" s="138"/>
      <c r="AF994" s="138"/>
      <c r="AG994" s="63"/>
      <c r="AH994" s="70">
        <v>430.16183668607903</v>
      </c>
      <c r="AI994" s="121"/>
      <c r="AJ994" s="121">
        <v>10.78</v>
      </c>
      <c r="AK994" s="121">
        <v>1.5349999999999999</v>
      </c>
      <c r="AL994" s="121">
        <f>(170.1+17.9)/217</f>
        <v>0.86635944700460832</v>
      </c>
      <c r="AM994" s="138"/>
      <c r="AN994" s="24">
        <f t="shared" si="177"/>
        <v>0</v>
      </c>
      <c r="AO994" s="353">
        <f t="shared" si="170"/>
        <v>0</v>
      </c>
      <c r="AP994" s="36">
        <f t="shared" si="181"/>
        <v>0</v>
      </c>
      <c r="AQ994" s="316"/>
      <c r="AR994" s="258"/>
      <c r="AS994" s="138"/>
      <c r="AT994" s="138"/>
    </row>
    <row r="995" spans="1:46" ht="12">
      <c r="A995" s="137" t="s">
        <v>1314</v>
      </c>
      <c r="B995" s="138" t="str">
        <f t="shared" si="172"/>
        <v>SiO2</v>
      </c>
      <c r="C995" s="329">
        <f t="shared" si="173"/>
        <v>0</v>
      </c>
      <c r="D995" s="168">
        <f t="shared" si="174"/>
        <v>384.30883294144098</v>
      </c>
      <c r="E995" s="139">
        <f t="shared" si="179"/>
        <v>11.35</v>
      </c>
      <c r="F995" s="139">
        <f t="shared" si="180"/>
        <v>1.534</v>
      </c>
      <c r="G995" s="168">
        <f t="shared" si="175"/>
        <v>0</v>
      </c>
      <c r="H995" s="150">
        <f t="shared" si="182"/>
        <v>0.89341317365269457</v>
      </c>
      <c r="I995" s="168">
        <f t="shared" si="176"/>
        <v>0</v>
      </c>
      <c r="J995" s="138"/>
      <c r="K995" s="138" t="s">
        <v>1309</v>
      </c>
      <c r="L995" s="138"/>
      <c r="M995" s="316"/>
      <c r="N995" s="135">
        <v>41476</v>
      </c>
      <c r="O995" s="138">
        <v>345</v>
      </c>
      <c r="P995" s="138" t="s">
        <v>1182</v>
      </c>
      <c r="Q995" s="138"/>
      <c r="R995" s="138">
        <v>6</v>
      </c>
      <c r="S995" s="138">
        <v>800</v>
      </c>
      <c r="T995" s="138">
        <v>84</v>
      </c>
      <c r="U995" s="138">
        <v>400</v>
      </c>
      <c r="V995" s="138">
        <v>8</v>
      </c>
      <c r="W995" s="138">
        <v>26.5</v>
      </c>
      <c r="X995" s="138">
        <v>2.5</v>
      </c>
      <c r="Y995" s="138">
        <v>40</v>
      </c>
      <c r="Z995" s="138"/>
      <c r="AA995" s="6"/>
      <c r="AB995" s="300"/>
      <c r="AC995" s="138"/>
      <c r="AD995" s="138"/>
      <c r="AE995" s="138"/>
      <c r="AF995" s="138"/>
      <c r="AG995" s="63"/>
      <c r="AH995" s="70">
        <v>384.30883294144098</v>
      </c>
      <c r="AI995" s="121"/>
      <c r="AJ995" s="121">
        <v>11.35</v>
      </c>
      <c r="AK995" s="121">
        <v>1.534</v>
      </c>
      <c r="AL995" s="121">
        <f>(131.1+18.1)/167</f>
        <v>0.89341317365269457</v>
      </c>
      <c r="AM995" s="138"/>
      <c r="AN995" s="24">
        <f t="shared" si="177"/>
        <v>0</v>
      </c>
      <c r="AO995" s="353">
        <f t="shared" si="170"/>
        <v>0</v>
      </c>
      <c r="AP995" s="36">
        <f t="shared" si="181"/>
        <v>0</v>
      </c>
      <c r="AQ995" s="316"/>
      <c r="AR995" s="258"/>
      <c r="AS995" s="138"/>
      <c r="AT995" s="138"/>
    </row>
    <row r="996" spans="1:46" ht="12">
      <c r="A996" s="111" t="s">
        <v>1315</v>
      </c>
      <c r="B996" s="67" t="str">
        <f t="shared" si="172"/>
        <v>MgO</v>
      </c>
      <c r="C996" s="32">
        <f t="shared" si="173"/>
        <v>0</v>
      </c>
      <c r="D996" s="279">
        <f t="shared" si="174"/>
        <v>0</v>
      </c>
      <c r="E996" s="78">
        <f t="shared" si="179"/>
        <v>0</v>
      </c>
      <c r="F996" s="78">
        <f t="shared" si="180"/>
        <v>0</v>
      </c>
      <c r="G996" s="279">
        <f t="shared" si="175"/>
        <v>0</v>
      </c>
      <c r="H996" s="190">
        <f t="shared" si="182"/>
        <v>0</v>
      </c>
      <c r="I996" s="279">
        <f t="shared" si="176"/>
        <v>0</v>
      </c>
      <c r="J996" s="67"/>
      <c r="K996" s="67"/>
      <c r="L996" s="67"/>
      <c r="M996" s="371"/>
      <c r="N996" s="309">
        <v>41477</v>
      </c>
      <c r="O996" s="67">
        <v>346</v>
      </c>
      <c r="P996" s="67" t="s">
        <v>46</v>
      </c>
      <c r="Q996" s="67"/>
      <c r="R996" s="67">
        <v>3</v>
      </c>
      <c r="S996" s="256">
        <v>20</v>
      </c>
      <c r="T996" s="256">
        <v>110</v>
      </c>
      <c r="U996" s="256">
        <v>400</v>
      </c>
      <c r="V996" s="256">
        <v>8</v>
      </c>
      <c r="W996" s="256">
        <v>26.5</v>
      </c>
      <c r="X996" s="256">
        <v>2.5</v>
      </c>
      <c r="Y996" s="256">
        <v>40</v>
      </c>
      <c r="Z996" s="306"/>
      <c r="AA996" s="317"/>
      <c r="AB996" s="182"/>
      <c r="AC996" s="67"/>
      <c r="AD996" s="67"/>
      <c r="AE996" s="67"/>
      <c r="AF996" s="67"/>
      <c r="AG996" s="315"/>
      <c r="AH996" s="66"/>
      <c r="AI996" s="216"/>
      <c r="AJ996" s="216"/>
      <c r="AK996" s="216"/>
      <c r="AL996" s="216"/>
      <c r="AM996" s="67"/>
      <c r="AN996" s="24">
        <f t="shared" si="177"/>
        <v>0</v>
      </c>
      <c r="AO996" s="389">
        <f t="shared" si="170"/>
        <v>0</v>
      </c>
      <c r="AP996" s="187">
        <f t="shared" si="181"/>
        <v>0</v>
      </c>
      <c r="AQ996" s="371"/>
      <c r="AR996" s="41"/>
      <c r="AS996" s="67"/>
      <c r="AT996" s="67"/>
    </row>
    <row r="997" spans="1:46" ht="12">
      <c r="A997" s="111" t="s">
        <v>1316</v>
      </c>
      <c r="B997" s="67" t="str">
        <f t="shared" si="172"/>
        <v>MgO</v>
      </c>
      <c r="C997" s="32">
        <f t="shared" si="173"/>
        <v>0</v>
      </c>
      <c r="D997" s="279">
        <f t="shared" si="174"/>
        <v>0</v>
      </c>
      <c r="E997" s="78">
        <f t="shared" si="179"/>
        <v>0</v>
      </c>
      <c r="F997" s="78">
        <f t="shared" si="180"/>
        <v>0</v>
      </c>
      <c r="G997" s="279">
        <f t="shared" si="175"/>
        <v>0</v>
      </c>
      <c r="H997" s="190">
        <f t="shared" si="182"/>
        <v>0</v>
      </c>
      <c r="I997" s="279">
        <f t="shared" si="176"/>
        <v>0</v>
      </c>
      <c r="J997" s="67"/>
      <c r="K997" s="67"/>
      <c r="L997" s="67"/>
      <c r="M997" s="371"/>
      <c r="N997" s="309">
        <v>41477</v>
      </c>
      <c r="O997" s="67">
        <v>346</v>
      </c>
      <c r="P997" s="67" t="s">
        <v>46</v>
      </c>
      <c r="Q997" s="67"/>
      <c r="R997" s="67">
        <v>6</v>
      </c>
      <c r="S997" s="256">
        <v>20</v>
      </c>
      <c r="T997" s="256">
        <v>110</v>
      </c>
      <c r="U997" s="256">
        <v>400</v>
      </c>
      <c r="V997" s="256">
        <v>8</v>
      </c>
      <c r="W997" s="256">
        <v>26.5</v>
      </c>
      <c r="X997" s="256">
        <v>2.5</v>
      </c>
      <c r="Y997" s="256">
        <v>40</v>
      </c>
      <c r="Z997" s="306"/>
      <c r="AA997" s="317"/>
      <c r="AB997" s="182"/>
      <c r="AC997" s="67"/>
      <c r="AD997" s="67"/>
      <c r="AE997" s="67"/>
      <c r="AF997" s="67"/>
      <c r="AG997" s="315"/>
      <c r="AH997" s="66"/>
      <c r="AI997" s="216"/>
      <c r="AJ997" s="216"/>
      <c r="AK997" s="216"/>
      <c r="AL997" s="216"/>
      <c r="AM997" s="67"/>
      <c r="AN997" s="24">
        <f t="shared" si="177"/>
        <v>0</v>
      </c>
      <c r="AO997" s="389">
        <f t="shared" si="170"/>
        <v>0</v>
      </c>
      <c r="AP997" s="187">
        <f t="shared" si="181"/>
        <v>0</v>
      </c>
      <c r="AQ997" s="371"/>
      <c r="AR997" s="41"/>
      <c r="AS997" s="67"/>
      <c r="AT997" s="67"/>
    </row>
    <row r="998" spans="1:46" ht="12">
      <c r="A998" s="137" t="s">
        <v>1317</v>
      </c>
      <c r="B998" s="83" t="str">
        <f t="shared" si="172"/>
        <v>SiO2</v>
      </c>
      <c r="C998" s="329">
        <f t="shared" si="173"/>
        <v>0</v>
      </c>
      <c r="D998" s="168">
        <f t="shared" si="174"/>
        <v>0</v>
      </c>
      <c r="E998" s="139">
        <f t="shared" si="179"/>
        <v>0</v>
      </c>
      <c r="F998" s="139">
        <f t="shared" si="180"/>
        <v>0</v>
      </c>
      <c r="G998" s="168">
        <f t="shared" si="175"/>
        <v>0</v>
      </c>
      <c r="H998" s="150">
        <f t="shared" si="182"/>
        <v>0</v>
      </c>
      <c r="I998" s="168">
        <f t="shared" si="176"/>
        <v>0</v>
      </c>
      <c r="J998" s="83"/>
      <c r="K998" s="83" t="s">
        <v>1318</v>
      </c>
      <c r="L998" s="83"/>
      <c r="M998" s="385"/>
      <c r="N998" s="362">
        <v>41479</v>
      </c>
      <c r="O998" s="83">
        <v>347</v>
      </c>
      <c r="P998" s="83" t="s">
        <v>1182</v>
      </c>
      <c r="Q998" s="83"/>
      <c r="R998" s="83">
        <v>1</v>
      </c>
      <c r="S998" s="83">
        <v>800</v>
      </c>
      <c r="T998" s="83">
        <v>84</v>
      </c>
      <c r="U998" s="83">
        <v>400</v>
      </c>
      <c r="V998" s="83">
        <v>8</v>
      </c>
      <c r="W998" s="83">
        <v>26.5</v>
      </c>
      <c r="X998" s="83">
        <v>2.5</v>
      </c>
      <c r="Y998" s="83">
        <v>40</v>
      </c>
      <c r="Z998" s="83"/>
      <c r="AA998" s="119"/>
      <c r="AB998" s="84"/>
      <c r="AC998" s="83"/>
      <c r="AD998" s="83"/>
      <c r="AE998" s="83"/>
      <c r="AF998" s="83"/>
      <c r="AG998" s="220"/>
      <c r="AH998" s="344"/>
      <c r="AI998" s="139"/>
      <c r="AJ998" s="139"/>
      <c r="AK998" s="139"/>
      <c r="AL998" s="139"/>
      <c r="AM998" s="83"/>
      <c r="AN998" s="24">
        <f t="shared" si="177"/>
        <v>0</v>
      </c>
      <c r="AO998" s="252">
        <f t="shared" ref="AO998:AO1061" si="183">(AF998*AH998)*AJ998</f>
        <v>0</v>
      </c>
      <c r="AP998" s="65">
        <f t="shared" si="181"/>
        <v>0</v>
      </c>
      <c r="AQ998" s="385"/>
      <c r="AR998" s="162"/>
      <c r="AS998" s="83"/>
      <c r="AT998" s="83"/>
    </row>
    <row r="999" spans="1:46" ht="12">
      <c r="A999" s="137" t="s">
        <v>1319</v>
      </c>
      <c r="B999" s="83" t="str">
        <f t="shared" si="172"/>
        <v>SiO2</v>
      </c>
      <c r="C999" s="329">
        <f t="shared" si="173"/>
        <v>0</v>
      </c>
      <c r="D999" s="168">
        <f t="shared" si="174"/>
        <v>0</v>
      </c>
      <c r="E999" s="139">
        <f t="shared" si="179"/>
        <v>0</v>
      </c>
      <c r="F999" s="139">
        <f t="shared" si="180"/>
        <v>0</v>
      </c>
      <c r="G999" s="168">
        <f t="shared" si="175"/>
        <v>0</v>
      </c>
      <c r="H999" s="150">
        <f t="shared" si="182"/>
        <v>0</v>
      </c>
      <c r="I999" s="168">
        <f t="shared" si="176"/>
        <v>0</v>
      </c>
      <c r="J999" s="83"/>
      <c r="K999" s="83" t="s">
        <v>1318</v>
      </c>
      <c r="L999" s="83"/>
      <c r="M999" s="385"/>
      <c r="N999" s="362">
        <v>41479</v>
      </c>
      <c r="O999" s="83">
        <v>347</v>
      </c>
      <c r="P999" s="83" t="s">
        <v>1182</v>
      </c>
      <c r="Q999" s="83"/>
      <c r="R999" s="83">
        <v>2</v>
      </c>
      <c r="S999" s="83">
        <v>800</v>
      </c>
      <c r="T999" s="83">
        <v>84</v>
      </c>
      <c r="U999" s="83">
        <v>400</v>
      </c>
      <c r="V999" s="83">
        <v>8</v>
      </c>
      <c r="W999" s="83">
        <v>26.5</v>
      </c>
      <c r="X999" s="83">
        <v>2.5</v>
      </c>
      <c r="Y999" s="83">
        <v>40</v>
      </c>
      <c r="Z999" s="83"/>
      <c r="AA999" s="119"/>
      <c r="AB999" s="84"/>
      <c r="AC999" s="83"/>
      <c r="AD999" s="83"/>
      <c r="AE999" s="83"/>
      <c r="AF999" s="83"/>
      <c r="AG999" s="220"/>
      <c r="AH999" s="344"/>
      <c r="AI999" s="139"/>
      <c r="AJ999" s="139"/>
      <c r="AK999" s="139"/>
      <c r="AL999" s="139"/>
      <c r="AM999" s="83"/>
      <c r="AN999" s="24">
        <f t="shared" si="177"/>
        <v>0</v>
      </c>
      <c r="AO999" s="252">
        <f t="shared" si="183"/>
        <v>0</v>
      </c>
      <c r="AP999" s="65">
        <f t="shared" si="181"/>
        <v>0</v>
      </c>
      <c r="AQ999" s="385"/>
      <c r="AR999" s="162"/>
      <c r="AS999" s="83"/>
      <c r="AT999" s="83"/>
    </row>
    <row r="1000" spans="1:46" ht="12">
      <c r="A1000" s="137" t="s">
        <v>1320</v>
      </c>
      <c r="B1000" s="83" t="str">
        <f t="shared" si="172"/>
        <v>SiO2</v>
      </c>
      <c r="C1000" s="329">
        <f t="shared" si="173"/>
        <v>0</v>
      </c>
      <c r="D1000" s="168">
        <f t="shared" si="174"/>
        <v>0</v>
      </c>
      <c r="E1000" s="139">
        <f t="shared" si="179"/>
        <v>0</v>
      </c>
      <c r="F1000" s="139">
        <f t="shared" si="180"/>
        <v>0</v>
      </c>
      <c r="G1000" s="168">
        <f t="shared" si="175"/>
        <v>0</v>
      </c>
      <c r="H1000" s="150">
        <f t="shared" si="182"/>
        <v>0</v>
      </c>
      <c r="I1000" s="168">
        <f t="shared" si="176"/>
        <v>0</v>
      </c>
      <c r="J1000" s="83"/>
      <c r="K1000" s="83" t="s">
        <v>1318</v>
      </c>
      <c r="L1000" s="83"/>
      <c r="M1000" s="385"/>
      <c r="N1000" s="362">
        <v>41479</v>
      </c>
      <c r="O1000" s="83">
        <v>347</v>
      </c>
      <c r="P1000" s="83" t="s">
        <v>1182</v>
      </c>
      <c r="Q1000" s="83"/>
      <c r="R1000" s="83">
        <v>3</v>
      </c>
      <c r="S1000" s="83">
        <v>800</v>
      </c>
      <c r="T1000" s="83">
        <v>84</v>
      </c>
      <c r="U1000" s="83">
        <v>400</v>
      </c>
      <c r="V1000" s="83">
        <v>8</v>
      </c>
      <c r="W1000" s="83">
        <v>26.5</v>
      </c>
      <c r="X1000" s="83">
        <v>2.5</v>
      </c>
      <c r="Y1000" s="83">
        <v>40</v>
      </c>
      <c r="Z1000" s="83"/>
      <c r="AA1000" s="119"/>
      <c r="AB1000" s="84"/>
      <c r="AC1000" s="83"/>
      <c r="AD1000" s="83"/>
      <c r="AE1000" s="83"/>
      <c r="AF1000" s="83"/>
      <c r="AG1000" s="220"/>
      <c r="AH1000" s="344"/>
      <c r="AI1000" s="139"/>
      <c r="AJ1000" s="139"/>
      <c r="AK1000" s="139"/>
      <c r="AL1000" s="139"/>
      <c r="AM1000" s="83"/>
      <c r="AN1000" s="24">
        <f t="shared" si="177"/>
        <v>0</v>
      </c>
      <c r="AO1000" s="252">
        <f t="shared" si="183"/>
        <v>0</v>
      </c>
      <c r="AP1000" s="65">
        <f t="shared" si="181"/>
        <v>0</v>
      </c>
      <c r="AQ1000" s="385"/>
      <c r="AR1000" s="162"/>
      <c r="AS1000" s="83"/>
      <c r="AT1000" s="83"/>
    </row>
    <row r="1001" spans="1:46" ht="12">
      <c r="A1001" s="137" t="s">
        <v>1321</v>
      </c>
      <c r="B1001" s="83" t="str">
        <f t="shared" si="172"/>
        <v>SiO2</v>
      </c>
      <c r="C1001" s="329">
        <f t="shared" si="173"/>
        <v>0</v>
      </c>
      <c r="D1001" s="168">
        <f t="shared" si="174"/>
        <v>0</v>
      </c>
      <c r="E1001" s="139">
        <f t="shared" si="179"/>
        <v>0</v>
      </c>
      <c r="F1001" s="139">
        <f t="shared" si="180"/>
        <v>0</v>
      </c>
      <c r="G1001" s="168">
        <f t="shared" si="175"/>
        <v>0</v>
      </c>
      <c r="H1001" s="150">
        <f t="shared" si="182"/>
        <v>0</v>
      </c>
      <c r="I1001" s="168">
        <f t="shared" si="176"/>
        <v>0</v>
      </c>
      <c r="J1001" s="83"/>
      <c r="K1001" s="83" t="s">
        <v>1318</v>
      </c>
      <c r="L1001" s="83"/>
      <c r="M1001" s="385"/>
      <c r="N1001" s="362">
        <v>41479</v>
      </c>
      <c r="O1001" s="83">
        <v>347</v>
      </c>
      <c r="P1001" s="83" t="s">
        <v>1182</v>
      </c>
      <c r="Q1001" s="83"/>
      <c r="R1001" s="83">
        <v>4</v>
      </c>
      <c r="S1001" s="83">
        <v>800</v>
      </c>
      <c r="T1001" s="83">
        <v>84</v>
      </c>
      <c r="U1001" s="83">
        <v>400</v>
      </c>
      <c r="V1001" s="83">
        <v>8</v>
      </c>
      <c r="W1001" s="83">
        <v>26.5</v>
      </c>
      <c r="X1001" s="83">
        <v>2.5</v>
      </c>
      <c r="Y1001" s="83">
        <v>40</v>
      </c>
      <c r="Z1001" s="83"/>
      <c r="AA1001" s="119"/>
      <c r="AB1001" s="84"/>
      <c r="AC1001" s="83"/>
      <c r="AD1001" s="83"/>
      <c r="AE1001" s="83"/>
      <c r="AF1001" s="83"/>
      <c r="AG1001" s="220"/>
      <c r="AH1001" s="344"/>
      <c r="AI1001" s="139"/>
      <c r="AJ1001" s="139"/>
      <c r="AK1001" s="139"/>
      <c r="AL1001" s="139"/>
      <c r="AM1001" s="83"/>
      <c r="AN1001" s="24">
        <f t="shared" si="177"/>
        <v>0</v>
      </c>
      <c r="AO1001" s="252">
        <f t="shared" si="183"/>
        <v>0</v>
      </c>
      <c r="AP1001" s="65">
        <f t="shared" si="181"/>
        <v>0</v>
      </c>
      <c r="AQ1001" s="385"/>
      <c r="AR1001" s="162"/>
      <c r="AS1001" s="83"/>
      <c r="AT1001" s="83"/>
    </row>
    <row r="1002" spans="1:46" ht="12">
      <c r="A1002" s="137" t="s">
        <v>1322</v>
      </c>
      <c r="B1002" s="83" t="str">
        <f t="shared" si="172"/>
        <v>SiO2</v>
      </c>
      <c r="C1002" s="329">
        <f t="shared" si="173"/>
        <v>0</v>
      </c>
      <c r="D1002" s="168">
        <f t="shared" si="174"/>
        <v>0</v>
      </c>
      <c r="E1002" s="139">
        <f t="shared" si="179"/>
        <v>0</v>
      </c>
      <c r="F1002" s="139">
        <f t="shared" si="180"/>
        <v>0</v>
      </c>
      <c r="G1002" s="168">
        <f t="shared" si="175"/>
        <v>0</v>
      </c>
      <c r="H1002" s="150">
        <f t="shared" si="182"/>
        <v>0</v>
      </c>
      <c r="I1002" s="168">
        <f t="shared" si="176"/>
        <v>0</v>
      </c>
      <c r="J1002" s="83"/>
      <c r="K1002" s="83" t="s">
        <v>1318</v>
      </c>
      <c r="L1002" s="83"/>
      <c r="M1002" s="385"/>
      <c r="N1002" s="362">
        <v>41479</v>
      </c>
      <c r="O1002" s="83">
        <v>347</v>
      </c>
      <c r="P1002" s="83" t="s">
        <v>1182</v>
      </c>
      <c r="Q1002" s="83"/>
      <c r="R1002" s="83">
        <v>5</v>
      </c>
      <c r="S1002" s="83">
        <v>800</v>
      </c>
      <c r="T1002" s="83">
        <v>84</v>
      </c>
      <c r="U1002" s="83">
        <v>400</v>
      </c>
      <c r="V1002" s="83">
        <v>8</v>
      </c>
      <c r="W1002" s="83">
        <v>26.5</v>
      </c>
      <c r="X1002" s="83">
        <v>2.5</v>
      </c>
      <c r="Y1002" s="83">
        <v>40</v>
      </c>
      <c r="Z1002" s="83"/>
      <c r="AA1002" s="119"/>
      <c r="AB1002" s="84"/>
      <c r="AC1002" s="83"/>
      <c r="AD1002" s="83"/>
      <c r="AE1002" s="83"/>
      <c r="AF1002" s="83"/>
      <c r="AG1002" s="220"/>
      <c r="AH1002" s="344"/>
      <c r="AI1002" s="139"/>
      <c r="AJ1002" s="139"/>
      <c r="AK1002" s="139"/>
      <c r="AL1002" s="139"/>
      <c r="AM1002" s="83"/>
      <c r="AN1002" s="24">
        <f t="shared" si="177"/>
        <v>0</v>
      </c>
      <c r="AO1002" s="252">
        <f t="shared" si="183"/>
        <v>0</v>
      </c>
      <c r="AP1002" s="65">
        <f t="shared" si="181"/>
        <v>0</v>
      </c>
      <c r="AQ1002" s="385"/>
      <c r="AR1002" s="162"/>
      <c r="AS1002" s="83"/>
      <c r="AT1002" s="83"/>
    </row>
    <row r="1003" spans="1:46" ht="12">
      <c r="A1003" s="111" t="s">
        <v>1323</v>
      </c>
      <c r="B1003" s="256" t="str">
        <f t="shared" si="172"/>
        <v>MgO</v>
      </c>
      <c r="C1003" s="32">
        <f t="shared" si="173"/>
        <v>4.5599999999999996</v>
      </c>
      <c r="D1003" s="279">
        <f t="shared" si="174"/>
        <v>0</v>
      </c>
      <c r="E1003" s="78">
        <f t="shared" si="179"/>
        <v>0</v>
      </c>
      <c r="F1003" s="78">
        <f t="shared" si="180"/>
        <v>0</v>
      </c>
      <c r="G1003" s="279">
        <f t="shared" si="175"/>
        <v>0</v>
      </c>
      <c r="H1003" s="190">
        <f t="shared" si="182"/>
        <v>0</v>
      </c>
      <c r="I1003" s="279">
        <f t="shared" si="176"/>
        <v>0</v>
      </c>
      <c r="J1003" s="256"/>
      <c r="K1003" s="83" t="s">
        <v>1318</v>
      </c>
      <c r="L1003" s="256"/>
      <c r="M1003" s="68"/>
      <c r="N1003" s="18">
        <v>41479</v>
      </c>
      <c r="O1003" s="256">
        <v>347</v>
      </c>
      <c r="P1003" s="256" t="s">
        <v>46</v>
      </c>
      <c r="Q1003" s="256"/>
      <c r="R1003" s="256">
        <v>6</v>
      </c>
      <c r="S1003" s="256">
        <v>800</v>
      </c>
      <c r="T1003" s="256">
        <v>84</v>
      </c>
      <c r="U1003" s="256">
        <v>400</v>
      </c>
      <c r="V1003" s="256">
        <v>8</v>
      </c>
      <c r="W1003" s="256">
        <v>26.5</v>
      </c>
      <c r="X1003" s="256">
        <v>2.5</v>
      </c>
      <c r="Y1003" s="256">
        <v>40</v>
      </c>
      <c r="Z1003" s="256"/>
      <c r="AA1003" s="207"/>
      <c r="AB1003" s="86">
        <v>0.20230000000000001</v>
      </c>
      <c r="AC1003" s="256">
        <v>0.5645</v>
      </c>
      <c r="AD1003" s="256">
        <v>0.23330000000000001</v>
      </c>
      <c r="AE1003" s="81" t="s">
        <v>47</v>
      </c>
      <c r="AF1003" s="256">
        <v>4.5599999999999996</v>
      </c>
      <c r="AG1003" s="335"/>
      <c r="AH1003" s="213"/>
      <c r="AI1003" s="78"/>
      <c r="AJ1003" s="78"/>
      <c r="AK1003" s="78"/>
      <c r="AL1003" s="78"/>
      <c r="AM1003" s="256"/>
      <c r="AN1003" s="24">
        <f t="shared" si="177"/>
        <v>0</v>
      </c>
      <c r="AO1003" s="160">
        <f t="shared" si="183"/>
        <v>0</v>
      </c>
      <c r="AP1003" s="209">
        <f t="shared" si="181"/>
        <v>3.2571428571428571</v>
      </c>
      <c r="AQ1003" s="68"/>
      <c r="AR1003" s="15"/>
      <c r="AS1003" s="256"/>
      <c r="AT1003" s="256"/>
    </row>
    <row r="1004" spans="1:46" ht="12">
      <c r="A1004" s="326" t="s">
        <v>1324</v>
      </c>
      <c r="B1004" s="257" t="str">
        <f t="shared" si="172"/>
        <v>SiNx</v>
      </c>
      <c r="C1004" s="280">
        <f t="shared" si="173"/>
        <v>0</v>
      </c>
      <c r="D1004" s="183">
        <f t="shared" si="174"/>
        <v>464.774609940787</v>
      </c>
      <c r="E1004" s="96">
        <f t="shared" si="179"/>
        <v>10.8</v>
      </c>
      <c r="F1004" s="96">
        <f t="shared" si="180"/>
        <v>1.984</v>
      </c>
      <c r="G1004" s="183">
        <f t="shared" si="175"/>
        <v>0</v>
      </c>
      <c r="H1004" s="215">
        <f t="shared" si="182"/>
        <v>0.82709163346613546</v>
      </c>
      <c r="I1004" s="183">
        <f t="shared" si="176"/>
        <v>0</v>
      </c>
      <c r="J1004" s="257"/>
      <c r="K1004" s="257" t="s">
        <v>1325</v>
      </c>
      <c r="L1004" s="257"/>
      <c r="M1004" s="269"/>
      <c r="N1004" s="175">
        <v>41484</v>
      </c>
      <c r="O1004" s="257">
        <v>348</v>
      </c>
      <c r="P1004" s="257" t="s">
        <v>187</v>
      </c>
      <c r="Q1004" s="257">
        <v>336</v>
      </c>
      <c r="R1004" s="257">
        <v>1</v>
      </c>
      <c r="S1004" s="257">
        <v>800</v>
      </c>
      <c r="T1004" s="257">
        <v>84</v>
      </c>
      <c r="U1004" s="257">
        <v>400</v>
      </c>
      <c r="V1004" s="257">
        <v>8</v>
      </c>
      <c r="W1004" s="257">
        <v>26.5</v>
      </c>
      <c r="X1004" s="257">
        <v>2.5</v>
      </c>
      <c r="Y1004" s="257">
        <v>40</v>
      </c>
      <c r="Z1004" s="257"/>
      <c r="AA1004" s="164"/>
      <c r="AB1004" s="289"/>
      <c r="AC1004" s="257"/>
      <c r="AD1004" s="257"/>
      <c r="AE1004" s="257"/>
      <c r="AF1004" s="257"/>
      <c r="AG1004" s="114"/>
      <c r="AH1004" s="266">
        <v>464.774609940787</v>
      </c>
      <c r="AI1004" s="96"/>
      <c r="AJ1004" s="96">
        <v>10.8</v>
      </c>
      <c r="AK1004" s="96">
        <v>1.984</v>
      </c>
      <c r="AL1004" s="96">
        <f>(190+17.6)/251</f>
        <v>0.82709163346613546</v>
      </c>
      <c r="AM1004" s="257"/>
      <c r="AN1004" s="24">
        <f t="shared" si="177"/>
        <v>0</v>
      </c>
      <c r="AO1004" s="188">
        <f t="shared" si="183"/>
        <v>0</v>
      </c>
      <c r="AP1004" s="254">
        <f t="shared" si="181"/>
        <v>0</v>
      </c>
      <c r="AQ1004" s="269"/>
      <c r="AR1004" s="179"/>
      <c r="AS1004" s="257"/>
      <c r="AT1004" s="257"/>
    </row>
    <row r="1005" spans="1:46" ht="12">
      <c r="A1005" s="326" t="s">
        <v>1326</v>
      </c>
      <c r="B1005" s="257" t="str">
        <f t="shared" si="172"/>
        <v>SiNx</v>
      </c>
      <c r="C1005" s="280">
        <f t="shared" si="173"/>
        <v>0</v>
      </c>
      <c r="D1005" s="183">
        <f t="shared" si="174"/>
        <v>465.30985901173602</v>
      </c>
      <c r="E1005" s="96">
        <f t="shared" si="179"/>
        <v>10.8</v>
      </c>
      <c r="F1005" s="96">
        <f t="shared" si="180"/>
        <v>1.819</v>
      </c>
      <c r="G1005" s="183">
        <f t="shared" si="175"/>
        <v>0</v>
      </c>
      <c r="H1005" s="215">
        <f t="shared" si="182"/>
        <v>0.8244186046511629</v>
      </c>
      <c r="I1005" s="183">
        <f t="shared" si="176"/>
        <v>0</v>
      </c>
      <c r="J1005" s="257"/>
      <c r="K1005" s="257" t="s">
        <v>1325</v>
      </c>
      <c r="L1005" s="257"/>
      <c r="M1005" s="269"/>
      <c r="N1005" s="175">
        <v>41484</v>
      </c>
      <c r="O1005" s="257">
        <v>348</v>
      </c>
      <c r="P1005" s="257" t="s">
        <v>187</v>
      </c>
      <c r="Q1005" s="257">
        <v>336</v>
      </c>
      <c r="R1005" s="257">
        <v>2</v>
      </c>
      <c r="S1005" s="257">
        <v>800</v>
      </c>
      <c r="T1005" s="257">
        <v>84</v>
      </c>
      <c r="U1005" s="257">
        <v>400</v>
      </c>
      <c r="V1005" s="257">
        <v>8</v>
      </c>
      <c r="W1005" s="257">
        <v>26.5</v>
      </c>
      <c r="X1005" s="257">
        <v>2.5</v>
      </c>
      <c r="Y1005" s="257">
        <v>40</v>
      </c>
      <c r="Z1005" s="257"/>
      <c r="AA1005" s="164"/>
      <c r="AB1005" s="289"/>
      <c r="AC1005" s="257"/>
      <c r="AD1005" s="257"/>
      <c r="AE1005" s="257"/>
      <c r="AF1005" s="257"/>
      <c r="AG1005" s="114"/>
      <c r="AH1005" s="266">
        <v>465.30985901173602</v>
      </c>
      <c r="AI1005" s="96"/>
      <c r="AJ1005" s="96">
        <v>10.8</v>
      </c>
      <c r="AK1005" s="96">
        <v>1.819</v>
      </c>
      <c r="AL1005" s="96">
        <f>(194.4+18.3)/258</f>
        <v>0.8244186046511629</v>
      </c>
      <c r="AM1005" s="257"/>
      <c r="AN1005" s="24">
        <f t="shared" si="177"/>
        <v>0</v>
      </c>
      <c r="AO1005" s="188">
        <f t="shared" si="183"/>
        <v>0</v>
      </c>
      <c r="AP1005" s="254">
        <f t="shared" si="181"/>
        <v>0</v>
      </c>
      <c r="AQ1005" s="269"/>
      <c r="AR1005" s="179"/>
      <c r="AS1005" s="257"/>
      <c r="AT1005" s="257"/>
    </row>
    <row r="1006" spans="1:46" ht="12">
      <c r="A1006" s="326" t="s">
        <v>1327</v>
      </c>
      <c r="B1006" s="257" t="str">
        <f t="shared" si="172"/>
        <v>SiNx</v>
      </c>
      <c r="C1006" s="280">
        <f t="shared" si="173"/>
        <v>0</v>
      </c>
      <c r="D1006" s="183">
        <f t="shared" si="174"/>
        <v>385.91458015428799</v>
      </c>
      <c r="E1006" s="96">
        <f t="shared" si="179"/>
        <v>11.76</v>
      </c>
      <c r="F1006" s="96">
        <f t="shared" si="180"/>
        <v>1.556</v>
      </c>
      <c r="G1006" s="183">
        <f t="shared" si="175"/>
        <v>0</v>
      </c>
      <c r="H1006" s="215">
        <f t="shared" si="182"/>
        <v>0.88232323232323229</v>
      </c>
      <c r="I1006" s="183">
        <f t="shared" si="176"/>
        <v>0</v>
      </c>
      <c r="J1006" s="257"/>
      <c r="K1006" s="257" t="s">
        <v>1325</v>
      </c>
      <c r="L1006" s="257"/>
      <c r="M1006" s="269"/>
      <c r="N1006" s="175">
        <v>41484</v>
      </c>
      <c r="O1006" s="257">
        <v>348</v>
      </c>
      <c r="P1006" s="257" t="s">
        <v>187</v>
      </c>
      <c r="Q1006" s="257">
        <v>336</v>
      </c>
      <c r="R1006" s="257">
        <v>3</v>
      </c>
      <c r="S1006" s="257">
        <v>800</v>
      </c>
      <c r="T1006" s="257">
        <v>84</v>
      </c>
      <c r="U1006" s="257">
        <v>400</v>
      </c>
      <c r="V1006" s="257">
        <v>8</v>
      </c>
      <c r="W1006" s="257">
        <v>26.5</v>
      </c>
      <c r="X1006" s="257">
        <v>2.5</v>
      </c>
      <c r="Y1006" s="257">
        <v>40</v>
      </c>
      <c r="Z1006" s="257"/>
      <c r="AA1006" s="164"/>
      <c r="AB1006" s="289"/>
      <c r="AC1006" s="257"/>
      <c r="AD1006" s="257"/>
      <c r="AE1006" s="257"/>
      <c r="AF1006" s="257"/>
      <c r="AG1006" s="114"/>
      <c r="AH1006" s="266">
        <v>385.91458015428799</v>
      </c>
      <c r="AI1006" s="96"/>
      <c r="AJ1006" s="96">
        <v>11.76</v>
      </c>
      <c r="AK1006" s="96">
        <v>1.556</v>
      </c>
      <c r="AL1006" s="96">
        <f>(156.6+18.1)/198</f>
        <v>0.88232323232323229</v>
      </c>
      <c r="AM1006" s="257"/>
      <c r="AN1006" s="24">
        <f t="shared" si="177"/>
        <v>0</v>
      </c>
      <c r="AO1006" s="188">
        <f t="shared" si="183"/>
        <v>0</v>
      </c>
      <c r="AP1006" s="254">
        <f t="shared" si="181"/>
        <v>0</v>
      </c>
      <c r="AQ1006" s="269"/>
      <c r="AR1006" s="179"/>
      <c r="AS1006" s="257"/>
      <c r="AT1006" s="257"/>
    </row>
    <row r="1007" spans="1:46" ht="12">
      <c r="A1007" s="326" t="s">
        <v>1328</v>
      </c>
      <c r="B1007" s="257" t="str">
        <f t="shared" si="172"/>
        <v>SiNx</v>
      </c>
      <c r="C1007" s="280">
        <f t="shared" si="173"/>
        <v>0</v>
      </c>
      <c r="D1007" s="183">
        <f t="shared" si="174"/>
        <v>464.95302629777001</v>
      </c>
      <c r="E1007" s="96">
        <f t="shared" si="179"/>
        <v>10.81</v>
      </c>
      <c r="F1007" s="96">
        <f t="shared" si="180"/>
        <v>1.7490000000000001</v>
      </c>
      <c r="G1007" s="183">
        <f t="shared" si="175"/>
        <v>0</v>
      </c>
      <c r="H1007" s="215">
        <f t="shared" si="182"/>
        <v>0.82191235059760948</v>
      </c>
      <c r="I1007" s="183">
        <f t="shared" si="176"/>
        <v>0</v>
      </c>
      <c r="J1007" s="257"/>
      <c r="K1007" s="257" t="s">
        <v>1325</v>
      </c>
      <c r="L1007" s="257"/>
      <c r="M1007" s="269"/>
      <c r="N1007" s="175">
        <v>41484</v>
      </c>
      <c r="O1007" s="257">
        <v>348</v>
      </c>
      <c r="P1007" s="257" t="s">
        <v>187</v>
      </c>
      <c r="Q1007" s="257">
        <v>336</v>
      </c>
      <c r="R1007" s="257">
        <v>4</v>
      </c>
      <c r="S1007" s="257">
        <v>800</v>
      </c>
      <c r="T1007" s="257">
        <v>84</v>
      </c>
      <c r="U1007" s="257">
        <v>400</v>
      </c>
      <c r="V1007" s="257">
        <v>8</v>
      </c>
      <c r="W1007" s="257">
        <v>26.5</v>
      </c>
      <c r="X1007" s="257">
        <v>2.5</v>
      </c>
      <c r="Y1007" s="257">
        <v>40</v>
      </c>
      <c r="Z1007" s="257"/>
      <c r="AA1007" s="164"/>
      <c r="AB1007" s="289"/>
      <c r="AC1007" s="257"/>
      <c r="AD1007" s="257"/>
      <c r="AE1007" s="257"/>
      <c r="AF1007" s="257"/>
      <c r="AG1007" s="114"/>
      <c r="AH1007" s="266">
        <v>464.95302629777001</v>
      </c>
      <c r="AI1007" s="96"/>
      <c r="AJ1007" s="96">
        <v>10.81</v>
      </c>
      <c r="AK1007" s="96">
        <v>1.7490000000000001</v>
      </c>
      <c r="AL1007" s="96">
        <f>(188.7+17.6)/251</f>
        <v>0.82191235059760948</v>
      </c>
      <c r="AM1007" s="257"/>
      <c r="AN1007" s="24">
        <f t="shared" si="177"/>
        <v>0</v>
      </c>
      <c r="AO1007" s="188">
        <f t="shared" si="183"/>
        <v>0</v>
      </c>
      <c r="AP1007" s="254">
        <f t="shared" si="181"/>
        <v>0</v>
      </c>
      <c r="AQ1007" s="269"/>
      <c r="AR1007" s="179"/>
      <c r="AS1007" s="257"/>
      <c r="AT1007" s="257"/>
    </row>
    <row r="1008" spans="1:46" ht="12">
      <c r="A1008" s="326" t="s">
        <v>1329</v>
      </c>
      <c r="B1008" s="257" t="str">
        <f t="shared" si="172"/>
        <v>SiNx</v>
      </c>
      <c r="C1008" s="280">
        <f t="shared" si="173"/>
        <v>0</v>
      </c>
      <c r="D1008" s="183">
        <f t="shared" si="174"/>
        <v>463.34727908492198</v>
      </c>
      <c r="E1008" s="96">
        <f t="shared" si="179"/>
        <v>10.9</v>
      </c>
      <c r="F1008" s="96">
        <f t="shared" si="180"/>
        <v>1.7230000000000001</v>
      </c>
      <c r="G1008" s="183">
        <f t="shared" si="175"/>
        <v>0</v>
      </c>
      <c r="H1008" s="215">
        <f t="shared" si="182"/>
        <v>0.83293650793650786</v>
      </c>
      <c r="I1008" s="183">
        <f t="shared" si="176"/>
        <v>0</v>
      </c>
      <c r="J1008" s="257"/>
      <c r="K1008" s="257" t="s">
        <v>1325</v>
      </c>
      <c r="L1008" s="257"/>
      <c r="M1008" s="269"/>
      <c r="N1008" s="175">
        <v>41484</v>
      </c>
      <c r="O1008" s="257">
        <v>348</v>
      </c>
      <c r="P1008" s="257" t="s">
        <v>187</v>
      </c>
      <c r="Q1008" s="257">
        <v>336</v>
      </c>
      <c r="R1008" s="257">
        <v>5</v>
      </c>
      <c r="S1008" s="257">
        <v>800</v>
      </c>
      <c r="T1008" s="257">
        <v>84</v>
      </c>
      <c r="U1008" s="257">
        <v>400</v>
      </c>
      <c r="V1008" s="257">
        <v>8</v>
      </c>
      <c r="W1008" s="257">
        <v>26.5</v>
      </c>
      <c r="X1008" s="257">
        <v>2.5</v>
      </c>
      <c r="Y1008" s="257">
        <v>40</v>
      </c>
      <c r="Z1008" s="257"/>
      <c r="AA1008" s="164"/>
      <c r="AB1008" s="289"/>
      <c r="AC1008" s="257"/>
      <c r="AD1008" s="257"/>
      <c r="AE1008" s="257"/>
      <c r="AF1008" s="257"/>
      <c r="AG1008" s="114"/>
      <c r="AH1008" s="266">
        <v>463.34727908492198</v>
      </c>
      <c r="AI1008" s="96"/>
      <c r="AJ1008" s="96">
        <v>10.9</v>
      </c>
      <c r="AK1008" s="96">
        <v>1.7230000000000001</v>
      </c>
      <c r="AL1008" s="96">
        <f>(190.7+19.2)/252</f>
        <v>0.83293650793650786</v>
      </c>
      <c r="AM1008" s="257"/>
      <c r="AN1008" s="24">
        <f t="shared" si="177"/>
        <v>0</v>
      </c>
      <c r="AO1008" s="188">
        <f t="shared" si="183"/>
        <v>0</v>
      </c>
      <c r="AP1008" s="254">
        <f t="shared" si="181"/>
        <v>0</v>
      </c>
      <c r="AQ1008" s="269"/>
      <c r="AR1008" s="179"/>
      <c r="AS1008" s="257"/>
      <c r="AT1008" s="257"/>
    </row>
    <row r="1009" spans="1:46" ht="12">
      <c r="A1009" s="111" t="s">
        <v>1330</v>
      </c>
      <c r="B1009" s="81" t="str">
        <f t="shared" si="172"/>
        <v>MgO</v>
      </c>
      <c r="C1009" s="141">
        <f t="shared" si="173"/>
        <v>4.2300000000000004</v>
      </c>
      <c r="D1009" s="277">
        <f t="shared" si="174"/>
        <v>289.21291466948799</v>
      </c>
      <c r="E1009" s="20">
        <f t="shared" si="179"/>
        <v>13.43</v>
      </c>
      <c r="F1009" s="20">
        <f t="shared" si="180"/>
        <v>0</v>
      </c>
      <c r="G1009" s="277">
        <f t="shared" si="175"/>
        <v>122.33706290519342</v>
      </c>
      <c r="H1009" s="3">
        <f t="shared" si="182"/>
        <v>0.82481203007518789</v>
      </c>
      <c r="I1009" s="277">
        <f t="shared" si="176"/>
        <v>16429.867548167476</v>
      </c>
      <c r="J1009" s="257"/>
      <c r="K1009" s="257" t="s">
        <v>1325</v>
      </c>
      <c r="L1009" s="81"/>
      <c r="M1009" s="52"/>
      <c r="N1009" s="175">
        <v>41484</v>
      </c>
      <c r="O1009" s="257">
        <v>348</v>
      </c>
      <c r="P1009" s="81" t="s">
        <v>46</v>
      </c>
      <c r="Q1009" s="81"/>
      <c r="R1009" s="81">
        <v>6</v>
      </c>
      <c r="S1009" s="256">
        <v>800</v>
      </c>
      <c r="T1009" s="256">
        <v>84</v>
      </c>
      <c r="U1009" s="256">
        <v>400</v>
      </c>
      <c r="V1009" s="256">
        <v>8</v>
      </c>
      <c r="W1009" s="256">
        <v>26.5</v>
      </c>
      <c r="X1009" s="256">
        <v>2.5</v>
      </c>
      <c r="Y1009" s="256">
        <v>40</v>
      </c>
      <c r="Z1009" s="81"/>
      <c r="AA1009" s="234"/>
      <c r="AB1009" s="199">
        <v>0.2021</v>
      </c>
      <c r="AC1009" s="81">
        <v>0.58030000000000004</v>
      </c>
      <c r="AD1009" s="81">
        <v>0.21759999999999999</v>
      </c>
      <c r="AE1009" s="81" t="s">
        <v>47</v>
      </c>
      <c r="AF1009" s="81">
        <v>4.2300000000000004</v>
      </c>
      <c r="AG1009" s="95"/>
      <c r="AH1009" s="97">
        <v>289.21291466948799</v>
      </c>
      <c r="AI1009" s="20"/>
      <c r="AJ1009" s="20">
        <v>13.43</v>
      </c>
      <c r="AK1009" s="20"/>
      <c r="AL1009" s="20">
        <f>(90.8+18.9)/133</f>
        <v>0.82481203007518789</v>
      </c>
      <c r="AM1009" s="81"/>
      <c r="AN1009" s="24">
        <f t="shared" si="177"/>
        <v>122.33706290519342</v>
      </c>
      <c r="AO1009" s="189">
        <f t="shared" si="183"/>
        <v>16429.867548167476</v>
      </c>
      <c r="AP1009" s="184">
        <f t="shared" si="181"/>
        <v>3.0214285714285718</v>
      </c>
      <c r="AQ1009" s="52"/>
      <c r="AR1009" s="357"/>
      <c r="AS1009" s="81"/>
      <c r="AT1009" s="81"/>
    </row>
    <row r="1010" spans="1:46" ht="12">
      <c r="A1010" s="326" t="s">
        <v>1331</v>
      </c>
      <c r="B1010" s="359">
        <f t="shared" si="172"/>
        <v>0</v>
      </c>
      <c r="C1010" s="141">
        <f t="shared" si="173"/>
        <v>0</v>
      </c>
      <c r="D1010" s="277">
        <f t="shared" si="174"/>
        <v>0</v>
      </c>
      <c r="E1010" s="20">
        <f t="shared" si="179"/>
        <v>0</v>
      </c>
      <c r="F1010" s="20">
        <f t="shared" si="180"/>
        <v>0</v>
      </c>
      <c r="G1010" s="277">
        <f t="shared" si="175"/>
        <v>0</v>
      </c>
      <c r="H1010" s="3">
        <f t="shared" si="182"/>
        <v>0</v>
      </c>
      <c r="I1010" s="277">
        <f t="shared" si="176"/>
        <v>0</v>
      </c>
      <c r="J1010" s="359"/>
      <c r="K1010" s="359"/>
      <c r="L1010" s="359"/>
      <c r="M1010" s="338"/>
      <c r="N1010" s="89">
        <v>41486</v>
      </c>
      <c r="O1010" s="359">
        <v>349</v>
      </c>
      <c r="P1010" s="359"/>
      <c r="Q1010" s="359"/>
      <c r="R1010" s="359"/>
      <c r="S1010" s="359"/>
      <c r="T1010" s="359"/>
      <c r="U1010" s="359"/>
      <c r="V1010" s="359"/>
      <c r="W1010" s="359"/>
      <c r="X1010" s="359"/>
      <c r="Y1010" s="359"/>
      <c r="Z1010" s="359"/>
      <c r="AA1010" s="210"/>
      <c r="AB1010" s="248"/>
      <c r="AC1010" s="359"/>
      <c r="AD1010" s="359"/>
      <c r="AE1010" s="359"/>
      <c r="AF1010" s="359"/>
      <c r="AG1010" s="153"/>
      <c r="AH1010" s="346"/>
      <c r="AI1010" s="24"/>
      <c r="AJ1010" s="24"/>
      <c r="AK1010" s="24"/>
      <c r="AL1010" s="24"/>
      <c r="AM1010" s="359"/>
      <c r="AN1010" s="24">
        <f t="shared" si="177"/>
        <v>0</v>
      </c>
      <c r="AO1010" s="54">
        <f t="shared" si="183"/>
        <v>0</v>
      </c>
      <c r="AP1010" s="261" t="e">
        <f t="shared" si="181"/>
        <v>#DIV/0!</v>
      </c>
      <c r="AQ1010" s="338"/>
      <c r="AR1010" s="45"/>
      <c r="AS1010" s="359"/>
      <c r="AT1010" s="359"/>
    </row>
    <row r="1011" spans="1:46" ht="12">
      <c r="A1011" s="111" t="s">
        <v>1332</v>
      </c>
      <c r="B1011" s="359">
        <f t="shared" si="172"/>
        <v>0</v>
      </c>
      <c r="C1011" s="141">
        <f t="shared" si="173"/>
        <v>0</v>
      </c>
      <c r="D1011" s="277">
        <f t="shared" si="174"/>
        <v>0</v>
      </c>
      <c r="E1011" s="20">
        <f t="shared" si="179"/>
        <v>0</v>
      </c>
      <c r="F1011" s="20">
        <f t="shared" si="180"/>
        <v>0</v>
      </c>
      <c r="G1011" s="277">
        <f t="shared" si="175"/>
        <v>0</v>
      </c>
      <c r="H1011" s="3">
        <f t="shared" si="182"/>
        <v>0</v>
      </c>
      <c r="I1011" s="277">
        <f t="shared" si="176"/>
        <v>0</v>
      </c>
      <c r="J1011" s="359"/>
      <c r="K1011" s="359"/>
      <c r="L1011" s="359"/>
      <c r="M1011" s="338"/>
      <c r="N1011" s="89">
        <v>41486</v>
      </c>
      <c r="O1011" s="359">
        <v>349</v>
      </c>
      <c r="P1011" s="359"/>
      <c r="Q1011" s="359"/>
      <c r="R1011" s="359"/>
      <c r="S1011" s="359"/>
      <c r="T1011" s="359"/>
      <c r="U1011" s="359"/>
      <c r="V1011" s="359"/>
      <c r="W1011" s="359"/>
      <c r="X1011" s="359"/>
      <c r="Y1011" s="359"/>
      <c r="Z1011" s="359"/>
      <c r="AA1011" s="210"/>
      <c r="AB1011" s="248"/>
      <c r="AC1011" s="359"/>
      <c r="AD1011" s="359"/>
      <c r="AE1011" s="359"/>
      <c r="AF1011" s="359"/>
      <c r="AG1011" s="153"/>
      <c r="AH1011" s="346"/>
      <c r="AI1011" s="24"/>
      <c r="AJ1011" s="24"/>
      <c r="AK1011" s="24"/>
      <c r="AL1011" s="24"/>
      <c r="AM1011" s="359"/>
      <c r="AN1011" s="24">
        <f t="shared" si="177"/>
        <v>0</v>
      </c>
      <c r="AO1011" s="54">
        <f t="shared" si="183"/>
        <v>0</v>
      </c>
      <c r="AP1011" s="261" t="e">
        <f t="shared" si="181"/>
        <v>#DIV/0!</v>
      </c>
      <c r="AQ1011" s="338"/>
      <c r="AR1011" s="45"/>
      <c r="AS1011" s="359"/>
      <c r="AT1011" s="359"/>
    </row>
    <row r="1012" spans="1:46" ht="12">
      <c r="A1012" s="137" t="s">
        <v>1333</v>
      </c>
      <c r="B1012" s="83" t="str">
        <f t="shared" si="172"/>
        <v>SiO2</v>
      </c>
      <c r="C1012" s="329">
        <f t="shared" si="173"/>
        <v>0</v>
      </c>
      <c r="D1012" s="168">
        <f t="shared" si="174"/>
        <v>455.586167556161</v>
      </c>
      <c r="E1012" s="139">
        <f t="shared" si="179"/>
        <v>11.17</v>
      </c>
      <c r="F1012" s="139">
        <f t="shared" si="180"/>
        <v>1.659</v>
      </c>
      <c r="G1012" s="168">
        <f t="shared" si="175"/>
        <v>0</v>
      </c>
      <c r="H1012" s="150">
        <f t="shared" si="182"/>
        <v>0.81012145748987852</v>
      </c>
      <c r="I1012" s="168">
        <f t="shared" si="176"/>
        <v>0</v>
      </c>
      <c r="J1012" s="83"/>
      <c r="K1012" s="83" t="s">
        <v>1334</v>
      </c>
      <c r="L1012" s="83"/>
      <c r="M1012" s="385"/>
      <c r="N1012" s="362">
        <v>41494</v>
      </c>
      <c r="O1012" s="83">
        <v>353</v>
      </c>
      <c r="P1012" s="83" t="s">
        <v>1182</v>
      </c>
      <c r="Q1012" s="83">
        <v>228.9</v>
      </c>
      <c r="R1012" s="83">
        <v>1</v>
      </c>
      <c r="S1012" s="83">
        <v>800</v>
      </c>
      <c r="T1012" s="83">
        <v>84</v>
      </c>
      <c r="U1012" s="83">
        <v>400</v>
      </c>
      <c r="V1012" s="83">
        <v>8</v>
      </c>
      <c r="W1012" s="83">
        <v>26.5</v>
      </c>
      <c r="X1012" s="83">
        <v>2.5</v>
      </c>
      <c r="Y1012" s="83">
        <v>40</v>
      </c>
      <c r="Z1012" s="83"/>
      <c r="AA1012" s="119"/>
      <c r="AB1012" s="84"/>
      <c r="AC1012" s="83"/>
      <c r="AD1012" s="83"/>
      <c r="AE1012" s="83"/>
      <c r="AF1012" s="83"/>
      <c r="AG1012" s="220"/>
      <c r="AH1012" s="344">
        <v>455.586167556161</v>
      </c>
      <c r="AI1012" s="139"/>
      <c r="AJ1012" s="139">
        <v>11.17</v>
      </c>
      <c r="AK1012" s="139">
        <v>1.659</v>
      </c>
      <c r="AL1012" s="139">
        <f>(182.4+17.7)/247</f>
        <v>0.81012145748987852</v>
      </c>
      <c r="AM1012" s="83"/>
      <c r="AN1012" s="24">
        <f t="shared" si="177"/>
        <v>0</v>
      </c>
      <c r="AO1012" s="252">
        <f t="shared" si="183"/>
        <v>0</v>
      </c>
      <c r="AP1012" s="65">
        <f t="shared" si="181"/>
        <v>0</v>
      </c>
      <c r="AQ1012" s="385"/>
      <c r="AR1012" s="162"/>
      <c r="AS1012" s="83"/>
      <c r="AT1012" s="83"/>
    </row>
    <row r="1013" spans="1:46" ht="12">
      <c r="A1013" s="137" t="s">
        <v>1335</v>
      </c>
      <c r="B1013" s="83" t="str">
        <f t="shared" si="172"/>
        <v>SiO2</v>
      </c>
      <c r="C1013" s="329">
        <f t="shared" si="173"/>
        <v>0</v>
      </c>
      <c r="D1013" s="168">
        <f t="shared" si="174"/>
        <v>495.462223341867</v>
      </c>
      <c r="E1013" s="139">
        <f t="shared" si="179"/>
        <v>10.55</v>
      </c>
      <c r="F1013" s="139">
        <f t="shared" si="180"/>
        <v>1.744</v>
      </c>
      <c r="G1013" s="168">
        <f t="shared" si="175"/>
        <v>0</v>
      </c>
      <c r="H1013" s="150">
        <f t="shared" si="182"/>
        <v>0.77978723404255323</v>
      </c>
      <c r="I1013" s="168">
        <f t="shared" si="176"/>
        <v>0</v>
      </c>
      <c r="J1013" s="83"/>
      <c r="K1013" s="83" t="s">
        <v>1334</v>
      </c>
      <c r="L1013" s="83"/>
      <c r="M1013" s="385"/>
      <c r="N1013" s="362">
        <v>41494</v>
      </c>
      <c r="O1013" s="83">
        <v>353</v>
      </c>
      <c r="P1013" s="83" t="s">
        <v>1182</v>
      </c>
      <c r="Q1013" s="83">
        <v>228.9</v>
      </c>
      <c r="R1013" s="83">
        <v>2</v>
      </c>
      <c r="S1013" s="83">
        <v>800</v>
      </c>
      <c r="T1013" s="83">
        <v>84</v>
      </c>
      <c r="U1013" s="83">
        <v>400</v>
      </c>
      <c r="V1013" s="83">
        <v>8</v>
      </c>
      <c r="W1013" s="83">
        <v>26.5</v>
      </c>
      <c r="X1013" s="83">
        <v>2.5</v>
      </c>
      <c r="Y1013" s="83">
        <v>40</v>
      </c>
      <c r="Z1013" s="83"/>
      <c r="AA1013" s="119"/>
      <c r="AB1013" s="84"/>
      <c r="AC1013" s="83"/>
      <c r="AD1013" s="83"/>
      <c r="AE1013" s="83"/>
      <c r="AF1013" s="83"/>
      <c r="AG1013" s="220"/>
      <c r="AH1013" s="344">
        <v>495.462223341867</v>
      </c>
      <c r="AI1013" s="139"/>
      <c r="AJ1013" s="139">
        <v>10.55</v>
      </c>
      <c r="AK1013" s="139">
        <v>1.744</v>
      </c>
      <c r="AL1013" s="139">
        <f>(201.5+18.4)/282</f>
        <v>0.77978723404255323</v>
      </c>
      <c r="AM1013" s="83"/>
      <c r="AN1013" s="24">
        <f t="shared" si="177"/>
        <v>0</v>
      </c>
      <c r="AO1013" s="252">
        <f t="shared" si="183"/>
        <v>0</v>
      </c>
      <c r="AP1013" s="65">
        <f t="shared" si="181"/>
        <v>0</v>
      </c>
      <c r="AQ1013" s="385"/>
      <c r="AR1013" s="162"/>
      <c r="AS1013" s="83"/>
      <c r="AT1013" s="83"/>
    </row>
    <row r="1014" spans="1:46" ht="12">
      <c r="A1014" s="137" t="s">
        <v>1336</v>
      </c>
      <c r="B1014" s="83" t="str">
        <f t="shared" si="172"/>
        <v>SiO2</v>
      </c>
      <c r="C1014" s="329">
        <f t="shared" si="173"/>
        <v>0</v>
      </c>
      <c r="D1014" s="168">
        <f t="shared" si="174"/>
        <v>0</v>
      </c>
      <c r="E1014" s="139">
        <f t="shared" si="179"/>
        <v>0</v>
      </c>
      <c r="F1014" s="139">
        <f t="shared" si="180"/>
        <v>0</v>
      </c>
      <c r="G1014" s="168">
        <f t="shared" si="175"/>
        <v>0</v>
      </c>
      <c r="H1014" s="150">
        <f t="shared" si="182"/>
        <v>0</v>
      </c>
      <c r="I1014" s="168">
        <f t="shared" si="176"/>
        <v>0</v>
      </c>
      <c r="J1014" s="83"/>
      <c r="K1014" s="83" t="s">
        <v>1337</v>
      </c>
      <c r="L1014" s="83"/>
      <c r="M1014" s="385"/>
      <c r="N1014" s="362">
        <v>41494</v>
      </c>
      <c r="O1014" s="83">
        <v>353</v>
      </c>
      <c r="P1014" s="83" t="s">
        <v>1182</v>
      </c>
      <c r="Q1014" s="83">
        <v>228.9</v>
      </c>
      <c r="R1014" s="83">
        <v>3</v>
      </c>
      <c r="S1014" s="83">
        <v>800</v>
      </c>
      <c r="T1014" s="83">
        <v>84</v>
      </c>
      <c r="U1014" s="83">
        <v>400</v>
      </c>
      <c r="V1014" s="83">
        <v>8</v>
      </c>
      <c r="W1014" s="83">
        <v>26.5</v>
      </c>
      <c r="X1014" s="83">
        <v>2.5</v>
      </c>
      <c r="Y1014" s="83">
        <v>40</v>
      </c>
      <c r="Z1014" s="83"/>
      <c r="AA1014" s="119"/>
      <c r="AB1014" s="84"/>
      <c r="AC1014" s="83"/>
      <c r="AD1014" s="83"/>
      <c r="AE1014" s="83"/>
      <c r="AF1014" s="83"/>
      <c r="AG1014" s="220"/>
      <c r="AH1014" s="344"/>
      <c r="AI1014" s="139"/>
      <c r="AJ1014" s="139"/>
      <c r="AK1014" s="139"/>
      <c r="AL1014" s="139"/>
      <c r="AM1014" s="83"/>
      <c r="AN1014" s="24">
        <f t="shared" si="177"/>
        <v>0</v>
      </c>
      <c r="AO1014" s="252">
        <f t="shared" si="183"/>
        <v>0</v>
      </c>
      <c r="AP1014" s="65">
        <f t="shared" si="181"/>
        <v>0</v>
      </c>
      <c r="AQ1014" s="385"/>
      <c r="AR1014" s="162"/>
      <c r="AS1014" s="83"/>
      <c r="AT1014" s="83"/>
    </row>
    <row r="1015" spans="1:46" ht="12">
      <c r="A1015" s="137" t="s">
        <v>1338</v>
      </c>
      <c r="B1015" s="83" t="str">
        <f t="shared" si="172"/>
        <v>SiO2</v>
      </c>
      <c r="C1015" s="329">
        <f t="shared" si="173"/>
        <v>0</v>
      </c>
      <c r="D1015" s="168">
        <f t="shared" si="174"/>
        <v>494.65934973544398</v>
      </c>
      <c r="E1015" s="139">
        <f t="shared" si="179"/>
        <v>10.35</v>
      </c>
      <c r="F1015" s="139">
        <f t="shared" si="180"/>
        <v>1.722</v>
      </c>
      <c r="G1015" s="168">
        <f t="shared" si="175"/>
        <v>0</v>
      </c>
      <c r="H1015" s="150">
        <f t="shared" si="182"/>
        <v>0.77689530685920571</v>
      </c>
      <c r="I1015" s="168">
        <f t="shared" si="176"/>
        <v>0</v>
      </c>
      <c r="J1015" s="83"/>
      <c r="K1015" s="83" t="s">
        <v>1334</v>
      </c>
      <c r="L1015" s="83"/>
      <c r="M1015" s="385"/>
      <c r="N1015" s="362">
        <v>41494</v>
      </c>
      <c r="O1015" s="83">
        <v>353</v>
      </c>
      <c r="P1015" s="83" t="s">
        <v>1182</v>
      </c>
      <c r="Q1015" s="83">
        <v>228.9</v>
      </c>
      <c r="R1015" s="83">
        <v>4</v>
      </c>
      <c r="S1015" s="83">
        <v>800</v>
      </c>
      <c r="T1015" s="83">
        <v>84</v>
      </c>
      <c r="U1015" s="83">
        <v>400</v>
      </c>
      <c r="V1015" s="83">
        <v>8</v>
      </c>
      <c r="W1015" s="83">
        <v>26.5</v>
      </c>
      <c r="X1015" s="83">
        <v>2.5</v>
      </c>
      <c r="Y1015" s="83">
        <v>40</v>
      </c>
      <c r="Z1015" s="83"/>
      <c r="AA1015" s="119"/>
      <c r="AB1015" s="84"/>
      <c r="AC1015" s="83"/>
      <c r="AD1015" s="83"/>
      <c r="AE1015" s="83"/>
      <c r="AF1015" s="83"/>
      <c r="AG1015" s="220"/>
      <c r="AH1015" s="344">
        <v>494.65934973544398</v>
      </c>
      <c r="AI1015" s="139"/>
      <c r="AJ1015" s="139">
        <v>10.35</v>
      </c>
      <c r="AK1015" s="139">
        <v>1.722</v>
      </c>
      <c r="AL1015" s="139">
        <f>(196.6+18.6)/277</f>
        <v>0.77689530685920571</v>
      </c>
      <c r="AM1015" s="83"/>
      <c r="AN1015" s="24">
        <f t="shared" si="177"/>
        <v>0</v>
      </c>
      <c r="AO1015" s="252">
        <f t="shared" si="183"/>
        <v>0</v>
      </c>
      <c r="AP1015" s="65">
        <f t="shared" si="181"/>
        <v>0</v>
      </c>
      <c r="AQ1015" s="385"/>
      <c r="AR1015" s="162"/>
      <c r="AS1015" s="83"/>
      <c r="AT1015" s="83"/>
    </row>
    <row r="1016" spans="1:46" ht="12">
      <c r="A1016" s="137" t="s">
        <v>1339</v>
      </c>
      <c r="B1016" s="83" t="str">
        <f t="shared" si="172"/>
        <v>SiO2</v>
      </c>
      <c r="C1016" s="329">
        <f t="shared" si="173"/>
        <v>0</v>
      </c>
      <c r="D1016" s="168">
        <f t="shared" si="174"/>
        <v>502.24204490722201</v>
      </c>
      <c r="E1016" s="139">
        <f t="shared" si="179"/>
        <v>10.07</v>
      </c>
      <c r="F1016" s="139">
        <f t="shared" si="180"/>
        <v>1.637</v>
      </c>
      <c r="G1016" s="168">
        <f t="shared" si="175"/>
        <v>0</v>
      </c>
      <c r="H1016" s="150">
        <f t="shared" si="182"/>
        <v>0.7675958188153309</v>
      </c>
      <c r="I1016" s="168">
        <f t="shared" si="176"/>
        <v>0</v>
      </c>
      <c r="J1016" s="83"/>
      <c r="K1016" s="83" t="s">
        <v>1334</v>
      </c>
      <c r="L1016" s="83"/>
      <c r="M1016" s="385"/>
      <c r="N1016" s="362">
        <v>41494</v>
      </c>
      <c r="O1016" s="83">
        <v>353</v>
      </c>
      <c r="P1016" s="83" t="s">
        <v>1182</v>
      </c>
      <c r="Q1016" s="83">
        <v>228.9</v>
      </c>
      <c r="R1016" s="83">
        <v>5</v>
      </c>
      <c r="S1016" s="83">
        <v>800</v>
      </c>
      <c r="T1016" s="83">
        <v>84</v>
      </c>
      <c r="U1016" s="83">
        <v>400</v>
      </c>
      <c r="V1016" s="83">
        <v>8</v>
      </c>
      <c r="W1016" s="83">
        <v>26.5</v>
      </c>
      <c r="X1016" s="83">
        <v>2.5</v>
      </c>
      <c r="Y1016" s="83">
        <v>40</v>
      </c>
      <c r="Z1016" s="83"/>
      <c r="AA1016" s="119"/>
      <c r="AB1016" s="84"/>
      <c r="AC1016" s="83"/>
      <c r="AD1016" s="83"/>
      <c r="AE1016" s="83"/>
      <c r="AF1016" s="83"/>
      <c r="AG1016" s="220"/>
      <c r="AH1016" s="344">
        <v>502.24204490722201</v>
      </c>
      <c r="AI1016" s="139"/>
      <c r="AJ1016" s="139">
        <v>10.07</v>
      </c>
      <c r="AK1016" s="139">
        <v>1.637</v>
      </c>
      <c r="AL1016" s="139">
        <f>(201.7+18.6)/287</f>
        <v>0.7675958188153309</v>
      </c>
      <c r="AM1016" s="83"/>
      <c r="AN1016" s="24">
        <f t="shared" si="177"/>
        <v>0</v>
      </c>
      <c r="AO1016" s="252">
        <f t="shared" si="183"/>
        <v>0</v>
      </c>
      <c r="AP1016" s="65">
        <f t="shared" si="181"/>
        <v>0</v>
      </c>
      <c r="AQ1016" s="385"/>
      <c r="AR1016" s="162"/>
      <c r="AS1016" s="83"/>
      <c r="AT1016" s="83"/>
    </row>
    <row r="1017" spans="1:46" ht="12">
      <c r="A1017" s="111" t="s">
        <v>1340</v>
      </c>
      <c r="B1017" s="256" t="str">
        <f t="shared" si="172"/>
        <v>MgO</v>
      </c>
      <c r="C1017" s="32">
        <f t="shared" si="173"/>
        <v>4.4000000000000004</v>
      </c>
      <c r="D1017" s="279">
        <f t="shared" si="174"/>
        <v>344.70040169120898</v>
      </c>
      <c r="E1017" s="78">
        <f t="shared" si="179"/>
        <v>10.96</v>
      </c>
      <c r="F1017" s="78">
        <f t="shared" si="180"/>
        <v>0</v>
      </c>
      <c r="G1017" s="279">
        <f t="shared" si="175"/>
        <v>151.66817674413196</v>
      </c>
      <c r="H1017" s="190">
        <f t="shared" si="182"/>
        <v>0.72956989247311821</v>
      </c>
      <c r="I1017" s="279">
        <f t="shared" si="176"/>
        <v>16622.832171156864</v>
      </c>
      <c r="J1017" s="256"/>
      <c r="K1017" s="256" t="s">
        <v>1334</v>
      </c>
      <c r="L1017" s="256"/>
      <c r="M1017" s="68"/>
      <c r="N1017" s="18">
        <v>41494</v>
      </c>
      <c r="O1017" s="256">
        <v>353</v>
      </c>
      <c r="P1017" s="256" t="s">
        <v>46</v>
      </c>
      <c r="Q1017" s="256"/>
      <c r="R1017" s="256">
        <v>6</v>
      </c>
      <c r="S1017" s="256">
        <v>800</v>
      </c>
      <c r="T1017" s="256">
        <v>84</v>
      </c>
      <c r="U1017" s="256">
        <v>400</v>
      </c>
      <c r="V1017" s="256">
        <v>8</v>
      </c>
      <c r="W1017" s="256">
        <v>26.5</v>
      </c>
      <c r="X1017" s="256">
        <v>2.5</v>
      </c>
      <c r="Y1017" s="256">
        <v>40</v>
      </c>
      <c r="Z1017" s="256"/>
      <c r="AA1017" s="207"/>
      <c r="AB1017" s="86"/>
      <c r="AC1017" s="256"/>
      <c r="AD1017" s="256"/>
      <c r="AE1017" s="81" t="s">
        <v>47</v>
      </c>
      <c r="AF1017" s="256">
        <v>4.4000000000000004</v>
      </c>
      <c r="AG1017" s="335"/>
      <c r="AH1017" s="213">
        <v>344.70040169120898</v>
      </c>
      <c r="AI1017" s="78"/>
      <c r="AJ1017" s="78">
        <v>10.96</v>
      </c>
      <c r="AK1017" s="78"/>
      <c r="AL1017" s="78">
        <f>(116.2+19.5)/186</f>
        <v>0.72956989247311821</v>
      </c>
      <c r="AM1017" s="256"/>
      <c r="AN1017" s="24">
        <f t="shared" si="177"/>
        <v>151.66817674413196</v>
      </c>
      <c r="AO1017" s="160">
        <f t="shared" si="183"/>
        <v>16622.832171156864</v>
      </c>
      <c r="AP1017" s="209">
        <f t="shared" si="181"/>
        <v>3.1428571428571428</v>
      </c>
      <c r="AQ1017" s="68"/>
      <c r="AR1017" s="15"/>
      <c r="AS1017" s="256"/>
      <c r="AT1017" s="256"/>
    </row>
    <row r="1018" spans="1:46" ht="12">
      <c r="A1018" s="137" t="s">
        <v>1341</v>
      </c>
      <c r="B1018" s="83" t="str">
        <f t="shared" si="172"/>
        <v>SiO2</v>
      </c>
      <c r="C1018" s="329">
        <f t="shared" si="173"/>
        <v>0</v>
      </c>
      <c r="D1018" s="168">
        <f t="shared" si="174"/>
        <v>0</v>
      </c>
      <c r="E1018" s="139">
        <f t="shared" si="179"/>
        <v>0</v>
      </c>
      <c r="F1018" s="139">
        <f t="shared" si="180"/>
        <v>0</v>
      </c>
      <c r="G1018" s="168">
        <f t="shared" si="175"/>
        <v>0</v>
      </c>
      <c r="H1018" s="150">
        <f t="shared" si="182"/>
        <v>0</v>
      </c>
      <c r="I1018" s="168">
        <f t="shared" si="176"/>
        <v>0</v>
      </c>
      <c r="J1018" s="83"/>
      <c r="K1018" s="83" t="s">
        <v>1342</v>
      </c>
      <c r="L1018" s="83"/>
      <c r="M1018" s="385"/>
      <c r="N1018" s="362">
        <v>41495</v>
      </c>
      <c r="O1018" s="83">
        <v>354</v>
      </c>
      <c r="P1018" s="83" t="s">
        <v>1182</v>
      </c>
      <c r="Q1018" s="83">
        <v>254</v>
      </c>
      <c r="R1018" s="83">
        <v>3</v>
      </c>
      <c r="S1018" s="83">
        <v>800</v>
      </c>
      <c r="T1018" s="83">
        <v>600</v>
      </c>
      <c r="U1018" s="83">
        <v>400</v>
      </c>
      <c r="V1018" s="83">
        <v>8</v>
      </c>
      <c r="W1018" s="83">
        <v>26.5</v>
      </c>
      <c r="X1018" s="83">
        <v>2.5</v>
      </c>
      <c r="Y1018" s="83">
        <v>40</v>
      </c>
      <c r="Z1018" s="83"/>
      <c r="AA1018" s="119"/>
      <c r="AB1018" s="84"/>
      <c r="AC1018" s="83"/>
      <c r="AD1018" s="83"/>
      <c r="AE1018" s="83"/>
      <c r="AF1018" s="83"/>
      <c r="AG1018" s="220"/>
      <c r="AH1018" s="344"/>
      <c r="AI1018" s="139"/>
      <c r="AJ1018" s="139"/>
      <c r="AK1018" s="139"/>
      <c r="AL1018" s="139"/>
      <c r="AM1018" s="83"/>
      <c r="AN1018" s="24">
        <f t="shared" si="177"/>
        <v>0</v>
      </c>
      <c r="AO1018" s="252">
        <f t="shared" si="183"/>
        <v>0</v>
      </c>
      <c r="AP1018" s="65">
        <f t="shared" si="181"/>
        <v>0</v>
      </c>
      <c r="AQ1018" s="385"/>
      <c r="AR1018" s="162"/>
      <c r="AS1018" s="83"/>
      <c r="AT1018" s="83"/>
    </row>
    <row r="1019" spans="1:46" ht="12">
      <c r="A1019" s="137" t="s">
        <v>1343</v>
      </c>
      <c r="B1019" s="83" t="str">
        <f t="shared" si="172"/>
        <v>SiO2</v>
      </c>
      <c r="C1019" s="329">
        <f t="shared" si="173"/>
        <v>0</v>
      </c>
      <c r="D1019" s="168">
        <f t="shared" si="174"/>
        <v>0</v>
      </c>
      <c r="E1019" s="139">
        <f t="shared" si="179"/>
        <v>0</v>
      </c>
      <c r="F1019" s="139">
        <f t="shared" si="180"/>
        <v>0</v>
      </c>
      <c r="G1019" s="168">
        <f t="shared" si="175"/>
        <v>0</v>
      </c>
      <c r="H1019" s="150">
        <f t="shared" si="182"/>
        <v>0</v>
      </c>
      <c r="I1019" s="168">
        <f t="shared" si="176"/>
        <v>0</v>
      </c>
      <c r="J1019" s="83"/>
      <c r="K1019" s="83" t="s">
        <v>1342</v>
      </c>
      <c r="L1019" s="83"/>
      <c r="M1019" s="385"/>
      <c r="N1019" s="362">
        <v>41495</v>
      </c>
      <c r="O1019" s="83">
        <v>354</v>
      </c>
      <c r="P1019" s="83" t="s">
        <v>1182</v>
      </c>
      <c r="Q1019" s="83">
        <v>254</v>
      </c>
      <c r="R1019" s="83">
        <v>6</v>
      </c>
      <c r="S1019" s="83">
        <v>800</v>
      </c>
      <c r="T1019" s="83">
        <v>600</v>
      </c>
      <c r="U1019" s="83">
        <v>400</v>
      </c>
      <c r="V1019" s="83">
        <v>8</v>
      </c>
      <c r="W1019" s="83">
        <v>26.5</v>
      </c>
      <c r="X1019" s="83">
        <v>2.5</v>
      </c>
      <c r="Y1019" s="83">
        <v>40</v>
      </c>
      <c r="Z1019" s="83"/>
      <c r="AA1019" s="119"/>
      <c r="AB1019" s="84"/>
      <c r="AC1019" s="83"/>
      <c r="AD1019" s="83"/>
      <c r="AE1019" s="83"/>
      <c r="AF1019" s="83"/>
      <c r="AG1019" s="220"/>
      <c r="AH1019" s="344"/>
      <c r="AI1019" s="139"/>
      <c r="AJ1019" s="139"/>
      <c r="AK1019" s="139"/>
      <c r="AL1019" s="139"/>
      <c r="AM1019" s="83"/>
      <c r="AN1019" s="24">
        <f t="shared" si="177"/>
        <v>0</v>
      </c>
      <c r="AO1019" s="252">
        <f t="shared" si="183"/>
        <v>0</v>
      </c>
      <c r="AP1019" s="65">
        <f t="shared" si="181"/>
        <v>0</v>
      </c>
      <c r="AQ1019" s="385"/>
      <c r="AR1019" s="162"/>
      <c r="AS1019" s="83"/>
      <c r="AT1019" s="83"/>
    </row>
    <row r="1020" spans="1:46" ht="12">
      <c r="A1020" s="137" t="s">
        <v>1344</v>
      </c>
      <c r="B1020" s="83" t="str">
        <f t="shared" si="172"/>
        <v>SiO2</v>
      </c>
      <c r="C1020" s="329">
        <f t="shared" si="173"/>
        <v>0</v>
      </c>
      <c r="D1020" s="168">
        <f t="shared" si="174"/>
        <v>444.61356160170499</v>
      </c>
      <c r="E1020" s="139">
        <f t="shared" si="179"/>
        <v>11.18</v>
      </c>
      <c r="F1020" s="139">
        <f t="shared" si="180"/>
        <v>1.64</v>
      </c>
      <c r="G1020" s="168">
        <f t="shared" si="175"/>
        <v>0</v>
      </c>
      <c r="H1020" s="150">
        <f t="shared" si="182"/>
        <v>0.83025210084033618</v>
      </c>
      <c r="I1020" s="168">
        <f t="shared" si="176"/>
        <v>0</v>
      </c>
      <c r="J1020" s="83"/>
      <c r="K1020" s="83" t="s">
        <v>1334</v>
      </c>
      <c r="L1020" s="83"/>
      <c r="M1020" s="385"/>
      <c r="N1020" s="362">
        <v>41498</v>
      </c>
      <c r="O1020" s="83">
        <v>355</v>
      </c>
      <c r="P1020" s="83" t="s">
        <v>1182</v>
      </c>
      <c r="Q1020" s="83">
        <v>228.9</v>
      </c>
      <c r="R1020" s="83">
        <v>1</v>
      </c>
      <c r="S1020" s="83">
        <v>800</v>
      </c>
      <c r="T1020" s="83">
        <v>84</v>
      </c>
      <c r="U1020" s="83">
        <v>400</v>
      </c>
      <c r="V1020" s="83">
        <v>8</v>
      </c>
      <c r="W1020" s="83">
        <v>26.5</v>
      </c>
      <c r="X1020" s="83">
        <v>2.5</v>
      </c>
      <c r="Y1020" s="83">
        <v>40</v>
      </c>
      <c r="Z1020" s="119">
        <v>91</v>
      </c>
      <c r="AA1020" s="382">
        <v>175</v>
      </c>
      <c r="AB1020" s="84"/>
      <c r="AC1020" s="83"/>
      <c r="AD1020" s="83"/>
      <c r="AE1020" s="83"/>
      <c r="AF1020" s="83"/>
      <c r="AG1020" s="220"/>
      <c r="AH1020" s="344">
        <v>444.61356160170499</v>
      </c>
      <c r="AI1020" s="139"/>
      <c r="AJ1020" s="139">
        <v>11.18</v>
      </c>
      <c r="AK1020" s="139">
        <v>1.64</v>
      </c>
      <c r="AL1020" s="139">
        <f>(179.3+18.3)/238</f>
        <v>0.83025210084033618</v>
      </c>
      <c r="AM1020" s="83"/>
      <c r="AN1020" s="24">
        <f t="shared" si="177"/>
        <v>0</v>
      </c>
      <c r="AO1020" s="252">
        <f t="shared" si="183"/>
        <v>0</v>
      </c>
      <c r="AP1020" s="65">
        <f t="shared" si="181"/>
        <v>0</v>
      </c>
      <c r="AQ1020" s="385"/>
      <c r="AR1020" s="162"/>
      <c r="AS1020" s="83"/>
      <c r="AT1020" s="83"/>
    </row>
    <row r="1021" spans="1:46" ht="12">
      <c r="A1021" s="137" t="s">
        <v>1345</v>
      </c>
      <c r="B1021" s="83" t="str">
        <f t="shared" si="172"/>
        <v>SiO2</v>
      </c>
      <c r="C1021" s="329">
        <f t="shared" si="173"/>
        <v>0</v>
      </c>
      <c r="D1021" s="168">
        <f t="shared" si="174"/>
        <v>464.59619358380399</v>
      </c>
      <c r="E1021" s="139">
        <f t="shared" si="179"/>
        <v>10.94</v>
      </c>
      <c r="F1021" s="139">
        <f t="shared" si="180"/>
        <v>1.7</v>
      </c>
      <c r="G1021" s="168">
        <f t="shared" si="175"/>
        <v>0</v>
      </c>
      <c r="H1021" s="150">
        <f t="shared" si="182"/>
        <v>0.81764705882352939</v>
      </c>
      <c r="I1021" s="168">
        <f t="shared" si="176"/>
        <v>0</v>
      </c>
      <c r="J1021" s="83"/>
      <c r="K1021" s="83" t="s">
        <v>1334</v>
      </c>
      <c r="L1021" s="83"/>
      <c r="M1021" s="385"/>
      <c r="N1021" s="362">
        <v>41498</v>
      </c>
      <c r="O1021" s="83">
        <v>355</v>
      </c>
      <c r="P1021" s="83" t="s">
        <v>1182</v>
      </c>
      <c r="Q1021" s="83">
        <v>228.9</v>
      </c>
      <c r="R1021" s="83">
        <v>2</v>
      </c>
      <c r="S1021" s="83">
        <v>800</v>
      </c>
      <c r="T1021" s="83">
        <v>84</v>
      </c>
      <c r="U1021" s="83">
        <v>400</v>
      </c>
      <c r="V1021" s="83">
        <v>8</v>
      </c>
      <c r="W1021" s="83">
        <v>26.5</v>
      </c>
      <c r="X1021" s="83">
        <v>2.5</v>
      </c>
      <c r="Y1021" s="83">
        <v>40</v>
      </c>
      <c r="Z1021" s="119">
        <v>91</v>
      </c>
      <c r="AA1021" s="382">
        <v>175</v>
      </c>
      <c r="AB1021" s="84"/>
      <c r="AC1021" s="83"/>
      <c r="AD1021" s="83"/>
      <c r="AE1021" s="83"/>
      <c r="AF1021" s="83"/>
      <c r="AG1021" s="220"/>
      <c r="AH1021" s="344">
        <v>464.59619358380399</v>
      </c>
      <c r="AI1021" s="139"/>
      <c r="AJ1021" s="139">
        <v>10.94</v>
      </c>
      <c r="AK1021" s="139">
        <v>1.7</v>
      </c>
      <c r="AL1021" s="139">
        <f>(191+17.5)/255</f>
        <v>0.81764705882352939</v>
      </c>
      <c r="AM1021" s="83"/>
      <c r="AN1021" s="24">
        <f t="shared" si="177"/>
        <v>0</v>
      </c>
      <c r="AO1021" s="252">
        <f t="shared" si="183"/>
        <v>0</v>
      </c>
      <c r="AP1021" s="65">
        <f t="shared" si="181"/>
        <v>0</v>
      </c>
      <c r="AQ1021" s="385"/>
      <c r="AR1021" s="162"/>
      <c r="AS1021" s="83"/>
      <c r="AT1021" s="83"/>
    </row>
    <row r="1022" spans="1:46" ht="12">
      <c r="A1022" s="137" t="s">
        <v>1346</v>
      </c>
      <c r="B1022" s="83" t="str">
        <f t="shared" si="172"/>
        <v>SiO2</v>
      </c>
      <c r="C1022" s="329">
        <f t="shared" si="173"/>
        <v>0</v>
      </c>
      <c r="D1022" s="168">
        <f t="shared" si="174"/>
        <v>404.469881280523</v>
      </c>
      <c r="E1022" s="139">
        <f t="shared" si="179"/>
        <v>11.67</v>
      </c>
      <c r="F1022" s="139">
        <f t="shared" si="180"/>
        <v>1.5</v>
      </c>
      <c r="G1022" s="168">
        <f t="shared" si="175"/>
        <v>0</v>
      </c>
      <c r="H1022" s="150">
        <f t="shared" si="182"/>
        <v>0.85582524271844651</v>
      </c>
      <c r="I1022" s="168">
        <f t="shared" si="176"/>
        <v>0</v>
      </c>
      <c r="J1022" s="83"/>
      <c r="K1022" s="83" t="s">
        <v>1334</v>
      </c>
      <c r="L1022" s="83"/>
      <c r="M1022" s="385"/>
      <c r="N1022" s="362">
        <v>41498</v>
      </c>
      <c r="O1022" s="83">
        <v>355</v>
      </c>
      <c r="P1022" s="83" t="s">
        <v>1182</v>
      </c>
      <c r="Q1022" s="83">
        <v>228.9</v>
      </c>
      <c r="R1022" s="83">
        <v>3</v>
      </c>
      <c r="S1022" s="83">
        <v>800</v>
      </c>
      <c r="T1022" s="83">
        <v>84</v>
      </c>
      <c r="U1022" s="83">
        <v>400</v>
      </c>
      <c r="V1022" s="83">
        <v>8</v>
      </c>
      <c r="W1022" s="83">
        <v>26.5</v>
      </c>
      <c r="X1022" s="83">
        <v>2.5</v>
      </c>
      <c r="Y1022" s="83">
        <v>40</v>
      </c>
      <c r="Z1022" s="119">
        <v>91</v>
      </c>
      <c r="AA1022" s="382">
        <v>175</v>
      </c>
      <c r="AB1022" s="84"/>
      <c r="AC1022" s="83"/>
      <c r="AD1022" s="83"/>
      <c r="AE1022" s="83"/>
      <c r="AF1022" s="83"/>
      <c r="AG1022" s="220"/>
      <c r="AH1022" s="344">
        <v>404.469881280523</v>
      </c>
      <c r="AI1022" s="139"/>
      <c r="AJ1022" s="139">
        <v>11.67</v>
      </c>
      <c r="AK1022" s="139">
        <v>1.5</v>
      </c>
      <c r="AL1022" s="139">
        <f>(158.7+17.6)/206</f>
        <v>0.85582524271844651</v>
      </c>
      <c r="AM1022" s="83"/>
      <c r="AN1022" s="24">
        <f t="shared" si="177"/>
        <v>0</v>
      </c>
      <c r="AO1022" s="252">
        <f t="shared" si="183"/>
        <v>0</v>
      </c>
      <c r="AP1022" s="65">
        <f t="shared" ref="AP1022:AP1053" si="184">(AF1022/T1022)*60</f>
        <v>0</v>
      </c>
      <c r="AQ1022" s="385"/>
      <c r="AR1022" s="162"/>
      <c r="AS1022" s="83"/>
      <c r="AT1022" s="83"/>
    </row>
    <row r="1023" spans="1:46" ht="12">
      <c r="A1023" s="137" t="s">
        <v>1347</v>
      </c>
      <c r="B1023" s="83" t="str">
        <f t="shared" si="172"/>
        <v>SiO2</v>
      </c>
      <c r="C1023" s="329">
        <f t="shared" si="173"/>
        <v>0</v>
      </c>
      <c r="D1023" s="168">
        <f t="shared" si="174"/>
        <v>463.882528155871</v>
      </c>
      <c r="E1023" s="139">
        <f t="shared" si="179"/>
        <v>10.9</v>
      </c>
      <c r="F1023" s="139">
        <f t="shared" si="180"/>
        <v>1.67</v>
      </c>
      <c r="G1023" s="168">
        <f t="shared" si="175"/>
        <v>0</v>
      </c>
      <c r="H1023" s="150">
        <f t="shared" si="182"/>
        <v>0.81887550200803216</v>
      </c>
      <c r="I1023" s="168">
        <f t="shared" si="176"/>
        <v>0</v>
      </c>
      <c r="J1023" s="83"/>
      <c r="K1023" s="83" t="s">
        <v>1334</v>
      </c>
      <c r="L1023" s="83"/>
      <c r="M1023" s="385"/>
      <c r="N1023" s="362">
        <v>41498</v>
      </c>
      <c r="O1023" s="83">
        <v>355</v>
      </c>
      <c r="P1023" s="83" t="s">
        <v>1182</v>
      </c>
      <c r="Q1023" s="83">
        <v>228.9</v>
      </c>
      <c r="R1023" s="83">
        <v>4</v>
      </c>
      <c r="S1023" s="83">
        <v>800</v>
      </c>
      <c r="T1023" s="83">
        <v>84</v>
      </c>
      <c r="U1023" s="83">
        <v>400</v>
      </c>
      <c r="V1023" s="83">
        <v>8</v>
      </c>
      <c r="W1023" s="83">
        <v>26.5</v>
      </c>
      <c r="X1023" s="83">
        <v>2.5</v>
      </c>
      <c r="Y1023" s="83">
        <v>40</v>
      </c>
      <c r="Z1023" s="119">
        <v>91</v>
      </c>
      <c r="AA1023" s="382">
        <v>175</v>
      </c>
      <c r="AB1023" s="84"/>
      <c r="AC1023" s="83"/>
      <c r="AD1023" s="83"/>
      <c r="AE1023" s="83"/>
      <c r="AF1023" s="83"/>
      <c r="AG1023" s="220"/>
      <c r="AH1023" s="344">
        <v>463.882528155871</v>
      </c>
      <c r="AI1023" s="139"/>
      <c r="AJ1023" s="139">
        <v>10.9</v>
      </c>
      <c r="AK1023" s="139">
        <v>1.67</v>
      </c>
      <c r="AL1023" s="139">
        <f>(184.4+19.5)/249</f>
        <v>0.81887550200803216</v>
      </c>
      <c r="AM1023" s="83"/>
      <c r="AN1023" s="24">
        <f t="shared" si="177"/>
        <v>0</v>
      </c>
      <c r="AO1023" s="252">
        <f t="shared" si="183"/>
        <v>0</v>
      </c>
      <c r="AP1023" s="65">
        <f t="shared" si="184"/>
        <v>0</v>
      </c>
      <c r="AQ1023" s="385"/>
      <c r="AR1023" s="162"/>
      <c r="AS1023" s="83"/>
      <c r="AT1023" s="83"/>
    </row>
    <row r="1024" spans="1:46" ht="12">
      <c r="A1024" s="137" t="s">
        <v>1348</v>
      </c>
      <c r="B1024" s="83" t="str">
        <f t="shared" si="172"/>
        <v>SiO2</v>
      </c>
      <c r="C1024" s="329">
        <f t="shared" si="173"/>
        <v>0</v>
      </c>
      <c r="D1024" s="168">
        <f t="shared" si="174"/>
        <v>460.13578465922802</v>
      </c>
      <c r="E1024" s="139">
        <f t="shared" si="179"/>
        <v>10.95</v>
      </c>
      <c r="F1024" s="139">
        <f t="shared" si="180"/>
        <v>1.66</v>
      </c>
      <c r="G1024" s="168">
        <f t="shared" si="175"/>
        <v>0</v>
      </c>
      <c r="H1024" s="150">
        <f t="shared" si="182"/>
        <v>0.81746031746031744</v>
      </c>
      <c r="I1024" s="168">
        <f t="shared" si="176"/>
        <v>0</v>
      </c>
      <c r="J1024" s="83"/>
      <c r="K1024" s="83" t="s">
        <v>1334</v>
      </c>
      <c r="L1024" s="83"/>
      <c r="M1024" s="385"/>
      <c r="N1024" s="362">
        <v>41498</v>
      </c>
      <c r="O1024" s="83">
        <v>355</v>
      </c>
      <c r="P1024" s="83" t="s">
        <v>1182</v>
      </c>
      <c r="Q1024" s="83">
        <v>228.9</v>
      </c>
      <c r="R1024" s="83">
        <v>5</v>
      </c>
      <c r="S1024" s="83">
        <v>800</v>
      </c>
      <c r="T1024" s="83">
        <v>84</v>
      </c>
      <c r="U1024" s="83">
        <v>400</v>
      </c>
      <c r="V1024" s="83">
        <v>8</v>
      </c>
      <c r="W1024" s="83">
        <v>26.5</v>
      </c>
      <c r="X1024" s="83">
        <v>2.5</v>
      </c>
      <c r="Y1024" s="83">
        <v>40</v>
      </c>
      <c r="Z1024" s="119">
        <v>91</v>
      </c>
      <c r="AA1024" s="382">
        <v>175</v>
      </c>
      <c r="AB1024" s="84"/>
      <c r="AC1024" s="83"/>
      <c r="AD1024" s="83"/>
      <c r="AE1024" s="83"/>
      <c r="AF1024" s="83"/>
      <c r="AG1024" s="220"/>
      <c r="AH1024" s="344">
        <v>460.13578465922802</v>
      </c>
      <c r="AI1024" s="139"/>
      <c r="AJ1024" s="139">
        <v>10.95</v>
      </c>
      <c r="AK1024" s="139">
        <v>1.66</v>
      </c>
      <c r="AL1024" s="139">
        <f>(188.5+17.5)/252</f>
        <v>0.81746031746031744</v>
      </c>
      <c r="AM1024" s="83"/>
      <c r="AN1024" s="24">
        <f t="shared" si="177"/>
        <v>0</v>
      </c>
      <c r="AO1024" s="252">
        <f t="shared" si="183"/>
        <v>0</v>
      </c>
      <c r="AP1024" s="65">
        <f t="shared" si="184"/>
        <v>0</v>
      </c>
      <c r="AQ1024" s="385"/>
      <c r="AR1024" s="162"/>
      <c r="AS1024" s="83"/>
      <c r="AT1024" s="83"/>
    </row>
    <row r="1025" spans="1:46" ht="12">
      <c r="A1025" s="111" t="s">
        <v>1349</v>
      </c>
      <c r="B1025" s="256" t="str">
        <f t="shared" si="172"/>
        <v>MgO</v>
      </c>
      <c r="C1025" s="32">
        <f t="shared" si="173"/>
        <v>4.3</v>
      </c>
      <c r="D1025" s="279">
        <f t="shared" si="174"/>
        <v>291.35391095328401</v>
      </c>
      <c r="E1025" s="78">
        <f t="shared" si="179"/>
        <v>12.27</v>
      </c>
      <c r="F1025" s="78">
        <f t="shared" si="180"/>
        <v>1.2470000000000001</v>
      </c>
      <c r="G1025" s="279">
        <f t="shared" si="175"/>
        <v>125.28218170991212</v>
      </c>
      <c r="H1025" s="190">
        <f t="shared" si="182"/>
        <v>0.82681159420289863</v>
      </c>
      <c r="I1025" s="279">
        <f t="shared" si="176"/>
        <v>15372.123695806218</v>
      </c>
      <c r="J1025" s="256"/>
      <c r="K1025" s="256" t="s">
        <v>1334</v>
      </c>
      <c r="L1025" s="256"/>
      <c r="M1025" s="68"/>
      <c r="N1025" s="18">
        <v>41498</v>
      </c>
      <c r="O1025" s="256">
        <v>355</v>
      </c>
      <c r="P1025" s="256" t="s">
        <v>46</v>
      </c>
      <c r="Q1025" s="256"/>
      <c r="R1025" s="256">
        <v>6</v>
      </c>
      <c r="S1025" s="256">
        <v>800</v>
      </c>
      <c r="T1025" s="256">
        <v>84</v>
      </c>
      <c r="U1025" s="256">
        <v>400</v>
      </c>
      <c r="V1025" s="256">
        <v>8</v>
      </c>
      <c r="W1025" s="256">
        <v>26.5</v>
      </c>
      <c r="X1025" s="256">
        <v>2.5</v>
      </c>
      <c r="Y1025" s="256">
        <v>40</v>
      </c>
      <c r="Z1025" s="119">
        <v>91</v>
      </c>
      <c r="AA1025" s="382">
        <v>175</v>
      </c>
      <c r="AB1025" s="86">
        <v>0.20319999999999999</v>
      </c>
      <c r="AC1025" s="256">
        <v>0.57730000000000004</v>
      </c>
      <c r="AD1025" s="256">
        <v>0.2195</v>
      </c>
      <c r="AE1025" s="256" t="s">
        <v>47</v>
      </c>
      <c r="AF1025" s="256">
        <v>4.3</v>
      </c>
      <c r="AG1025" s="335"/>
      <c r="AH1025" s="213">
        <v>291.35391095328401</v>
      </c>
      <c r="AI1025" s="78"/>
      <c r="AJ1025" s="78">
        <v>12.27</v>
      </c>
      <c r="AK1025" s="78">
        <v>1.2470000000000001</v>
      </c>
      <c r="AL1025" s="78">
        <f>(94.9+19.2)/138</f>
        <v>0.82681159420289863</v>
      </c>
      <c r="AM1025" s="256"/>
      <c r="AN1025" s="24">
        <f t="shared" si="177"/>
        <v>125.28218170991212</v>
      </c>
      <c r="AO1025" s="160">
        <f t="shared" si="183"/>
        <v>15372.123695806218</v>
      </c>
      <c r="AP1025" s="209">
        <f t="shared" si="184"/>
        <v>3.0714285714285712</v>
      </c>
      <c r="AQ1025" s="68"/>
      <c r="AR1025" s="15"/>
      <c r="AS1025" s="256"/>
      <c r="AT1025" s="256"/>
    </row>
    <row r="1026" spans="1:46" ht="12">
      <c r="A1026" s="137" t="s">
        <v>1350</v>
      </c>
      <c r="B1026" s="138" t="str">
        <f t="shared" si="172"/>
        <v>SiO2</v>
      </c>
      <c r="C1026" s="329">
        <f t="shared" si="173"/>
        <v>0</v>
      </c>
      <c r="D1026" s="168">
        <f t="shared" si="174"/>
        <v>0</v>
      </c>
      <c r="E1026" s="139">
        <f t="shared" si="179"/>
        <v>0</v>
      </c>
      <c r="F1026" s="139">
        <f t="shared" si="180"/>
        <v>0</v>
      </c>
      <c r="G1026" s="168">
        <f t="shared" si="175"/>
        <v>0</v>
      </c>
      <c r="H1026" s="150">
        <f t="shared" si="182"/>
        <v>0</v>
      </c>
      <c r="I1026" s="168">
        <f t="shared" si="176"/>
        <v>0</v>
      </c>
      <c r="J1026" s="138"/>
      <c r="K1026" s="138" t="s">
        <v>1342</v>
      </c>
      <c r="L1026" s="138"/>
      <c r="M1026" s="316"/>
      <c r="N1026" s="135">
        <v>41498</v>
      </c>
      <c r="O1026" s="138">
        <v>356</v>
      </c>
      <c r="P1026" s="138" t="s">
        <v>1182</v>
      </c>
      <c r="Q1026" s="138">
        <v>254</v>
      </c>
      <c r="R1026" s="138">
        <v>3</v>
      </c>
      <c r="S1026" s="83">
        <v>800</v>
      </c>
      <c r="T1026" s="83">
        <v>900</v>
      </c>
      <c r="U1026" s="83">
        <v>400</v>
      </c>
      <c r="V1026" s="83">
        <v>8</v>
      </c>
      <c r="W1026" s="83">
        <v>26.5</v>
      </c>
      <c r="X1026" s="83">
        <v>2.5</v>
      </c>
      <c r="Y1026" s="83">
        <v>40</v>
      </c>
      <c r="Z1026" s="240"/>
      <c r="AA1026" s="75"/>
      <c r="AB1026" s="300"/>
      <c r="AC1026" s="138"/>
      <c r="AD1026" s="138"/>
      <c r="AE1026" s="138"/>
      <c r="AF1026" s="138"/>
      <c r="AG1026" s="63"/>
      <c r="AH1026" s="70"/>
      <c r="AI1026" s="121"/>
      <c r="AJ1026" s="121"/>
      <c r="AK1026" s="121"/>
      <c r="AL1026" s="121"/>
      <c r="AM1026" s="138"/>
      <c r="AN1026" s="24">
        <f t="shared" si="177"/>
        <v>0</v>
      </c>
      <c r="AO1026" s="353">
        <f t="shared" si="183"/>
        <v>0</v>
      </c>
      <c r="AP1026" s="36">
        <f t="shared" si="184"/>
        <v>0</v>
      </c>
      <c r="AQ1026" s="316"/>
      <c r="AR1026" s="258"/>
      <c r="AS1026" s="138"/>
      <c r="AT1026" s="138"/>
    </row>
    <row r="1027" spans="1:46" ht="12">
      <c r="A1027" s="137" t="s">
        <v>1351</v>
      </c>
      <c r="B1027" s="138" t="str">
        <f t="shared" ref="B1027:B1090" si="185">P1027</f>
        <v>SiO2</v>
      </c>
      <c r="C1027" s="329">
        <f t="shared" ref="C1027:C1090" si="186">AF1027</f>
        <v>0</v>
      </c>
      <c r="D1027" s="168">
        <f t="shared" ref="D1027:D1090" si="187">AH1027</f>
        <v>0</v>
      </c>
      <c r="E1027" s="139">
        <f t="shared" si="179"/>
        <v>0</v>
      </c>
      <c r="F1027" s="139">
        <f t="shared" si="180"/>
        <v>0</v>
      </c>
      <c r="G1027" s="168">
        <f t="shared" ref="G1027:G1090" si="188">AN1027</f>
        <v>0</v>
      </c>
      <c r="H1027" s="150">
        <f t="shared" si="182"/>
        <v>0</v>
      </c>
      <c r="I1027" s="168">
        <f t="shared" ref="I1027:I1090" si="189">AO1027</f>
        <v>0</v>
      </c>
      <c r="J1027" s="138"/>
      <c r="K1027" s="138" t="s">
        <v>1342</v>
      </c>
      <c r="L1027" s="138"/>
      <c r="M1027" s="316"/>
      <c r="N1027" s="135">
        <v>41498</v>
      </c>
      <c r="O1027" s="138">
        <v>356</v>
      </c>
      <c r="P1027" s="138" t="s">
        <v>1182</v>
      </c>
      <c r="Q1027" s="138">
        <v>254</v>
      </c>
      <c r="R1027" s="138">
        <v>6</v>
      </c>
      <c r="S1027" s="83">
        <v>800</v>
      </c>
      <c r="T1027" s="83">
        <v>900</v>
      </c>
      <c r="U1027" s="83">
        <v>400</v>
      </c>
      <c r="V1027" s="83">
        <v>8</v>
      </c>
      <c r="W1027" s="83">
        <v>26.5</v>
      </c>
      <c r="X1027" s="83">
        <v>2.5</v>
      </c>
      <c r="Y1027" s="83">
        <v>40</v>
      </c>
      <c r="Z1027" s="240"/>
      <c r="AA1027" s="75"/>
      <c r="AB1027" s="300"/>
      <c r="AC1027" s="138"/>
      <c r="AD1027" s="138"/>
      <c r="AE1027" s="138"/>
      <c r="AF1027" s="138"/>
      <c r="AG1027" s="63"/>
      <c r="AH1027" s="70"/>
      <c r="AI1027" s="121"/>
      <c r="AJ1027" s="121"/>
      <c r="AK1027" s="121"/>
      <c r="AL1027" s="121"/>
      <c r="AM1027" s="138"/>
      <c r="AN1027" s="24">
        <f t="shared" ref="AN1027:AN1090" si="190">((AH1027*AF1027)/10)</f>
        <v>0</v>
      </c>
      <c r="AO1027" s="353">
        <f t="shared" si="183"/>
        <v>0</v>
      </c>
      <c r="AP1027" s="36">
        <f t="shared" si="184"/>
        <v>0</v>
      </c>
      <c r="AQ1027" s="316"/>
      <c r="AR1027" s="258"/>
      <c r="AS1027" s="138"/>
      <c r="AT1027" s="138"/>
    </row>
    <row r="1028" spans="1:46" ht="12">
      <c r="A1028" s="137" t="s">
        <v>1352</v>
      </c>
      <c r="B1028" s="138" t="str">
        <f t="shared" si="185"/>
        <v>SiO2</v>
      </c>
      <c r="C1028" s="329">
        <f t="shared" si="186"/>
        <v>0</v>
      </c>
      <c r="D1028" s="168">
        <f t="shared" si="187"/>
        <v>463.16886272793897</v>
      </c>
      <c r="E1028" s="139">
        <f t="shared" si="179"/>
        <v>10.94</v>
      </c>
      <c r="F1028" s="139">
        <f t="shared" si="180"/>
        <v>1.63</v>
      </c>
      <c r="G1028" s="168">
        <f t="shared" si="188"/>
        <v>0</v>
      </c>
      <c r="H1028" s="150">
        <f t="shared" si="182"/>
        <v>0.82329317269076308</v>
      </c>
      <c r="I1028" s="168">
        <f t="shared" si="189"/>
        <v>0</v>
      </c>
      <c r="J1028" s="138"/>
      <c r="K1028" s="83" t="s">
        <v>1334</v>
      </c>
      <c r="L1028" s="138"/>
      <c r="M1028" s="316"/>
      <c r="N1028" s="135">
        <v>41499</v>
      </c>
      <c r="O1028" s="138">
        <v>357</v>
      </c>
      <c r="P1028" s="83" t="s">
        <v>1182</v>
      </c>
      <c r="Q1028" s="83">
        <v>228.9</v>
      </c>
      <c r="R1028" s="83">
        <v>1</v>
      </c>
      <c r="S1028" s="83">
        <v>800</v>
      </c>
      <c r="T1028" s="83">
        <v>84</v>
      </c>
      <c r="U1028" s="83">
        <v>400</v>
      </c>
      <c r="V1028" s="83">
        <v>8</v>
      </c>
      <c r="W1028" s="83">
        <v>26.5</v>
      </c>
      <c r="X1028" s="83">
        <v>2.5</v>
      </c>
      <c r="Y1028" s="83">
        <v>40</v>
      </c>
      <c r="Z1028" s="240"/>
      <c r="AA1028" s="75"/>
      <c r="AB1028" s="300"/>
      <c r="AC1028" s="138"/>
      <c r="AD1028" s="138"/>
      <c r="AE1028" s="138"/>
      <c r="AF1028" s="138"/>
      <c r="AG1028" s="63"/>
      <c r="AH1028" s="70">
        <v>463.16886272793897</v>
      </c>
      <c r="AI1028" s="121"/>
      <c r="AJ1028" s="121">
        <v>10.94</v>
      </c>
      <c r="AK1028" s="121">
        <v>1.63</v>
      </c>
      <c r="AL1028" s="121">
        <f>(186.5+18.5)/249</f>
        <v>0.82329317269076308</v>
      </c>
      <c r="AM1028" s="138"/>
      <c r="AN1028" s="24">
        <f t="shared" si="190"/>
        <v>0</v>
      </c>
      <c r="AO1028" s="353">
        <f t="shared" si="183"/>
        <v>0</v>
      </c>
      <c r="AP1028" s="36">
        <f t="shared" si="184"/>
        <v>0</v>
      </c>
      <c r="AQ1028" s="316"/>
      <c r="AR1028" s="258"/>
      <c r="AS1028" s="138"/>
      <c r="AT1028" s="138"/>
    </row>
    <row r="1029" spans="1:46" ht="12">
      <c r="A1029" s="137" t="s">
        <v>1353</v>
      </c>
      <c r="B1029" s="138" t="str">
        <f t="shared" si="185"/>
        <v>SiO2</v>
      </c>
      <c r="C1029" s="329">
        <f t="shared" si="186"/>
        <v>0</v>
      </c>
      <c r="D1029" s="168">
        <f t="shared" si="187"/>
        <v>462.99044637095602</v>
      </c>
      <c r="E1029" s="139">
        <f t="shared" si="179"/>
        <v>10.7</v>
      </c>
      <c r="F1029" s="139">
        <f t="shared" si="180"/>
        <v>1.55</v>
      </c>
      <c r="G1029" s="168">
        <f t="shared" si="188"/>
        <v>0</v>
      </c>
      <c r="H1029" s="150">
        <f t="shared" si="182"/>
        <v>0.8235059760956176</v>
      </c>
      <c r="I1029" s="168">
        <f t="shared" si="189"/>
        <v>0</v>
      </c>
      <c r="J1029" s="138"/>
      <c r="K1029" s="83" t="s">
        <v>1334</v>
      </c>
      <c r="L1029" s="138"/>
      <c r="M1029" s="316"/>
      <c r="N1029" s="135">
        <v>41499</v>
      </c>
      <c r="O1029" s="138">
        <v>357</v>
      </c>
      <c r="P1029" s="83" t="s">
        <v>1182</v>
      </c>
      <c r="Q1029" s="83">
        <v>228.9</v>
      </c>
      <c r="R1029" s="83">
        <v>2</v>
      </c>
      <c r="S1029" s="83">
        <v>800</v>
      </c>
      <c r="T1029" s="83">
        <v>84</v>
      </c>
      <c r="U1029" s="83">
        <v>400</v>
      </c>
      <c r="V1029" s="83">
        <v>8</v>
      </c>
      <c r="W1029" s="83">
        <v>26.5</v>
      </c>
      <c r="X1029" s="83">
        <v>2.5</v>
      </c>
      <c r="Y1029" s="83">
        <v>40</v>
      </c>
      <c r="Z1029" s="240"/>
      <c r="AA1029" s="75"/>
      <c r="AB1029" s="300"/>
      <c r="AC1029" s="138"/>
      <c r="AD1029" s="138"/>
      <c r="AE1029" s="138"/>
      <c r="AF1029" s="138"/>
      <c r="AG1029" s="63"/>
      <c r="AH1029" s="70">
        <v>462.99044637095602</v>
      </c>
      <c r="AI1029" s="121"/>
      <c r="AJ1029" s="121">
        <v>10.7</v>
      </c>
      <c r="AK1029" s="121">
        <v>1.55</v>
      </c>
      <c r="AL1029" s="121">
        <f>(187.8+18.9)/251</f>
        <v>0.8235059760956176</v>
      </c>
      <c r="AM1029" s="138"/>
      <c r="AN1029" s="24">
        <f t="shared" si="190"/>
        <v>0</v>
      </c>
      <c r="AO1029" s="353">
        <f t="shared" si="183"/>
        <v>0</v>
      </c>
      <c r="AP1029" s="36">
        <f t="shared" si="184"/>
        <v>0</v>
      </c>
      <c r="AQ1029" s="316"/>
      <c r="AR1029" s="258"/>
      <c r="AS1029" s="138"/>
      <c r="AT1029" s="138"/>
    </row>
    <row r="1030" spans="1:46" ht="12">
      <c r="A1030" s="137" t="s">
        <v>1354</v>
      </c>
      <c r="B1030" s="138" t="str">
        <f t="shared" si="185"/>
        <v>SiO2</v>
      </c>
      <c r="C1030" s="329">
        <f t="shared" si="186"/>
        <v>0</v>
      </c>
      <c r="D1030" s="168">
        <f t="shared" si="187"/>
        <v>403.22096678164201</v>
      </c>
      <c r="E1030" s="139">
        <f t="shared" si="179"/>
        <v>11.74</v>
      </c>
      <c r="F1030" s="139">
        <f t="shared" si="180"/>
        <v>1.4</v>
      </c>
      <c r="G1030" s="168">
        <f t="shared" si="188"/>
        <v>0</v>
      </c>
      <c r="H1030" s="150">
        <f t="shared" si="182"/>
        <v>0.86225490196078425</v>
      </c>
      <c r="I1030" s="168">
        <f t="shared" si="189"/>
        <v>0</v>
      </c>
      <c r="J1030" s="138"/>
      <c r="K1030" s="83" t="s">
        <v>1334</v>
      </c>
      <c r="L1030" s="138"/>
      <c r="M1030" s="316"/>
      <c r="N1030" s="135">
        <v>41499</v>
      </c>
      <c r="O1030" s="138">
        <v>357</v>
      </c>
      <c r="P1030" s="83" t="s">
        <v>1182</v>
      </c>
      <c r="Q1030" s="83">
        <v>228.9</v>
      </c>
      <c r="R1030" s="83">
        <v>3</v>
      </c>
      <c r="S1030" s="83">
        <v>800</v>
      </c>
      <c r="T1030" s="83">
        <v>84</v>
      </c>
      <c r="U1030" s="83">
        <v>400</v>
      </c>
      <c r="V1030" s="83">
        <v>8</v>
      </c>
      <c r="W1030" s="83">
        <v>26.5</v>
      </c>
      <c r="X1030" s="83">
        <v>2.5</v>
      </c>
      <c r="Y1030" s="83">
        <v>40</v>
      </c>
      <c r="Z1030" s="240"/>
      <c r="AA1030" s="75"/>
      <c r="AB1030" s="300"/>
      <c r="AC1030" s="138"/>
      <c r="AD1030" s="138"/>
      <c r="AE1030" s="138"/>
      <c r="AF1030" s="138"/>
      <c r="AG1030" s="63"/>
      <c r="AH1030" s="70">
        <v>403.22096678164201</v>
      </c>
      <c r="AI1030" s="121"/>
      <c r="AJ1030" s="121">
        <v>11.74</v>
      </c>
      <c r="AK1030" s="121">
        <v>1.4</v>
      </c>
      <c r="AL1030" s="121">
        <f>(157.7+18.2)/204</f>
        <v>0.86225490196078425</v>
      </c>
      <c r="AM1030" s="138"/>
      <c r="AN1030" s="24">
        <f t="shared" si="190"/>
        <v>0</v>
      </c>
      <c r="AO1030" s="353">
        <f t="shared" si="183"/>
        <v>0</v>
      </c>
      <c r="AP1030" s="36">
        <f t="shared" si="184"/>
        <v>0</v>
      </c>
      <c r="AQ1030" s="316"/>
      <c r="AR1030" s="258"/>
      <c r="AS1030" s="138"/>
      <c r="AT1030" s="138"/>
    </row>
    <row r="1031" spans="1:46" ht="12">
      <c r="A1031" s="137" t="s">
        <v>1355</v>
      </c>
      <c r="B1031" s="138" t="str">
        <f t="shared" si="185"/>
        <v>SiO2</v>
      </c>
      <c r="C1031" s="329">
        <f t="shared" si="186"/>
        <v>0</v>
      </c>
      <c r="D1031" s="168">
        <f t="shared" si="187"/>
        <v>466.73718986760002</v>
      </c>
      <c r="E1031" s="139">
        <f t="shared" si="179"/>
        <v>10.8</v>
      </c>
      <c r="F1031" s="139">
        <f t="shared" si="180"/>
        <v>1.68</v>
      </c>
      <c r="G1031" s="168">
        <f t="shared" si="188"/>
        <v>0</v>
      </c>
      <c r="H1031" s="150">
        <f t="shared" si="182"/>
        <v>0.81927710843373491</v>
      </c>
      <c r="I1031" s="168">
        <f t="shared" si="189"/>
        <v>0</v>
      </c>
      <c r="J1031" s="138"/>
      <c r="K1031" s="83" t="s">
        <v>1334</v>
      </c>
      <c r="L1031" s="138"/>
      <c r="M1031" s="316"/>
      <c r="N1031" s="135">
        <v>41499</v>
      </c>
      <c r="O1031" s="138">
        <v>357</v>
      </c>
      <c r="P1031" s="83" t="s">
        <v>1182</v>
      </c>
      <c r="Q1031" s="83">
        <v>228.9</v>
      </c>
      <c r="R1031" s="83">
        <v>4</v>
      </c>
      <c r="S1031" s="83">
        <v>800</v>
      </c>
      <c r="T1031" s="83">
        <v>84</v>
      </c>
      <c r="U1031" s="83">
        <v>400</v>
      </c>
      <c r="V1031" s="83">
        <v>8</v>
      </c>
      <c r="W1031" s="83">
        <v>26.5</v>
      </c>
      <c r="X1031" s="83">
        <v>2.5</v>
      </c>
      <c r="Y1031" s="83">
        <v>40</v>
      </c>
      <c r="Z1031" s="240"/>
      <c r="AA1031" s="75"/>
      <c r="AB1031" s="300"/>
      <c r="AC1031" s="138"/>
      <c r="AD1031" s="138"/>
      <c r="AE1031" s="138"/>
      <c r="AF1031" s="138"/>
      <c r="AG1031" s="63"/>
      <c r="AH1031" s="70">
        <v>466.73718986760002</v>
      </c>
      <c r="AI1031" s="121"/>
      <c r="AJ1031" s="121">
        <v>10.8</v>
      </c>
      <c r="AK1031" s="121">
        <v>1.68</v>
      </c>
      <c r="AL1031" s="121">
        <f>(185.6+18.4)/249</f>
        <v>0.81927710843373491</v>
      </c>
      <c r="AM1031" s="138"/>
      <c r="AN1031" s="24">
        <f t="shared" si="190"/>
        <v>0</v>
      </c>
      <c r="AO1031" s="353">
        <f t="shared" si="183"/>
        <v>0</v>
      </c>
      <c r="AP1031" s="36">
        <f t="shared" si="184"/>
        <v>0</v>
      </c>
      <c r="AQ1031" s="316"/>
      <c r="AR1031" s="258"/>
      <c r="AS1031" s="138"/>
      <c r="AT1031" s="138"/>
    </row>
    <row r="1032" spans="1:46" ht="12">
      <c r="A1032" s="137" t="s">
        <v>1356</v>
      </c>
      <c r="B1032" s="138" t="str">
        <f t="shared" si="185"/>
        <v>SiO2</v>
      </c>
      <c r="C1032" s="329">
        <f t="shared" si="186"/>
        <v>0</v>
      </c>
      <c r="D1032" s="168">
        <f t="shared" si="187"/>
        <v>463.70411179888799</v>
      </c>
      <c r="E1032" s="139">
        <f t="shared" si="179"/>
        <v>10.86</v>
      </c>
      <c r="F1032" s="139">
        <f t="shared" si="180"/>
        <v>1.68</v>
      </c>
      <c r="G1032" s="168">
        <f t="shared" si="188"/>
        <v>0</v>
      </c>
      <c r="H1032" s="150">
        <f t="shared" si="182"/>
        <v>0.81952191235059768</v>
      </c>
      <c r="I1032" s="168">
        <f t="shared" si="189"/>
        <v>0</v>
      </c>
      <c r="J1032" s="138"/>
      <c r="K1032" s="83" t="s">
        <v>1334</v>
      </c>
      <c r="L1032" s="138"/>
      <c r="M1032" s="316"/>
      <c r="N1032" s="135">
        <v>41499</v>
      </c>
      <c r="O1032" s="138">
        <v>357</v>
      </c>
      <c r="P1032" s="83" t="s">
        <v>1182</v>
      </c>
      <c r="Q1032" s="83">
        <v>228.9</v>
      </c>
      <c r="R1032" s="83">
        <v>5</v>
      </c>
      <c r="S1032" s="83">
        <v>800</v>
      </c>
      <c r="T1032" s="83">
        <v>84</v>
      </c>
      <c r="U1032" s="83">
        <v>400</v>
      </c>
      <c r="V1032" s="83">
        <v>8</v>
      </c>
      <c r="W1032" s="83">
        <v>26.5</v>
      </c>
      <c r="X1032" s="83">
        <v>2.5</v>
      </c>
      <c r="Y1032" s="83">
        <v>40</v>
      </c>
      <c r="Z1032" s="240"/>
      <c r="AA1032" s="75"/>
      <c r="AB1032" s="300"/>
      <c r="AC1032" s="138"/>
      <c r="AD1032" s="138"/>
      <c r="AE1032" s="138"/>
      <c r="AF1032" s="138"/>
      <c r="AG1032" s="63"/>
      <c r="AH1032" s="70">
        <v>463.70411179888799</v>
      </c>
      <c r="AI1032" s="121"/>
      <c r="AJ1032" s="121">
        <v>10.86</v>
      </c>
      <c r="AK1032" s="121">
        <v>1.68</v>
      </c>
      <c r="AL1032" s="121">
        <f>(187.3+18.4)/251</f>
        <v>0.81952191235059768</v>
      </c>
      <c r="AM1032" s="138"/>
      <c r="AN1032" s="24">
        <f t="shared" si="190"/>
        <v>0</v>
      </c>
      <c r="AO1032" s="353">
        <f t="shared" si="183"/>
        <v>0</v>
      </c>
      <c r="AP1032" s="36">
        <f t="shared" si="184"/>
        <v>0</v>
      </c>
      <c r="AQ1032" s="316"/>
      <c r="AR1032" s="258"/>
      <c r="AS1032" s="138"/>
      <c r="AT1032" s="138"/>
    </row>
    <row r="1033" spans="1:46" ht="12">
      <c r="A1033" s="111" t="s">
        <v>1357</v>
      </c>
      <c r="B1033" s="67" t="str">
        <f t="shared" si="185"/>
        <v>MgO</v>
      </c>
      <c r="C1033" s="32">
        <f t="shared" si="186"/>
        <v>4.1399999999999997</v>
      </c>
      <c r="D1033" s="279">
        <f t="shared" si="187"/>
        <v>251.03181427512001</v>
      </c>
      <c r="E1033" s="78">
        <f t="shared" ref="E1033:E1096" si="191">AJ1033</f>
        <v>13.31</v>
      </c>
      <c r="F1033" s="78">
        <f t="shared" ref="F1033:F1096" si="192">AK1033</f>
        <v>1.3</v>
      </c>
      <c r="G1033" s="279">
        <f t="shared" si="188"/>
        <v>103.92717110989967</v>
      </c>
      <c r="H1033" s="190">
        <f t="shared" si="182"/>
        <v>0.84736842105263155</v>
      </c>
      <c r="I1033" s="279">
        <f t="shared" si="189"/>
        <v>13832.706474727647</v>
      </c>
      <c r="J1033" s="67"/>
      <c r="K1033" s="256" t="s">
        <v>1334</v>
      </c>
      <c r="L1033" s="67"/>
      <c r="M1033" s="371"/>
      <c r="N1033" s="309">
        <v>41499</v>
      </c>
      <c r="O1033" s="67">
        <v>357</v>
      </c>
      <c r="P1033" s="256" t="s">
        <v>46</v>
      </c>
      <c r="Q1033" s="67"/>
      <c r="R1033" s="256">
        <v>6</v>
      </c>
      <c r="S1033" s="256">
        <v>800</v>
      </c>
      <c r="T1033" s="256">
        <v>84</v>
      </c>
      <c r="U1033" s="256">
        <v>400</v>
      </c>
      <c r="V1033" s="256">
        <v>8</v>
      </c>
      <c r="W1033" s="256">
        <v>26.5</v>
      </c>
      <c r="X1033" s="256">
        <v>2.5</v>
      </c>
      <c r="Y1033" s="256">
        <v>40</v>
      </c>
      <c r="Z1033" s="306"/>
      <c r="AA1033" s="317"/>
      <c r="AB1033" s="182">
        <v>0.19969999999999999</v>
      </c>
      <c r="AC1033" s="67">
        <v>0.58489999999999998</v>
      </c>
      <c r="AD1033" s="67">
        <v>0.21529999999999999</v>
      </c>
      <c r="AE1033" s="256" t="s">
        <v>47</v>
      </c>
      <c r="AF1033" s="67">
        <v>4.1399999999999997</v>
      </c>
      <c r="AG1033" s="315"/>
      <c r="AH1033" s="66">
        <v>251.03181427512001</v>
      </c>
      <c r="AI1033" s="216"/>
      <c r="AJ1033" s="216">
        <v>13.31</v>
      </c>
      <c r="AK1033" s="216">
        <v>1.3</v>
      </c>
      <c r="AL1033" s="216">
        <f>(77.5+19.1)/114</f>
        <v>0.84736842105263155</v>
      </c>
      <c r="AM1033" s="67"/>
      <c r="AN1033" s="24">
        <f t="shared" si="190"/>
        <v>103.92717110989967</v>
      </c>
      <c r="AO1033" s="389">
        <f t="shared" si="183"/>
        <v>13832.706474727647</v>
      </c>
      <c r="AP1033" s="187">
        <f t="shared" si="184"/>
        <v>2.9571428571428569</v>
      </c>
      <c r="AQ1033" s="371"/>
      <c r="AR1033" s="41"/>
      <c r="AS1033" s="67"/>
      <c r="AT1033" s="67"/>
    </row>
    <row r="1034" spans="1:46" ht="12">
      <c r="A1034" s="137" t="s">
        <v>1358</v>
      </c>
      <c r="B1034" s="138" t="str">
        <f t="shared" si="185"/>
        <v>SiO2</v>
      </c>
      <c r="C1034" s="329">
        <f t="shared" si="186"/>
        <v>0</v>
      </c>
      <c r="D1034" s="168">
        <f t="shared" si="187"/>
        <v>429.98342032909602</v>
      </c>
      <c r="E1034" s="139">
        <f t="shared" si="191"/>
        <v>11.09</v>
      </c>
      <c r="F1034" s="139">
        <f t="shared" si="192"/>
        <v>1.54</v>
      </c>
      <c r="G1034" s="168">
        <f t="shared" si="188"/>
        <v>0</v>
      </c>
      <c r="H1034" s="150">
        <f t="shared" si="182"/>
        <v>0.85472370766488415</v>
      </c>
      <c r="I1034" s="168">
        <f t="shared" si="189"/>
        <v>0</v>
      </c>
      <c r="J1034" s="138"/>
      <c r="K1034" s="138" t="s">
        <v>1359</v>
      </c>
      <c r="L1034" s="138"/>
      <c r="M1034" s="316"/>
      <c r="N1034" s="135">
        <v>41500</v>
      </c>
      <c r="O1034" s="138">
        <v>358</v>
      </c>
      <c r="P1034" s="83" t="s">
        <v>1182</v>
      </c>
      <c r="Q1034" s="83">
        <v>228.9</v>
      </c>
      <c r="R1034" s="83">
        <v>1</v>
      </c>
      <c r="S1034" s="83">
        <v>800</v>
      </c>
      <c r="T1034" s="83">
        <v>84</v>
      </c>
      <c r="U1034" s="83">
        <v>400</v>
      </c>
      <c r="V1034" s="83">
        <v>8</v>
      </c>
      <c r="W1034" s="83">
        <v>26.5</v>
      </c>
      <c r="X1034" s="83">
        <v>2.5</v>
      </c>
      <c r="Y1034" s="83">
        <v>40</v>
      </c>
      <c r="Z1034" s="240"/>
      <c r="AA1034" s="75"/>
      <c r="AB1034" s="300"/>
      <c r="AC1034" s="138"/>
      <c r="AD1034" s="138"/>
      <c r="AE1034" s="138"/>
      <c r="AF1034" s="138"/>
      <c r="AG1034" s="63"/>
      <c r="AH1034" s="70">
        <v>429.98342032909602</v>
      </c>
      <c r="AI1034" s="121"/>
      <c r="AJ1034" s="121">
        <v>11.09</v>
      </c>
      <c r="AK1034" s="121">
        <v>1.54</v>
      </c>
      <c r="AL1034" s="121">
        <f>(174.4+17.4)/224.4</f>
        <v>0.85472370766488415</v>
      </c>
      <c r="AM1034" s="138"/>
      <c r="AN1034" s="24">
        <f t="shared" si="190"/>
        <v>0</v>
      </c>
      <c r="AO1034" s="353">
        <f t="shared" si="183"/>
        <v>0</v>
      </c>
      <c r="AP1034" s="36">
        <f t="shared" si="184"/>
        <v>0</v>
      </c>
      <c r="AQ1034" s="316"/>
      <c r="AR1034" s="258"/>
      <c r="AS1034" s="138"/>
      <c r="AT1034" s="138"/>
    </row>
    <row r="1035" spans="1:46" ht="12">
      <c r="A1035" s="137" t="s">
        <v>1360</v>
      </c>
      <c r="B1035" s="138" t="str">
        <f t="shared" si="185"/>
        <v>SiO2</v>
      </c>
      <c r="C1035" s="329">
        <f t="shared" si="186"/>
        <v>0</v>
      </c>
      <c r="D1035" s="168">
        <f t="shared" si="187"/>
        <v>440.86681810506099</v>
      </c>
      <c r="E1035" s="139">
        <f t="shared" si="191"/>
        <v>11.06</v>
      </c>
      <c r="F1035" s="139">
        <f t="shared" si="192"/>
        <v>1.56</v>
      </c>
      <c r="G1035" s="168">
        <f t="shared" si="188"/>
        <v>0</v>
      </c>
      <c r="H1035" s="150">
        <f t="shared" si="182"/>
        <v>0.85086956521739143</v>
      </c>
      <c r="I1035" s="168">
        <f t="shared" si="189"/>
        <v>0</v>
      </c>
      <c r="J1035" s="138"/>
      <c r="K1035" s="138" t="s">
        <v>1359</v>
      </c>
      <c r="L1035" s="138"/>
      <c r="M1035" s="316"/>
      <c r="N1035" s="135">
        <v>41500</v>
      </c>
      <c r="O1035" s="138">
        <v>358</v>
      </c>
      <c r="P1035" s="83" t="s">
        <v>1182</v>
      </c>
      <c r="Q1035" s="83">
        <v>228.9</v>
      </c>
      <c r="R1035" s="83">
        <v>2</v>
      </c>
      <c r="S1035" s="83">
        <v>800</v>
      </c>
      <c r="T1035" s="83">
        <v>84</v>
      </c>
      <c r="U1035" s="83">
        <v>400</v>
      </c>
      <c r="V1035" s="83">
        <v>8</v>
      </c>
      <c r="W1035" s="83">
        <v>26.5</v>
      </c>
      <c r="X1035" s="83">
        <v>2.5</v>
      </c>
      <c r="Y1035" s="83">
        <v>40</v>
      </c>
      <c r="Z1035" s="240"/>
      <c r="AA1035" s="75"/>
      <c r="AB1035" s="300"/>
      <c r="AC1035" s="138"/>
      <c r="AD1035" s="138"/>
      <c r="AE1035" s="138"/>
      <c r="AF1035" s="138"/>
      <c r="AG1035" s="63"/>
      <c r="AH1035" s="70">
        <v>440.86681810506099</v>
      </c>
      <c r="AI1035" s="121"/>
      <c r="AJ1035" s="121">
        <v>11.06</v>
      </c>
      <c r="AK1035" s="121">
        <v>1.56</v>
      </c>
      <c r="AL1035" s="121">
        <f>(178.4+17.3)/230</f>
        <v>0.85086956521739143</v>
      </c>
      <c r="AM1035" s="138"/>
      <c r="AN1035" s="24">
        <f t="shared" si="190"/>
        <v>0</v>
      </c>
      <c r="AO1035" s="353">
        <f t="shared" si="183"/>
        <v>0</v>
      </c>
      <c r="AP1035" s="36">
        <f t="shared" si="184"/>
        <v>0</v>
      </c>
      <c r="AQ1035" s="316"/>
      <c r="AR1035" s="258"/>
      <c r="AS1035" s="138"/>
      <c r="AT1035" s="138"/>
    </row>
    <row r="1036" spans="1:46" ht="12">
      <c r="A1036" s="137" t="s">
        <v>1361</v>
      </c>
      <c r="B1036" s="138" t="str">
        <f t="shared" si="185"/>
        <v>SiO2</v>
      </c>
      <c r="C1036" s="329">
        <f t="shared" si="186"/>
        <v>0</v>
      </c>
      <c r="D1036" s="168">
        <f t="shared" si="187"/>
        <v>461.74153187207497</v>
      </c>
      <c r="E1036" s="139">
        <f t="shared" si="191"/>
        <v>10.69</v>
      </c>
      <c r="F1036" s="139">
        <f t="shared" si="192"/>
        <v>1.7</v>
      </c>
      <c r="G1036" s="168">
        <f t="shared" si="188"/>
        <v>0</v>
      </c>
      <c r="H1036" s="150">
        <f t="shared" si="182"/>
        <v>0.84631147540983609</v>
      </c>
      <c r="I1036" s="168">
        <f t="shared" si="189"/>
        <v>0</v>
      </c>
      <c r="J1036" s="138"/>
      <c r="K1036" s="138" t="s">
        <v>1359</v>
      </c>
      <c r="L1036" s="138"/>
      <c r="M1036" s="316"/>
      <c r="N1036" s="135">
        <v>41500</v>
      </c>
      <c r="O1036" s="138">
        <v>358</v>
      </c>
      <c r="P1036" s="83" t="s">
        <v>1182</v>
      </c>
      <c r="Q1036" s="83">
        <v>228.9</v>
      </c>
      <c r="R1036" s="83">
        <v>3</v>
      </c>
      <c r="S1036" s="83">
        <v>800</v>
      </c>
      <c r="T1036" s="83">
        <v>84</v>
      </c>
      <c r="U1036" s="83">
        <v>400</v>
      </c>
      <c r="V1036" s="83">
        <v>8</v>
      </c>
      <c r="W1036" s="83">
        <v>26.5</v>
      </c>
      <c r="X1036" s="83">
        <v>2.5</v>
      </c>
      <c r="Y1036" s="83">
        <v>40</v>
      </c>
      <c r="Z1036" s="240"/>
      <c r="AA1036" s="75"/>
      <c r="AB1036" s="300"/>
      <c r="AC1036" s="138"/>
      <c r="AD1036" s="138"/>
      <c r="AE1036" s="138"/>
      <c r="AF1036" s="138"/>
      <c r="AG1036" s="63"/>
      <c r="AH1036" s="70">
        <v>461.74153187207497</v>
      </c>
      <c r="AI1036" s="121"/>
      <c r="AJ1036" s="121">
        <v>10.69</v>
      </c>
      <c r="AK1036" s="121">
        <v>1.7</v>
      </c>
      <c r="AL1036" s="121">
        <f>(188.5+18)/244</f>
        <v>0.84631147540983609</v>
      </c>
      <c r="AM1036" s="138"/>
      <c r="AN1036" s="24">
        <f t="shared" si="190"/>
        <v>0</v>
      </c>
      <c r="AO1036" s="353">
        <f t="shared" si="183"/>
        <v>0</v>
      </c>
      <c r="AP1036" s="36">
        <f t="shared" si="184"/>
        <v>0</v>
      </c>
      <c r="AQ1036" s="316"/>
      <c r="AR1036" s="258"/>
      <c r="AS1036" s="138"/>
      <c r="AT1036" s="138"/>
    </row>
    <row r="1037" spans="1:46" ht="12">
      <c r="A1037" s="137" t="s">
        <v>1362</v>
      </c>
      <c r="B1037" s="138" t="str">
        <f t="shared" si="185"/>
        <v>SiO2</v>
      </c>
      <c r="C1037" s="329">
        <f t="shared" si="186"/>
        <v>0</v>
      </c>
      <c r="D1037" s="168">
        <f t="shared" si="187"/>
        <v>429.98342032909602</v>
      </c>
      <c r="E1037" s="139">
        <f t="shared" si="191"/>
        <v>11.05</v>
      </c>
      <c r="F1037" s="139">
        <f t="shared" si="192"/>
        <v>1.54</v>
      </c>
      <c r="G1037" s="168">
        <f t="shared" si="188"/>
        <v>0</v>
      </c>
      <c r="H1037" s="150">
        <f t="shared" si="182"/>
        <v>0.85244444444444434</v>
      </c>
      <c r="I1037" s="168">
        <f t="shared" si="189"/>
        <v>0</v>
      </c>
      <c r="J1037" s="138"/>
      <c r="K1037" s="138" t="s">
        <v>1359</v>
      </c>
      <c r="L1037" s="138"/>
      <c r="M1037" s="316"/>
      <c r="N1037" s="135">
        <v>41500</v>
      </c>
      <c r="O1037" s="138">
        <v>358</v>
      </c>
      <c r="P1037" s="83" t="s">
        <v>1182</v>
      </c>
      <c r="Q1037" s="83">
        <v>228.9</v>
      </c>
      <c r="R1037" s="83">
        <v>4</v>
      </c>
      <c r="S1037" s="83">
        <v>800</v>
      </c>
      <c r="T1037" s="83">
        <v>84</v>
      </c>
      <c r="U1037" s="83">
        <v>400</v>
      </c>
      <c r="V1037" s="83">
        <v>8</v>
      </c>
      <c r="W1037" s="83">
        <v>26.5</v>
      </c>
      <c r="X1037" s="83">
        <v>2.5</v>
      </c>
      <c r="Y1037" s="83">
        <v>40</v>
      </c>
      <c r="Z1037" s="240"/>
      <c r="AA1037" s="75"/>
      <c r="AB1037" s="300"/>
      <c r="AC1037" s="138"/>
      <c r="AD1037" s="138"/>
      <c r="AE1037" s="138"/>
      <c r="AF1037" s="138"/>
      <c r="AG1037" s="63"/>
      <c r="AH1037" s="70">
        <v>429.98342032909602</v>
      </c>
      <c r="AI1037" s="121"/>
      <c r="AJ1037" s="121">
        <v>11.05</v>
      </c>
      <c r="AK1037" s="121">
        <v>1.54</v>
      </c>
      <c r="AL1037" s="121">
        <f>(174.2+17.6)/225</f>
        <v>0.85244444444444434</v>
      </c>
      <c r="AM1037" s="138"/>
      <c r="AN1037" s="24">
        <f t="shared" si="190"/>
        <v>0</v>
      </c>
      <c r="AO1037" s="353">
        <f t="shared" si="183"/>
        <v>0</v>
      </c>
      <c r="AP1037" s="36">
        <f t="shared" si="184"/>
        <v>0</v>
      </c>
      <c r="AQ1037" s="316"/>
      <c r="AR1037" s="258"/>
      <c r="AS1037" s="138"/>
      <c r="AT1037" s="138"/>
    </row>
    <row r="1038" spans="1:46" ht="12">
      <c r="A1038" s="137" t="s">
        <v>1363</v>
      </c>
      <c r="B1038" s="138" t="str">
        <f t="shared" si="185"/>
        <v>SiO2</v>
      </c>
      <c r="C1038" s="329">
        <f t="shared" si="186"/>
        <v>0</v>
      </c>
      <c r="D1038" s="168">
        <f t="shared" si="187"/>
        <v>439.43948724919699</v>
      </c>
      <c r="E1038" s="139">
        <f t="shared" si="191"/>
        <v>11.03</v>
      </c>
      <c r="F1038" s="139">
        <f t="shared" si="192"/>
        <v>1.54</v>
      </c>
      <c r="G1038" s="168">
        <f t="shared" si="188"/>
        <v>0</v>
      </c>
      <c r="H1038" s="150">
        <f t="shared" si="182"/>
        <v>0.85131578947368414</v>
      </c>
      <c r="I1038" s="168">
        <f t="shared" si="189"/>
        <v>0</v>
      </c>
      <c r="J1038" s="138"/>
      <c r="K1038" s="138" t="s">
        <v>1359</v>
      </c>
      <c r="L1038" s="138"/>
      <c r="M1038" s="316"/>
      <c r="N1038" s="135">
        <v>41500</v>
      </c>
      <c r="O1038" s="138">
        <v>358</v>
      </c>
      <c r="P1038" s="83" t="s">
        <v>1182</v>
      </c>
      <c r="Q1038" s="83">
        <v>228.9</v>
      </c>
      <c r="R1038" s="83">
        <v>5</v>
      </c>
      <c r="S1038" s="83">
        <v>800</v>
      </c>
      <c r="T1038" s="83">
        <v>84</v>
      </c>
      <c r="U1038" s="83">
        <v>400</v>
      </c>
      <c r="V1038" s="83">
        <v>8</v>
      </c>
      <c r="W1038" s="83">
        <v>26.5</v>
      </c>
      <c r="X1038" s="83">
        <v>2.5</v>
      </c>
      <c r="Y1038" s="83">
        <v>40</v>
      </c>
      <c r="Z1038" s="240"/>
      <c r="AA1038" s="75"/>
      <c r="AB1038" s="300"/>
      <c r="AC1038" s="138"/>
      <c r="AD1038" s="138"/>
      <c r="AE1038" s="138"/>
      <c r="AF1038" s="138"/>
      <c r="AG1038" s="63"/>
      <c r="AH1038" s="70">
        <v>439.43948724919699</v>
      </c>
      <c r="AI1038" s="121"/>
      <c r="AJ1038" s="121">
        <v>11.03</v>
      </c>
      <c r="AK1038" s="121">
        <v>1.54</v>
      </c>
      <c r="AL1038" s="121">
        <f>(176.2+17.9)/228</f>
        <v>0.85131578947368414</v>
      </c>
      <c r="AM1038" s="138"/>
      <c r="AN1038" s="24">
        <f t="shared" si="190"/>
        <v>0</v>
      </c>
      <c r="AO1038" s="353">
        <f t="shared" si="183"/>
        <v>0</v>
      </c>
      <c r="AP1038" s="36">
        <f t="shared" si="184"/>
        <v>0</v>
      </c>
      <c r="AQ1038" s="316"/>
      <c r="AR1038" s="258"/>
      <c r="AS1038" s="138"/>
      <c r="AT1038" s="138"/>
    </row>
    <row r="1039" spans="1:46" ht="12">
      <c r="A1039" s="111" t="s">
        <v>1364</v>
      </c>
      <c r="B1039" s="67" t="str">
        <f t="shared" si="185"/>
        <v>MgO</v>
      </c>
      <c r="C1039" s="32">
        <f t="shared" si="186"/>
        <v>4.34</v>
      </c>
      <c r="D1039" s="279">
        <f t="shared" si="187"/>
        <v>294.74382173596098</v>
      </c>
      <c r="E1039" s="78">
        <f t="shared" si="191"/>
        <v>12.2</v>
      </c>
      <c r="F1039" s="78">
        <f t="shared" si="192"/>
        <v>1.03</v>
      </c>
      <c r="G1039" s="279">
        <f t="shared" si="188"/>
        <v>127.91881863340707</v>
      </c>
      <c r="H1039" s="190">
        <f t="shared" si="182"/>
        <v>0.85777777777777775</v>
      </c>
      <c r="I1039" s="279">
        <f t="shared" si="189"/>
        <v>15606.095873275661</v>
      </c>
      <c r="J1039" s="67"/>
      <c r="K1039" s="67" t="s">
        <v>1359</v>
      </c>
      <c r="L1039" s="67"/>
      <c r="M1039" s="371"/>
      <c r="N1039" s="309">
        <v>41500</v>
      </c>
      <c r="O1039" s="67">
        <v>358</v>
      </c>
      <c r="P1039" s="256" t="s">
        <v>46</v>
      </c>
      <c r="Q1039" s="67"/>
      <c r="R1039" s="256">
        <v>6</v>
      </c>
      <c r="S1039" s="256">
        <v>800</v>
      </c>
      <c r="T1039" s="256">
        <v>84</v>
      </c>
      <c r="U1039" s="256">
        <v>400</v>
      </c>
      <c r="V1039" s="256">
        <v>8</v>
      </c>
      <c r="W1039" s="256">
        <v>26.5</v>
      </c>
      <c r="X1039" s="256">
        <v>2.5</v>
      </c>
      <c r="Y1039" s="256">
        <v>40</v>
      </c>
      <c r="Z1039" s="306"/>
      <c r="AA1039" s="317"/>
      <c r="AB1039" s="182">
        <v>0.19819999999999999</v>
      </c>
      <c r="AC1039" s="67">
        <v>0.57499999999999996</v>
      </c>
      <c r="AD1039" s="67">
        <v>0.2268</v>
      </c>
      <c r="AE1039" s="256" t="s">
        <v>47</v>
      </c>
      <c r="AF1039" s="67">
        <v>4.34</v>
      </c>
      <c r="AG1039" s="315"/>
      <c r="AH1039" s="66">
        <v>294.74382173596098</v>
      </c>
      <c r="AI1039" s="216"/>
      <c r="AJ1039" s="216">
        <v>12.2</v>
      </c>
      <c r="AK1039" s="216">
        <v>1.03</v>
      </c>
      <c r="AL1039" s="216">
        <f>(97+18.8)/135</f>
        <v>0.85777777777777775</v>
      </c>
      <c r="AM1039" s="67"/>
      <c r="AN1039" s="24">
        <f t="shared" si="190"/>
        <v>127.91881863340707</v>
      </c>
      <c r="AO1039" s="389">
        <f t="shared" si="183"/>
        <v>15606.095873275661</v>
      </c>
      <c r="AP1039" s="187">
        <f t="shared" si="184"/>
        <v>3.1</v>
      </c>
      <c r="AQ1039" s="371"/>
      <c r="AR1039" s="41"/>
      <c r="AS1039" s="67"/>
      <c r="AT1039" s="67"/>
    </row>
    <row r="1040" spans="1:46" ht="24">
      <c r="A1040" s="326" t="s">
        <v>1365</v>
      </c>
      <c r="B1040" s="366" t="str">
        <f t="shared" si="185"/>
        <v>SiNx</v>
      </c>
      <c r="C1040" s="280">
        <f t="shared" si="186"/>
        <v>0</v>
      </c>
      <c r="D1040" s="183">
        <f t="shared" si="187"/>
        <v>322.576773425314</v>
      </c>
      <c r="E1040" s="96">
        <f t="shared" si="191"/>
        <v>12.49</v>
      </c>
      <c r="F1040" s="96">
        <f t="shared" si="192"/>
        <v>1.27</v>
      </c>
      <c r="G1040" s="183">
        <f t="shared" si="188"/>
        <v>0</v>
      </c>
      <c r="H1040" s="215">
        <f t="shared" si="182"/>
        <v>0.87546012269938644</v>
      </c>
      <c r="I1040" s="183">
        <f t="shared" si="189"/>
        <v>0</v>
      </c>
      <c r="J1040" s="366"/>
      <c r="K1040" s="366" t="s">
        <v>1366</v>
      </c>
      <c r="L1040" s="366"/>
      <c r="M1040" s="373"/>
      <c r="N1040" s="191">
        <v>41502</v>
      </c>
      <c r="O1040" s="366">
        <v>359</v>
      </c>
      <c r="P1040" s="366" t="s">
        <v>187</v>
      </c>
      <c r="Q1040" s="257" t="s">
        <v>1367</v>
      </c>
      <c r="R1040" s="366">
        <v>1</v>
      </c>
      <c r="S1040" s="366">
        <v>800</v>
      </c>
      <c r="T1040" s="366">
        <v>96</v>
      </c>
      <c r="U1040" s="257">
        <v>400</v>
      </c>
      <c r="V1040" s="257">
        <v>8</v>
      </c>
      <c r="W1040" s="257">
        <v>26.5</v>
      </c>
      <c r="X1040" s="257">
        <v>2.5</v>
      </c>
      <c r="Y1040" s="257">
        <v>40</v>
      </c>
      <c r="Z1040" s="161"/>
      <c r="AA1040" s="76"/>
      <c r="AB1040" s="51"/>
      <c r="AC1040" s="366"/>
      <c r="AD1040" s="366"/>
      <c r="AE1040" s="366"/>
      <c r="AF1040" s="366"/>
      <c r="AG1040" s="349"/>
      <c r="AH1040" s="113">
        <v>322.576773425314</v>
      </c>
      <c r="AI1040" s="53"/>
      <c r="AJ1040" s="53">
        <v>12.49</v>
      </c>
      <c r="AK1040" s="53">
        <v>1.27</v>
      </c>
      <c r="AL1040" s="53">
        <f>(124.8+17.9)/163</f>
        <v>0.87546012269938644</v>
      </c>
      <c r="AM1040" s="366"/>
      <c r="AN1040" s="24">
        <f t="shared" si="190"/>
        <v>0</v>
      </c>
      <c r="AO1040" s="198">
        <f t="shared" si="183"/>
        <v>0</v>
      </c>
      <c r="AP1040" s="399">
        <f t="shared" si="184"/>
        <v>0</v>
      </c>
      <c r="AQ1040" s="373"/>
      <c r="AR1040" s="44"/>
      <c r="AS1040" s="366"/>
      <c r="AT1040" s="366"/>
    </row>
    <row r="1041" spans="1:46" ht="24">
      <c r="A1041" s="326" t="s">
        <v>1368</v>
      </c>
      <c r="B1041" s="366" t="str">
        <f t="shared" si="185"/>
        <v>SiNx</v>
      </c>
      <c r="C1041" s="280">
        <f t="shared" si="186"/>
        <v>0</v>
      </c>
      <c r="D1041" s="183">
        <f t="shared" si="187"/>
        <v>323.64727156721199</v>
      </c>
      <c r="E1041" s="96">
        <f t="shared" si="191"/>
        <v>12.5</v>
      </c>
      <c r="F1041" s="96">
        <f t="shared" si="192"/>
        <v>1.27</v>
      </c>
      <c r="G1041" s="183">
        <f t="shared" si="188"/>
        <v>0</v>
      </c>
      <c r="H1041" s="215">
        <f t="shared" si="182"/>
        <v>0.87865853658536586</v>
      </c>
      <c r="I1041" s="183">
        <f t="shared" si="189"/>
        <v>0</v>
      </c>
      <c r="J1041" s="366"/>
      <c r="K1041" s="366" t="s">
        <v>1366</v>
      </c>
      <c r="L1041" s="366"/>
      <c r="M1041" s="373"/>
      <c r="N1041" s="191">
        <v>41502</v>
      </c>
      <c r="O1041" s="366">
        <v>359</v>
      </c>
      <c r="P1041" s="366" t="s">
        <v>187</v>
      </c>
      <c r="Q1041" s="257" t="s">
        <v>1367</v>
      </c>
      <c r="R1041" s="366">
        <v>2</v>
      </c>
      <c r="S1041" s="366">
        <v>800</v>
      </c>
      <c r="T1041" s="366">
        <v>96</v>
      </c>
      <c r="U1041" s="257">
        <v>400</v>
      </c>
      <c r="V1041" s="257">
        <v>8</v>
      </c>
      <c r="W1041" s="257">
        <v>26.5</v>
      </c>
      <c r="X1041" s="257">
        <v>2.5</v>
      </c>
      <c r="Y1041" s="257">
        <v>40</v>
      </c>
      <c r="Z1041" s="161"/>
      <c r="AA1041" s="76"/>
      <c r="AB1041" s="51"/>
      <c r="AC1041" s="366"/>
      <c r="AD1041" s="366"/>
      <c r="AE1041" s="366"/>
      <c r="AF1041" s="366"/>
      <c r="AG1041" s="349"/>
      <c r="AH1041" s="113">
        <v>323.64727156721199</v>
      </c>
      <c r="AI1041" s="53"/>
      <c r="AJ1041" s="53">
        <v>12.5</v>
      </c>
      <c r="AK1041" s="53">
        <v>1.27</v>
      </c>
      <c r="AL1041" s="53">
        <f>(126+18.1)/164</f>
        <v>0.87865853658536586</v>
      </c>
      <c r="AM1041" s="366"/>
      <c r="AN1041" s="24">
        <f t="shared" si="190"/>
        <v>0</v>
      </c>
      <c r="AO1041" s="198">
        <f t="shared" si="183"/>
        <v>0</v>
      </c>
      <c r="AP1041" s="399">
        <f t="shared" si="184"/>
        <v>0</v>
      </c>
      <c r="AQ1041" s="373"/>
      <c r="AR1041" s="44"/>
      <c r="AS1041" s="366"/>
      <c r="AT1041" s="366"/>
    </row>
    <row r="1042" spans="1:46" ht="24">
      <c r="A1042" s="326" t="s">
        <v>1369</v>
      </c>
      <c r="B1042" s="366" t="str">
        <f t="shared" si="185"/>
        <v>SiNx</v>
      </c>
      <c r="C1042" s="280">
        <f t="shared" si="186"/>
        <v>0</v>
      </c>
      <c r="D1042" s="183">
        <f t="shared" si="187"/>
        <v>353.44280318337701</v>
      </c>
      <c r="E1042" s="96">
        <f t="shared" si="191"/>
        <v>11.41</v>
      </c>
      <c r="F1042" s="96">
        <f t="shared" si="192"/>
        <v>1.38</v>
      </c>
      <c r="G1042" s="183">
        <f t="shared" si="188"/>
        <v>0</v>
      </c>
      <c r="H1042" s="215">
        <f t="shared" si="182"/>
        <v>0.87570621468926557</v>
      </c>
      <c r="I1042" s="183">
        <f t="shared" si="189"/>
        <v>0</v>
      </c>
      <c r="J1042" s="366"/>
      <c r="K1042" s="366" t="s">
        <v>1366</v>
      </c>
      <c r="L1042" s="366"/>
      <c r="M1042" s="373"/>
      <c r="N1042" s="191">
        <v>41502</v>
      </c>
      <c r="O1042" s="366">
        <v>359</v>
      </c>
      <c r="P1042" s="366" t="s">
        <v>187</v>
      </c>
      <c r="Q1042" s="257" t="s">
        <v>1367</v>
      </c>
      <c r="R1042" s="366">
        <v>3</v>
      </c>
      <c r="S1042" s="366">
        <v>800</v>
      </c>
      <c r="T1042" s="366">
        <v>96</v>
      </c>
      <c r="U1042" s="257">
        <v>400</v>
      </c>
      <c r="V1042" s="257">
        <v>8</v>
      </c>
      <c r="W1042" s="257">
        <v>26.5</v>
      </c>
      <c r="X1042" s="257">
        <v>2.5</v>
      </c>
      <c r="Y1042" s="257">
        <v>40</v>
      </c>
      <c r="Z1042" s="161"/>
      <c r="AA1042" s="76"/>
      <c r="AB1042" s="51"/>
      <c r="AC1042" s="366"/>
      <c r="AD1042" s="366"/>
      <c r="AE1042" s="366"/>
      <c r="AF1042" s="366"/>
      <c r="AG1042" s="349"/>
      <c r="AH1042" s="113">
        <v>353.44280318337701</v>
      </c>
      <c r="AI1042" s="53"/>
      <c r="AJ1042" s="53">
        <v>11.41</v>
      </c>
      <c r="AK1042" s="53">
        <v>1.38</v>
      </c>
      <c r="AL1042" s="53">
        <f>(136.7+18.3)/177</f>
        <v>0.87570621468926557</v>
      </c>
      <c r="AM1042" s="366"/>
      <c r="AN1042" s="24">
        <f t="shared" si="190"/>
        <v>0</v>
      </c>
      <c r="AO1042" s="198">
        <f t="shared" si="183"/>
        <v>0</v>
      </c>
      <c r="AP1042" s="399">
        <f t="shared" si="184"/>
        <v>0</v>
      </c>
      <c r="AQ1042" s="373"/>
      <c r="AR1042" s="44"/>
      <c r="AS1042" s="366"/>
      <c r="AT1042" s="366"/>
    </row>
    <row r="1043" spans="1:46" ht="24">
      <c r="A1043" s="326" t="s">
        <v>1370</v>
      </c>
      <c r="B1043" s="366" t="str">
        <f t="shared" si="185"/>
        <v>SiNx</v>
      </c>
      <c r="C1043" s="280">
        <f t="shared" si="186"/>
        <v>0</v>
      </c>
      <c r="D1043" s="183">
        <f t="shared" si="187"/>
        <v>324.89618606609298</v>
      </c>
      <c r="E1043" s="96">
        <f t="shared" si="191"/>
        <v>12.45</v>
      </c>
      <c r="F1043" s="96">
        <f t="shared" si="192"/>
        <v>1.27</v>
      </c>
      <c r="G1043" s="183">
        <f t="shared" si="188"/>
        <v>0</v>
      </c>
      <c r="H1043" s="215">
        <f t="shared" si="182"/>
        <v>0.87116564417177911</v>
      </c>
      <c r="I1043" s="183">
        <f t="shared" si="189"/>
        <v>0</v>
      </c>
      <c r="J1043" s="366"/>
      <c r="K1043" s="366" t="s">
        <v>1366</v>
      </c>
      <c r="L1043" s="366"/>
      <c r="M1043" s="373"/>
      <c r="N1043" s="191">
        <v>41502</v>
      </c>
      <c r="O1043" s="366">
        <v>359</v>
      </c>
      <c r="P1043" s="366" t="s">
        <v>187</v>
      </c>
      <c r="Q1043" s="257" t="s">
        <v>1367</v>
      </c>
      <c r="R1043" s="366">
        <v>4</v>
      </c>
      <c r="S1043" s="366">
        <v>800</v>
      </c>
      <c r="T1043" s="366">
        <v>96</v>
      </c>
      <c r="U1043" s="257">
        <v>400</v>
      </c>
      <c r="V1043" s="257">
        <v>8</v>
      </c>
      <c r="W1043" s="257">
        <v>26.5</v>
      </c>
      <c r="X1043" s="257">
        <v>2.5</v>
      </c>
      <c r="Y1043" s="257">
        <v>40</v>
      </c>
      <c r="Z1043" s="161"/>
      <c r="AA1043" s="76"/>
      <c r="AB1043" s="51"/>
      <c r="AC1043" s="366"/>
      <c r="AD1043" s="366"/>
      <c r="AE1043" s="366"/>
      <c r="AF1043" s="366"/>
      <c r="AG1043" s="349"/>
      <c r="AH1043" s="113">
        <v>324.89618606609298</v>
      </c>
      <c r="AI1043" s="53"/>
      <c r="AJ1043" s="53">
        <v>12.45</v>
      </c>
      <c r="AK1043" s="53">
        <v>1.27</v>
      </c>
      <c r="AL1043" s="53">
        <f>(123.4+18.6)/163</f>
        <v>0.87116564417177911</v>
      </c>
      <c r="AM1043" s="366"/>
      <c r="AN1043" s="24">
        <f t="shared" si="190"/>
        <v>0</v>
      </c>
      <c r="AO1043" s="198">
        <f t="shared" si="183"/>
        <v>0</v>
      </c>
      <c r="AP1043" s="399">
        <f t="shared" si="184"/>
        <v>0</v>
      </c>
      <c r="AQ1043" s="373"/>
      <c r="AR1043" s="44"/>
      <c r="AS1043" s="366"/>
      <c r="AT1043" s="366"/>
    </row>
    <row r="1044" spans="1:46" ht="24">
      <c r="A1044" s="326" t="s">
        <v>1371</v>
      </c>
      <c r="B1044" s="366" t="str">
        <f t="shared" si="185"/>
        <v>SiNx</v>
      </c>
      <c r="C1044" s="280">
        <f t="shared" si="186"/>
        <v>0</v>
      </c>
      <c r="D1044" s="183">
        <f t="shared" si="187"/>
        <v>324.71776970910997</v>
      </c>
      <c r="E1044" s="96">
        <f t="shared" si="191"/>
        <v>12.48</v>
      </c>
      <c r="F1044" s="96">
        <f t="shared" si="192"/>
        <v>1.28</v>
      </c>
      <c r="G1044" s="183">
        <f t="shared" si="188"/>
        <v>0</v>
      </c>
      <c r="H1044" s="215">
        <f t="shared" si="182"/>
        <v>0.87333333333333329</v>
      </c>
      <c r="I1044" s="183">
        <f t="shared" si="189"/>
        <v>0</v>
      </c>
      <c r="J1044" s="366"/>
      <c r="K1044" s="366" t="s">
        <v>1366</v>
      </c>
      <c r="L1044" s="366"/>
      <c r="M1044" s="373"/>
      <c r="N1044" s="191">
        <v>41502</v>
      </c>
      <c r="O1044" s="366">
        <v>359</v>
      </c>
      <c r="P1044" s="366" t="s">
        <v>187</v>
      </c>
      <c r="Q1044" s="257" t="s">
        <v>1367</v>
      </c>
      <c r="R1044" s="366">
        <v>5</v>
      </c>
      <c r="S1044" s="366">
        <v>800</v>
      </c>
      <c r="T1044" s="366">
        <v>96</v>
      </c>
      <c r="U1044" s="257">
        <v>400</v>
      </c>
      <c r="V1044" s="257">
        <v>8</v>
      </c>
      <c r="W1044" s="257">
        <v>26.5</v>
      </c>
      <c r="X1044" s="257">
        <v>2.5</v>
      </c>
      <c r="Y1044" s="257">
        <v>40</v>
      </c>
      <c r="Z1044" s="161"/>
      <c r="AA1044" s="76"/>
      <c r="AB1044" s="51"/>
      <c r="AC1044" s="366"/>
      <c r="AD1044" s="366"/>
      <c r="AE1044" s="366"/>
      <c r="AF1044" s="366"/>
      <c r="AG1044" s="349"/>
      <c r="AH1044" s="113">
        <v>324.71776970910997</v>
      </c>
      <c r="AI1044" s="53"/>
      <c r="AJ1044" s="53">
        <v>12.48</v>
      </c>
      <c r="AK1044" s="53">
        <v>1.28</v>
      </c>
      <c r="AL1044" s="53">
        <f>(126.1+18)/165</f>
        <v>0.87333333333333329</v>
      </c>
      <c r="AM1044" s="366"/>
      <c r="AN1044" s="24">
        <f t="shared" si="190"/>
        <v>0</v>
      </c>
      <c r="AO1044" s="198">
        <f t="shared" si="183"/>
        <v>0</v>
      </c>
      <c r="AP1044" s="399">
        <f t="shared" si="184"/>
        <v>0</v>
      </c>
      <c r="AQ1044" s="373"/>
      <c r="AR1044" s="44"/>
      <c r="AS1044" s="366"/>
      <c r="AT1044" s="366"/>
    </row>
    <row r="1045" spans="1:46" ht="12">
      <c r="A1045" s="111" t="s">
        <v>1372</v>
      </c>
      <c r="B1045" s="67" t="str">
        <f t="shared" si="185"/>
        <v>MgO</v>
      </c>
      <c r="C1045" s="32">
        <f t="shared" si="186"/>
        <v>4.91</v>
      </c>
      <c r="D1045" s="279">
        <f t="shared" si="187"/>
        <v>244.073576352782</v>
      </c>
      <c r="E1045" s="78">
        <f t="shared" si="191"/>
        <v>12.7</v>
      </c>
      <c r="F1045" s="78">
        <f t="shared" si="192"/>
        <v>1.03</v>
      </c>
      <c r="G1045" s="279">
        <f t="shared" si="188"/>
        <v>119.84012598921598</v>
      </c>
      <c r="H1045" s="190">
        <f t="shared" si="182"/>
        <v>0.87102803738317747</v>
      </c>
      <c r="I1045" s="279">
        <f t="shared" si="189"/>
        <v>15219.696000630427</v>
      </c>
      <c r="J1045" s="67"/>
      <c r="K1045" s="67" t="s">
        <v>1366</v>
      </c>
      <c r="L1045" s="67"/>
      <c r="M1045" s="371"/>
      <c r="N1045" s="309">
        <v>41502</v>
      </c>
      <c r="O1045" s="67">
        <v>359</v>
      </c>
      <c r="P1045" s="256" t="s">
        <v>46</v>
      </c>
      <c r="Q1045" s="67"/>
      <c r="R1045" s="67">
        <v>6</v>
      </c>
      <c r="S1045" s="67">
        <v>800</v>
      </c>
      <c r="T1045" s="67">
        <v>96</v>
      </c>
      <c r="U1045" s="256">
        <v>400</v>
      </c>
      <c r="V1045" s="256">
        <v>8</v>
      </c>
      <c r="W1045" s="256">
        <v>26.5</v>
      </c>
      <c r="X1045" s="256">
        <v>2.5</v>
      </c>
      <c r="Y1045" s="256">
        <v>40</v>
      </c>
      <c r="Z1045" s="306"/>
      <c r="AA1045" s="317"/>
      <c r="AB1045" s="182">
        <v>0.22009999999999999</v>
      </c>
      <c r="AC1045" s="67">
        <v>0.5474</v>
      </c>
      <c r="AD1045" s="67">
        <v>0.23250000000000001</v>
      </c>
      <c r="AE1045" s="256" t="s">
        <v>47</v>
      </c>
      <c r="AF1045" s="67">
        <v>4.91</v>
      </c>
      <c r="AG1045" s="315"/>
      <c r="AH1045" s="66">
        <v>244.073576352782</v>
      </c>
      <c r="AI1045" s="216"/>
      <c r="AJ1045" s="216">
        <v>12.7</v>
      </c>
      <c r="AK1045" s="216">
        <v>1.03</v>
      </c>
      <c r="AL1045" s="216">
        <f>(73.8+19.4)/107</f>
        <v>0.87102803738317747</v>
      </c>
      <c r="AM1045" s="67"/>
      <c r="AN1045" s="24">
        <f t="shared" si="190"/>
        <v>119.84012598921598</v>
      </c>
      <c r="AO1045" s="389">
        <f t="shared" si="183"/>
        <v>15219.696000630427</v>
      </c>
      <c r="AP1045" s="187">
        <f t="shared" si="184"/>
        <v>3.0687500000000001</v>
      </c>
      <c r="AQ1045" s="371"/>
      <c r="AR1045" s="41"/>
      <c r="AS1045" s="67"/>
      <c r="AT1045" s="67"/>
    </row>
    <row r="1046" spans="1:46" ht="24">
      <c r="A1046" s="326" t="s">
        <v>1373</v>
      </c>
      <c r="B1046" s="366" t="str">
        <f t="shared" si="185"/>
        <v>SiNx</v>
      </c>
      <c r="C1046" s="280">
        <f t="shared" si="186"/>
        <v>0</v>
      </c>
      <c r="D1046" s="183">
        <f t="shared" si="187"/>
        <v>347.91189611690402</v>
      </c>
      <c r="E1046" s="96">
        <f t="shared" si="191"/>
        <v>11.65</v>
      </c>
      <c r="F1046" s="96">
        <f t="shared" si="192"/>
        <v>1.29</v>
      </c>
      <c r="G1046" s="183">
        <f t="shared" si="188"/>
        <v>0</v>
      </c>
      <c r="H1046" s="215">
        <f t="shared" si="182"/>
        <v>0.87732558139534889</v>
      </c>
      <c r="I1046" s="183">
        <f t="shared" si="189"/>
        <v>0</v>
      </c>
      <c r="J1046" s="366"/>
      <c r="K1046" s="366" t="s">
        <v>1374</v>
      </c>
      <c r="L1046" s="366"/>
      <c r="M1046" s="373"/>
      <c r="N1046" s="191">
        <v>41506</v>
      </c>
      <c r="O1046" s="366">
        <v>360</v>
      </c>
      <c r="P1046" s="366" t="s">
        <v>187</v>
      </c>
      <c r="Q1046" s="257" t="s">
        <v>1367</v>
      </c>
      <c r="R1046" s="366">
        <v>1</v>
      </c>
      <c r="S1046" s="366">
        <v>800</v>
      </c>
      <c r="T1046" s="366">
        <v>66</v>
      </c>
      <c r="U1046" s="366">
        <v>500</v>
      </c>
      <c r="V1046" s="257">
        <v>8</v>
      </c>
      <c r="W1046" s="257">
        <v>26.5</v>
      </c>
      <c r="X1046" s="257">
        <v>2.5</v>
      </c>
      <c r="Y1046" s="257">
        <v>40</v>
      </c>
      <c r="Z1046" s="161"/>
      <c r="AA1046" s="76"/>
      <c r="AB1046" s="51"/>
      <c r="AC1046" s="366"/>
      <c r="AD1046" s="366"/>
      <c r="AE1046" s="366"/>
      <c r="AF1046" s="366"/>
      <c r="AG1046" s="349"/>
      <c r="AH1046" s="113">
        <v>347.91189611690402</v>
      </c>
      <c r="AI1046" s="53"/>
      <c r="AJ1046" s="53">
        <v>11.65</v>
      </c>
      <c r="AK1046" s="53">
        <v>1.29</v>
      </c>
      <c r="AL1046" s="53">
        <f>(132.5+18.4)/172</f>
        <v>0.87732558139534889</v>
      </c>
      <c r="AM1046" s="366"/>
      <c r="AN1046" s="24">
        <f t="shared" si="190"/>
        <v>0</v>
      </c>
      <c r="AO1046" s="198">
        <f t="shared" si="183"/>
        <v>0</v>
      </c>
      <c r="AP1046" s="399">
        <f t="shared" si="184"/>
        <v>0</v>
      </c>
      <c r="AQ1046" s="373"/>
      <c r="AR1046" s="44"/>
      <c r="AS1046" s="366"/>
      <c r="AT1046" s="366"/>
    </row>
    <row r="1047" spans="1:46" ht="24">
      <c r="A1047" s="326" t="s">
        <v>1375</v>
      </c>
      <c r="B1047" s="366" t="str">
        <f t="shared" si="185"/>
        <v>SiNx</v>
      </c>
      <c r="C1047" s="280">
        <f t="shared" si="186"/>
        <v>0</v>
      </c>
      <c r="D1047" s="183">
        <f t="shared" si="187"/>
        <v>345.77089983310702</v>
      </c>
      <c r="E1047" s="96">
        <f t="shared" si="191"/>
        <v>11.65</v>
      </c>
      <c r="F1047" s="96">
        <f t="shared" si="192"/>
        <v>1.21</v>
      </c>
      <c r="G1047" s="183">
        <f t="shared" si="188"/>
        <v>0</v>
      </c>
      <c r="H1047" s="215">
        <f t="shared" si="182"/>
        <v>0.87556818181818175</v>
      </c>
      <c r="I1047" s="183">
        <f t="shared" si="189"/>
        <v>0</v>
      </c>
      <c r="J1047" s="366"/>
      <c r="K1047" s="366" t="s">
        <v>1374</v>
      </c>
      <c r="L1047" s="366"/>
      <c r="M1047" s="373"/>
      <c r="N1047" s="191">
        <v>41506</v>
      </c>
      <c r="O1047" s="366">
        <v>360</v>
      </c>
      <c r="P1047" s="366" t="s">
        <v>187</v>
      </c>
      <c r="Q1047" s="257" t="s">
        <v>1367</v>
      </c>
      <c r="R1047" s="366">
        <v>2</v>
      </c>
      <c r="S1047" s="366">
        <v>800</v>
      </c>
      <c r="T1047" s="366">
        <v>66</v>
      </c>
      <c r="U1047" s="366">
        <v>500</v>
      </c>
      <c r="V1047" s="257">
        <v>8</v>
      </c>
      <c r="W1047" s="257">
        <v>26.5</v>
      </c>
      <c r="X1047" s="257">
        <v>2.5</v>
      </c>
      <c r="Y1047" s="257">
        <v>40</v>
      </c>
      <c r="Z1047" s="161"/>
      <c r="AA1047" s="76"/>
      <c r="AB1047" s="51"/>
      <c r="AC1047" s="366"/>
      <c r="AD1047" s="366"/>
      <c r="AE1047" s="366"/>
      <c r="AF1047" s="366"/>
      <c r="AG1047" s="349"/>
      <c r="AH1047" s="113">
        <v>345.77089983310702</v>
      </c>
      <c r="AI1047" s="53"/>
      <c r="AJ1047" s="53">
        <v>11.65</v>
      </c>
      <c r="AK1047" s="53">
        <v>1.21</v>
      </c>
      <c r="AL1047" s="53">
        <f>(135.6+18.5)/176</f>
        <v>0.87556818181818175</v>
      </c>
      <c r="AM1047" s="366"/>
      <c r="AN1047" s="24">
        <f t="shared" si="190"/>
        <v>0</v>
      </c>
      <c r="AO1047" s="198">
        <f t="shared" si="183"/>
        <v>0</v>
      </c>
      <c r="AP1047" s="399">
        <f t="shared" si="184"/>
        <v>0</v>
      </c>
      <c r="AQ1047" s="373"/>
      <c r="AR1047" s="44"/>
      <c r="AS1047" s="366"/>
      <c r="AT1047" s="366"/>
    </row>
    <row r="1048" spans="1:46" ht="24">
      <c r="A1048" s="326" t="s">
        <v>1376</v>
      </c>
      <c r="B1048" s="366" t="str">
        <f t="shared" si="185"/>
        <v>SiNx</v>
      </c>
      <c r="C1048" s="280">
        <f t="shared" si="186"/>
        <v>0</v>
      </c>
      <c r="D1048" s="183">
        <f t="shared" si="187"/>
        <v>373.60385152245999</v>
      </c>
      <c r="E1048" s="96">
        <f t="shared" si="191"/>
        <v>10.68</v>
      </c>
      <c r="F1048" s="96">
        <f t="shared" si="192"/>
        <v>1.36</v>
      </c>
      <c r="G1048" s="183">
        <f t="shared" si="188"/>
        <v>0</v>
      </c>
      <c r="H1048" s="215">
        <f t="shared" si="182"/>
        <v>0.87647058823529411</v>
      </c>
      <c r="I1048" s="183">
        <f t="shared" si="189"/>
        <v>0</v>
      </c>
      <c r="J1048" s="366"/>
      <c r="K1048" s="366" t="s">
        <v>1374</v>
      </c>
      <c r="L1048" s="366"/>
      <c r="M1048" s="373"/>
      <c r="N1048" s="191">
        <v>41506</v>
      </c>
      <c r="O1048" s="366">
        <v>360</v>
      </c>
      <c r="P1048" s="366" t="s">
        <v>187</v>
      </c>
      <c r="Q1048" s="257" t="s">
        <v>1367</v>
      </c>
      <c r="R1048" s="366">
        <v>3</v>
      </c>
      <c r="S1048" s="366">
        <v>800</v>
      </c>
      <c r="T1048" s="366">
        <v>66</v>
      </c>
      <c r="U1048" s="366">
        <v>500</v>
      </c>
      <c r="V1048" s="257">
        <v>8</v>
      </c>
      <c r="W1048" s="257">
        <v>26.5</v>
      </c>
      <c r="X1048" s="257">
        <v>2.5</v>
      </c>
      <c r="Y1048" s="257">
        <v>40</v>
      </c>
      <c r="Z1048" s="161"/>
      <c r="AA1048" s="76"/>
      <c r="AB1048" s="51"/>
      <c r="AC1048" s="366"/>
      <c r="AD1048" s="366"/>
      <c r="AE1048" s="366"/>
      <c r="AF1048" s="366"/>
      <c r="AG1048" s="349"/>
      <c r="AH1048" s="113">
        <v>373.60385152245999</v>
      </c>
      <c r="AI1048" s="53"/>
      <c r="AJ1048" s="53">
        <v>10.68</v>
      </c>
      <c r="AK1048" s="53">
        <v>1.36</v>
      </c>
      <c r="AL1048" s="53">
        <f>(145.4+18.5)/187</f>
        <v>0.87647058823529411</v>
      </c>
      <c r="AM1048" s="366"/>
      <c r="AN1048" s="24">
        <f t="shared" si="190"/>
        <v>0</v>
      </c>
      <c r="AO1048" s="198">
        <f t="shared" si="183"/>
        <v>0</v>
      </c>
      <c r="AP1048" s="399">
        <f t="shared" si="184"/>
        <v>0</v>
      </c>
      <c r="AQ1048" s="373"/>
      <c r="AR1048" s="44"/>
      <c r="AS1048" s="366"/>
      <c r="AT1048" s="366"/>
    </row>
    <row r="1049" spans="1:46" ht="24">
      <c r="A1049" s="326" t="s">
        <v>1377</v>
      </c>
      <c r="B1049" s="366" t="str">
        <f t="shared" si="185"/>
        <v>SiNx</v>
      </c>
      <c r="C1049" s="280">
        <f t="shared" si="186"/>
        <v>0</v>
      </c>
      <c r="D1049" s="183">
        <f t="shared" si="187"/>
        <v>344.70040169120898</v>
      </c>
      <c r="E1049" s="96">
        <f t="shared" si="191"/>
        <v>11.65</v>
      </c>
      <c r="F1049" s="96">
        <f t="shared" si="192"/>
        <v>1.22</v>
      </c>
      <c r="G1049" s="183">
        <f t="shared" si="188"/>
        <v>0</v>
      </c>
      <c r="H1049" s="215">
        <f t="shared" si="182"/>
        <v>0.87882352941176478</v>
      </c>
      <c r="I1049" s="183">
        <f t="shared" si="189"/>
        <v>0</v>
      </c>
      <c r="J1049" s="366"/>
      <c r="K1049" s="366" t="s">
        <v>1374</v>
      </c>
      <c r="L1049" s="366"/>
      <c r="M1049" s="373"/>
      <c r="N1049" s="191">
        <v>41506</v>
      </c>
      <c r="O1049" s="366">
        <v>360</v>
      </c>
      <c r="P1049" s="366" t="s">
        <v>187</v>
      </c>
      <c r="Q1049" s="257" t="s">
        <v>1367</v>
      </c>
      <c r="R1049" s="366">
        <v>4</v>
      </c>
      <c r="S1049" s="366">
        <v>800</v>
      </c>
      <c r="T1049" s="366">
        <v>66</v>
      </c>
      <c r="U1049" s="366">
        <v>500</v>
      </c>
      <c r="V1049" s="257">
        <v>8</v>
      </c>
      <c r="W1049" s="257">
        <v>26.5</v>
      </c>
      <c r="X1049" s="257">
        <v>2.5</v>
      </c>
      <c r="Y1049" s="257">
        <v>40</v>
      </c>
      <c r="Z1049" s="161"/>
      <c r="AA1049" s="76"/>
      <c r="AB1049" s="51"/>
      <c r="AC1049" s="366"/>
      <c r="AD1049" s="366"/>
      <c r="AE1049" s="366"/>
      <c r="AF1049" s="366"/>
      <c r="AG1049" s="349"/>
      <c r="AH1049" s="113">
        <v>344.70040169120898</v>
      </c>
      <c r="AI1049" s="53"/>
      <c r="AJ1049" s="53">
        <v>11.65</v>
      </c>
      <c r="AK1049" s="53">
        <v>1.22</v>
      </c>
      <c r="AL1049" s="53">
        <f>(130.6+18.8)/170</f>
        <v>0.87882352941176478</v>
      </c>
      <c r="AM1049" s="366"/>
      <c r="AN1049" s="24">
        <f t="shared" si="190"/>
        <v>0</v>
      </c>
      <c r="AO1049" s="198">
        <f t="shared" si="183"/>
        <v>0</v>
      </c>
      <c r="AP1049" s="399">
        <f t="shared" si="184"/>
        <v>0</v>
      </c>
      <c r="AQ1049" s="373"/>
      <c r="AR1049" s="44"/>
      <c r="AS1049" s="366"/>
      <c r="AT1049" s="366"/>
    </row>
    <row r="1050" spans="1:46" ht="12">
      <c r="A1050" s="111" t="s">
        <v>1378</v>
      </c>
      <c r="B1050" s="67" t="str">
        <f t="shared" si="185"/>
        <v>MgO</v>
      </c>
      <c r="C1050" s="32">
        <f t="shared" si="186"/>
        <v>4.83</v>
      </c>
      <c r="D1050" s="279">
        <f t="shared" si="187"/>
        <v>206.24930867238001</v>
      </c>
      <c r="E1050" s="78">
        <f t="shared" si="191"/>
        <v>13.63</v>
      </c>
      <c r="F1050" s="78">
        <f t="shared" si="192"/>
        <v>0.69</v>
      </c>
      <c r="G1050" s="279">
        <f t="shared" si="188"/>
        <v>99.618416088759545</v>
      </c>
      <c r="H1050" s="190">
        <f t="shared" si="182"/>
        <v>1.0077777777777777</v>
      </c>
      <c r="I1050" s="279">
        <f t="shared" si="189"/>
        <v>13577.990112897927</v>
      </c>
      <c r="J1050" s="67"/>
      <c r="K1050" s="67" t="s">
        <v>1374</v>
      </c>
      <c r="L1050" s="67"/>
      <c r="M1050" s="371"/>
      <c r="N1050" s="309">
        <v>41506</v>
      </c>
      <c r="O1050" s="67">
        <v>360</v>
      </c>
      <c r="P1050" s="67" t="s">
        <v>46</v>
      </c>
      <c r="Q1050" s="67"/>
      <c r="R1050" s="67">
        <v>5</v>
      </c>
      <c r="S1050" s="67">
        <v>800</v>
      </c>
      <c r="T1050" s="67">
        <v>66</v>
      </c>
      <c r="U1050" s="67">
        <v>500</v>
      </c>
      <c r="V1050" s="256">
        <v>8</v>
      </c>
      <c r="W1050" s="256">
        <v>26.5</v>
      </c>
      <c r="X1050" s="256">
        <v>2.5</v>
      </c>
      <c r="Y1050" s="256">
        <v>40</v>
      </c>
      <c r="Z1050" s="306"/>
      <c r="AA1050" s="317"/>
      <c r="AB1050" s="182">
        <v>0.20949999999999999</v>
      </c>
      <c r="AC1050" s="67">
        <v>0.55120000000000002</v>
      </c>
      <c r="AD1050" s="67">
        <v>0.23930000000000001</v>
      </c>
      <c r="AE1050" s="256" t="s">
        <v>47</v>
      </c>
      <c r="AF1050" s="67">
        <v>4.83</v>
      </c>
      <c r="AG1050" s="315"/>
      <c r="AH1050" s="66">
        <v>206.24930867238001</v>
      </c>
      <c r="AI1050" s="216"/>
      <c r="AJ1050" s="216">
        <v>13.63</v>
      </c>
      <c r="AK1050" s="216">
        <v>0.69</v>
      </c>
      <c r="AL1050" s="216">
        <f>(71.1+19.6)/90</f>
        <v>1.0077777777777777</v>
      </c>
      <c r="AM1050" s="67"/>
      <c r="AN1050" s="24">
        <f t="shared" si="190"/>
        <v>99.618416088759545</v>
      </c>
      <c r="AO1050" s="389">
        <f t="shared" si="183"/>
        <v>13577.990112897927</v>
      </c>
      <c r="AP1050" s="187">
        <f t="shared" si="184"/>
        <v>4.3909090909090907</v>
      </c>
      <c r="AQ1050" s="371"/>
      <c r="AR1050" s="41"/>
      <c r="AS1050" s="67"/>
      <c r="AT1050" s="67"/>
    </row>
    <row r="1051" spans="1:46" ht="12">
      <c r="A1051" s="111" t="s">
        <v>1379</v>
      </c>
      <c r="B1051" s="67" t="str">
        <f t="shared" si="185"/>
        <v>MgO</v>
      </c>
      <c r="C1051" s="32">
        <f t="shared" si="186"/>
        <v>4.8</v>
      </c>
      <c r="D1051" s="279">
        <f t="shared" si="187"/>
        <v>245.85773992261201</v>
      </c>
      <c r="E1051" s="78">
        <f t="shared" si="191"/>
        <v>12.66</v>
      </c>
      <c r="F1051" s="78">
        <f t="shared" si="192"/>
        <v>0.88</v>
      </c>
      <c r="G1051" s="279">
        <f t="shared" si="188"/>
        <v>118.01171516285376</v>
      </c>
      <c r="H1051" s="190">
        <f t="shared" si="182"/>
        <v>0.90857142857142859</v>
      </c>
      <c r="I1051" s="279">
        <f t="shared" si="189"/>
        <v>14940.283139617286</v>
      </c>
      <c r="J1051" s="67"/>
      <c r="K1051" s="67" t="s">
        <v>1374</v>
      </c>
      <c r="L1051" s="67"/>
      <c r="M1051" s="371"/>
      <c r="N1051" s="309">
        <v>41506</v>
      </c>
      <c r="O1051" s="67">
        <v>360</v>
      </c>
      <c r="P1051" s="67" t="s">
        <v>46</v>
      </c>
      <c r="Q1051" s="67"/>
      <c r="R1051" s="67">
        <v>6</v>
      </c>
      <c r="S1051" s="67">
        <v>800</v>
      </c>
      <c r="T1051" s="67">
        <v>66</v>
      </c>
      <c r="U1051" s="67">
        <v>500</v>
      </c>
      <c r="V1051" s="256">
        <v>8</v>
      </c>
      <c r="W1051" s="256">
        <v>26.5</v>
      </c>
      <c r="X1051" s="256">
        <v>2.5</v>
      </c>
      <c r="Y1051" s="256">
        <v>40</v>
      </c>
      <c r="Z1051" s="306"/>
      <c r="AA1051" s="317"/>
      <c r="AB1051" s="182">
        <v>0.20949999999999999</v>
      </c>
      <c r="AC1051" s="67">
        <v>0.55289999999999995</v>
      </c>
      <c r="AD1051" s="67">
        <v>0.23760000000000001</v>
      </c>
      <c r="AE1051" s="256" t="s">
        <v>47</v>
      </c>
      <c r="AF1051" s="67">
        <v>4.8</v>
      </c>
      <c r="AG1051" s="315"/>
      <c r="AH1051" s="66">
        <v>245.85773992261201</v>
      </c>
      <c r="AI1051" s="216"/>
      <c r="AJ1051" s="216">
        <v>12.66</v>
      </c>
      <c r="AK1051" s="216">
        <v>0.88</v>
      </c>
      <c r="AL1051" s="216">
        <f>(75.2+20.2)/105</f>
        <v>0.90857142857142859</v>
      </c>
      <c r="AM1051" s="67"/>
      <c r="AN1051" s="24">
        <f t="shared" si="190"/>
        <v>118.01171516285376</v>
      </c>
      <c r="AO1051" s="389">
        <f t="shared" si="183"/>
        <v>14940.283139617286</v>
      </c>
      <c r="AP1051" s="187">
        <f t="shared" si="184"/>
        <v>4.3636363636363633</v>
      </c>
      <c r="AQ1051" s="371"/>
      <c r="AR1051" s="41"/>
      <c r="AS1051" s="67"/>
      <c r="AT1051" s="67"/>
    </row>
    <row r="1052" spans="1:46" ht="12">
      <c r="A1052" s="137" t="s">
        <v>1380</v>
      </c>
      <c r="B1052" s="83" t="str">
        <f t="shared" si="185"/>
        <v>SiO2</v>
      </c>
      <c r="C1052" s="329">
        <f t="shared" si="186"/>
        <v>0</v>
      </c>
      <c r="D1052" s="168">
        <f t="shared" si="187"/>
        <v>0</v>
      </c>
      <c r="E1052" s="139">
        <f t="shared" si="191"/>
        <v>0</v>
      </c>
      <c r="F1052" s="139">
        <f t="shared" si="192"/>
        <v>0</v>
      </c>
      <c r="G1052" s="168">
        <f t="shared" si="188"/>
        <v>0</v>
      </c>
      <c r="H1052" s="150">
        <f t="shared" si="182"/>
        <v>0</v>
      </c>
      <c r="I1052" s="168">
        <f t="shared" si="189"/>
        <v>0</v>
      </c>
      <c r="J1052" s="83"/>
      <c r="K1052" s="83" t="s">
        <v>1381</v>
      </c>
      <c r="L1052" s="83"/>
      <c r="M1052" s="385"/>
      <c r="N1052" s="362">
        <v>41506</v>
      </c>
      <c r="O1052" s="83">
        <v>361</v>
      </c>
      <c r="P1052" s="83" t="s">
        <v>1182</v>
      </c>
      <c r="Q1052" s="83">
        <v>265</v>
      </c>
      <c r="R1052" s="83">
        <v>3</v>
      </c>
      <c r="S1052" s="83">
        <v>20</v>
      </c>
      <c r="T1052" s="83"/>
      <c r="U1052" s="83"/>
      <c r="V1052" s="83"/>
      <c r="W1052" s="83"/>
      <c r="X1052" s="83"/>
      <c r="Y1052" s="83"/>
      <c r="Z1052" s="83"/>
      <c r="AA1052" s="119"/>
      <c r="AB1052" s="84"/>
      <c r="AC1052" s="83"/>
      <c r="AD1052" s="83"/>
      <c r="AE1052" s="83"/>
      <c r="AF1052" s="83"/>
      <c r="AG1052" s="220"/>
      <c r="AH1052" s="344"/>
      <c r="AI1052" s="139"/>
      <c r="AJ1052" s="139"/>
      <c r="AK1052" s="139"/>
      <c r="AL1052" s="139"/>
      <c r="AM1052" s="83"/>
      <c r="AN1052" s="24">
        <f t="shared" si="190"/>
        <v>0</v>
      </c>
      <c r="AO1052" s="252">
        <f t="shared" si="183"/>
        <v>0</v>
      </c>
      <c r="AP1052" s="65" t="e">
        <f t="shared" si="184"/>
        <v>#DIV/0!</v>
      </c>
      <c r="AQ1052" s="385"/>
      <c r="AR1052" s="162"/>
      <c r="AS1052" s="83"/>
      <c r="AT1052" s="83"/>
    </row>
    <row r="1053" spans="1:46" ht="12">
      <c r="A1053" s="137" t="s">
        <v>1382</v>
      </c>
      <c r="B1053" s="83" t="str">
        <f t="shared" si="185"/>
        <v>SiO2</v>
      </c>
      <c r="C1053" s="329">
        <f t="shared" si="186"/>
        <v>0</v>
      </c>
      <c r="D1053" s="168">
        <f t="shared" si="187"/>
        <v>0</v>
      </c>
      <c r="E1053" s="139">
        <f t="shared" si="191"/>
        <v>0</v>
      </c>
      <c r="F1053" s="139">
        <f t="shared" si="192"/>
        <v>0</v>
      </c>
      <c r="G1053" s="168">
        <f t="shared" si="188"/>
        <v>0</v>
      </c>
      <c r="H1053" s="150">
        <f t="shared" si="182"/>
        <v>0</v>
      </c>
      <c r="I1053" s="168">
        <f t="shared" si="189"/>
        <v>0</v>
      </c>
      <c r="J1053" s="83"/>
      <c r="K1053" s="83" t="s">
        <v>1381</v>
      </c>
      <c r="L1053" s="83"/>
      <c r="M1053" s="385"/>
      <c r="N1053" s="362">
        <v>41506</v>
      </c>
      <c r="O1053" s="83">
        <v>361</v>
      </c>
      <c r="P1053" s="83" t="s">
        <v>1182</v>
      </c>
      <c r="Q1053" s="83">
        <v>265</v>
      </c>
      <c r="R1053" s="83">
        <v>6</v>
      </c>
      <c r="S1053" s="83">
        <v>20</v>
      </c>
      <c r="T1053" s="83"/>
      <c r="U1053" s="83"/>
      <c r="V1053" s="83"/>
      <c r="W1053" s="83"/>
      <c r="X1053" s="83"/>
      <c r="Y1053" s="83"/>
      <c r="Z1053" s="83"/>
      <c r="AA1053" s="119"/>
      <c r="AB1053" s="84"/>
      <c r="AC1053" s="83"/>
      <c r="AD1053" s="83"/>
      <c r="AE1053" s="83"/>
      <c r="AF1053" s="83"/>
      <c r="AG1053" s="220"/>
      <c r="AH1053" s="344"/>
      <c r="AI1053" s="139"/>
      <c r="AJ1053" s="139"/>
      <c r="AK1053" s="139"/>
      <c r="AL1053" s="139"/>
      <c r="AM1053" s="83"/>
      <c r="AN1053" s="24">
        <f t="shared" si="190"/>
        <v>0</v>
      </c>
      <c r="AO1053" s="252">
        <f t="shared" si="183"/>
        <v>0</v>
      </c>
      <c r="AP1053" s="65" t="e">
        <f t="shared" si="184"/>
        <v>#DIV/0!</v>
      </c>
      <c r="AQ1053" s="385"/>
      <c r="AR1053" s="162"/>
      <c r="AS1053" s="83"/>
      <c r="AT1053" s="83"/>
    </row>
    <row r="1054" spans="1:46" ht="12">
      <c r="A1054" s="193" t="s">
        <v>1383</v>
      </c>
      <c r="B1054" s="180">
        <f t="shared" si="185"/>
        <v>0</v>
      </c>
      <c r="C1054" s="386">
        <f t="shared" si="186"/>
        <v>0</v>
      </c>
      <c r="D1054" s="98">
        <f t="shared" si="187"/>
        <v>0</v>
      </c>
      <c r="E1054" s="235">
        <f t="shared" si="191"/>
        <v>0</v>
      </c>
      <c r="F1054" s="235">
        <f t="shared" si="192"/>
        <v>0</v>
      </c>
      <c r="G1054" s="98">
        <f t="shared" si="188"/>
        <v>0</v>
      </c>
      <c r="H1054" s="79">
        <f t="shared" si="182"/>
        <v>0</v>
      </c>
      <c r="I1054" s="98">
        <f t="shared" si="189"/>
        <v>0</v>
      </c>
      <c r="J1054" s="180"/>
      <c r="K1054" s="180" t="s">
        <v>1384</v>
      </c>
      <c r="L1054" s="180"/>
      <c r="M1054" s="214"/>
      <c r="N1054" s="323">
        <v>41507</v>
      </c>
      <c r="O1054" s="180">
        <v>362</v>
      </c>
      <c r="P1054" s="180"/>
      <c r="Q1054" s="180"/>
      <c r="R1054" s="180"/>
      <c r="S1054" s="180"/>
      <c r="T1054" s="180"/>
      <c r="U1054" s="180"/>
      <c r="V1054" s="180"/>
      <c r="W1054" s="180"/>
      <c r="X1054" s="180"/>
      <c r="Y1054" s="180"/>
      <c r="Z1054" s="180"/>
      <c r="AA1054" s="334"/>
      <c r="AB1054" s="308"/>
      <c r="AC1054" s="180"/>
      <c r="AD1054" s="180"/>
      <c r="AE1054" s="180"/>
      <c r="AF1054" s="180"/>
      <c r="AG1054" s="391"/>
      <c r="AH1054" s="402"/>
      <c r="AI1054" s="147"/>
      <c r="AJ1054" s="147"/>
      <c r="AK1054" s="147"/>
      <c r="AL1054" s="147"/>
      <c r="AM1054" s="180"/>
      <c r="AN1054" s="24">
        <f t="shared" si="190"/>
        <v>0</v>
      </c>
      <c r="AO1054" s="118">
        <f t="shared" si="183"/>
        <v>0</v>
      </c>
      <c r="AP1054" s="197" t="e">
        <f t="shared" ref="AP1054:AP1085" si="193">(AF1054/T1054)*60</f>
        <v>#DIV/0!</v>
      </c>
      <c r="AQ1054" s="214"/>
      <c r="AR1054" s="125"/>
      <c r="AS1054" s="180"/>
      <c r="AT1054" s="180"/>
    </row>
    <row r="1055" spans="1:46" ht="12">
      <c r="A1055" s="193" t="s">
        <v>1385</v>
      </c>
      <c r="B1055" s="180">
        <f t="shared" si="185"/>
        <v>0</v>
      </c>
      <c r="C1055" s="386">
        <f t="shared" si="186"/>
        <v>0</v>
      </c>
      <c r="D1055" s="98">
        <f t="shared" si="187"/>
        <v>0</v>
      </c>
      <c r="E1055" s="235">
        <f t="shared" si="191"/>
        <v>0</v>
      </c>
      <c r="F1055" s="235">
        <f t="shared" si="192"/>
        <v>0</v>
      </c>
      <c r="G1055" s="98">
        <f t="shared" si="188"/>
        <v>0</v>
      </c>
      <c r="H1055" s="79">
        <f t="shared" si="182"/>
        <v>0</v>
      </c>
      <c r="I1055" s="98">
        <f t="shared" si="189"/>
        <v>0</v>
      </c>
      <c r="J1055" s="180"/>
      <c r="K1055" s="180" t="s">
        <v>1384</v>
      </c>
      <c r="L1055" s="180"/>
      <c r="M1055" s="214"/>
      <c r="N1055" s="323">
        <v>41507</v>
      </c>
      <c r="O1055" s="180">
        <v>362</v>
      </c>
      <c r="P1055" s="180"/>
      <c r="Q1055" s="180"/>
      <c r="R1055" s="180"/>
      <c r="S1055" s="180"/>
      <c r="T1055" s="180"/>
      <c r="U1055" s="180"/>
      <c r="V1055" s="180"/>
      <c r="W1055" s="180"/>
      <c r="X1055" s="180"/>
      <c r="Y1055" s="180"/>
      <c r="Z1055" s="180"/>
      <c r="AA1055" s="334"/>
      <c r="AB1055" s="308"/>
      <c r="AC1055" s="180"/>
      <c r="AD1055" s="180"/>
      <c r="AE1055" s="180"/>
      <c r="AF1055" s="180"/>
      <c r="AG1055" s="391"/>
      <c r="AH1055" s="402"/>
      <c r="AI1055" s="147"/>
      <c r="AJ1055" s="147"/>
      <c r="AK1055" s="147"/>
      <c r="AL1055" s="147"/>
      <c r="AM1055" s="180"/>
      <c r="AN1055" s="24">
        <f t="shared" si="190"/>
        <v>0</v>
      </c>
      <c r="AO1055" s="118">
        <f t="shared" si="183"/>
        <v>0</v>
      </c>
      <c r="AP1055" s="197" t="e">
        <f t="shared" si="193"/>
        <v>#DIV/0!</v>
      </c>
      <c r="AQ1055" s="214"/>
      <c r="AR1055" s="125"/>
      <c r="AS1055" s="180"/>
      <c r="AT1055" s="180"/>
    </row>
    <row r="1056" spans="1:46" ht="12">
      <c r="A1056" s="193" t="s">
        <v>1386</v>
      </c>
      <c r="B1056" s="180">
        <f t="shared" si="185"/>
        <v>0</v>
      </c>
      <c r="C1056" s="386">
        <f t="shared" si="186"/>
        <v>0</v>
      </c>
      <c r="D1056" s="98">
        <f t="shared" si="187"/>
        <v>0</v>
      </c>
      <c r="E1056" s="235">
        <f t="shared" si="191"/>
        <v>0</v>
      </c>
      <c r="F1056" s="235">
        <f t="shared" si="192"/>
        <v>0</v>
      </c>
      <c r="G1056" s="98">
        <f t="shared" si="188"/>
        <v>0</v>
      </c>
      <c r="H1056" s="79">
        <f t="shared" ref="H1056:H1111" si="194">AL1056</f>
        <v>0</v>
      </c>
      <c r="I1056" s="98">
        <f t="shared" si="189"/>
        <v>0</v>
      </c>
      <c r="J1056" s="180"/>
      <c r="K1056" s="180" t="s">
        <v>1384</v>
      </c>
      <c r="L1056" s="180"/>
      <c r="M1056" s="214"/>
      <c r="N1056" s="323">
        <v>41507</v>
      </c>
      <c r="O1056" s="180">
        <v>362</v>
      </c>
      <c r="P1056" s="180"/>
      <c r="Q1056" s="180"/>
      <c r="R1056" s="180"/>
      <c r="S1056" s="180"/>
      <c r="T1056" s="180"/>
      <c r="U1056" s="180"/>
      <c r="V1056" s="180"/>
      <c r="W1056" s="180"/>
      <c r="X1056" s="180"/>
      <c r="Y1056" s="180"/>
      <c r="Z1056" s="180"/>
      <c r="AA1056" s="334"/>
      <c r="AB1056" s="308"/>
      <c r="AC1056" s="180"/>
      <c r="AD1056" s="180"/>
      <c r="AE1056" s="180"/>
      <c r="AF1056" s="180"/>
      <c r="AG1056" s="391"/>
      <c r="AH1056" s="402"/>
      <c r="AI1056" s="147"/>
      <c r="AJ1056" s="147"/>
      <c r="AK1056" s="147"/>
      <c r="AL1056" s="147"/>
      <c r="AM1056" s="180"/>
      <c r="AN1056" s="24">
        <f t="shared" si="190"/>
        <v>0</v>
      </c>
      <c r="AO1056" s="118">
        <f t="shared" si="183"/>
        <v>0</v>
      </c>
      <c r="AP1056" s="197" t="e">
        <f t="shared" si="193"/>
        <v>#DIV/0!</v>
      </c>
      <c r="AQ1056" s="214"/>
      <c r="AR1056" s="125"/>
      <c r="AS1056" s="180"/>
      <c r="AT1056" s="180"/>
    </row>
    <row r="1057" spans="1:46" ht="12">
      <c r="A1057" s="193" t="s">
        <v>1387</v>
      </c>
      <c r="B1057" s="180">
        <f t="shared" si="185"/>
        <v>0</v>
      </c>
      <c r="C1057" s="386">
        <f t="shared" si="186"/>
        <v>0</v>
      </c>
      <c r="D1057" s="98">
        <f t="shared" si="187"/>
        <v>0</v>
      </c>
      <c r="E1057" s="235">
        <f t="shared" si="191"/>
        <v>0</v>
      </c>
      <c r="F1057" s="235">
        <f t="shared" si="192"/>
        <v>0</v>
      </c>
      <c r="G1057" s="98">
        <f t="shared" si="188"/>
        <v>0</v>
      </c>
      <c r="H1057" s="79">
        <f t="shared" si="194"/>
        <v>0</v>
      </c>
      <c r="I1057" s="98">
        <f t="shared" si="189"/>
        <v>0</v>
      </c>
      <c r="J1057" s="180"/>
      <c r="K1057" s="180" t="s">
        <v>1384</v>
      </c>
      <c r="L1057" s="180"/>
      <c r="M1057" s="214"/>
      <c r="N1057" s="323">
        <v>41507</v>
      </c>
      <c r="O1057" s="180">
        <v>362</v>
      </c>
      <c r="P1057" s="180"/>
      <c r="Q1057" s="180"/>
      <c r="R1057" s="180"/>
      <c r="S1057" s="180"/>
      <c r="T1057" s="180"/>
      <c r="U1057" s="180"/>
      <c r="V1057" s="180"/>
      <c r="W1057" s="180"/>
      <c r="X1057" s="180"/>
      <c r="Y1057" s="180"/>
      <c r="Z1057" s="180"/>
      <c r="AA1057" s="334"/>
      <c r="AB1057" s="308"/>
      <c r="AC1057" s="180"/>
      <c r="AD1057" s="180"/>
      <c r="AE1057" s="180"/>
      <c r="AF1057" s="180"/>
      <c r="AG1057" s="391"/>
      <c r="AH1057" s="402"/>
      <c r="AI1057" s="147"/>
      <c r="AJ1057" s="147"/>
      <c r="AK1057" s="147"/>
      <c r="AL1057" s="147"/>
      <c r="AM1057" s="180"/>
      <c r="AN1057" s="24">
        <f t="shared" si="190"/>
        <v>0</v>
      </c>
      <c r="AO1057" s="118">
        <f t="shared" si="183"/>
        <v>0</v>
      </c>
      <c r="AP1057" s="197" t="e">
        <f t="shared" si="193"/>
        <v>#DIV/0!</v>
      </c>
      <c r="AQ1057" s="214"/>
      <c r="AR1057" s="125"/>
      <c r="AS1057" s="180"/>
      <c r="AT1057" s="180"/>
    </row>
    <row r="1058" spans="1:46" ht="12">
      <c r="A1058" s="193" t="s">
        <v>1388</v>
      </c>
      <c r="B1058" s="180">
        <f t="shared" si="185"/>
        <v>0</v>
      </c>
      <c r="C1058" s="386">
        <f t="shared" si="186"/>
        <v>0</v>
      </c>
      <c r="D1058" s="98">
        <f t="shared" si="187"/>
        <v>0</v>
      </c>
      <c r="E1058" s="235">
        <f t="shared" si="191"/>
        <v>0</v>
      </c>
      <c r="F1058" s="235">
        <f t="shared" si="192"/>
        <v>0</v>
      </c>
      <c r="G1058" s="98">
        <f t="shared" si="188"/>
        <v>0</v>
      </c>
      <c r="H1058" s="79">
        <f t="shared" si="194"/>
        <v>0</v>
      </c>
      <c r="I1058" s="98">
        <f t="shared" si="189"/>
        <v>0</v>
      </c>
      <c r="J1058" s="180"/>
      <c r="K1058" s="180" t="s">
        <v>1384</v>
      </c>
      <c r="L1058" s="180"/>
      <c r="M1058" s="214"/>
      <c r="N1058" s="323">
        <v>41507</v>
      </c>
      <c r="O1058" s="180">
        <v>362</v>
      </c>
      <c r="P1058" s="180"/>
      <c r="Q1058" s="180"/>
      <c r="R1058" s="180"/>
      <c r="S1058" s="180"/>
      <c r="T1058" s="180"/>
      <c r="U1058" s="180"/>
      <c r="V1058" s="180"/>
      <c r="W1058" s="180"/>
      <c r="X1058" s="180"/>
      <c r="Y1058" s="180"/>
      <c r="Z1058" s="180"/>
      <c r="AA1058" s="334"/>
      <c r="AB1058" s="308"/>
      <c r="AC1058" s="180"/>
      <c r="AD1058" s="180"/>
      <c r="AE1058" s="180"/>
      <c r="AF1058" s="180"/>
      <c r="AG1058" s="391"/>
      <c r="AH1058" s="402"/>
      <c r="AI1058" s="147"/>
      <c r="AJ1058" s="147"/>
      <c r="AK1058" s="147"/>
      <c r="AL1058" s="147"/>
      <c r="AM1058" s="180"/>
      <c r="AN1058" s="24">
        <f t="shared" si="190"/>
        <v>0</v>
      </c>
      <c r="AO1058" s="118">
        <f t="shared" si="183"/>
        <v>0</v>
      </c>
      <c r="AP1058" s="197" t="e">
        <f t="shared" si="193"/>
        <v>#DIV/0!</v>
      </c>
      <c r="AQ1058" s="214"/>
      <c r="AR1058" s="125"/>
      <c r="AS1058" s="180"/>
      <c r="AT1058" s="180"/>
    </row>
    <row r="1059" spans="1:46" ht="12">
      <c r="A1059" s="193" t="s">
        <v>1389</v>
      </c>
      <c r="B1059" s="180">
        <f t="shared" si="185"/>
        <v>0</v>
      </c>
      <c r="C1059" s="386">
        <f t="shared" si="186"/>
        <v>0</v>
      </c>
      <c r="D1059" s="98">
        <f t="shared" si="187"/>
        <v>0</v>
      </c>
      <c r="E1059" s="235">
        <f t="shared" si="191"/>
        <v>0</v>
      </c>
      <c r="F1059" s="235">
        <f t="shared" si="192"/>
        <v>0</v>
      </c>
      <c r="G1059" s="98">
        <f t="shared" si="188"/>
        <v>0</v>
      </c>
      <c r="H1059" s="79">
        <f t="shared" si="194"/>
        <v>0</v>
      </c>
      <c r="I1059" s="98">
        <f t="shared" si="189"/>
        <v>0</v>
      </c>
      <c r="J1059" s="180"/>
      <c r="K1059" s="180" t="s">
        <v>1384</v>
      </c>
      <c r="L1059" s="180"/>
      <c r="M1059" s="214"/>
      <c r="N1059" s="323">
        <v>41507</v>
      </c>
      <c r="O1059" s="180">
        <v>362</v>
      </c>
      <c r="P1059" s="180"/>
      <c r="Q1059" s="180"/>
      <c r="R1059" s="180"/>
      <c r="S1059" s="180"/>
      <c r="T1059" s="180"/>
      <c r="U1059" s="180"/>
      <c r="V1059" s="180"/>
      <c r="W1059" s="180"/>
      <c r="X1059" s="180"/>
      <c r="Y1059" s="180"/>
      <c r="Z1059" s="180"/>
      <c r="AA1059" s="334"/>
      <c r="AB1059" s="308"/>
      <c r="AC1059" s="180"/>
      <c r="AD1059" s="180"/>
      <c r="AE1059" s="180"/>
      <c r="AF1059" s="180"/>
      <c r="AG1059" s="391"/>
      <c r="AH1059" s="402"/>
      <c r="AI1059" s="147"/>
      <c r="AJ1059" s="147"/>
      <c r="AK1059" s="147"/>
      <c r="AL1059" s="147"/>
      <c r="AM1059" s="180"/>
      <c r="AN1059" s="24">
        <f t="shared" si="190"/>
        <v>0</v>
      </c>
      <c r="AO1059" s="118">
        <f t="shared" si="183"/>
        <v>0</v>
      </c>
      <c r="AP1059" s="197" t="e">
        <f t="shared" si="193"/>
        <v>#DIV/0!</v>
      </c>
      <c r="AQ1059" s="214"/>
      <c r="AR1059" s="125"/>
      <c r="AS1059" s="180"/>
      <c r="AT1059" s="180"/>
    </row>
    <row r="1060" spans="1:46" ht="12">
      <c r="A1060" s="111" t="s">
        <v>1390</v>
      </c>
      <c r="B1060" s="359" t="str">
        <f t="shared" si="185"/>
        <v>MgO</v>
      </c>
      <c r="C1060" s="141">
        <f t="shared" si="186"/>
        <v>12</v>
      </c>
      <c r="D1060" s="277">
        <f t="shared" si="187"/>
        <v>313.83437193314501</v>
      </c>
      <c r="E1060" s="20">
        <f t="shared" si="191"/>
        <v>9.1</v>
      </c>
      <c r="F1060" s="20">
        <f t="shared" si="192"/>
        <v>1.1100000000000001</v>
      </c>
      <c r="G1060" s="277">
        <f t="shared" si="188"/>
        <v>376.60124631977402</v>
      </c>
      <c r="H1060" s="3">
        <f t="shared" si="194"/>
        <v>0.70454545454545459</v>
      </c>
      <c r="I1060" s="277">
        <f t="shared" si="189"/>
        <v>34270.713415099432</v>
      </c>
      <c r="J1060" s="359"/>
      <c r="K1060" s="359" t="s">
        <v>1391</v>
      </c>
      <c r="L1060" s="359"/>
      <c r="M1060" s="338"/>
      <c r="N1060" s="89">
        <v>41508</v>
      </c>
      <c r="O1060" s="359">
        <v>363</v>
      </c>
      <c r="P1060" s="359" t="s">
        <v>46</v>
      </c>
      <c r="Q1060" s="359"/>
      <c r="R1060" s="359">
        <v>1</v>
      </c>
      <c r="S1060" s="359">
        <v>20</v>
      </c>
      <c r="T1060" s="359">
        <v>200</v>
      </c>
      <c r="U1060" s="359">
        <v>400</v>
      </c>
      <c r="V1060" s="256">
        <v>8</v>
      </c>
      <c r="W1060" s="256">
        <v>26.5</v>
      </c>
      <c r="X1060" s="256">
        <v>2.5</v>
      </c>
      <c r="Y1060" s="256">
        <v>40</v>
      </c>
      <c r="Z1060" s="71"/>
      <c r="AA1060" s="387"/>
      <c r="AB1060" s="248">
        <v>0.30199999999999999</v>
      </c>
      <c r="AC1060" s="359">
        <v>0.31859999999999999</v>
      </c>
      <c r="AD1060" s="359">
        <v>0.37940000000000002</v>
      </c>
      <c r="AE1060" s="256" t="s">
        <v>47</v>
      </c>
      <c r="AF1060" s="359">
        <v>12</v>
      </c>
      <c r="AG1060" s="153"/>
      <c r="AH1060" s="346">
        <v>313.83437193314501</v>
      </c>
      <c r="AI1060" s="24"/>
      <c r="AJ1060" s="24">
        <v>9.1</v>
      </c>
      <c r="AK1060" s="24">
        <v>1.1100000000000001</v>
      </c>
      <c r="AL1060" s="24">
        <f>(119.7+19.8)/198</f>
        <v>0.70454545454545459</v>
      </c>
      <c r="AM1060" s="359"/>
      <c r="AN1060" s="24">
        <f t="shared" si="190"/>
        <v>376.60124631977402</v>
      </c>
      <c r="AO1060" s="54">
        <f t="shared" si="183"/>
        <v>34270.713415099432</v>
      </c>
      <c r="AP1060" s="261">
        <f t="shared" si="193"/>
        <v>3.5999999999999996</v>
      </c>
      <c r="AQ1060" s="338"/>
      <c r="AR1060" s="45"/>
      <c r="AS1060" s="359"/>
      <c r="AT1060" s="359"/>
    </row>
    <row r="1061" spans="1:46" ht="12">
      <c r="A1061" s="111" t="s">
        <v>1392</v>
      </c>
      <c r="B1061" s="359" t="str">
        <f t="shared" si="185"/>
        <v>LiF</v>
      </c>
      <c r="C1061" s="141">
        <f t="shared" si="186"/>
        <v>0</v>
      </c>
      <c r="D1061" s="277">
        <f t="shared" si="187"/>
        <v>304.91355408399397</v>
      </c>
      <c r="E1061" s="20">
        <f t="shared" si="191"/>
        <v>9.06</v>
      </c>
      <c r="F1061" s="20">
        <f t="shared" si="192"/>
        <v>1.06</v>
      </c>
      <c r="G1061" s="277">
        <f t="shared" si="188"/>
        <v>0</v>
      </c>
      <c r="H1061" s="3">
        <f t="shared" si="194"/>
        <v>0.73945945945945957</v>
      </c>
      <c r="I1061" s="277">
        <f t="shared" si="189"/>
        <v>0</v>
      </c>
      <c r="J1061" s="359"/>
      <c r="K1061" s="359" t="s">
        <v>1391</v>
      </c>
      <c r="L1061" s="359"/>
      <c r="M1061" s="338"/>
      <c r="N1061" s="89">
        <v>41508</v>
      </c>
      <c r="O1061" s="359">
        <v>363</v>
      </c>
      <c r="P1061" s="359" t="s">
        <v>1393</v>
      </c>
      <c r="Q1061" s="359"/>
      <c r="R1061" s="359">
        <v>2</v>
      </c>
      <c r="S1061" s="359">
        <v>20</v>
      </c>
      <c r="T1061" s="359">
        <v>200</v>
      </c>
      <c r="U1061" s="359">
        <v>400</v>
      </c>
      <c r="V1061" s="256">
        <v>8</v>
      </c>
      <c r="W1061" s="256">
        <v>26.5</v>
      </c>
      <c r="X1061" s="256">
        <v>2.5</v>
      </c>
      <c r="Y1061" s="256">
        <v>40</v>
      </c>
      <c r="Z1061" s="71"/>
      <c r="AA1061" s="387"/>
      <c r="AB1061" s="248"/>
      <c r="AC1061" s="359"/>
      <c r="AD1061" s="359"/>
      <c r="AE1061" s="359"/>
      <c r="AF1061" s="359"/>
      <c r="AG1061" s="153"/>
      <c r="AH1061" s="346">
        <v>304.91355408399397</v>
      </c>
      <c r="AI1061" s="24"/>
      <c r="AJ1061" s="24">
        <v>9.06</v>
      </c>
      <c r="AK1061" s="24">
        <v>1.06</v>
      </c>
      <c r="AL1061" s="24">
        <f>(116.9+19.9)/185</f>
        <v>0.73945945945945957</v>
      </c>
      <c r="AM1061" s="359"/>
      <c r="AN1061" s="24">
        <f t="shared" si="190"/>
        <v>0</v>
      </c>
      <c r="AO1061" s="54">
        <f t="shared" si="183"/>
        <v>0</v>
      </c>
      <c r="AP1061" s="261">
        <f t="shared" si="193"/>
        <v>0</v>
      </c>
      <c r="AQ1061" s="338"/>
      <c r="AR1061" s="45"/>
      <c r="AS1061" s="359"/>
      <c r="AT1061" s="359"/>
    </row>
    <row r="1062" spans="1:46" ht="12">
      <c r="A1062" s="111" t="s">
        <v>1394</v>
      </c>
      <c r="B1062" s="256" t="str">
        <f t="shared" si="185"/>
        <v>MgO</v>
      </c>
      <c r="C1062" s="32">
        <f t="shared" si="186"/>
        <v>4.66</v>
      </c>
      <c r="D1062" s="279">
        <f t="shared" si="187"/>
        <v>534.17857280718397</v>
      </c>
      <c r="E1062" s="78">
        <f t="shared" si="191"/>
        <v>9.25</v>
      </c>
      <c r="F1062" s="78">
        <f t="shared" si="192"/>
        <v>1.8959999999999999</v>
      </c>
      <c r="G1062" s="279">
        <f t="shared" si="188"/>
        <v>248.92721492814775</v>
      </c>
      <c r="H1062" s="190">
        <f t="shared" si="194"/>
        <v>0.68215297450424928</v>
      </c>
      <c r="I1062" s="279">
        <f t="shared" si="189"/>
        <v>23025.767380853667</v>
      </c>
      <c r="J1062" s="256"/>
      <c r="K1062" s="256" t="s">
        <v>1395</v>
      </c>
      <c r="L1062" s="256"/>
      <c r="M1062" s="68"/>
      <c r="N1062" s="18">
        <v>41508</v>
      </c>
      <c r="O1062" s="256">
        <v>364</v>
      </c>
      <c r="P1062" s="256" t="s">
        <v>46</v>
      </c>
      <c r="Q1062" s="256"/>
      <c r="R1062" s="256">
        <v>1</v>
      </c>
      <c r="S1062" s="81">
        <v>20</v>
      </c>
      <c r="T1062" s="81">
        <v>84</v>
      </c>
      <c r="U1062" s="81">
        <v>400</v>
      </c>
      <c r="V1062" s="256">
        <v>8</v>
      </c>
      <c r="W1062" s="256">
        <v>26.5</v>
      </c>
      <c r="X1062" s="256">
        <v>2.5</v>
      </c>
      <c r="Y1062" s="256">
        <v>40</v>
      </c>
      <c r="Z1062" s="256"/>
      <c r="AA1062" s="207"/>
      <c r="AB1062" s="86">
        <v>0.20100000000000001</v>
      </c>
      <c r="AC1062" s="256">
        <v>0.55979999999999996</v>
      </c>
      <c r="AD1062" s="256">
        <v>0.23910000000000001</v>
      </c>
      <c r="AE1062" s="256" t="s">
        <v>47</v>
      </c>
      <c r="AF1062" s="256">
        <v>4.66</v>
      </c>
      <c r="AG1062" s="335"/>
      <c r="AH1062" s="213">
        <v>534.17857280718397</v>
      </c>
      <c r="AI1062" s="78"/>
      <c r="AJ1062" s="78">
        <v>9.25</v>
      </c>
      <c r="AK1062" s="78">
        <v>1.8959999999999999</v>
      </c>
      <c r="AL1062" s="78">
        <f>(221.3+19.5)/353</f>
        <v>0.68215297450424928</v>
      </c>
      <c r="AM1062" s="256"/>
      <c r="AN1062" s="24">
        <f t="shared" si="190"/>
        <v>248.92721492814775</v>
      </c>
      <c r="AO1062" s="160">
        <f t="shared" ref="AO1062:AO1125" si="195">(AF1062*AH1062)*AJ1062</f>
        <v>23025.767380853667</v>
      </c>
      <c r="AP1062" s="209">
        <f t="shared" si="193"/>
        <v>3.3285714285714287</v>
      </c>
      <c r="AQ1062" s="68"/>
      <c r="AR1062" s="15"/>
      <c r="AS1062" s="256"/>
      <c r="AT1062" s="256"/>
    </row>
    <row r="1063" spans="1:46" ht="12">
      <c r="A1063" s="111" t="s">
        <v>1396</v>
      </c>
      <c r="B1063" s="256" t="str">
        <f t="shared" si="185"/>
        <v>MgO</v>
      </c>
      <c r="C1063" s="32">
        <f t="shared" si="186"/>
        <v>4.6900000000000004</v>
      </c>
      <c r="D1063" s="279">
        <f t="shared" si="187"/>
        <v>530.61024566752405</v>
      </c>
      <c r="E1063" s="78">
        <f t="shared" si="191"/>
        <v>9.26</v>
      </c>
      <c r="F1063" s="78">
        <f t="shared" si="192"/>
        <v>1.85</v>
      </c>
      <c r="G1063" s="279">
        <f t="shared" si="188"/>
        <v>248.85620521806882</v>
      </c>
      <c r="H1063" s="190">
        <f t="shared" si="194"/>
        <v>0.6871345029239766</v>
      </c>
      <c r="I1063" s="279">
        <f t="shared" si="189"/>
        <v>23044.084603193172</v>
      </c>
      <c r="J1063" s="256"/>
      <c r="K1063" s="256" t="s">
        <v>1395</v>
      </c>
      <c r="L1063" s="256"/>
      <c r="M1063" s="68"/>
      <c r="N1063" s="18">
        <v>41508</v>
      </c>
      <c r="O1063" s="256">
        <v>364</v>
      </c>
      <c r="P1063" s="256" t="s">
        <v>46</v>
      </c>
      <c r="Q1063" s="256"/>
      <c r="R1063" s="256">
        <v>2</v>
      </c>
      <c r="S1063" s="81">
        <v>20</v>
      </c>
      <c r="T1063" s="81">
        <v>84</v>
      </c>
      <c r="U1063" s="81">
        <v>400</v>
      </c>
      <c r="V1063" s="256">
        <v>8</v>
      </c>
      <c r="W1063" s="256">
        <v>26.5</v>
      </c>
      <c r="X1063" s="256">
        <v>2.5</v>
      </c>
      <c r="Y1063" s="256">
        <v>40</v>
      </c>
      <c r="Z1063" s="256"/>
      <c r="AA1063" s="207"/>
      <c r="AB1063" s="86">
        <v>0.20499999999999999</v>
      </c>
      <c r="AC1063" s="256">
        <v>0.55810000000000004</v>
      </c>
      <c r="AD1063" s="256">
        <v>0.23680000000000001</v>
      </c>
      <c r="AE1063" s="256" t="s">
        <v>47</v>
      </c>
      <c r="AF1063" s="256">
        <v>4.6900000000000004</v>
      </c>
      <c r="AG1063" s="335"/>
      <c r="AH1063" s="213">
        <v>530.61024566752405</v>
      </c>
      <c r="AI1063" s="78"/>
      <c r="AJ1063" s="78">
        <v>9.26</v>
      </c>
      <c r="AK1063" s="78">
        <v>1.85</v>
      </c>
      <c r="AL1063" s="78">
        <f>(215.5+19.5)/342</f>
        <v>0.6871345029239766</v>
      </c>
      <c r="AM1063" s="256"/>
      <c r="AN1063" s="24">
        <f t="shared" si="190"/>
        <v>248.85620521806882</v>
      </c>
      <c r="AO1063" s="160">
        <f t="shared" si="195"/>
        <v>23044.084603193172</v>
      </c>
      <c r="AP1063" s="209">
        <f t="shared" si="193"/>
        <v>3.3500000000000005</v>
      </c>
      <c r="AQ1063" s="68"/>
      <c r="AR1063" s="15"/>
      <c r="AS1063" s="256"/>
      <c r="AT1063" s="256"/>
    </row>
    <row r="1064" spans="1:46" ht="12">
      <c r="A1064" s="137" t="s">
        <v>1397</v>
      </c>
      <c r="B1064" s="256" t="str">
        <f t="shared" si="185"/>
        <v>SiO2</v>
      </c>
      <c r="C1064" s="329">
        <f t="shared" si="186"/>
        <v>0</v>
      </c>
      <c r="D1064" s="168">
        <f t="shared" si="187"/>
        <v>654.78803012771095</v>
      </c>
      <c r="E1064" s="139">
        <f t="shared" si="191"/>
        <v>7.62</v>
      </c>
      <c r="F1064" s="139">
        <f t="shared" si="192"/>
        <v>1.84</v>
      </c>
      <c r="G1064" s="168">
        <f t="shared" si="188"/>
        <v>0</v>
      </c>
      <c r="H1064" s="150">
        <f t="shared" si="194"/>
        <v>0.76943699731903481</v>
      </c>
      <c r="I1064" s="168">
        <f t="shared" si="189"/>
        <v>0</v>
      </c>
      <c r="J1064" s="83"/>
      <c r="K1064" s="83" t="s">
        <v>1395</v>
      </c>
      <c r="L1064" s="83"/>
      <c r="M1064" s="385"/>
      <c r="N1064" s="362">
        <v>41508</v>
      </c>
      <c r="O1064" s="83">
        <v>364</v>
      </c>
      <c r="P1064" s="83" t="s">
        <v>1182</v>
      </c>
      <c r="Q1064" s="83">
        <v>265</v>
      </c>
      <c r="R1064" s="83">
        <v>3</v>
      </c>
      <c r="S1064" s="83">
        <v>20</v>
      </c>
      <c r="T1064" s="83">
        <v>84</v>
      </c>
      <c r="U1064" s="83">
        <v>400</v>
      </c>
      <c r="V1064" s="83">
        <v>8</v>
      </c>
      <c r="W1064" s="83">
        <v>26.5</v>
      </c>
      <c r="X1064" s="83">
        <v>2.5</v>
      </c>
      <c r="Y1064" s="83">
        <v>40</v>
      </c>
      <c r="Z1064" s="83"/>
      <c r="AA1064" s="119"/>
      <c r="AB1064" s="84"/>
      <c r="AC1064" s="83"/>
      <c r="AD1064" s="83"/>
      <c r="AE1064" s="83"/>
      <c r="AF1064" s="83"/>
      <c r="AG1064" s="220"/>
      <c r="AH1064" s="344">
        <v>654.78803012771095</v>
      </c>
      <c r="AI1064" s="139"/>
      <c r="AJ1064" s="139">
        <v>7.62</v>
      </c>
      <c r="AK1064" s="139">
        <v>1.84</v>
      </c>
      <c r="AL1064" s="139">
        <f>(269.7+17.3)/373</f>
        <v>0.76943699731903481</v>
      </c>
      <c r="AM1064" s="83"/>
      <c r="AN1064" s="24">
        <f t="shared" si="190"/>
        <v>0</v>
      </c>
      <c r="AO1064" s="252">
        <f t="shared" si="195"/>
        <v>0</v>
      </c>
      <c r="AP1064" s="65">
        <f t="shared" si="193"/>
        <v>0</v>
      </c>
      <c r="AQ1064" s="385"/>
      <c r="AR1064" s="162"/>
      <c r="AS1064" s="83"/>
      <c r="AT1064" s="83"/>
    </row>
    <row r="1065" spans="1:46" ht="12">
      <c r="A1065" s="111" t="s">
        <v>1398</v>
      </c>
      <c r="B1065" s="256" t="str">
        <f t="shared" si="185"/>
        <v>MgO</v>
      </c>
      <c r="C1065" s="32">
        <f t="shared" si="186"/>
        <v>4.66</v>
      </c>
      <c r="D1065" s="279">
        <f t="shared" si="187"/>
        <v>532.75124195132003</v>
      </c>
      <c r="E1065" s="78">
        <f t="shared" si="191"/>
        <v>9.25</v>
      </c>
      <c r="F1065" s="78">
        <f t="shared" si="192"/>
        <v>1.8939999999999999</v>
      </c>
      <c r="G1065" s="279">
        <f t="shared" si="188"/>
        <v>248.26207874931515</v>
      </c>
      <c r="H1065" s="190">
        <f t="shared" si="194"/>
        <v>0.6814084507042254</v>
      </c>
      <c r="I1065" s="279">
        <f t="shared" si="189"/>
        <v>22964.242284311651</v>
      </c>
      <c r="J1065" s="256"/>
      <c r="K1065" s="256" t="s">
        <v>1395</v>
      </c>
      <c r="L1065" s="256"/>
      <c r="M1065" s="68"/>
      <c r="N1065" s="18">
        <v>41508</v>
      </c>
      <c r="O1065" s="256">
        <v>364</v>
      </c>
      <c r="P1065" s="256" t="s">
        <v>46</v>
      </c>
      <c r="Q1065" s="256"/>
      <c r="R1065" s="256">
        <v>4</v>
      </c>
      <c r="S1065" s="81">
        <v>20</v>
      </c>
      <c r="T1065" s="81">
        <v>84</v>
      </c>
      <c r="U1065" s="81">
        <v>400</v>
      </c>
      <c r="V1065" s="256">
        <v>8</v>
      </c>
      <c r="W1065" s="256">
        <v>26.5</v>
      </c>
      <c r="X1065" s="256">
        <v>2.5</v>
      </c>
      <c r="Y1065" s="256">
        <v>40</v>
      </c>
      <c r="Z1065" s="256"/>
      <c r="AA1065" s="207"/>
      <c r="AB1065" s="86">
        <v>0.20180000000000001</v>
      </c>
      <c r="AC1065" s="256">
        <v>0.5595</v>
      </c>
      <c r="AD1065" s="256">
        <v>0.2387</v>
      </c>
      <c r="AE1065" s="256" t="s">
        <v>47</v>
      </c>
      <c r="AF1065" s="256">
        <v>4.66</v>
      </c>
      <c r="AG1065" s="335"/>
      <c r="AH1065" s="213">
        <v>532.75124195132003</v>
      </c>
      <c r="AI1065" s="78"/>
      <c r="AJ1065" s="78">
        <v>9.25</v>
      </c>
      <c r="AK1065" s="78">
        <v>1.8939999999999999</v>
      </c>
      <c r="AL1065" s="78">
        <f>(222.6+19.3)/355</f>
        <v>0.6814084507042254</v>
      </c>
      <c r="AM1065" s="256"/>
      <c r="AN1065" s="24">
        <f t="shared" si="190"/>
        <v>248.26207874931515</v>
      </c>
      <c r="AO1065" s="160">
        <f t="shared" si="195"/>
        <v>22964.242284311651</v>
      </c>
      <c r="AP1065" s="209">
        <f t="shared" si="193"/>
        <v>3.3285714285714287</v>
      </c>
      <c r="AQ1065" s="68"/>
      <c r="AR1065" s="15"/>
      <c r="AS1065" s="256"/>
      <c r="AT1065" s="256"/>
    </row>
    <row r="1066" spans="1:46" ht="12">
      <c r="A1066" s="111" t="s">
        <v>1399</v>
      </c>
      <c r="B1066" s="256" t="str">
        <f t="shared" si="185"/>
        <v>MgO</v>
      </c>
      <c r="C1066" s="32">
        <f t="shared" si="186"/>
        <v>4.59</v>
      </c>
      <c r="D1066" s="279">
        <f t="shared" si="187"/>
        <v>539.17423080270896</v>
      </c>
      <c r="E1066" s="78">
        <f t="shared" si="191"/>
        <v>9.23</v>
      </c>
      <c r="F1066" s="78">
        <f t="shared" si="192"/>
        <v>1.89</v>
      </c>
      <c r="G1066" s="279">
        <f t="shared" si="188"/>
        <v>247.48097193844342</v>
      </c>
      <c r="H1066" s="190">
        <f t="shared" si="194"/>
        <v>0.68304597701149417</v>
      </c>
      <c r="I1066" s="279">
        <f t="shared" si="189"/>
        <v>22842.49370991833</v>
      </c>
      <c r="J1066" s="256"/>
      <c r="K1066" s="256" t="s">
        <v>1395</v>
      </c>
      <c r="L1066" s="256"/>
      <c r="M1066" s="68"/>
      <c r="N1066" s="18">
        <v>41508</v>
      </c>
      <c r="O1066" s="256">
        <v>364</v>
      </c>
      <c r="P1066" s="256" t="s">
        <v>46</v>
      </c>
      <c r="Q1066" s="256"/>
      <c r="R1066" s="256">
        <v>5</v>
      </c>
      <c r="S1066" s="81">
        <v>20</v>
      </c>
      <c r="T1066" s="81">
        <v>84</v>
      </c>
      <c r="U1066" s="81">
        <v>400</v>
      </c>
      <c r="V1066" s="256">
        <v>8</v>
      </c>
      <c r="W1066" s="256">
        <v>26.5</v>
      </c>
      <c r="X1066" s="256">
        <v>2.5</v>
      </c>
      <c r="Y1066" s="256">
        <v>40</v>
      </c>
      <c r="Z1066" s="256"/>
      <c r="AA1066" s="207"/>
      <c r="AB1066" s="86">
        <v>0.2049</v>
      </c>
      <c r="AC1066" s="256">
        <v>0.56289999999999996</v>
      </c>
      <c r="AD1066" s="256">
        <v>0.2321</v>
      </c>
      <c r="AE1066" s="256" t="s">
        <v>47</v>
      </c>
      <c r="AF1066" s="256">
        <v>4.59</v>
      </c>
      <c r="AG1066" s="335"/>
      <c r="AH1066" s="213">
        <v>539.17423080270896</v>
      </c>
      <c r="AI1066" s="78"/>
      <c r="AJ1066" s="78">
        <v>9.23</v>
      </c>
      <c r="AK1066" s="78">
        <v>1.89</v>
      </c>
      <c r="AL1066" s="78">
        <f>(218.6+19.1)/348</f>
        <v>0.68304597701149417</v>
      </c>
      <c r="AM1066" s="256"/>
      <c r="AN1066" s="24">
        <f t="shared" si="190"/>
        <v>247.48097193844342</v>
      </c>
      <c r="AO1066" s="160">
        <f t="shared" si="195"/>
        <v>22842.49370991833</v>
      </c>
      <c r="AP1066" s="209">
        <f t="shared" si="193"/>
        <v>3.2785714285714285</v>
      </c>
      <c r="AQ1066" s="68"/>
      <c r="AR1066" s="15"/>
      <c r="AS1066" s="256"/>
      <c r="AT1066" s="256"/>
    </row>
    <row r="1067" spans="1:46" ht="12">
      <c r="A1067" s="137" t="s">
        <v>1400</v>
      </c>
      <c r="B1067" s="256" t="str">
        <f t="shared" si="185"/>
        <v>SiO2</v>
      </c>
      <c r="C1067" s="329">
        <f t="shared" si="186"/>
        <v>0</v>
      </c>
      <c r="D1067" s="168">
        <f t="shared" si="187"/>
        <v>637.66005985734</v>
      </c>
      <c r="E1067" s="139">
        <f t="shared" si="191"/>
        <v>7.63</v>
      </c>
      <c r="F1067" s="139">
        <f t="shared" si="192"/>
        <v>1.841</v>
      </c>
      <c r="G1067" s="168">
        <f t="shared" si="188"/>
        <v>0</v>
      </c>
      <c r="H1067" s="150">
        <f t="shared" si="194"/>
        <v>0.77135278514588868</v>
      </c>
      <c r="I1067" s="168">
        <f t="shared" si="189"/>
        <v>0</v>
      </c>
      <c r="J1067" s="83"/>
      <c r="K1067" s="83" t="s">
        <v>1395</v>
      </c>
      <c r="L1067" s="83"/>
      <c r="M1067" s="385"/>
      <c r="N1067" s="362">
        <v>41508</v>
      </c>
      <c r="O1067" s="83">
        <v>364</v>
      </c>
      <c r="P1067" s="83" t="s">
        <v>1182</v>
      </c>
      <c r="Q1067" s="83">
        <v>265</v>
      </c>
      <c r="R1067" s="83">
        <v>6</v>
      </c>
      <c r="S1067" s="83">
        <v>20</v>
      </c>
      <c r="T1067" s="83">
        <v>84</v>
      </c>
      <c r="U1067" s="83">
        <v>400</v>
      </c>
      <c r="V1067" s="83">
        <v>8</v>
      </c>
      <c r="W1067" s="83">
        <v>26.5</v>
      </c>
      <c r="X1067" s="83">
        <v>2.5</v>
      </c>
      <c r="Y1067" s="83">
        <v>40</v>
      </c>
      <c r="Z1067" s="83"/>
      <c r="AA1067" s="119"/>
      <c r="AB1067" s="84"/>
      <c r="AC1067" s="83"/>
      <c r="AD1067" s="83"/>
      <c r="AE1067" s="83"/>
      <c r="AF1067" s="83"/>
      <c r="AG1067" s="220"/>
      <c r="AH1067" s="344">
        <v>637.66005985734</v>
      </c>
      <c r="AI1067" s="139"/>
      <c r="AJ1067" s="139">
        <v>7.63</v>
      </c>
      <c r="AK1067" s="139">
        <v>1.841</v>
      </c>
      <c r="AL1067" s="139">
        <f>(273.2+17.6)/377</f>
        <v>0.77135278514588868</v>
      </c>
      <c r="AM1067" s="83"/>
      <c r="AN1067" s="24">
        <f t="shared" si="190"/>
        <v>0</v>
      </c>
      <c r="AO1067" s="252">
        <f t="shared" si="195"/>
        <v>0</v>
      </c>
      <c r="AP1067" s="65">
        <f t="shared" si="193"/>
        <v>0</v>
      </c>
      <c r="AQ1067" s="385"/>
      <c r="AR1067" s="162"/>
      <c r="AS1067" s="83"/>
      <c r="AT1067" s="83"/>
    </row>
    <row r="1068" spans="1:46" ht="12">
      <c r="A1068" s="111" t="s">
        <v>1401</v>
      </c>
      <c r="B1068" s="256" t="str">
        <f t="shared" si="185"/>
        <v>MgO</v>
      </c>
      <c r="C1068" s="141">
        <f t="shared" si="186"/>
        <v>4.7</v>
      </c>
      <c r="D1068" s="277">
        <f t="shared" si="187"/>
        <v>25103.181427512001</v>
      </c>
      <c r="E1068" s="20">
        <f t="shared" si="191"/>
        <v>0</v>
      </c>
      <c r="F1068" s="20">
        <f t="shared" si="192"/>
        <v>0</v>
      </c>
      <c r="G1068" s="277">
        <f t="shared" si="188"/>
        <v>11798.495270930642</v>
      </c>
      <c r="H1068" s="3">
        <f t="shared" si="194"/>
        <v>0</v>
      </c>
      <c r="I1068" s="277">
        <f t="shared" si="189"/>
        <v>0</v>
      </c>
      <c r="J1068" s="81"/>
      <c r="K1068" s="81" t="s">
        <v>1402</v>
      </c>
      <c r="L1068" s="81"/>
      <c r="M1068" s="52"/>
      <c r="N1068" s="336">
        <v>41508</v>
      </c>
      <c r="O1068" s="81">
        <v>365</v>
      </c>
      <c r="P1068" s="256" t="s">
        <v>46</v>
      </c>
      <c r="Q1068" s="81"/>
      <c r="R1068" s="81">
        <v>3</v>
      </c>
      <c r="S1068" s="81">
        <v>20</v>
      </c>
      <c r="T1068" s="81">
        <v>180</v>
      </c>
      <c r="U1068" s="81">
        <v>400</v>
      </c>
      <c r="V1068" s="81">
        <v>19</v>
      </c>
      <c r="W1068" s="81">
        <v>0</v>
      </c>
      <c r="X1068" s="256">
        <v>2.5</v>
      </c>
      <c r="Y1068" s="256">
        <v>40</v>
      </c>
      <c r="Z1068" s="81"/>
      <c r="AA1068" s="234"/>
      <c r="AB1068" s="199">
        <v>0.2142</v>
      </c>
      <c r="AC1068" s="81">
        <v>0.5575</v>
      </c>
      <c r="AD1068" s="81">
        <v>0.22839999999999999</v>
      </c>
      <c r="AE1068" s="256" t="s">
        <v>47</v>
      </c>
      <c r="AF1068" s="81">
        <v>4.7</v>
      </c>
      <c r="AG1068" s="95"/>
      <c r="AH1068" s="97">
        <v>25103.181427512001</v>
      </c>
      <c r="AI1068" s="20"/>
      <c r="AJ1068" s="20">
        <v>0</v>
      </c>
      <c r="AK1068" s="20"/>
      <c r="AL1068" s="20"/>
      <c r="AM1068" s="81"/>
      <c r="AN1068" s="24">
        <f t="shared" si="190"/>
        <v>11798.495270930642</v>
      </c>
      <c r="AO1068" s="189">
        <f t="shared" si="195"/>
        <v>0</v>
      </c>
      <c r="AP1068" s="184">
        <f t="shared" si="193"/>
        <v>1.5666666666666669</v>
      </c>
      <c r="AQ1068" s="52"/>
      <c r="AR1068" s="357"/>
      <c r="AS1068" s="81"/>
      <c r="AT1068" s="81"/>
    </row>
    <row r="1069" spans="1:46" ht="12">
      <c r="A1069" s="111" t="s">
        <v>1403</v>
      </c>
      <c r="B1069" s="256" t="str">
        <f t="shared" si="185"/>
        <v>MgO</v>
      </c>
      <c r="C1069" s="141">
        <f t="shared" si="186"/>
        <v>4.7</v>
      </c>
      <c r="D1069" s="277">
        <f t="shared" si="187"/>
        <v>24443.0409066748</v>
      </c>
      <c r="E1069" s="20">
        <f t="shared" si="191"/>
        <v>0</v>
      </c>
      <c r="F1069" s="20">
        <f t="shared" si="192"/>
        <v>0</v>
      </c>
      <c r="G1069" s="277">
        <f t="shared" si="188"/>
        <v>11488.229226137157</v>
      </c>
      <c r="H1069" s="3">
        <f t="shared" si="194"/>
        <v>0</v>
      </c>
      <c r="I1069" s="277">
        <f t="shared" si="189"/>
        <v>0</v>
      </c>
      <c r="J1069" s="81"/>
      <c r="K1069" s="81" t="s">
        <v>1402</v>
      </c>
      <c r="L1069" s="81"/>
      <c r="M1069" s="52"/>
      <c r="N1069" s="336">
        <v>41508</v>
      </c>
      <c r="O1069" s="81">
        <v>365</v>
      </c>
      <c r="P1069" s="256" t="s">
        <v>46</v>
      </c>
      <c r="Q1069" s="81"/>
      <c r="R1069" s="81">
        <v>6</v>
      </c>
      <c r="S1069" s="81">
        <v>20</v>
      </c>
      <c r="T1069" s="81">
        <v>180</v>
      </c>
      <c r="U1069" s="81">
        <v>400</v>
      </c>
      <c r="V1069" s="81">
        <v>19</v>
      </c>
      <c r="W1069" s="81">
        <v>0</v>
      </c>
      <c r="X1069" s="256">
        <v>2.5</v>
      </c>
      <c r="Y1069" s="256">
        <v>40</v>
      </c>
      <c r="Z1069" s="81"/>
      <c r="AA1069" s="234"/>
      <c r="AB1069" s="199">
        <v>0.2082</v>
      </c>
      <c r="AC1069" s="81">
        <v>0.55979999999999996</v>
      </c>
      <c r="AD1069" s="81">
        <v>0.23200000000000001</v>
      </c>
      <c r="AE1069" s="256" t="s">
        <v>47</v>
      </c>
      <c r="AF1069" s="81">
        <v>4.7</v>
      </c>
      <c r="AG1069" s="95"/>
      <c r="AH1069" s="97">
        <v>24443.0409066748</v>
      </c>
      <c r="AI1069" s="20"/>
      <c r="AJ1069" s="20">
        <v>0</v>
      </c>
      <c r="AK1069" s="20"/>
      <c r="AL1069" s="20"/>
      <c r="AM1069" s="81"/>
      <c r="AN1069" s="24">
        <f t="shared" si="190"/>
        <v>11488.229226137157</v>
      </c>
      <c r="AO1069" s="189">
        <f t="shared" si="195"/>
        <v>0</v>
      </c>
      <c r="AP1069" s="184">
        <f t="shared" si="193"/>
        <v>1.5666666666666669</v>
      </c>
      <c r="AQ1069" s="52"/>
      <c r="AR1069" s="357"/>
      <c r="AS1069" s="81"/>
      <c r="AT1069" s="81"/>
    </row>
    <row r="1070" spans="1:46" ht="12">
      <c r="A1070" s="81" t="s">
        <v>1404</v>
      </c>
      <c r="B1070" s="256" t="str">
        <f t="shared" si="185"/>
        <v>MgO</v>
      </c>
      <c r="C1070" s="141">
        <f t="shared" si="186"/>
        <v>0</v>
      </c>
      <c r="D1070" s="277">
        <f t="shared" si="187"/>
        <v>0</v>
      </c>
      <c r="E1070" s="20">
        <f t="shared" si="191"/>
        <v>14.77</v>
      </c>
      <c r="F1070" s="20">
        <f t="shared" si="192"/>
        <v>0.19800000000000001</v>
      </c>
      <c r="G1070" s="277">
        <f t="shared" si="188"/>
        <v>0</v>
      </c>
      <c r="H1070" s="3">
        <f t="shared" si="194"/>
        <v>1.0310077519379843</v>
      </c>
      <c r="I1070" s="277">
        <f t="shared" si="189"/>
        <v>0</v>
      </c>
      <c r="J1070" s="81"/>
      <c r="K1070" s="81" t="s">
        <v>1405</v>
      </c>
      <c r="L1070" s="81"/>
      <c r="M1070" s="52"/>
      <c r="N1070" s="336">
        <v>41508</v>
      </c>
      <c r="O1070" s="81">
        <v>366</v>
      </c>
      <c r="P1070" s="256" t="s">
        <v>46</v>
      </c>
      <c r="Q1070" s="81"/>
      <c r="R1070" s="81">
        <v>3</v>
      </c>
      <c r="S1070" s="81">
        <v>800</v>
      </c>
      <c r="T1070" s="81">
        <v>600</v>
      </c>
      <c r="U1070" s="81">
        <v>400</v>
      </c>
      <c r="V1070" s="256">
        <v>8</v>
      </c>
      <c r="W1070" s="256">
        <v>26.5</v>
      </c>
      <c r="X1070" s="256">
        <v>2.5</v>
      </c>
      <c r="Y1070" s="256">
        <v>40</v>
      </c>
      <c r="Z1070" s="81"/>
      <c r="AA1070" s="234"/>
      <c r="AB1070" s="199"/>
      <c r="AC1070" s="81"/>
      <c r="AD1070" s="81"/>
      <c r="AE1070" s="81"/>
      <c r="AF1070" s="81"/>
      <c r="AG1070" s="95"/>
      <c r="AH1070" s="97"/>
      <c r="AI1070" s="20"/>
      <c r="AJ1070" s="20">
        <v>14.77</v>
      </c>
      <c r="AK1070" s="20">
        <v>0.19800000000000001</v>
      </c>
      <c r="AL1070" s="20">
        <f>(19.9-6.6)/12.9</f>
        <v>1.0310077519379843</v>
      </c>
      <c r="AM1070" s="81"/>
      <c r="AN1070" s="24">
        <f t="shared" si="190"/>
        <v>0</v>
      </c>
      <c r="AO1070" s="189">
        <f t="shared" si="195"/>
        <v>0</v>
      </c>
      <c r="AP1070" s="184">
        <f t="shared" si="193"/>
        <v>0</v>
      </c>
      <c r="AQ1070" s="52"/>
      <c r="AR1070" s="357"/>
      <c r="AS1070" s="81"/>
      <c r="AT1070" s="81"/>
    </row>
    <row r="1071" spans="1:46" ht="12">
      <c r="A1071" s="81" t="s">
        <v>1406</v>
      </c>
      <c r="B1071" s="256" t="str">
        <f t="shared" si="185"/>
        <v>MgO</v>
      </c>
      <c r="C1071" s="141">
        <f t="shared" si="186"/>
        <v>0</v>
      </c>
      <c r="D1071" s="277">
        <f t="shared" si="187"/>
        <v>0</v>
      </c>
      <c r="E1071" s="20">
        <f t="shared" si="191"/>
        <v>14.77</v>
      </c>
      <c r="F1071" s="20">
        <f t="shared" si="192"/>
        <v>0.19500000000000001</v>
      </c>
      <c r="G1071" s="277">
        <f t="shared" si="188"/>
        <v>0</v>
      </c>
      <c r="H1071" s="3">
        <f t="shared" si="194"/>
        <v>1.0176991150442478</v>
      </c>
      <c r="I1071" s="277">
        <f t="shared" si="189"/>
        <v>0</v>
      </c>
      <c r="J1071" s="81"/>
      <c r="K1071" s="81" t="s">
        <v>1405</v>
      </c>
      <c r="L1071" s="81"/>
      <c r="M1071" s="52"/>
      <c r="N1071" s="336">
        <v>41508</v>
      </c>
      <c r="O1071" s="81">
        <v>366</v>
      </c>
      <c r="P1071" s="256" t="s">
        <v>46</v>
      </c>
      <c r="Q1071" s="81"/>
      <c r="R1071" s="81">
        <v>6</v>
      </c>
      <c r="S1071" s="81">
        <v>800</v>
      </c>
      <c r="T1071" s="81">
        <v>600</v>
      </c>
      <c r="U1071" s="81">
        <v>400</v>
      </c>
      <c r="V1071" s="256">
        <v>8</v>
      </c>
      <c r="W1071" s="256">
        <v>26.5</v>
      </c>
      <c r="X1071" s="256">
        <v>2.5</v>
      </c>
      <c r="Y1071" s="256">
        <v>40</v>
      </c>
      <c r="Z1071" s="81"/>
      <c r="AA1071" s="234"/>
      <c r="AB1071" s="199"/>
      <c r="AC1071" s="81"/>
      <c r="AD1071" s="81"/>
      <c r="AE1071" s="81"/>
      <c r="AF1071" s="81"/>
      <c r="AG1071" s="95"/>
      <c r="AH1071" s="97"/>
      <c r="AI1071" s="20"/>
      <c r="AJ1071" s="20">
        <v>14.77</v>
      </c>
      <c r="AK1071" s="20">
        <v>0.19500000000000001</v>
      </c>
      <c r="AL1071" s="20">
        <f>(20.3-8.8)/11.3</f>
        <v>1.0176991150442478</v>
      </c>
      <c r="AM1071" s="81"/>
      <c r="AN1071" s="24">
        <f t="shared" si="190"/>
        <v>0</v>
      </c>
      <c r="AO1071" s="189">
        <f t="shared" si="195"/>
        <v>0</v>
      </c>
      <c r="AP1071" s="184">
        <f t="shared" si="193"/>
        <v>0</v>
      </c>
      <c r="AQ1071" s="52"/>
      <c r="AR1071" s="357"/>
      <c r="AS1071" s="81"/>
      <c r="AT1071" s="81"/>
    </row>
    <row r="1072" spans="1:46" ht="24">
      <c r="A1072" s="257" t="s">
        <v>1407</v>
      </c>
      <c r="B1072" s="257" t="str">
        <f t="shared" si="185"/>
        <v>SiNx</v>
      </c>
      <c r="C1072" s="280">
        <f t="shared" si="186"/>
        <v>0</v>
      </c>
      <c r="D1072" s="183">
        <f t="shared" si="187"/>
        <v>602.86887024564999</v>
      </c>
      <c r="E1072" s="96">
        <f t="shared" si="191"/>
        <v>0</v>
      </c>
      <c r="F1072" s="96">
        <f t="shared" si="192"/>
        <v>0</v>
      </c>
      <c r="G1072" s="183">
        <f t="shared" si="188"/>
        <v>0</v>
      </c>
      <c r="H1072" s="215">
        <f t="shared" si="194"/>
        <v>0</v>
      </c>
      <c r="I1072" s="183">
        <f t="shared" si="189"/>
        <v>0</v>
      </c>
      <c r="J1072" s="257"/>
      <c r="K1072" s="257" t="s">
        <v>1408</v>
      </c>
      <c r="L1072" s="257"/>
      <c r="M1072" s="269"/>
      <c r="N1072" s="175">
        <v>41514</v>
      </c>
      <c r="O1072" s="257">
        <v>367</v>
      </c>
      <c r="P1072" s="326" t="s">
        <v>187</v>
      </c>
      <c r="Q1072" s="257" t="s">
        <v>1367</v>
      </c>
      <c r="R1072" s="257">
        <v>1</v>
      </c>
      <c r="S1072" s="257">
        <v>800</v>
      </c>
      <c r="T1072" s="257">
        <v>75</v>
      </c>
      <c r="U1072" s="257">
        <v>400</v>
      </c>
      <c r="V1072" s="257">
        <v>8</v>
      </c>
      <c r="W1072" s="257">
        <v>26.5</v>
      </c>
      <c r="X1072" s="257">
        <v>2.5</v>
      </c>
      <c r="Y1072" s="257">
        <v>40</v>
      </c>
      <c r="Z1072" s="257"/>
      <c r="AA1072" s="164"/>
      <c r="AB1072" s="289"/>
      <c r="AC1072" s="257"/>
      <c r="AD1072" s="257"/>
      <c r="AE1072" s="257"/>
      <c r="AF1072" s="257"/>
      <c r="AG1072" s="114"/>
      <c r="AH1072" s="266">
        <v>602.86887024564999</v>
      </c>
      <c r="AI1072" s="96"/>
      <c r="AJ1072" s="96"/>
      <c r="AK1072" s="96"/>
      <c r="AL1072" s="96"/>
      <c r="AM1072" s="257"/>
      <c r="AN1072" s="24">
        <f t="shared" si="190"/>
        <v>0</v>
      </c>
      <c r="AO1072" s="188">
        <f t="shared" si="195"/>
        <v>0</v>
      </c>
      <c r="AP1072" s="254">
        <f t="shared" si="193"/>
        <v>0</v>
      </c>
      <c r="AQ1072" s="269"/>
      <c r="AR1072" s="179"/>
      <c r="AS1072" s="257"/>
      <c r="AT1072" s="257"/>
    </row>
    <row r="1073" spans="1:47" ht="24">
      <c r="A1073" s="257" t="s">
        <v>1409</v>
      </c>
      <c r="B1073" s="257" t="str">
        <f t="shared" si="185"/>
        <v>SiNx</v>
      </c>
      <c r="C1073" s="280">
        <f t="shared" si="186"/>
        <v>0</v>
      </c>
      <c r="D1073" s="183">
        <f t="shared" si="187"/>
        <v>610.36235723893697</v>
      </c>
      <c r="E1073" s="96">
        <f t="shared" si="191"/>
        <v>0</v>
      </c>
      <c r="F1073" s="96">
        <f t="shared" si="192"/>
        <v>0</v>
      </c>
      <c r="G1073" s="183">
        <f t="shared" si="188"/>
        <v>0</v>
      </c>
      <c r="H1073" s="215">
        <f t="shared" si="194"/>
        <v>0</v>
      </c>
      <c r="I1073" s="183">
        <f t="shared" si="189"/>
        <v>0</v>
      </c>
      <c r="J1073" s="257"/>
      <c r="K1073" s="257" t="s">
        <v>1408</v>
      </c>
      <c r="L1073" s="257"/>
      <c r="M1073" s="269"/>
      <c r="N1073" s="175">
        <v>41514</v>
      </c>
      <c r="O1073" s="257">
        <v>367</v>
      </c>
      <c r="P1073" s="326" t="s">
        <v>187</v>
      </c>
      <c r="Q1073" s="257" t="s">
        <v>1367</v>
      </c>
      <c r="R1073" s="257">
        <v>2</v>
      </c>
      <c r="S1073" s="257">
        <v>800</v>
      </c>
      <c r="T1073" s="257">
        <v>75</v>
      </c>
      <c r="U1073" s="257">
        <v>400</v>
      </c>
      <c r="V1073" s="257">
        <v>8</v>
      </c>
      <c r="W1073" s="257">
        <v>26.5</v>
      </c>
      <c r="X1073" s="257">
        <v>2.5</v>
      </c>
      <c r="Y1073" s="257">
        <v>40</v>
      </c>
      <c r="Z1073" s="257"/>
      <c r="AA1073" s="164"/>
      <c r="AB1073" s="289"/>
      <c r="AC1073" s="257"/>
      <c r="AD1073" s="257"/>
      <c r="AE1073" s="257"/>
      <c r="AF1073" s="257"/>
      <c r="AG1073" s="114"/>
      <c r="AH1073" s="266">
        <v>610.36235723893697</v>
      </c>
      <c r="AI1073" s="96"/>
      <c r="AJ1073" s="96"/>
      <c r="AK1073" s="96"/>
      <c r="AL1073" s="96"/>
      <c r="AM1073" s="257"/>
      <c r="AN1073" s="24">
        <f t="shared" si="190"/>
        <v>0</v>
      </c>
      <c r="AO1073" s="188">
        <f t="shared" si="195"/>
        <v>0</v>
      </c>
      <c r="AP1073" s="254">
        <f t="shared" si="193"/>
        <v>0</v>
      </c>
      <c r="AQ1073" s="269"/>
      <c r="AR1073" s="179"/>
      <c r="AS1073" s="257"/>
      <c r="AT1073" s="257"/>
    </row>
    <row r="1074" spans="1:47" ht="24">
      <c r="A1074" s="257" t="s">
        <v>1410</v>
      </c>
      <c r="B1074" s="257" t="str">
        <f t="shared" si="185"/>
        <v>SiNx</v>
      </c>
      <c r="C1074" s="280">
        <f t="shared" si="186"/>
        <v>0</v>
      </c>
      <c r="D1074" s="183">
        <f t="shared" si="187"/>
        <v>487.96873634858002</v>
      </c>
      <c r="E1074" s="96">
        <f t="shared" si="191"/>
        <v>0</v>
      </c>
      <c r="F1074" s="96">
        <f t="shared" si="192"/>
        <v>0</v>
      </c>
      <c r="G1074" s="183">
        <f t="shared" si="188"/>
        <v>0</v>
      </c>
      <c r="H1074" s="215">
        <f t="shared" si="194"/>
        <v>0</v>
      </c>
      <c r="I1074" s="183">
        <f t="shared" si="189"/>
        <v>0</v>
      </c>
      <c r="J1074" s="257"/>
      <c r="K1074" s="257" t="s">
        <v>1408</v>
      </c>
      <c r="L1074" s="257"/>
      <c r="M1074" s="269"/>
      <c r="N1074" s="175">
        <v>41514</v>
      </c>
      <c r="O1074" s="257">
        <v>367</v>
      </c>
      <c r="P1074" s="326" t="s">
        <v>187</v>
      </c>
      <c r="Q1074" s="257" t="s">
        <v>1367</v>
      </c>
      <c r="R1074" s="257">
        <v>3</v>
      </c>
      <c r="S1074" s="257">
        <v>800</v>
      </c>
      <c r="T1074" s="257">
        <v>75</v>
      </c>
      <c r="U1074" s="257">
        <v>400</v>
      </c>
      <c r="V1074" s="257">
        <v>8</v>
      </c>
      <c r="W1074" s="257">
        <v>26.5</v>
      </c>
      <c r="X1074" s="257">
        <v>2.5</v>
      </c>
      <c r="Y1074" s="257">
        <v>40</v>
      </c>
      <c r="Z1074" s="257"/>
      <c r="AA1074" s="164"/>
      <c r="AB1074" s="289"/>
      <c r="AC1074" s="257"/>
      <c r="AD1074" s="257"/>
      <c r="AE1074" s="257"/>
      <c r="AF1074" s="257"/>
      <c r="AG1074" s="114"/>
      <c r="AH1074" s="266">
        <v>487.96873634858002</v>
      </c>
      <c r="AI1074" s="96"/>
      <c r="AJ1074" s="96"/>
      <c r="AK1074" s="96"/>
      <c r="AL1074" s="96"/>
      <c r="AM1074" s="257"/>
      <c r="AN1074" s="24">
        <f t="shared" si="190"/>
        <v>0</v>
      </c>
      <c r="AO1074" s="188">
        <f t="shared" si="195"/>
        <v>0</v>
      </c>
      <c r="AP1074" s="254">
        <f t="shared" si="193"/>
        <v>0</v>
      </c>
      <c r="AQ1074" s="269"/>
      <c r="AR1074" s="179"/>
      <c r="AS1074" s="257"/>
      <c r="AT1074" s="257"/>
    </row>
    <row r="1075" spans="1:47" ht="24">
      <c r="A1075" s="257" t="s">
        <v>1411</v>
      </c>
      <c r="B1075" s="257" t="str">
        <f t="shared" si="185"/>
        <v>SiNx</v>
      </c>
      <c r="C1075" s="280">
        <f t="shared" si="186"/>
        <v>0</v>
      </c>
      <c r="D1075" s="183">
        <f t="shared" si="187"/>
        <v>596.98113046520996</v>
      </c>
      <c r="E1075" s="96">
        <f t="shared" si="191"/>
        <v>0</v>
      </c>
      <c r="F1075" s="96">
        <f t="shared" si="192"/>
        <v>0</v>
      </c>
      <c r="G1075" s="183">
        <f t="shared" si="188"/>
        <v>0</v>
      </c>
      <c r="H1075" s="215">
        <f t="shared" si="194"/>
        <v>0</v>
      </c>
      <c r="I1075" s="183">
        <f t="shared" si="189"/>
        <v>0</v>
      </c>
      <c r="J1075" s="257"/>
      <c r="K1075" s="257" t="s">
        <v>1408</v>
      </c>
      <c r="L1075" s="257"/>
      <c r="M1075" s="269"/>
      <c r="N1075" s="175">
        <v>41514</v>
      </c>
      <c r="O1075" s="257">
        <v>367</v>
      </c>
      <c r="P1075" s="326" t="s">
        <v>187</v>
      </c>
      <c r="Q1075" s="257" t="s">
        <v>1367</v>
      </c>
      <c r="R1075" s="257">
        <v>4</v>
      </c>
      <c r="S1075" s="257">
        <v>800</v>
      </c>
      <c r="T1075" s="257">
        <v>75</v>
      </c>
      <c r="U1075" s="257">
        <v>400</v>
      </c>
      <c r="V1075" s="257">
        <v>8</v>
      </c>
      <c r="W1075" s="257">
        <v>26.5</v>
      </c>
      <c r="X1075" s="257">
        <v>2.5</v>
      </c>
      <c r="Y1075" s="257">
        <v>40</v>
      </c>
      <c r="Z1075" s="257"/>
      <c r="AA1075" s="164"/>
      <c r="AB1075" s="289"/>
      <c r="AC1075" s="257"/>
      <c r="AD1075" s="257"/>
      <c r="AE1075" s="257"/>
      <c r="AF1075" s="257"/>
      <c r="AG1075" s="114"/>
      <c r="AH1075" s="266">
        <v>596.98113046520996</v>
      </c>
      <c r="AI1075" s="96"/>
      <c r="AJ1075" s="96"/>
      <c r="AK1075" s="96"/>
      <c r="AL1075" s="96"/>
      <c r="AM1075" s="257"/>
      <c r="AN1075" s="24">
        <f t="shared" si="190"/>
        <v>0</v>
      </c>
      <c r="AO1075" s="188">
        <f t="shared" si="195"/>
        <v>0</v>
      </c>
      <c r="AP1075" s="254">
        <f t="shared" si="193"/>
        <v>0</v>
      </c>
      <c r="AQ1075" s="269"/>
      <c r="AR1075" s="179"/>
      <c r="AS1075" s="257"/>
      <c r="AT1075" s="257"/>
    </row>
    <row r="1076" spans="1:47" ht="24">
      <c r="A1076" s="257" t="s">
        <v>1412</v>
      </c>
      <c r="B1076" s="257" t="str">
        <f t="shared" si="185"/>
        <v>SiNx</v>
      </c>
      <c r="C1076" s="280">
        <f t="shared" si="186"/>
        <v>0</v>
      </c>
      <c r="D1076" s="183">
        <f t="shared" si="187"/>
        <v>597.87321225012499</v>
      </c>
      <c r="E1076" s="96">
        <f t="shared" si="191"/>
        <v>9.8699999999999992</v>
      </c>
      <c r="F1076" s="96">
        <f t="shared" si="192"/>
        <v>2.17</v>
      </c>
      <c r="G1076" s="183">
        <f t="shared" si="188"/>
        <v>0</v>
      </c>
      <c r="H1076" s="215">
        <f t="shared" si="194"/>
        <v>0.76829268292682928</v>
      </c>
      <c r="I1076" s="183">
        <f t="shared" si="189"/>
        <v>0</v>
      </c>
      <c r="J1076" s="257"/>
      <c r="K1076" s="257"/>
      <c r="L1076" s="257"/>
      <c r="M1076" s="269"/>
      <c r="N1076" s="175">
        <v>41514</v>
      </c>
      <c r="O1076" s="257">
        <v>367</v>
      </c>
      <c r="P1076" s="326" t="s">
        <v>187</v>
      </c>
      <c r="Q1076" s="257" t="s">
        <v>1367</v>
      </c>
      <c r="R1076" s="257">
        <v>5</v>
      </c>
      <c r="S1076" s="257">
        <v>800</v>
      </c>
      <c r="T1076" s="257">
        <v>75</v>
      </c>
      <c r="U1076" s="257">
        <v>400</v>
      </c>
      <c r="V1076" s="257">
        <v>8</v>
      </c>
      <c r="W1076" s="257">
        <v>26.5</v>
      </c>
      <c r="X1076" s="257">
        <v>2.5</v>
      </c>
      <c r="Y1076" s="257">
        <v>40</v>
      </c>
      <c r="Z1076" s="257"/>
      <c r="AA1076" s="164"/>
      <c r="AB1076" s="289"/>
      <c r="AC1076" s="257"/>
      <c r="AD1076" s="257"/>
      <c r="AE1076" s="257"/>
      <c r="AF1076" s="257"/>
      <c r="AG1076" s="114"/>
      <c r="AH1076" s="266">
        <v>597.87321225012499</v>
      </c>
      <c r="AI1076" s="96"/>
      <c r="AJ1076" s="96">
        <v>9.8699999999999992</v>
      </c>
      <c r="AK1076" s="96">
        <v>2.17</v>
      </c>
      <c r="AL1076" s="96">
        <f>(21.5+268.3)/377.2</f>
        <v>0.76829268292682928</v>
      </c>
      <c r="AM1076" s="257"/>
      <c r="AN1076" s="24">
        <f t="shared" si="190"/>
        <v>0</v>
      </c>
      <c r="AO1076" s="188">
        <f t="shared" si="195"/>
        <v>0</v>
      </c>
      <c r="AP1076" s="254">
        <f t="shared" si="193"/>
        <v>0</v>
      </c>
      <c r="AQ1076" s="269"/>
      <c r="AR1076" s="179"/>
      <c r="AS1076" s="257"/>
      <c r="AT1076" s="257"/>
    </row>
    <row r="1077" spans="1:47" ht="12">
      <c r="A1077" s="81" t="s">
        <v>1413</v>
      </c>
      <c r="B1077" s="256" t="str">
        <f t="shared" si="185"/>
        <v>MgO</v>
      </c>
      <c r="C1077" s="141">
        <f t="shared" si="186"/>
        <v>3.73</v>
      </c>
      <c r="D1077" s="277">
        <f t="shared" si="187"/>
        <v>366.288780886155</v>
      </c>
      <c r="E1077" s="20">
        <f t="shared" si="191"/>
        <v>11.17</v>
      </c>
      <c r="F1077" s="20">
        <f t="shared" si="192"/>
        <v>1.54</v>
      </c>
      <c r="G1077" s="277">
        <f t="shared" si="188"/>
        <v>136.62571527053581</v>
      </c>
      <c r="H1077" s="3">
        <f t="shared" si="194"/>
        <v>0.77025862068965523</v>
      </c>
      <c r="I1077" s="277">
        <f t="shared" si="189"/>
        <v>15261.09239571885</v>
      </c>
      <c r="J1077" s="81"/>
      <c r="K1077" s="81"/>
      <c r="L1077" s="81"/>
      <c r="M1077" s="52"/>
      <c r="N1077" s="336">
        <v>41514</v>
      </c>
      <c r="O1077" s="81">
        <v>367</v>
      </c>
      <c r="P1077" s="81" t="s">
        <v>46</v>
      </c>
      <c r="Q1077" s="81"/>
      <c r="R1077" s="81">
        <v>6</v>
      </c>
      <c r="S1077" s="81">
        <v>800</v>
      </c>
      <c r="T1077" s="81">
        <v>75</v>
      </c>
      <c r="U1077" s="81">
        <v>400</v>
      </c>
      <c r="V1077" s="256">
        <v>8</v>
      </c>
      <c r="W1077" s="256">
        <v>26.5</v>
      </c>
      <c r="X1077" s="256">
        <v>2.5</v>
      </c>
      <c r="Y1077" s="256">
        <v>40</v>
      </c>
      <c r="Z1077" s="81"/>
      <c r="AA1077" s="234"/>
      <c r="AB1077" s="199">
        <v>0.1842</v>
      </c>
      <c r="AC1077" s="81">
        <v>0.60650000000000004</v>
      </c>
      <c r="AD1077" s="81">
        <v>0.20930000000000001</v>
      </c>
      <c r="AE1077" s="256" t="s">
        <v>47</v>
      </c>
      <c r="AF1077" s="81">
        <v>3.73</v>
      </c>
      <c r="AG1077" s="95"/>
      <c r="AH1077" s="97">
        <v>366.288780886155</v>
      </c>
      <c r="AI1077" s="20"/>
      <c r="AJ1077" s="20">
        <v>11.17</v>
      </c>
      <c r="AK1077" s="20">
        <v>1.54</v>
      </c>
      <c r="AL1077" s="20">
        <f>(22.3+156.4)/232</f>
        <v>0.77025862068965523</v>
      </c>
      <c r="AM1077" s="81"/>
      <c r="AN1077" s="24">
        <f t="shared" si="190"/>
        <v>136.62571527053581</v>
      </c>
      <c r="AO1077" s="189">
        <f t="shared" si="195"/>
        <v>15261.09239571885</v>
      </c>
      <c r="AP1077" s="184">
        <f t="shared" si="193"/>
        <v>2.984</v>
      </c>
      <c r="AQ1077" s="52"/>
      <c r="AR1077" s="357"/>
      <c r="AS1077" s="81"/>
      <c r="AT1077" s="81"/>
    </row>
    <row r="1078" spans="1:47" ht="24">
      <c r="A1078" s="257" t="s">
        <v>1414</v>
      </c>
      <c r="B1078" s="257" t="str">
        <f t="shared" si="185"/>
        <v>SiNx</v>
      </c>
      <c r="C1078" s="280">
        <f t="shared" si="186"/>
        <v>0</v>
      </c>
      <c r="D1078" s="183">
        <f t="shared" si="187"/>
        <v>469.770267936312</v>
      </c>
      <c r="E1078" s="96">
        <f t="shared" si="191"/>
        <v>10.88</v>
      </c>
      <c r="F1078" s="96">
        <f t="shared" si="192"/>
        <v>1.72</v>
      </c>
      <c r="G1078" s="183">
        <f t="shared" si="188"/>
        <v>0</v>
      </c>
      <c r="H1078" s="215">
        <f t="shared" si="194"/>
        <v>0.80454545454545456</v>
      </c>
      <c r="I1078" s="183">
        <f t="shared" si="189"/>
        <v>0</v>
      </c>
      <c r="J1078" s="366"/>
      <c r="K1078" s="257"/>
      <c r="L1078" s="366"/>
      <c r="M1078" s="373"/>
      <c r="N1078" s="175">
        <v>41514</v>
      </c>
      <c r="O1078" s="366">
        <v>368</v>
      </c>
      <c r="P1078" s="326" t="s">
        <v>187</v>
      </c>
      <c r="Q1078" s="257" t="s">
        <v>1367</v>
      </c>
      <c r="R1078" s="257">
        <v>1</v>
      </c>
      <c r="S1078" s="257">
        <v>800</v>
      </c>
      <c r="T1078" s="257">
        <v>87</v>
      </c>
      <c r="U1078" s="257">
        <v>400</v>
      </c>
      <c r="V1078" s="257">
        <v>8</v>
      </c>
      <c r="W1078" s="257">
        <v>26.5</v>
      </c>
      <c r="X1078" s="257">
        <v>2.5</v>
      </c>
      <c r="Y1078" s="257">
        <v>40</v>
      </c>
      <c r="Z1078" s="161"/>
      <c r="AA1078" s="76"/>
      <c r="AB1078" s="51"/>
      <c r="AC1078" s="366"/>
      <c r="AD1078" s="366"/>
      <c r="AE1078" s="366"/>
      <c r="AF1078" s="366"/>
      <c r="AG1078" s="349"/>
      <c r="AH1078" s="113">
        <v>469.770267936312</v>
      </c>
      <c r="AI1078" s="53"/>
      <c r="AJ1078" s="53">
        <v>10.88</v>
      </c>
      <c r="AK1078" s="53">
        <v>1.72</v>
      </c>
      <c r="AL1078" s="53">
        <f>(194.1+18.3)/264</f>
        <v>0.80454545454545456</v>
      </c>
      <c r="AM1078" s="366"/>
      <c r="AN1078" s="24">
        <f t="shared" si="190"/>
        <v>0</v>
      </c>
      <c r="AO1078" s="198">
        <f t="shared" si="195"/>
        <v>0</v>
      </c>
      <c r="AP1078" s="399">
        <f t="shared" si="193"/>
        <v>0</v>
      </c>
      <c r="AQ1078" s="373"/>
      <c r="AR1078" s="44"/>
      <c r="AS1078" s="366"/>
      <c r="AT1078" s="366"/>
    </row>
    <row r="1079" spans="1:47" ht="24">
      <c r="A1079" s="257" t="s">
        <v>1415</v>
      </c>
      <c r="B1079" s="257" t="str">
        <f t="shared" si="185"/>
        <v>SiNx</v>
      </c>
      <c r="C1079" s="280">
        <f t="shared" si="186"/>
        <v>0</v>
      </c>
      <c r="D1079" s="183">
        <f t="shared" si="187"/>
        <v>453.89121216482198</v>
      </c>
      <c r="E1079" s="96">
        <f t="shared" si="191"/>
        <v>10.91</v>
      </c>
      <c r="F1079" s="96">
        <f t="shared" si="192"/>
        <v>1.63</v>
      </c>
      <c r="G1079" s="183">
        <f t="shared" si="188"/>
        <v>0</v>
      </c>
      <c r="H1079" s="215">
        <f t="shared" si="194"/>
        <v>0.81264822134387349</v>
      </c>
      <c r="I1079" s="183">
        <f t="shared" si="189"/>
        <v>0</v>
      </c>
      <c r="J1079" s="366"/>
      <c r="K1079" s="257"/>
      <c r="L1079" s="366"/>
      <c r="M1079" s="373"/>
      <c r="N1079" s="175">
        <v>41514</v>
      </c>
      <c r="O1079" s="366">
        <v>368</v>
      </c>
      <c r="P1079" s="326" t="s">
        <v>187</v>
      </c>
      <c r="Q1079" s="257" t="s">
        <v>1367</v>
      </c>
      <c r="R1079" s="257">
        <v>2</v>
      </c>
      <c r="S1079" s="257">
        <v>800</v>
      </c>
      <c r="T1079" s="257">
        <v>87</v>
      </c>
      <c r="U1079" s="257">
        <v>400</v>
      </c>
      <c r="V1079" s="257">
        <v>8</v>
      </c>
      <c r="W1079" s="257">
        <v>26.5</v>
      </c>
      <c r="X1079" s="257">
        <v>2.5</v>
      </c>
      <c r="Y1079" s="257">
        <v>40</v>
      </c>
      <c r="Z1079" s="161"/>
      <c r="AA1079" s="76"/>
      <c r="AB1079" s="51"/>
      <c r="AC1079" s="366"/>
      <c r="AD1079" s="366"/>
      <c r="AE1079" s="366"/>
      <c r="AF1079" s="366"/>
      <c r="AG1079" s="349"/>
      <c r="AH1079" s="113">
        <v>453.89121216482198</v>
      </c>
      <c r="AI1079" s="53"/>
      <c r="AJ1079" s="53">
        <v>10.91</v>
      </c>
      <c r="AK1079" s="53">
        <v>1.63</v>
      </c>
      <c r="AL1079" s="53">
        <f>(187.2+18.4)/253</f>
        <v>0.81264822134387349</v>
      </c>
      <c r="AM1079" s="366"/>
      <c r="AN1079" s="24">
        <f t="shared" si="190"/>
        <v>0</v>
      </c>
      <c r="AO1079" s="198">
        <f t="shared" si="195"/>
        <v>0</v>
      </c>
      <c r="AP1079" s="399">
        <f t="shared" si="193"/>
        <v>0</v>
      </c>
      <c r="AQ1079" s="373"/>
      <c r="AR1079" s="44"/>
      <c r="AS1079" s="366"/>
      <c r="AT1079" s="366"/>
    </row>
    <row r="1080" spans="1:47" ht="24">
      <c r="A1080" s="257" t="s">
        <v>1416</v>
      </c>
      <c r="B1080" s="257" t="str">
        <f t="shared" si="185"/>
        <v>SiNx</v>
      </c>
      <c r="C1080" s="280">
        <f t="shared" si="186"/>
        <v>0</v>
      </c>
      <c r="D1080" s="183">
        <f t="shared" si="187"/>
        <v>379.31317494591599</v>
      </c>
      <c r="E1080" s="96">
        <f t="shared" si="191"/>
        <v>11.88</v>
      </c>
      <c r="F1080" s="96">
        <f t="shared" si="192"/>
        <v>1.43</v>
      </c>
      <c r="G1080" s="183">
        <f t="shared" si="188"/>
        <v>0</v>
      </c>
      <c r="H1080" s="215">
        <f t="shared" si="194"/>
        <v>0.87164948453608249</v>
      </c>
      <c r="I1080" s="183">
        <f t="shared" si="189"/>
        <v>0</v>
      </c>
      <c r="J1080" s="366"/>
      <c r="K1080" s="257"/>
      <c r="L1080" s="366"/>
      <c r="M1080" s="373"/>
      <c r="N1080" s="175">
        <v>41514</v>
      </c>
      <c r="O1080" s="366">
        <v>368</v>
      </c>
      <c r="P1080" s="326" t="s">
        <v>187</v>
      </c>
      <c r="Q1080" s="257" t="s">
        <v>1367</v>
      </c>
      <c r="R1080" s="257">
        <v>3</v>
      </c>
      <c r="S1080" s="257">
        <v>800</v>
      </c>
      <c r="T1080" s="257">
        <v>87</v>
      </c>
      <c r="U1080" s="257">
        <v>400</v>
      </c>
      <c r="V1080" s="257">
        <v>8</v>
      </c>
      <c r="W1080" s="257">
        <v>26.5</v>
      </c>
      <c r="X1080" s="257">
        <v>2.5</v>
      </c>
      <c r="Y1080" s="257">
        <v>40</v>
      </c>
      <c r="Z1080" s="161"/>
      <c r="AA1080" s="76"/>
      <c r="AB1080" s="51"/>
      <c r="AC1080" s="366"/>
      <c r="AD1080" s="366"/>
      <c r="AE1080" s="366"/>
      <c r="AF1080" s="366"/>
      <c r="AG1080" s="349"/>
      <c r="AH1080" s="113">
        <v>379.31317494591599</v>
      </c>
      <c r="AI1080" s="53"/>
      <c r="AJ1080" s="53">
        <v>11.88</v>
      </c>
      <c r="AK1080" s="53">
        <v>1.43</v>
      </c>
      <c r="AL1080" s="53">
        <f>(151.2+17.9)/194</f>
        <v>0.87164948453608249</v>
      </c>
      <c r="AM1080" s="366"/>
      <c r="AN1080" s="24">
        <f t="shared" si="190"/>
        <v>0</v>
      </c>
      <c r="AO1080" s="198">
        <f t="shared" si="195"/>
        <v>0</v>
      </c>
      <c r="AP1080" s="399">
        <f t="shared" si="193"/>
        <v>0</v>
      </c>
      <c r="AQ1080" s="373"/>
      <c r="AR1080" s="44"/>
      <c r="AS1080" s="366"/>
      <c r="AT1080" s="366"/>
    </row>
    <row r="1081" spans="1:47" ht="24">
      <c r="A1081" s="257" t="s">
        <v>1417</v>
      </c>
      <c r="B1081" s="257" t="str">
        <f t="shared" si="185"/>
        <v>SiNx</v>
      </c>
      <c r="C1081" s="280">
        <f t="shared" si="186"/>
        <v>0</v>
      </c>
      <c r="D1081" s="183">
        <f t="shared" si="187"/>
        <v>460.49261737319398</v>
      </c>
      <c r="E1081" s="96">
        <f t="shared" si="191"/>
        <v>10.88</v>
      </c>
      <c r="F1081" s="96">
        <f t="shared" si="192"/>
        <v>1.69</v>
      </c>
      <c r="G1081" s="183">
        <f t="shared" si="188"/>
        <v>0</v>
      </c>
      <c r="H1081" s="215">
        <f t="shared" si="194"/>
        <v>0.81178861788617895</v>
      </c>
      <c r="I1081" s="183">
        <f t="shared" si="189"/>
        <v>0</v>
      </c>
      <c r="J1081" s="366"/>
      <c r="K1081" s="257"/>
      <c r="L1081" s="366"/>
      <c r="M1081" s="373"/>
      <c r="N1081" s="175">
        <v>41514</v>
      </c>
      <c r="O1081" s="366">
        <v>368</v>
      </c>
      <c r="P1081" s="326" t="s">
        <v>187</v>
      </c>
      <c r="Q1081" s="257" t="s">
        <v>1367</v>
      </c>
      <c r="R1081" s="257">
        <v>4</v>
      </c>
      <c r="S1081" s="257">
        <v>800</v>
      </c>
      <c r="T1081" s="257">
        <v>87</v>
      </c>
      <c r="U1081" s="257">
        <v>400</v>
      </c>
      <c r="V1081" s="257">
        <v>8</v>
      </c>
      <c r="W1081" s="257">
        <v>26.5</v>
      </c>
      <c r="X1081" s="257">
        <v>2.5</v>
      </c>
      <c r="Y1081" s="257">
        <v>40</v>
      </c>
      <c r="Z1081" s="161"/>
      <c r="AA1081" s="76"/>
      <c r="AB1081" s="51"/>
      <c r="AC1081" s="366"/>
      <c r="AD1081" s="366"/>
      <c r="AE1081" s="366"/>
      <c r="AF1081" s="366"/>
      <c r="AG1081" s="349"/>
      <c r="AH1081" s="113">
        <v>460.49261737319398</v>
      </c>
      <c r="AI1081" s="53"/>
      <c r="AJ1081" s="53">
        <v>10.88</v>
      </c>
      <c r="AK1081" s="53">
        <v>1.69</v>
      </c>
      <c r="AL1081" s="53">
        <f>(181.8+17.9)/246</f>
        <v>0.81178861788617895</v>
      </c>
      <c r="AM1081" s="366"/>
      <c r="AN1081" s="24">
        <f t="shared" si="190"/>
        <v>0</v>
      </c>
      <c r="AO1081" s="198">
        <f t="shared" si="195"/>
        <v>0</v>
      </c>
      <c r="AP1081" s="399">
        <f t="shared" si="193"/>
        <v>0</v>
      </c>
      <c r="AQ1081" s="373"/>
      <c r="AR1081" s="44"/>
      <c r="AS1081" s="366"/>
      <c r="AT1081" s="366"/>
    </row>
    <row r="1082" spans="1:47" ht="24">
      <c r="A1082" s="257" t="s">
        <v>1418</v>
      </c>
      <c r="B1082" s="257" t="str">
        <f t="shared" si="185"/>
        <v>SiNx</v>
      </c>
      <c r="C1082" s="280">
        <f t="shared" si="186"/>
        <v>0</v>
      </c>
      <c r="D1082" s="183">
        <f t="shared" si="187"/>
        <v>468.34293708044697</v>
      </c>
      <c r="E1082" s="96">
        <f t="shared" si="191"/>
        <v>10.88</v>
      </c>
      <c r="F1082" s="96">
        <f t="shared" si="192"/>
        <v>1.71</v>
      </c>
      <c r="G1082" s="183">
        <f t="shared" si="188"/>
        <v>0</v>
      </c>
      <c r="H1082" s="215">
        <f t="shared" si="194"/>
        <v>0.80579150579150571</v>
      </c>
      <c r="I1082" s="183">
        <f t="shared" si="189"/>
        <v>0</v>
      </c>
      <c r="J1082" s="366"/>
      <c r="K1082" s="257"/>
      <c r="L1082" s="366"/>
      <c r="M1082" s="373"/>
      <c r="N1082" s="175">
        <v>41514</v>
      </c>
      <c r="O1082" s="366">
        <v>368</v>
      </c>
      <c r="P1082" s="326" t="s">
        <v>187</v>
      </c>
      <c r="Q1082" s="257" t="s">
        <v>1367</v>
      </c>
      <c r="R1082" s="257">
        <v>5</v>
      </c>
      <c r="S1082" s="257">
        <v>800</v>
      </c>
      <c r="T1082" s="257">
        <v>87</v>
      </c>
      <c r="U1082" s="257">
        <v>400</v>
      </c>
      <c r="V1082" s="257">
        <v>8</v>
      </c>
      <c r="W1082" s="257">
        <v>26.5</v>
      </c>
      <c r="X1082" s="257">
        <v>2.5</v>
      </c>
      <c r="Y1082" s="257">
        <v>40</v>
      </c>
      <c r="Z1082" s="161"/>
      <c r="AA1082" s="76"/>
      <c r="AB1082" s="51"/>
      <c r="AC1082" s="366"/>
      <c r="AD1082" s="366"/>
      <c r="AE1082" s="366"/>
      <c r="AF1082" s="366"/>
      <c r="AG1082" s="349"/>
      <c r="AH1082" s="113">
        <v>468.34293708044697</v>
      </c>
      <c r="AI1082" s="53"/>
      <c r="AJ1082" s="53">
        <v>10.88</v>
      </c>
      <c r="AK1082" s="53">
        <v>1.71</v>
      </c>
      <c r="AL1082" s="53">
        <f>(191+17.7)/259</f>
        <v>0.80579150579150571</v>
      </c>
      <c r="AM1082" s="366"/>
      <c r="AN1082" s="24">
        <f t="shared" si="190"/>
        <v>0</v>
      </c>
      <c r="AO1082" s="198">
        <f t="shared" si="195"/>
        <v>0</v>
      </c>
      <c r="AP1082" s="399">
        <f t="shared" si="193"/>
        <v>0</v>
      </c>
      <c r="AQ1082" s="373"/>
      <c r="AR1082" s="44"/>
      <c r="AS1082" s="366"/>
      <c r="AT1082" s="366"/>
    </row>
    <row r="1083" spans="1:47" ht="12">
      <c r="A1083" s="81" t="s">
        <v>1419</v>
      </c>
      <c r="B1083" s="256" t="str">
        <f t="shared" si="185"/>
        <v>MgO</v>
      </c>
      <c r="C1083" s="141">
        <f t="shared" si="186"/>
        <v>4.38</v>
      </c>
      <c r="D1083" s="277">
        <f t="shared" si="187"/>
        <v>285.46617117284399</v>
      </c>
      <c r="E1083" s="20">
        <f t="shared" si="191"/>
        <v>12.72</v>
      </c>
      <c r="F1083" s="20">
        <f t="shared" si="192"/>
        <v>0</v>
      </c>
      <c r="G1083" s="277">
        <f t="shared" si="188"/>
        <v>125.03418297370565</v>
      </c>
      <c r="H1083" s="3">
        <f t="shared" si="194"/>
        <v>0.79361702127659584</v>
      </c>
      <c r="I1083" s="277">
        <f t="shared" si="189"/>
        <v>15904.34807425536</v>
      </c>
      <c r="J1083" s="359"/>
      <c r="K1083" s="81"/>
      <c r="L1083" s="359"/>
      <c r="M1083" s="338"/>
      <c r="N1083" s="336">
        <v>41514</v>
      </c>
      <c r="O1083" s="359">
        <v>368</v>
      </c>
      <c r="P1083" s="81" t="s">
        <v>46</v>
      </c>
      <c r="Q1083" s="81"/>
      <c r="R1083" s="81">
        <v>6</v>
      </c>
      <c r="S1083" s="81">
        <v>800</v>
      </c>
      <c r="T1083" s="81">
        <v>87</v>
      </c>
      <c r="U1083" s="81">
        <v>400</v>
      </c>
      <c r="V1083" s="256">
        <v>8</v>
      </c>
      <c r="W1083" s="256">
        <v>26.5</v>
      </c>
      <c r="X1083" s="256">
        <v>2.5</v>
      </c>
      <c r="Y1083" s="256">
        <v>40</v>
      </c>
      <c r="Z1083" s="71"/>
      <c r="AA1083" s="387"/>
      <c r="AB1083" s="248">
        <v>0.2006</v>
      </c>
      <c r="AC1083" s="359">
        <v>0.60650000000000004</v>
      </c>
      <c r="AD1083" s="359">
        <v>0.19289999999999999</v>
      </c>
      <c r="AE1083" s="256" t="s">
        <v>47</v>
      </c>
      <c r="AF1083" s="359">
        <v>4.38</v>
      </c>
      <c r="AG1083" s="153"/>
      <c r="AH1083" s="346">
        <v>285.46617117284399</v>
      </c>
      <c r="AI1083" s="24"/>
      <c r="AJ1083" s="24">
        <v>12.72</v>
      </c>
      <c r="AK1083" s="24"/>
      <c r="AL1083" s="24">
        <f>(92.5+19.4)/141</f>
        <v>0.79361702127659584</v>
      </c>
      <c r="AM1083" s="359"/>
      <c r="AN1083" s="24">
        <f t="shared" si="190"/>
        <v>125.03418297370565</v>
      </c>
      <c r="AO1083" s="54">
        <f t="shared" si="195"/>
        <v>15904.34807425536</v>
      </c>
      <c r="AP1083" s="261">
        <f t="shared" si="193"/>
        <v>3.0206896551724141</v>
      </c>
      <c r="AQ1083" s="338"/>
      <c r="AR1083" s="45"/>
      <c r="AS1083" s="359"/>
      <c r="AT1083" s="359"/>
    </row>
    <row r="1084" spans="1:47" ht="24">
      <c r="A1084" s="257" t="s">
        <v>1420</v>
      </c>
      <c r="B1084" s="257" t="str">
        <f t="shared" si="185"/>
        <v>SiNx</v>
      </c>
      <c r="C1084" s="280">
        <f t="shared" si="186"/>
        <v>0</v>
      </c>
      <c r="D1084" s="183">
        <f t="shared" si="187"/>
        <v>525.25775495803305</v>
      </c>
      <c r="E1084" s="96">
        <f t="shared" si="191"/>
        <v>10.56</v>
      </c>
      <c r="F1084" s="96">
        <f t="shared" si="192"/>
        <v>1.84</v>
      </c>
      <c r="G1084" s="183">
        <f t="shared" si="188"/>
        <v>0</v>
      </c>
      <c r="H1084" s="215">
        <f t="shared" si="194"/>
        <v>0.78926174496644297</v>
      </c>
      <c r="I1084" s="183">
        <f t="shared" si="189"/>
        <v>0</v>
      </c>
      <c r="J1084" s="366"/>
      <c r="K1084" s="257" t="s">
        <v>1250</v>
      </c>
      <c r="L1084" s="366"/>
      <c r="M1084" s="373"/>
      <c r="N1084" s="191">
        <v>41516</v>
      </c>
      <c r="O1084" s="366">
        <v>369</v>
      </c>
      <c r="P1084" s="326" t="s">
        <v>187</v>
      </c>
      <c r="Q1084" s="257" t="s">
        <v>1367</v>
      </c>
      <c r="R1084" s="257">
        <v>1</v>
      </c>
      <c r="S1084" s="257">
        <v>800</v>
      </c>
      <c r="T1084" s="257">
        <v>81</v>
      </c>
      <c r="U1084" s="257">
        <v>400</v>
      </c>
      <c r="V1084" s="257">
        <v>8</v>
      </c>
      <c r="W1084" s="257">
        <v>26.5</v>
      </c>
      <c r="X1084" s="257">
        <v>2.5</v>
      </c>
      <c r="Y1084" s="257">
        <v>40</v>
      </c>
      <c r="Z1084" s="161"/>
      <c r="AA1084" s="76"/>
      <c r="AB1084" s="51"/>
      <c r="AC1084" s="366"/>
      <c r="AD1084" s="366"/>
      <c r="AE1084" s="366"/>
      <c r="AF1084" s="366"/>
      <c r="AG1084" s="349"/>
      <c r="AH1084" s="113">
        <v>525.25775495803305</v>
      </c>
      <c r="AI1084" s="53"/>
      <c r="AJ1084" s="53">
        <v>10.56</v>
      </c>
      <c r="AK1084" s="53">
        <v>1.84</v>
      </c>
      <c r="AL1084" s="53">
        <f>(217.3+17.9)/298</f>
        <v>0.78926174496644297</v>
      </c>
      <c r="AM1084" s="366"/>
      <c r="AN1084" s="24">
        <f t="shared" si="190"/>
        <v>0</v>
      </c>
      <c r="AO1084" s="198">
        <f t="shared" si="195"/>
        <v>0</v>
      </c>
      <c r="AP1084" s="399">
        <f t="shared" si="193"/>
        <v>0</v>
      </c>
      <c r="AQ1084" s="373"/>
      <c r="AR1084" s="44"/>
      <c r="AS1084" s="366"/>
      <c r="AT1084" s="366"/>
    </row>
    <row r="1085" spans="1:47" ht="24">
      <c r="A1085" s="257" t="s">
        <v>1421</v>
      </c>
      <c r="B1085" s="257" t="str">
        <f t="shared" si="185"/>
        <v>SiNx</v>
      </c>
      <c r="C1085" s="280">
        <f t="shared" si="186"/>
        <v>0</v>
      </c>
      <c r="D1085" s="183">
        <f t="shared" si="187"/>
        <v>524.54408953010102</v>
      </c>
      <c r="E1085" s="96">
        <f t="shared" si="191"/>
        <v>10.54</v>
      </c>
      <c r="F1085" s="96">
        <f t="shared" si="192"/>
        <v>1.83</v>
      </c>
      <c r="G1085" s="183">
        <f t="shared" si="188"/>
        <v>0</v>
      </c>
      <c r="H1085" s="215">
        <f t="shared" si="194"/>
        <v>0.78903654485049834</v>
      </c>
      <c r="I1085" s="183">
        <f t="shared" si="189"/>
        <v>0</v>
      </c>
      <c r="J1085" s="366"/>
      <c r="K1085" s="257" t="s">
        <v>1250</v>
      </c>
      <c r="L1085" s="366"/>
      <c r="M1085" s="373"/>
      <c r="N1085" s="191">
        <v>41516</v>
      </c>
      <c r="O1085" s="366">
        <v>369</v>
      </c>
      <c r="P1085" s="326" t="s">
        <v>187</v>
      </c>
      <c r="Q1085" s="257" t="s">
        <v>1367</v>
      </c>
      <c r="R1085" s="257">
        <v>2</v>
      </c>
      <c r="S1085" s="257">
        <v>800</v>
      </c>
      <c r="T1085" s="257">
        <v>81</v>
      </c>
      <c r="U1085" s="257">
        <v>400</v>
      </c>
      <c r="V1085" s="257">
        <v>8</v>
      </c>
      <c r="W1085" s="257">
        <v>26.5</v>
      </c>
      <c r="X1085" s="257">
        <v>2.5</v>
      </c>
      <c r="Y1085" s="257">
        <v>40</v>
      </c>
      <c r="Z1085" s="161"/>
      <c r="AA1085" s="76"/>
      <c r="AB1085" s="51"/>
      <c r="AC1085" s="366"/>
      <c r="AD1085" s="366"/>
      <c r="AE1085" s="366"/>
      <c r="AF1085" s="366"/>
      <c r="AG1085" s="349"/>
      <c r="AH1085" s="113">
        <v>524.54408953010102</v>
      </c>
      <c r="AI1085" s="53"/>
      <c r="AJ1085" s="53">
        <v>10.54</v>
      </c>
      <c r="AK1085" s="53">
        <v>1.83</v>
      </c>
      <c r="AL1085" s="53">
        <f>(219.2+18.3)/301</f>
        <v>0.78903654485049834</v>
      </c>
      <c r="AM1085" s="366"/>
      <c r="AN1085" s="24">
        <f t="shared" si="190"/>
        <v>0</v>
      </c>
      <c r="AO1085" s="198">
        <f t="shared" si="195"/>
        <v>0</v>
      </c>
      <c r="AP1085" s="399">
        <f t="shared" si="193"/>
        <v>0</v>
      </c>
      <c r="AQ1085" s="373"/>
      <c r="AR1085" s="44"/>
      <c r="AS1085" s="366"/>
      <c r="AT1085" s="366"/>
    </row>
    <row r="1086" spans="1:47" ht="12">
      <c r="A1086" s="256" t="s">
        <v>1422</v>
      </c>
      <c r="B1086" s="256" t="str">
        <f t="shared" si="185"/>
        <v>MgO</v>
      </c>
      <c r="C1086" s="32">
        <f t="shared" si="186"/>
        <v>4.1100000000000003</v>
      </c>
      <c r="D1086" s="279">
        <f t="shared" si="187"/>
        <v>328.10768049178802</v>
      </c>
      <c r="E1086" s="78">
        <f t="shared" si="191"/>
        <v>11.78</v>
      </c>
      <c r="F1086" s="78">
        <f t="shared" si="192"/>
        <v>1.31</v>
      </c>
      <c r="G1086" s="279">
        <f t="shared" si="188"/>
        <v>134.85225668212487</v>
      </c>
      <c r="H1086" s="190">
        <f t="shared" si="194"/>
        <v>0.78633879781420768</v>
      </c>
      <c r="I1086" s="279">
        <f t="shared" si="189"/>
        <v>15885.595837154309</v>
      </c>
      <c r="J1086" s="67"/>
      <c r="K1086" s="81" t="s">
        <v>1250</v>
      </c>
      <c r="L1086" s="67"/>
      <c r="M1086" s="371"/>
      <c r="N1086" s="309">
        <v>41516</v>
      </c>
      <c r="O1086" s="67">
        <v>369</v>
      </c>
      <c r="P1086" s="256" t="s">
        <v>46</v>
      </c>
      <c r="Q1086" s="256"/>
      <c r="R1086" s="256">
        <v>3</v>
      </c>
      <c r="S1086" s="256">
        <v>800</v>
      </c>
      <c r="T1086" s="256">
        <v>81</v>
      </c>
      <c r="U1086" s="256">
        <v>400</v>
      </c>
      <c r="V1086" s="256">
        <v>8</v>
      </c>
      <c r="W1086" s="256">
        <v>26.5</v>
      </c>
      <c r="X1086" s="256">
        <v>2.5</v>
      </c>
      <c r="Y1086" s="256">
        <v>40</v>
      </c>
      <c r="Z1086" s="306"/>
      <c r="AA1086" s="317"/>
      <c r="AB1086" s="182">
        <v>0.19309999999999999</v>
      </c>
      <c r="AC1086" s="67">
        <v>0.58620000000000005</v>
      </c>
      <c r="AD1086" s="67">
        <v>0.22070000000000001</v>
      </c>
      <c r="AE1086" s="256" t="s">
        <v>47</v>
      </c>
      <c r="AF1086" s="67">
        <v>4.1100000000000003</v>
      </c>
      <c r="AG1086" s="315"/>
      <c r="AH1086" s="66">
        <v>328.10768049178802</v>
      </c>
      <c r="AI1086" s="216"/>
      <c r="AJ1086" s="216">
        <v>11.78</v>
      </c>
      <c r="AK1086" s="216">
        <v>1.31</v>
      </c>
      <c r="AL1086" s="216">
        <f>(124.7+19.2)/183</f>
        <v>0.78633879781420768</v>
      </c>
      <c r="AM1086" s="67"/>
      <c r="AN1086" s="24">
        <f t="shared" si="190"/>
        <v>134.85225668212487</v>
      </c>
      <c r="AO1086" s="389">
        <f t="shared" si="195"/>
        <v>15885.595837154309</v>
      </c>
      <c r="AP1086" s="187">
        <f t="shared" ref="AP1086:AP1111" si="196">(AF1086/T1086)*60</f>
        <v>3.0444444444444447</v>
      </c>
      <c r="AQ1086" s="371"/>
      <c r="AR1086" s="41"/>
      <c r="AS1086" s="67"/>
      <c r="AT1086" s="67"/>
    </row>
    <row r="1087" spans="1:47" ht="24">
      <c r="A1087" s="257" t="s">
        <v>1423</v>
      </c>
      <c r="B1087" s="257" t="str">
        <f t="shared" si="185"/>
        <v>SiNx</v>
      </c>
      <c r="C1087" s="280">
        <f t="shared" si="186"/>
        <v>0</v>
      </c>
      <c r="D1087" s="183">
        <f t="shared" si="187"/>
        <v>527.22033488484601</v>
      </c>
      <c r="E1087" s="96">
        <f t="shared" si="191"/>
        <v>10.43</v>
      </c>
      <c r="F1087" s="96">
        <f t="shared" si="192"/>
        <v>1.86</v>
      </c>
      <c r="G1087" s="183">
        <f t="shared" si="188"/>
        <v>0</v>
      </c>
      <c r="H1087" s="215">
        <f t="shared" si="194"/>
        <v>0.78440677966101702</v>
      </c>
      <c r="I1087" s="183">
        <f t="shared" si="189"/>
        <v>0</v>
      </c>
      <c r="J1087" s="366"/>
      <c r="K1087" s="257" t="s">
        <v>1250</v>
      </c>
      <c r="L1087" s="366"/>
      <c r="M1087" s="373"/>
      <c r="N1087" s="191">
        <v>41516</v>
      </c>
      <c r="O1087" s="366">
        <v>369</v>
      </c>
      <c r="P1087" s="326" t="s">
        <v>187</v>
      </c>
      <c r="Q1087" s="257" t="s">
        <v>1367</v>
      </c>
      <c r="R1087" s="257">
        <v>4</v>
      </c>
      <c r="S1087" s="257">
        <v>800</v>
      </c>
      <c r="T1087" s="257">
        <v>81</v>
      </c>
      <c r="U1087" s="257">
        <v>400</v>
      </c>
      <c r="V1087" s="257">
        <v>8</v>
      </c>
      <c r="W1087" s="257">
        <v>26.5</v>
      </c>
      <c r="X1087" s="257">
        <v>2.5</v>
      </c>
      <c r="Y1087" s="257">
        <v>40</v>
      </c>
      <c r="Z1087" s="161"/>
      <c r="AA1087" s="76"/>
      <c r="AB1087" s="51"/>
      <c r="AC1087" s="366"/>
      <c r="AD1087" s="366"/>
      <c r="AE1087" s="366"/>
      <c r="AF1087" s="366"/>
      <c r="AG1087" s="349"/>
      <c r="AH1087" s="113">
        <v>527.22033488484601</v>
      </c>
      <c r="AI1087" s="53"/>
      <c r="AJ1087" s="53">
        <v>10.43</v>
      </c>
      <c r="AK1087" s="53">
        <v>1.86</v>
      </c>
      <c r="AL1087" s="53">
        <f>(212.8+18.6)/295</f>
        <v>0.78440677966101702</v>
      </c>
      <c r="AM1087" s="366"/>
      <c r="AN1087" s="24">
        <f t="shared" si="190"/>
        <v>0</v>
      </c>
      <c r="AO1087" s="198">
        <f t="shared" si="195"/>
        <v>0</v>
      </c>
      <c r="AP1087" s="399">
        <f t="shared" si="196"/>
        <v>0</v>
      </c>
      <c r="AQ1087" s="373"/>
      <c r="AR1087" s="44"/>
      <c r="AS1087" s="366"/>
      <c r="AT1087" s="366"/>
    </row>
    <row r="1088" spans="1:47" ht="24">
      <c r="A1088" s="257" t="s">
        <v>1424</v>
      </c>
      <c r="B1088" s="257" t="str">
        <f t="shared" si="185"/>
        <v>SiNx</v>
      </c>
      <c r="C1088" s="280">
        <f t="shared" si="186"/>
        <v>0</v>
      </c>
      <c r="D1088" s="183">
        <f t="shared" si="187"/>
        <v>519.37001517759302</v>
      </c>
      <c r="E1088" s="96">
        <f t="shared" si="191"/>
        <v>10.62</v>
      </c>
      <c r="F1088" s="96">
        <f t="shared" si="192"/>
        <v>1.83</v>
      </c>
      <c r="G1088" s="183">
        <f t="shared" si="188"/>
        <v>0</v>
      </c>
      <c r="H1088" s="215">
        <f t="shared" si="194"/>
        <v>0.79140893470790385</v>
      </c>
      <c r="I1088" s="183">
        <f t="shared" si="189"/>
        <v>0</v>
      </c>
      <c r="J1088" s="366"/>
      <c r="K1088" s="257" t="s">
        <v>1250</v>
      </c>
      <c r="L1088" s="366"/>
      <c r="M1088" s="373"/>
      <c r="N1088" s="191">
        <v>41516</v>
      </c>
      <c r="O1088" s="366">
        <v>369</v>
      </c>
      <c r="P1088" s="326" t="s">
        <v>187</v>
      </c>
      <c r="Q1088" s="257" t="s">
        <v>1367</v>
      </c>
      <c r="R1088" s="257">
        <v>5</v>
      </c>
      <c r="S1088" s="257">
        <v>800</v>
      </c>
      <c r="T1088" s="257">
        <v>81</v>
      </c>
      <c r="U1088" s="257">
        <v>400</v>
      </c>
      <c r="V1088" s="257">
        <v>8</v>
      </c>
      <c r="W1088" s="257">
        <v>26.5</v>
      </c>
      <c r="X1088" s="257">
        <v>2.5</v>
      </c>
      <c r="Y1088" s="257">
        <v>40</v>
      </c>
      <c r="Z1088" s="161"/>
      <c r="AA1088" s="76"/>
      <c r="AB1088" s="51"/>
      <c r="AC1088" s="366"/>
      <c r="AD1088" s="366"/>
      <c r="AE1088" s="366"/>
      <c r="AF1088" s="366"/>
      <c r="AG1088" s="349"/>
      <c r="AH1088" s="113">
        <v>519.37001517759302</v>
      </c>
      <c r="AI1088" s="53"/>
      <c r="AJ1088" s="53">
        <v>10.62</v>
      </c>
      <c r="AK1088" s="53">
        <v>1.83</v>
      </c>
      <c r="AL1088" s="53">
        <f>(212+18.3)/291</f>
        <v>0.79140893470790385</v>
      </c>
      <c r="AM1088" s="366"/>
      <c r="AN1088" s="24">
        <f t="shared" si="190"/>
        <v>0</v>
      </c>
      <c r="AO1088" s="198">
        <f t="shared" si="195"/>
        <v>0</v>
      </c>
      <c r="AP1088" s="399">
        <f t="shared" si="196"/>
        <v>0</v>
      </c>
      <c r="AQ1088" s="373"/>
      <c r="AR1088" s="44"/>
      <c r="AS1088" s="366"/>
      <c r="AT1088" s="366"/>
    </row>
    <row r="1089" spans="1:46" ht="12">
      <c r="A1089" s="256" t="s">
        <v>1425</v>
      </c>
      <c r="B1089" s="256" t="str">
        <f t="shared" si="185"/>
        <v>MgO</v>
      </c>
      <c r="C1089" s="32">
        <f t="shared" si="186"/>
        <v>3.95</v>
      </c>
      <c r="D1089" s="279">
        <f t="shared" si="187"/>
        <v>268.873449973422</v>
      </c>
      <c r="E1089" s="78">
        <f t="shared" si="191"/>
        <v>13.26</v>
      </c>
      <c r="F1089" s="78">
        <f t="shared" si="192"/>
        <v>0.92</v>
      </c>
      <c r="G1089" s="279">
        <f t="shared" si="188"/>
        <v>106.2050127395017</v>
      </c>
      <c r="H1089" s="190">
        <f t="shared" si="194"/>
        <v>0.8186046511627908</v>
      </c>
      <c r="I1089" s="279">
        <f t="shared" si="189"/>
        <v>14082.784689257924</v>
      </c>
      <c r="J1089" s="67"/>
      <c r="K1089" s="81" t="s">
        <v>1250</v>
      </c>
      <c r="L1089" s="67"/>
      <c r="M1089" s="371"/>
      <c r="N1089" s="309">
        <v>41516</v>
      </c>
      <c r="O1089" s="67">
        <v>369</v>
      </c>
      <c r="P1089" s="256" t="s">
        <v>46</v>
      </c>
      <c r="Q1089" s="67"/>
      <c r="R1089" s="256">
        <v>6</v>
      </c>
      <c r="S1089" s="256">
        <v>800</v>
      </c>
      <c r="T1089" s="256">
        <v>81</v>
      </c>
      <c r="U1089" s="256">
        <v>400</v>
      </c>
      <c r="V1089" s="256">
        <v>8</v>
      </c>
      <c r="W1089" s="256">
        <v>26.5</v>
      </c>
      <c r="X1089" s="256">
        <v>2.5</v>
      </c>
      <c r="Y1089" s="256">
        <v>40</v>
      </c>
      <c r="Z1089" s="306"/>
      <c r="AA1089" s="317"/>
      <c r="AB1089" s="182">
        <v>0.19139999999999999</v>
      </c>
      <c r="AC1089" s="67">
        <v>0.59450000000000003</v>
      </c>
      <c r="AD1089" s="67">
        <v>0.21410000000000001</v>
      </c>
      <c r="AE1089" s="256" t="s">
        <v>47</v>
      </c>
      <c r="AF1089" s="67">
        <v>3.95</v>
      </c>
      <c r="AG1089" s="315"/>
      <c r="AH1089" s="66">
        <v>268.873449973422</v>
      </c>
      <c r="AI1089" s="216"/>
      <c r="AJ1089" s="216">
        <v>13.26</v>
      </c>
      <c r="AK1089" s="216">
        <v>0.92</v>
      </c>
      <c r="AL1089" s="216">
        <f>(85.9+19.7)/129</f>
        <v>0.8186046511627908</v>
      </c>
      <c r="AM1089" s="67"/>
      <c r="AN1089" s="24">
        <f t="shared" si="190"/>
        <v>106.2050127395017</v>
      </c>
      <c r="AO1089" s="389">
        <f t="shared" si="195"/>
        <v>14082.784689257924</v>
      </c>
      <c r="AP1089" s="187">
        <f t="shared" si="196"/>
        <v>2.9259259259259265</v>
      </c>
      <c r="AQ1089" s="371"/>
      <c r="AR1089" s="41"/>
      <c r="AS1089" s="67"/>
      <c r="AT1089" s="67"/>
    </row>
    <row r="1090" spans="1:46" ht="12">
      <c r="A1090" s="256" t="s">
        <v>1426</v>
      </c>
      <c r="B1090" s="256" t="str">
        <f t="shared" si="185"/>
        <v>MgO</v>
      </c>
      <c r="C1090" s="32">
        <f t="shared" si="186"/>
        <v>60</v>
      </c>
      <c r="D1090" s="279">
        <f t="shared" si="187"/>
        <v>13.9164758446761</v>
      </c>
      <c r="E1090" s="78">
        <f t="shared" si="191"/>
        <v>16.25</v>
      </c>
      <c r="F1090" s="78">
        <f t="shared" si="192"/>
        <v>0.1</v>
      </c>
      <c r="G1090" s="279">
        <f t="shared" si="188"/>
        <v>83.498855068056599</v>
      </c>
      <c r="H1090" s="190">
        <f t="shared" si="194"/>
        <v>0.91780821917808231</v>
      </c>
      <c r="I1090" s="279">
        <f t="shared" si="189"/>
        <v>13568.563948559198</v>
      </c>
      <c r="J1090" s="256"/>
      <c r="K1090" s="256" t="s">
        <v>1427</v>
      </c>
      <c r="L1090" s="256"/>
      <c r="M1090" s="68"/>
      <c r="N1090" s="18">
        <v>41531</v>
      </c>
      <c r="O1090" s="256">
        <v>370</v>
      </c>
      <c r="P1090" s="256" t="s">
        <v>46</v>
      </c>
      <c r="Q1090" s="256"/>
      <c r="R1090" s="256">
        <v>3</v>
      </c>
      <c r="S1090" s="256">
        <v>800</v>
      </c>
      <c r="T1090" s="256">
        <v>1200</v>
      </c>
      <c r="U1090" s="256">
        <v>400</v>
      </c>
      <c r="V1090" s="256">
        <v>8</v>
      </c>
      <c r="W1090" s="256">
        <v>26.5</v>
      </c>
      <c r="X1090" s="256">
        <v>2.5</v>
      </c>
      <c r="Y1090" s="256">
        <v>40</v>
      </c>
      <c r="Z1090" s="256"/>
      <c r="AA1090" s="207"/>
      <c r="AB1090" s="86"/>
      <c r="AC1090" s="256"/>
      <c r="AD1090" s="256"/>
      <c r="AE1090" s="256" t="s">
        <v>1428</v>
      </c>
      <c r="AF1090" s="256">
        <v>60</v>
      </c>
      <c r="AG1090" s="335"/>
      <c r="AH1090" s="213">
        <v>13.9164758446761</v>
      </c>
      <c r="AI1090" s="78"/>
      <c r="AJ1090" s="78">
        <v>16.25</v>
      </c>
      <c r="AK1090" s="78">
        <v>0.1</v>
      </c>
      <c r="AL1090" s="78">
        <f>(-15.6+22.3)/7.3</f>
        <v>0.91780821917808231</v>
      </c>
      <c r="AM1090" s="256"/>
      <c r="AN1090" s="24">
        <f t="shared" si="190"/>
        <v>83.498855068056599</v>
      </c>
      <c r="AO1090" s="160">
        <f t="shared" si="195"/>
        <v>13568.563948559198</v>
      </c>
      <c r="AP1090" s="209">
        <f t="shared" si="196"/>
        <v>3</v>
      </c>
      <c r="AQ1090" s="68"/>
      <c r="AR1090" s="15"/>
      <c r="AS1090" s="256"/>
      <c r="AT1090" s="256"/>
    </row>
    <row r="1091" spans="1:46" ht="12">
      <c r="A1091" s="256" t="s">
        <v>1429</v>
      </c>
      <c r="B1091" s="256" t="str">
        <f t="shared" ref="B1091:B1154" si="197">P1091</f>
        <v>MgO</v>
      </c>
      <c r="C1091" s="32">
        <f t="shared" ref="C1091:C1111" si="198">AF1091</f>
        <v>60</v>
      </c>
      <c r="D1091" s="279">
        <f t="shared" ref="D1091:D1154" si="199">AH1091</f>
        <v>14.8085576295913</v>
      </c>
      <c r="E1091" s="78">
        <f t="shared" si="191"/>
        <v>16.2</v>
      </c>
      <c r="F1091" s="78">
        <f t="shared" si="192"/>
        <v>0.1</v>
      </c>
      <c r="G1091" s="279">
        <f t="shared" ref="G1091:G1111" si="200">AN1091</f>
        <v>88.851345777547806</v>
      </c>
      <c r="H1091" s="190">
        <f t="shared" si="194"/>
        <v>0.85897435897435914</v>
      </c>
      <c r="I1091" s="279">
        <f t="shared" ref="I1091:I1111" si="201">AO1091</f>
        <v>14393.918015962743</v>
      </c>
      <c r="J1091" s="256"/>
      <c r="K1091" s="256" t="s">
        <v>1427</v>
      </c>
      <c r="L1091" s="256"/>
      <c r="M1091" s="68"/>
      <c r="N1091" s="18">
        <v>41531</v>
      </c>
      <c r="O1091" s="256">
        <v>370</v>
      </c>
      <c r="P1091" s="256" t="s">
        <v>46</v>
      </c>
      <c r="Q1091" s="256"/>
      <c r="R1091" s="256">
        <v>6</v>
      </c>
      <c r="S1091" s="256">
        <v>800</v>
      </c>
      <c r="T1091" s="256">
        <v>1200</v>
      </c>
      <c r="U1091" s="256">
        <v>400</v>
      </c>
      <c r="V1091" s="256">
        <v>8</v>
      </c>
      <c r="W1091" s="256">
        <v>26.5</v>
      </c>
      <c r="X1091" s="256">
        <v>2.5</v>
      </c>
      <c r="Y1091" s="256">
        <v>40</v>
      </c>
      <c r="Z1091" s="256"/>
      <c r="AA1091" s="207"/>
      <c r="AB1091" s="86"/>
      <c r="AC1091" s="256"/>
      <c r="AD1091" s="256"/>
      <c r="AE1091" s="256" t="s">
        <v>1428</v>
      </c>
      <c r="AF1091" s="256">
        <v>60</v>
      </c>
      <c r="AG1091" s="335"/>
      <c r="AH1091" s="213">
        <v>14.8085576295913</v>
      </c>
      <c r="AI1091" s="78"/>
      <c r="AJ1091" s="78">
        <v>16.2</v>
      </c>
      <c r="AK1091" s="78">
        <v>0.1</v>
      </c>
      <c r="AL1091" s="78">
        <f>(20.1-13.4)/7.8</f>
        <v>0.85897435897435914</v>
      </c>
      <c r="AM1091" s="256"/>
      <c r="AN1091" s="24">
        <f t="shared" ref="AN1091:AN1154" si="202">((AH1091*AF1091)/10)</f>
        <v>88.851345777547806</v>
      </c>
      <c r="AO1091" s="160">
        <f t="shared" si="195"/>
        <v>14393.918015962743</v>
      </c>
      <c r="AP1091" s="209">
        <f t="shared" si="196"/>
        <v>3</v>
      </c>
      <c r="AQ1091" s="68"/>
      <c r="AR1091" s="15"/>
      <c r="AS1091" s="256"/>
      <c r="AT1091" s="256"/>
    </row>
    <row r="1092" spans="1:46" ht="24">
      <c r="A1092" s="257" t="s">
        <v>1430</v>
      </c>
      <c r="B1092" s="257" t="str">
        <f t="shared" si="197"/>
        <v>SiNx</v>
      </c>
      <c r="C1092" s="280">
        <f t="shared" si="198"/>
        <v>0</v>
      </c>
      <c r="D1092" s="183">
        <f t="shared" si="199"/>
        <v>502.42046126420502</v>
      </c>
      <c r="E1092" s="96">
        <f t="shared" si="191"/>
        <v>10.73</v>
      </c>
      <c r="F1092" s="96">
        <f t="shared" si="192"/>
        <v>1.8</v>
      </c>
      <c r="G1092" s="183">
        <f t="shared" si="200"/>
        <v>0</v>
      </c>
      <c r="H1092" s="215">
        <f t="shared" si="194"/>
        <v>0.79844687610307086</v>
      </c>
      <c r="I1092" s="183">
        <f t="shared" si="201"/>
        <v>0</v>
      </c>
      <c r="J1092" s="257"/>
      <c r="K1092" s="257" t="s">
        <v>1431</v>
      </c>
      <c r="L1092" s="257"/>
      <c r="M1092" s="269"/>
      <c r="N1092" s="175">
        <v>41534</v>
      </c>
      <c r="O1092" s="257">
        <v>372</v>
      </c>
      <c r="P1092" s="257" t="s">
        <v>187</v>
      </c>
      <c r="Q1092" s="257" t="s">
        <v>1367</v>
      </c>
      <c r="R1092" s="257">
        <v>1</v>
      </c>
      <c r="S1092" s="257">
        <v>800</v>
      </c>
      <c r="T1092" s="257">
        <v>84</v>
      </c>
      <c r="U1092" s="257">
        <v>400</v>
      </c>
      <c r="V1092" s="257">
        <v>8</v>
      </c>
      <c r="W1092" s="257">
        <v>26.5</v>
      </c>
      <c r="X1092" s="257">
        <v>2.5</v>
      </c>
      <c r="Y1092" s="257">
        <v>40</v>
      </c>
      <c r="Z1092" s="257"/>
      <c r="AA1092" s="164"/>
      <c r="AB1092" s="289"/>
      <c r="AC1092" s="257"/>
      <c r="AD1092" s="257"/>
      <c r="AE1092" s="257"/>
      <c r="AF1092" s="257"/>
      <c r="AG1092" s="114"/>
      <c r="AH1092" s="266">
        <v>502.42046126420502</v>
      </c>
      <c r="AI1092" s="96"/>
      <c r="AJ1092" s="96">
        <v>10.73</v>
      </c>
      <c r="AK1092" s="96">
        <v>1.8</v>
      </c>
      <c r="AL1092" s="96">
        <f>(204.7+21.5)/283.3</f>
        <v>0.79844687610307086</v>
      </c>
      <c r="AM1092" s="257"/>
      <c r="AN1092" s="24">
        <f t="shared" si="202"/>
        <v>0</v>
      </c>
      <c r="AO1092" s="188">
        <f t="shared" si="195"/>
        <v>0</v>
      </c>
      <c r="AP1092" s="254">
        <f t="shared" si="196"/>
        <v>0</v>
      </c>
      <c r="AQ1092" s="269"/>
      <c r="AR1092" s="179"/>
      <c r="AS1092" s="257"/>
      <c r="AT1092" s="257"/>
    </row>
    <row r="1093" spans="1:46" ht="24">
      <c r="A1093" s="257" t="s">
        <v>1432</v>
      </c>
      <c r="B1093" s="257" t="str">
        <f t="shared" si="197"/>
        <v>SiNx</v>
      </c>
      <c r="C1093" s="280">
        <f t="shared" si="198"/>
        <v>0</v>
      </c>
      <c r="D1093" s="183">
        <f t="shared" si="199"/>
        <v>509.73553190051001</v>
      </c>
      <c r="E1093" s="96">
        <f t="shared" si="191"/>
        <v>10.66</v>
      </c>
      <c r="F1093" s="96">
        <f t="shared" si="192"/>
        <v>1.77</v>
      </c>
      <c r="G1093" s="183">
        <f t="shared" si="200"/>
        <v>0</v>
      </c>
      <c r="H1093" s="215">
        <f t="shared" si="194"/>
        <v>0.79771265189421015</v>
      </c>
      <c r="I1093" s="183">
        <f t="shared" si="201"/>
        <v>0</v>
      </c>
      <c r="J1093" s="257"/>
      <c r="K1093" s="257" t="s">
        <v>1431</v>
      </c>
      <c r="L1093" s="257"/>
      <c r="M1093" s="269"/>
      <c r="N1093" s="175">
        <v>41534</v>
      </c>
      <c r="O1093" s="257">
        <v>372</v>
      </c>
      <c r="P1093" s="257" t="s">
        <v>187</v>
      </c>
      <c r="Q1093" s="257" t="s">
        <v>1367</v>
      </c>
      <c r="R1093" s="257">
        <v>2</v>
      </c>
      <c r="S1093" s="257">
        <v>800</v>
      </c>
      <c r="T1093" s="257">
        <v>84</v>
      </c>
      <c r="U1093" s="257">
        <v>400</v>
      </c>
      <c r="V1093" s="257">
        <v>8</v>
      </c>
      <c r="W1093" s="257">
        <v>26.5</v>
      </c>
      <c r="X1093" s="257">
        <v>2.5</v>
      </c>
      <c r="Y1093" s="257">
        <v>40</v>
      </c>
      <c r="Z1093" s="257"/>
      <c r="AA1093" s="164"/>
      <c r="AB1093" s="289"/>
      <c r="AC1093" s="257"/>
      <c r="AD1093" s="257"/>
      <c r="AE1093" s="257"/>
      <c r="AF1093" s="257"/>
      <c r="AG1093" s="114"/>
      <c r="AH1093" s="266">
        <v>509.73553190051001</v>
      </c>
      <c r="AI1093" s="96"/>
      <c r="AJ1093" s="96">
        <v>10.66</v>
      </c>
      <c r="AK1093" s="96">
        <v>1.77</v>
      </c>
      <c r="AL1093" s="96">
        <f>(201.4+21.8)/279.8</f>
        <v>0.79771265189421015</v>
      </c>
      <c r="AM1093" s="257"/>
      <c r="AN1093" s="24">
        <f t="shared" si="202"/>
        <v>0</v>
      </c>
      <c r="AO1093" s="188">
        <f t="shared" si="195"/>
        <v>0</v>
      </c>
      <c r="AP1093" s="254">
        <f t="shared" si="196"/>
        <v>0</v>
      </c>
      <c r="AQ1093" s="269"/>
      <c r="AR1093" s="179"/>
      <c r="AS1093" s="257"/>
      <c r="AT1093" s="257"/>
    </row>
    <row r="1094" spans="1:46" ht="12">
      <c r="A1094" s="256" t="s">
        <v>1433</v>
      </c>
      <c r="B1094" s="256" t="str">
        <f t="shared" si="197"/>
        <v>MgO</v>
      </c>
      <c r="C1094" s="32">
        <f t="shared" si="198"/>
        <v>4.0999999999999996</v>
      </c>
      <c r="D1094" s="279">
        <f t="shared" si="199"/>
        <v>334.352252986194</v>
      </c>
      <c r="E1094" s="78">
        <f t="shared" si="191"/>
        <v>11.75</v>
      </c>
      <c r="F1094" s="78">
        <f t="shared" si="192"/>
        <v>1.35</v>
      </c>
      <c r="G1094" s="279">
        <f t="shared" si="200"/>
        <v>137.08442372433953</v>
      </c>
      <c r="H1094" s="190">
        <f t="shared" si="194"/>
        <v>0.79030558482613278</v>
      </c>
      <c r="I1094" s="279">
        <f t="shared" si="201"/>
        <v>16107.419787609895</v>
      </c>
      <c r="J1094" s="256"/>
      <c r="K1094" s="256" t="s">
        <v>1431</v>
      </c>
      <c r="L1094" s="256"/>
      <c r="M1094" s="68"/>
      <c r="N1094" s="18">
        <v>41534</v>
      </c>
      <c r="O1094" s="256">
        <v>372</v>
      </c>
      <c r="P1094" s="256" t="s">
        <v>46</v>
      </c>
      <c r="Q1094" s="256"/>
      <c r="R1094" s="256">
        <v>3</v>
      </c>
      <c r="S1094" s="256">
        <v>800</v>
      </c>
      <c r="T1094" s="256">
        <v>84</v>
      </c>
      <c r="U1094" s="256">
        <v>400</v>
      </c>
      <c r="V1094" s="256">
        <v>8</v>
      </c>
      <c r="W1094" s="256">
        <v>26.5</v>
      </c>
      <c r="X1094" s="256">
        <v>2.5</v>
      </c>
      <c r="Y1094" s="256">
        <v>40</v>
      </c>
      <c r="Z1094" s="256"/>
      <c r="AA1094" s="207"/>
      <c r="AB1094" s="86">
        <v>0.1913</v>
      </c>
      <c r="AC1094" s="256">
        <v>0.58689999999999998</v>
      </c>
      <c r="AD1094" s="256">
        <v>0.2218</v>
      </c>
      <c r="AE1094" s="256" t="s">
        <v>47</v>
      </c>
      <c r="AF1094" s="256">
        <v>4.0999999999999996</v>
      </c>
      <c r="AG1094" s="335"/>
      <c r="AH1094" s="213">
        <v>334.352252986194</v>
      </c>
      <c r="AI1094" s="78"/>
      <c r="AJ1094" s="78">
        <v>11.75</v>
      </c>
      <c r="AK1094" s="78">
        <v>1.35</v>
      </c>
      <c r="AL1094" s="78">
        <f>(129.9+20.1)/189.8</f>
        <v>0.79030558482613278</v>
      </c>
      <c r="AM1094" s="256"/>
      <c r="AN1094" s="24">
        <f t="shared" si="202"/>
        <v>137.08442372433953</v>
      </c>
      <c r="AO1094" s="160">
        <f t="shared" si="195"/>
        <v>16107.419787609895</v>
      </c>
      <c r="AP1094" s="209">
        <f t="shared" si="196"/>
        <v>2.9285714285714279</v>
      </c>
      <c r="AQ1094" s="68"/>
      <c r="AR1094" s="15"/>
      <c r="AS1094" s="256"/>
      <c r="AT1094" s="256"/>
    </row>
    <row r="1095" spans="1:46" ht="24">
      <c r="A1095" s="257" t="s">
        <v>1434</v>
      </c>
      <c r="B1095" s="257" t="str">
        <f t="shared" si="197"/>
        <v>SiNx</v>
      </c>
      <c r="C1095" s="280">
        <f t="shared" si="198"/>
        <v>0</v>
      </c>
      <c r="D1095" s="183">
        <f t="shared" si="199"/>
        <v>507.95136833067897</v>
      </c>
      <c r="E1095" s="96">
        <f t="shared" si="191"/>
        <v>10.63</v>
      </c>
      <c r="F1095" s="96">
        <f t="shared" si="192"/>
        <v>1.78</v>
      </c>
      <c r="G1095" s="183">
        <f t="shared" si="200"/>
        <v>0</v>
      </c>
      <c r="H1095" s="215">
        <f t="shared" si="194"/>
        <v>0.80036101083032485</v>
      </c>
      <c r="I1095" s="183">
        <f t="shared" si="201"/>
        <v>0</v>
      </c>
      <c r="J1095" s="257"/>
      <c r="K1095" s="257" t="s">
        <v>1431</v>
      </c>
      <c r="L1095" s="257"/>
      <c r="M1095" s="269"/>
      <c r="N1095" s="175">
        <v>41534</v>
      </c>
      <c r="O1095" s="257">
        <v>372</v>
      </c>
      <c r="P1095" s="257" t="s">
        <v>187</v>
      </c>
      <c r="Q1095" s="257" t="s">
        <v>1367</v>
      </c>
      <c r="R1095" s="257">
        <v>4</v>
      </c>
      <c r="S1095" s="257">
        <v>800</v>
      </c>
      <c r="T1095" s="257">
        <v>84</v>
      </c>
      <c r="U1095" s="257">
        <v>400</v>
      </c>
      <c r="V1095" s="257">
        <v>8</v>
      </c>
      <c r="W1095" s="257">
        <v>26.5</v>
      </c>
      <c r="X1095" s="257">
        <v>2.5</v>
      </c>
      <c r="Y1095" s="257">
        <v>40</v>
      </c>
      <c r="Z1095" s="257"/>
      <c r="AA1095" s="164"/>
      <c r="AB1095" s="289"/>
      <c r="AC1095" s="257"/>
      <c r="AD1095" s="257"/>
      <c r="AE1095" s="257"/>
      <c r="AF1095" s="257"/>
      <c r="AG1095" s="114"/>
      <c r="AH1095" s="266">
        <v>507.95136833067897</v>
      </c>
      <c r="AI1095" s="96"/>
      <c r="AJ1095" s="96">
        <v>10.63</v>
      </c>
      <c r="AK1095" s="96">
        <v>1.78</v>
      </c>
      <c r="AL1095" s="96">
        <f>(200+21.7)/277</f>
        <v>0.80036101083032485</v>
      </c>
      <c r="AM1095" s="257"/>
      <c r="AN1095" s="24">
        <f t="shared" si="202"/>
        <v>0</v>
      </c>
      <c r="AO1095" s="188">
        <f t="shared" si="195"/>
        <v>0</v>
      </c>
      <c r="AP1095" s="254">
        <f t="shared" si="196"/>
        <v>0</v>
      </c>
      <c r="AQ1095" s="269"/>
      <c r="AR1095" s="179"/>
      <c r="AS1095" s="257"/>
      <c r="AT1095" s="257"/>
    </row>
    <row r="1096" spans="1:46" ht="24">
      <c r="A1096" s="257" t="s">
        <v>1435</v>
      </c>
      <c r="B1096" s="257" t="str">
        <f t="shared" si="197"/>
        <v>SiNx</v>
      </c>
      <c r="C1096" s="280">
        <f t="shared" si="198"/>
        <v>0</v>
      </c>
      <c r="D1096" s="183">
        <f t="shared" si="199"/>
        <v>505.6319556899</v>
      </c>
      <c r="E1096" s="96">
        <f t="shared" si="191"/>
        <v>10.67</v>
      </c>
      <c r="F1096" s="96">
        <f t="shared" si="192"/>
        <v>1.77</v>
      </c>
      <c r="G1096" s="183">
        <f t="shared" si="200"/>
        <v>0</v>
      </c>
      <c r="H1096" s="215">
        <f t="shared" si="194"/>
        <v>0.79337370858567868</v>
      </c>
      <c r="I1096" s="183">
        <f t="shared" si="201"/>
        <v>0</v>
      </c>
      <c r="J1096" s="257"/>
      <c r="K1096" s="257" t="s">
        <v>1431</v>
      </c>
      <c r="L1096" s="257"/>
      <c r="M1096" s="269"/>
      <c r="N1096" s="175">
        <v>41534</v>
      </c>
      <c r="O1096" s="257">
        <v>372</v>
      </c>
      <c r="P1096" s="257" t="s">
        <v>187</v>
      </c>
      <c r="Q1096" s="257" t="s">
        <v>1367</v>
      </c>
      <c r="R1096" s="257">
        <v>5</v>
      </c>
      <c r="S1096" s="257">
        <v>800</v>
      </c>
      <c r="T1096" s="257">
        <v>84</v>
      </c>
      <c r="U1096" s="257">
        <v>400</v>
      </c>
      <c r="V1096" s="257">
        <v>8</v>
      </c>
      <c r="W1096" s="257">
        <v>26.5</v>
      </c>
      <c r="X1096" s="257">
        <v>2.5</v>
      </c>
      <c r="Y1096" s="257">
        <v>40</v>
      </c>
      <c r="Z1096" s="257"/>
      <c r="AA1096" s="164"/>
      <c r="AB1096" s="289"/>
      <c r="AC1096" s="257"/>
      <c r="AD1096" s="257"/>
      <c r="AE1096" s="257"/>
      <c r="AF1096" s="257"/>
      <c r="AG1096" s="114"/>
      <c r="AH1096" s="266">
        <v>505.6319556899</v>
      </c>
      <c r="AI1096" s="96"/>
      <c r="AJ1096" s="96">
        <v>10.67</v>
      </c>
      <c r="AK1096" s="96">
        <v>1.77</v>
      </c>
      <c r="AL1096" s="96">
        <f>(201+21.7)/280.7</f>
        <v>0.79337370858567868</v>
      </c>
      <c r="AM1096" s="257"/>
      <c r="AN1096" s="24">
        <f t="shared" si="202"/>
        <v>0</v>
      </c>
      <c r="AO1096" s="188">
        <f t="shared" si="195"/>
        <v>0</v>
      </c>
      <c r="AP1096" s="254">
        <f t="shared" si="196"/>
        <v>0</v>
      </c>
      <c r="AQ1096" s="269"/>
      <c r="AR1096" s="179"/>
      <c r="AS1096" s="257"/>
      <c r="AT1096" s="257"/>
    </row>
    <row r="1097" spans="1:46" ht="24">
      <c r="A1097" s="257" t="s">
        <v>1436</v>
      </c>
      <c r="B1097" s="257" t="str">
        <f t="shared" si="197"/>
        <v>SiNx</v>
      </c>
      <c r="C1097" s="280">
        <f t="shared" si="198"/>
        <v>0</v>
      </c>
      <c r="D1097" s="183">
        <f t="shared" si="199"/>
        <v>412.14178463079401</v>
      </c>
      <c r="E1097" s="96">
        <f t="shared" ref="E1097:E1111" si="203">AJ1097</f>
        <v>11.82</v>
      </c>
      <c r="F1097" s="96">
        <f t="shared" ref="F1097:F1111" si="204">AK1097</f>
        <v>1.56</v>
      </c>
      <c r="G1097" s="183">
        <f t="shared" si="200"/>
        <v>0</v>
      </c>
      <c r="H1097" s="215">
        <f t="shared" si="194"/>
        <v>0.8596033402922757</v>
      </c>
      <c r="I1097" s="183">
        <f t="shared" si="201"/>
        <v>0</v>
      </c>
      <c r="J1097" s="257"/>
      <c r="K1097" s="257" t="s">
        <v>1431</v>
      </c>
      <c r="L1097" s="257"/>
      <c r="M1097" s="269"/>
      <c r="N1097" s="175">
        <v>41534</v>
      </c>
      <c r="O1097" s="257">
        <v>372</v>
      </c>
      <c r="P1097" s="257" t="s">
        <v>187</v>
      </c>
      <c r="Q1097" s="257" t="s">
        <v>1367</v>
      </c>
      <c r="R1097" s="257">
        <v>6</v>
      </c>
      <c r="S1097" s="257">
        <v>800</v>
      </c>
      <c r="T1097" s="257">
        <v>84</v>
      </c>
      <c r="U1097" s="257">
        <v>400</v>
      </c>
      <c r="V1097" s="257">
        <v>8</v>
      </c>
      <c r="W1097" s="257">
        <v>26.5</v>
      </c>
      <c r="X1097" s="257">
        <v>2.5</v>
      </c>
      <c r="Y1097" s="257">
        <v>40</v>
      </c>
      <c r="Z1097" s="257"/>
      <c r="AA1097" s="164"/>
      <c r="AB1097" s="289"/>
      <c r="AC1097" s="257"/>
      <c r="AD1097" s="257"/>
      <c r="AE1097" s="257"/>
      <c r="AF1097" s="257"/>
      <c r="AG1097" s="114"/>
      <c r="AH1097" s="266">
        <v>412.14178463079401</v>
      </c>
      <c r="AI1097" s="96"/>
      <c r="AJ1097" s="96">
        <v>11.82</v>
      </c>
      <c r="AK1097" s="96">
        <v>1.56</v>
      </c>
      <c r="AL1097" s="96">
        <f>(142.9+21.8)/191.6</f>
        <v>0.8596033402922757</v>
      </c>
      <c r="AM1097" s="257"/>
      <c r="AN1097" s="24">
        <f t="shared" si="202"/>
        <v>0</v>
      </c>
      <c r="AO1097" s="188">
        <f t="shared" si="195"/>
        <v>0</v>
      </c>
      <c r="AP1097" s="254">
        <f t="shared" si="196"/>
        <v>0</v>
      </c>
      <c r="AQ1097" s="269"/>
      <c r="AR1097" s="179"/>
      <c r="AS1097" s="257"/>
      <c r="AT1097" s="257"/>
    </row>
    <row r="1098" spans="1:46" ht="12">
      <c r="A1098" s="256" t="s">
        <v>1437</v>
      </c>
      <c r="B1098" s="256">
        <f t="shared" si="197"/>
        <v>0</v>
      </c>
      <c r="C1098" s="32">
        <f t="shared" si="198"/>
        <v>0</v>
      </c>
      <c r="D1098" s="279">
        <f t="shared" si="199"/>
        <v>0</v>
      </c>
      <c r="E1098" s="78">
        <f t="shared" si="203"/>
        <v>0</v>
      </c>
      <c r="F1098" s="78">
        <f t="shared" si="204"/>
        <v>0</v>
      </c>
      <c r="G1098" s="279">
        <f t="shared" si="200"/>
        <v>0</v>
      </c>
      <c r="H1098" s="190">
        <f t="shared" si="194"/>
        <v>0</v>
      </c>
      <c r="I1098" s="279">
        <f t="shared" si="201"/>
        <v>0</v>
      </c>
      <c r="J1098" s="67"/>
      <c r="K1098" s="67" t="s">
        <v>1384</v>
      </c>
      <c r="L1098" s="67"/>
      <c r="M1098" s="371"/>
      <c r="N1098" s="309">
        <v>41539</v>
      </c>
      <c r="O1098" s="67">
        <v>373</v>
      </c>
      <c r="P1098" s="67"/>
      <c r="Q1098" s="67"/>
      <c r="R1098" s="67"/>
      <c r="S1098" s="67"/>
      <c r="T1098" s="67"/>
      <c r="U1098" s="67"/>
      <c r="V1098" s="67"/>
      <c r="W1098" s="67"/>
      <c r="X1098" s="67"/>
      <c r="Y1098" s="67"/>
      <c r="Z1098" s="67"/>
      <c r="AA1098" s="159"/>
      <c r="AB1098" s="182"/>
      <c r="AC1098" s="67"/>
      <c r="AD1098" s="67"/>
      <c r="AE1098" s="67"/>
      <c r="AF1098" s="67"/>
      <c r="AG1098" s="315"/>
      <c r="AH1098" s="66"/>
      <c r="AI1098" s="216"/>
      <c r="AJ1098" s="216"/>
      <c r="AK1098" s="216"/>
      <c r="AL1098" s="216"/>
      <c r="AM1098" s="67"/>
      <c r="AN1098" s="24">
        <f t="shared" si="202"/>
        <v>0</v>
      </c>
      <c r="AO1098" s="389">
        <f t="shared" si="195"/>
        <v>0</v>
      </c>
      <c r="AP1098" s="187" t="e">
        <f t="shared" si="196"/>
        <v>#DIV/0!</v>
      </c>
      <c r="AQ1098" s="371"/>
      <c r="AR1098" s="41"/>
      <c r="AS1098" s="67"/>
      <c r="AT1098" s="67"/>
    </row>
    <row r="1099" spans="1:46" ht="12">
      <c r="A1099" s="256" t="s">
        <v>1438</v>
      </c>
      <c r="B1099" s="256" t="str">
        <f t="shared" si="197"/>
        <v>MgO</v>
      </c>
      <c r="C1099" s="32">
        <f t="shared" si="198"/>
        <v>4.4000000000000004</v>
      </c>
      <c r="D1099" s="279">
        <f t="shared" si="199"/>
        <v>325.25301878005899</v>
      </c>
      <c r="E1099" s="78">
        <f t="shared" si="203"/>
        <v>11.6</v>
      </c>
      <c r="F1099" s="78">
        <f t="shared" si="204"/>
        <v>1.29</v>
      </c>
      <c r="G1099" s="279">
        <f t="shared" si="200"/>
        <v>143.11132826322597</v>
      </c>
      <c r="H1099" s="190">
        <f t="shared" si="194"/>
        <v>0.76914836636314943</v>
      </c>
      <c r="I1099" s="279">
        <f t="shared" si="201"/>
        <v>16600.91407853421</v>
      </c>
      <c r="J1099" s="256"/>
      <c r="K1099" s="256"/>
      <c r="L1099" s="256"/>
      <c r="M1099" s="68"/>
      <c r="N1099" s="18">
        <v>41540</v>
      </c>
      <c r="O1099" s="256">
        <v>375</v>
      </c>
      <c r="P1099" s="256" t="s">
        <v>46</v>
      </c>
      <c r="Q1099" s="256"/>
      <c r="R1099" s="256">
        <v>1</v>
      </c>
      <c r="S1099" s="256">
        <v>800</v>
      </c>
      <c r="T1099" s="256">
        <v>84</v>
      </c>
      <c r="U1099" s="256">
        <v>400</v>
      </c>
      <c r="V1099" s="256">
        <v>8</v>
      </c>
      <c r="W1099" s="256">
        <v>26.5</v>
      </c>
      <c r="X1099" s="256">
        <v>2.5</v>
      </c>
      <c r="Y1099" s="256">
        <v>40</v>
      </c>
      <c r="Z1099" s="256"/>
      <c r="AA1099" s="207"/>
      <c r="AB1099" s="86">
        <v>0.2026</v>
      </c>
      <c r="AC1099" s="256">
        <v>0.57120000000000004</v>
      </c>
      <c r="AD1099" s="256">
        <v>0.22620000000000001</v>
      </c>
      <c r="AE1099" s="256" t="s">
        <v>47</v>
      </c>
      <c r="AF1099" s="256">
        <v>4.4000000000000004</v>
      </c>
      <c r="AG1099" s="335"/>
      <c r="AH1099" s="213">
        <v>325.25301878005899</v>
      </c>
      <c r="AI1099" s="78"/>
      <c r="AJ1099" s="78">
        <v>11.6</v>
      </c>
      <c r="AK1099" s="78">
        <v>1.29</v>
      </c>
      <c r="AL1099" s="78">
        <f>(123.3+20.3)/186.7</f>
        <v>0.76914836636314943</v>
      </c>
      <c r="AM1099" s="256"/>
      <c r="AN1099" s="24">
        <f t="shared" si="202"/>
        <v>143.11132826322597</v>
      </c>
      <c r="AO1099" s="160">
        <f t="shared" si="195"/>
        <v>16600.91407853421</v>
      </c>
      <c r="AP1099" s="209">
        <f t="shared" si="196"/>
        <v>3.1428571428571428</v>
      </c>
      <c r="AQ1099" s="68"/>
      <c r="AR1099" s="15"/>
      <c r="AS1099" s="256"/>
      <c r="AT1099" s="256"/>
    </row>
    <row r="1100" spans="1:46" ht="12">
      <c r="A1100" s="256" t="s">
        <v>1439</v>
      </c>
      <c r="B1100" s="256" t="str">
        <f t="shared" si="197"/>
        <v>MgO</v>
      </c>
      <c r="C1100" s="32">
        <f t="shared" si="198"/>
        <v>0</v>
      </c>
      <c r="D1100" s="279">
        <f t="shared" si="199"/>
        <v>323.46885521022898</v>
      </c>
      <c r="E1100" s="78">
        <f t="shared" si="203"/>
        <v>11.38</v>
      </c>
      <c r="F1100" s="78">
        <f t="shared" si="204"/>
        <v>1.1499999999999999</v>
      </c>
      <c r="G1100" s="279">
        <f t="shared" si="200"/>
        <v>0</v>
      </c>
      <c r="H1100" s="190">
        <f t="shared" si="194"/>
        <v>0.78150351541373708</v>
      </c>
      <c r="I1100" s="279">
        <f t="shared" si="201"/>
        <v>0</v>
      </c>
      <c r="J1100" s="256"/>
      <c r="K1100" s="256" t="s">
        <v>1440</v>
      </c>
      <c r="L1100" s="256"/>
      <c r="M1100" s="68"/>
      <c r="N1100" s="18">
        <v>41540</v>
      </c>
      <c r="O1100" s="256">
        <v>375</v>
      </c>
      <c r="P1100" s="256" t="s">
        <v>46</v>
      </c>
      <c r="Q1100" s="256"/>
      <c r="R1100" s="256">
        <v>2</v>
      </c>
      <c r="S1100" s="256">
        <v>800</v>
      </c>
      <c r="T1100" s="256">
        <v>84</v>
      </c>
      <c r="U1100" s="256">
        <v>400</v>
      </c>
      <c r="V1100" s="256">
        <v>8</v>
      </c>
      <c r="W1100" s="256">
        <v>26.5</v>
      </c>
      <c r="X1100" s="256">
        <v>2.5</v>
      </c>
      <c r="Y1100" s="256">
        <v>40</v>
      </c>
      <c r="Z1100" s="256"/>
      <c r="AA1100" s="207"/>
      <c r="AB1100" s="86"/>
      <c r="AC1100" s="256"/>
      <c r="AD1100" s="256"/>
      <c r="AE1100" s="256"/>
      <c r="AF1100" s="256"/>
      <c r="AG1100" s="335"/>
      <c r="AH1100" s="213">
        <v>323.46885521022898</v>
      </c>
      <c r="AI1100" s="78"/>
      <c r="AJ1100" s="78">
        <v>11.38</v>
      </c>
      <c r="AK1100" s="78">
        <v>1.1499999999999999</v>
      </c>
      <c r="AL1100" s="78">
        <f>(123.6+20.9)/184.9</f>
        <v>0.78150351541373708</v>
      </c>
      <c r="AM1100" s="256"/>
      <c r="AN1100" s="24">
        <f t="shared" si="202"/>
        <v>0</v>
      </c>
      <c r="AO1100" s="160">
        <f t="shared" si="195"/>
        <v>0</v>
      </c>
      <c r="AP1100" s="209">
        <f t="shared" si="196"/>
        <v>0</v>
      </c>
      <c r="AQ1100" s="68"/>
      <c r="AR1100" s="15"/>
      <c r="AS1100" s="256"/>
      <c r="AT1100" s="256"/>
    </row>
    <row r="1101" spans="1:46" ht="12">
      <c r="A1101" s="256" t="s">
        <v>1441</v>
      </c>
      <c r="B1101" s="256" t="str">
        <f t="shared" si="197"/>
        <v>MgO</v>
      </c>
      <c r="C1101" s="32">
        <f t="shared" si="198"/>
        <v>0</v>
      </c>
      <c r="D1101" s="279">
        <f t="shared" si="199"/>
        <v>306.16246858287502</v>
      </c>
      <c r="E1101" s="78">
        <f t="shared" si="203"/>
        <v>11.96</v>
      </c>
      <c r="F1101" s="78">
        <f t="shared" si="204"/>
        <v>1.29</v>
      </c>
      <c r="G1101" s="279">
        <f t="shared" si="200"/>
        <v>0</v>
      </c>
      <c r="H1101" s="190">
        <f t="shared" si="194"/>
        <v>0.80895522388059704</v>
      </c>
      <c r="I1101" s="279">
        <f t="shared" si="201"/>
        <v>0</v>
      </c>
      <c r="J1101" s="256"/>
      <c r="K1101" s="256" t="s">
        <v>1440</v>
      </c>
      <c r="L1101" s="256"/>
      <c r="M1101" s="68"/>
      <c r="N1101" s="18">
        <v>41540</v>
      </c>
      <c r="O1101" s="256">
        <v>375</v>
      </c>
      <c r="P1101" s="256" t="s">
        <v>46</v>
      </c>
      <c r="Q1101" s="256"/>
      <c r="R1101" s="256">
        <v>3</v>
      </c>
      <c r="S1101" s="256">
        <v>800</v>
      </c>
      <c r="T1101" s="256">
        <v>84</v>
      </c>
      <c r="U1101" s="256">
        <v>400</v>
      </c>
      <c r="V1101" s="256">
        <v>8</v>
      </c>
      <c r="W1101" s="256">
        <v>26.5</v>
      </c>
      <c r="X1101" s="256">
        <v>2.5</v>
      </c>
      <c r="Y1101" s="256">
        <v>40</v>
      </c>
      <c r="Z1101" s="256"/>
      <c r="AA1101" s="207"/>
      <c r="AB1101" s="86"/>
      <c r="AC1101" s="256"/>
      <c r="AD1101" s="256"/>
      <c r="AE1101" s="256"/>
      <c r="AF1101" s="256"/>
      <c r="AG1101" s="335"/>
      <c r="AH1101" s="213">
        <v>306.16246858287502</v>
      </c>
      <c r="AI1101" s="78"/>
      <c r="AJ1101" s="78">
        <v>11.96</v>
      </c>
      <c r="AK1101" s="78">
        <v>1.29</v>
      </c>
      <c r="AL1101" s="78">
        <f>(21+114.5)/167.5</f>
        <v>0.80895522388059704</v>
      </c>
      <c r="AM1101" s="256"/>
      <c r="AN1101" s="24">
        <f t="shared" si="202"/>
        <v>0</v>
      </c>
      <c r="AO1101" s="160">
        <f t="shared" si="195"/>
        <v>0</v>
      </c>
      <c r="AP1101" s="209">
        <f t="shared" si="196"/>
        <v>0</v>
      </c>
      <c r="AQ1101" s="68"/>
      <c r="AR1101" s="15"/>
      <c r="AS1101" s="256"/>
      <c r="AT1101" s="256"/>
    </row>
    <row r="1102" spans="1:46" ht="24">
      <c r="A1102" s="257" t="s">
        <v>1442</v>
      </c>
      <c r="B1102" s="257" t="str">
        <f t="shared" si="197"/>
        <v>SiNx</v>
      </c>
      <c r="C1102" s="280">
        <f t="shared" si="198"/>
        <v>0</v>
      </c>
      <c r="D1102" s="183">
        <f t="shared" si="199"/>
        <v>483.68674378098802</v>
      </c>
      <c r="E1102" s="96">
        <f t="shared" si="203"/>
        <v>10.3</v>
      </c>
      <c r="F1102" s="96">
        <f t="shared" si="204"/>
        <v>1.68</v>
      </c>
      <c r="G1102" s="183">
        <f t="shared" si="200"/>
        <v>0</v>
      </c>
      <c r="H1102" s="215">
        <f t="shared" si="194"/>
        <v>0.81220839813374812</v>
      </c>
      <c r="I1102" s="183">
        <f t="shared" si="201"/>
        <v>0</v>
      </c>
      <c r="J1102" s="257"/>
      <c r="K1102" s="257"/>
      <c r="L1102" s="257"/>
      <c r="M1102" s="269"/>
      <c r="N1102" s="175">
        <v>41540</v>
      </c>
      <c r="O1102" s="257">
        <v>375</v>
      </c>
      <c r="P1102" s="257" t="s">
        <v>187</v>
      </c>
      <c r="Q1102" s="257" t="s">
        <v>1367</v>
      </c>
      <c r="R1102" s="257">
        <v>4</v>
      </c>
      <c r="S1102" s="257">
        <v>800</v>
      </c>
      <c r="T1102" s="257">
        <v>84</v>
      </c>
      <c r="U1102" s="257">
        <v>400</v>
      </c>
      <c r="V1102" s="257">
        <v>8</v>
      </c>
      <c r="W1102" s="257">
        <v>26.5</v>
      </c>
      <c r="X1102" s="257">
        <v>2.5</v>
      </c>
      <c r="Y1102" s="257">
        <v>40</v>
      </c>
      <c r="Z1102" s="257"/>
      <c r="AA1102" s="164"/>
      <c r="AB1102" s="289"/>
      <c r="AC1102" s="257"/>
      <c r="AD1102" s="257"/>
      <c r="AE1102" s="257"/>
      <c r="AF1102" s="257"/>
      <c r="AG1102" s="114"/>
      <c r="AH1102" s="266">
        <v>483.68674378098802</v>
      </c>
      <c r="AI1102" s="96"/>
      <c r="AJ1102" s="96">
        <v>10.3</v>
      </c>
      <c r="AK1102" s="96">
        <v>1.68</v>
      </c>
      <c r="AL1102" s="96">
        <f>(18.9+190)/257.2</f>
        <v>0.81220839813374812</v>
      </c>
      <c r="AM1102" s="257"/>
      <c r="AN1102" s="24">
        <f t="shared" si="202"/>
        <v>0</v>
      </c>
      <c r="AO1102" s="188">
        <f t="shared" si="195"/>
        <v>0</v>
      </c>
      <c r="AP1102" s="254">
        <f t="shared" si="196"/>
        <v>0</v>
      </c>
      <c r="AQ1102" s="269"/>
      <c r="AR1102" s="179"/>
      <c r="AS1102" s="257"/>
      <c r="AT1102" s="257"/>
    </row>
    <row r="1103" spans="1:46" ht="24">
      <c r="A1103" s="257" t="s">
        <v>1443</v>
      </c>
      <c r="B1103" s="257" t="str">
        <f t="shared" si="197"/>
        <v>SiNx</v>
      </c>
      <c r="C1103" s="280">
        <f t="shared" si="198"/>
        <v>0</v>
      </c>
      <c r="D1103" s="183">
        <f t="shared" si="199"/>
        <v>487.07665456366499</v>
      </c>
      <c r="E1103" s="96">
        <f t="shared" si="203"/>
        <v>10.1</v>
      </c>
      <c r="F1103" s="96">
        <f t="shared" si="204"/>
        <v>1.7</v>
      </c>
      <c r="G1103" s="183">
        <f t="shared" si="200"/>
        <v>0</v>
      </c>
      <c r="H1103" s="215">
        <f t="shared" si="194"/>
        <v>0.80299625468164793</v>
      </c>
      <c r="I1103" s="183">
        <f t="shared" si="201"/>
        <v>0</v>
      </c>
      <c r="J1103" s="257"/>
      <c r="K1103" s="257" t="s">
        <v>1440</v>
      </c>
      <c r="L1103" s="257"/>
      <c r="M1103" s="269"/>
      <c r="N1103" s="175">
        <v>41540</v>
      </c>
      <c r="O1103" s="257">
        <v>375</v>
      </c>
      <c r="P1103" s="257" t="s">
        <v>187</v>
      </c>
      <c r="Q1103" s="257" t="s">
        <v>1367</v>
      </c>
      <c r="R1103" s="257">
        <v>5</v>
      </c>
      <c r="S1103" s="257">
        <v>800</v>
      </c>
      <c r="T1103" s="257">
        <v>84</v>
      </c>
      <c r="U1103" s="257">
        <v>400</v>
      </c>
      <c r="V1103" s="257">
        <v>8</v>
      </c>
      <c r="W1103" s="257">
        <v>26.5</v>
      </c>
      <c r="X1103" s="257">
        <v>2.5</v>
      </c>
      <c r="Y1103" s="257">
        <v>40</v>
      </c>
      <c r="Z1103" s="257"/>
      <c r="AA1103" s="164"/>
      <c r="AB1103" s="289"/>
      <c r="AC1103" s="257"/>
      <c r="AD1103" s="257"/>
      <c r="AE1103" s="257"/>
      <c r="AF1103" s="257"/>
      <c r="AG1103" s="114"/>
      <c r="AH1103" s="266">
        <v>487.07665456366499</v>
      </c>
      <c r="AI1103" s="96"/>
      <c r="AJ1103" s="96">
        <v>10.1</v>
      </c>
      <c r="AK1103" s="96">
        <v>1.7</v>
      </c>
      <c r="AL1103" s="96">
        <f>(19.3+195.1)/267</f>
        <v>0.80299625468164793</v>
      </c>
      <c r="AM1103" s="257"/>
      <c r="AN1103" s="24">
        <f t="shared" si="202"/>
        <v>0</v>
      </c>
      <c r="AO1103" s="188">
        <f t="shared" si="195"/>
        <v>0</v>
      </c>
      <c r="AP1103" s="254">
        <f t="shared" si="196"/>
        <v>0</v>
      </c>
      <c r="AQ1103" s="269"/>
      <c r="AR1103" s="179"/>
      <c r="AS1103" s="257"/>
      <c r="AT1103" s="257"/>
    </row>
    <row r="1104" spans="1:46" ht="24">
      <c r="A1104" s="257" t="s">
        <v>1444</v>
      </c>
      <c r="B1104" s="257" t="str">
        <f t="shared" si="197"/>
        <v>SiNx</v>
      </c>
      <c r="C1104" s="280">
        <f t="shared" si="198"/>
        <v>0</v>
      </c>
      <c r="D1104" s="183">
        <f t="shared" si="199"/>
        <v>389.839740007915</v>
      </c>
      <c r="E1104" s="96">
        <f t="shared" si="203"/>
        <v>11.48</v>
      </c>
      <c r="F1104" s="96">
        <f t="shared" si="204"/>
        <v>1.35</v>
      </c>
      <c r="G1104" s="183">
        <f t="shared" si="200"/>
        <v>0</v>
      </c>
      <c r="H1104" s="215">
        <f t="shared" si="194"/>
        <v>0.86486486486486491</v>
      </c>
      <c r="I1104" s="183">
        <f t="shared" si="201"/>
        <v>0</v>
      </c>
      <c r="J1104" s="257"/>
      <c r="K1104" s="257" t="s">
        <v>1440</v>
      </c>
      <c r="L1104" s="257"/>
      <c r="M1104" s="269"/>
      <c r="N1104" s="175">
        <v>41540</v>
      </c>
      <c r="O1104" s="257">
        <v>375</v>
      </c>
      <c r="P1104" s="257" t="s">
        <v>187</v>
      </c>
      <c r="Q1104" s="257" t="s">
        <v>1367</v>
      </c>
      <c r="R1104" s="257">
        <v>6</v>
      </c>
      <c r="S1104" s="257">
        <v>800</v>
      </c>
      <c r="T1104" s="257">
        <v>84</v>
      </c>
      <c r="U1104" s="257">
        <v>400</v>
      </c>
      <c r="V1104" s="257">
        <v>8</v>
      </c>
      <c r="W1104" s="257">
        <v>26.5</v>
      </c>
      <c r="X1104" s="257">
        <v>2.5</v>
      </c>
      <c r="Y1104" s="257">
        <v>40</v>
      </c>
      <c r="Z1104" s="257"/>
      <c r="AA1104" s="164"/>
      <c r="AB1104" s="289"/>
      <c r="AC1104" s="257"/>
      <c r="AD1104" s="257"/>
      <c r="AE1104" s="257"/>
      <c r="AF1104" s="257"/>
      <c r="AG1104" s="114"/>
      <c r="AH1104" s="266">
        <v>389.839740007915</v>
      </c>
      <c r="AI1104" s="96"/>
      <c r="AJ1104" s="96">
        <v>11.48</v>
      </c>
      <c r="AK1104" s="96">
        <v>1.35</v>
      </c>
      <c r="AL1104" s="96">
        <f>(19.6+130.8)/173.9</f>
        <v>0.86486486486486491</v>
      </c>
      <c r="AM1104" s="257"/>
      <c r="AN1104" s="24">
        <f t="shared" si="202"/>
        <v>0</v>
      </c>
      <c r="AO1104" s="188">
        <f t="shared" si="195"/>
        <v>0</v>
      </c>
      <c r="AP1104" s="254">
        <f t="shared" si="196"/>
        <v>0</v>
      </c>
      <c r="AQ1104" s="269"/>
      <c r="AR1104" s="179"/>
      <c r="AS1104" s="257"/>
      <c r="AT1104" s="257"/>
    </row>
    <row r="1105" spans="1:46" ht="24">
      <c r="A1105" s="257" t="s">
        <v>1445</v>
      </c>
      <c r="B1105" s="257" t="str">
        <f t="shared" si="197"/>
        <v>SiNx</v>
      </c>
      <c r="C1105" s="280">
        <f t="shared" si="198"/>
        <v>0</v>
      </c>
      <c r="D1105" s="183">
        <f t="shared" si="199"/>
        <v>483.68674378098802</v>
      </c>
      <c r="E1105" s="96">
        <f t="shared" si="203"/>
        <v>10.87</v>
      </c>
      <c r="F1105" s="96">
        <f t="shared" si="204"/>
        <v>1.74</v>
      </c>
      <c r="G1105" s="183">
        <f t="shared" si="200"/>
        <v>0</v>
      </c>
      <c r="H1105" s="215">
        <f t="shared" si="194"/>
        <v>0.80135440180586903</v>
      </c>
      <c r="I1105" s="183">
        <f t="shared" si="201"/>
        <v>0</v>
      </c>
      <c r="J1105" s="366"/>
      <c r="K1105" s="366" t="s">
        <v>1431</v>
      </c>
      <c r="L1105" s="366"/>
      <c r="M1105" s="373"/>
      <c r="N1105" s="191">
        <v>41549</v>
      </c>
      <c r="O1105" s="366">
        <v>377</v>
      </c>
      <c r="P1105" s="257" t="s">
        <v>187</v>
      </c>
      <c r="Q1105" s="257" t="s">
        <v>1367</v>
      </c>
      <c r="R1105" s="257">
        <v>1</v>
      </c>
      <c r="S1105" s="257">
        <v>800</v>
      </c>
      <c r="T1105" s="257">
        <v>84</v>
      </c>
      <c r="U1105" s="257">
        <v>400</v>
      </c>
      <c r="V1105" s="257">
        <v>8</v>
      </c>
      <c r="W1105" s="257">
        <v>26.5</v>
      </c>
      <c r="X1105" s="257">
        <v>2.5</v>
      </c>
      <c r="Y1105" s="257">
        <v>40</v>
      </c>
      <c r="Z1105" s="161"/>
      <c r="AA1105" s="76"/>
      <c r="AB1105" s="51"/>
      <c r="AC1105" s="366"/>
      <c r="AD1105" s="366"/>
      <c r="AE1105" s="366"/>
      <c r="AF1105" s="366"/>
      <c r="AG1105" s="349"/>
      <c r="AH1105" s="113">
        <v>483.68674378098802</v>
      </c>
      <c r="AI1105" s="53"/>
      <c r="AJ1105" s="53">
        <v>10.87</v>
      </c>
      <c r="AK1105" s="53">
        <v>1.74</v>
      </c>
      <c r="AL1105" s="53">
        <f>(195.1+17.9)/265.8</f>
        <v>0.80135440180586903</v>
      </c>
      <c r="AM1105" s="366"/>
      <c r="AN1105" s="24">
        <f t="shared" si="202"/>
        <v>0</v>
      </c>
      <c r="AO1105" s="198">
        <f t="shared" si="195"/>
        <v>0</v>
      </c>
      <c r="AP1105" s="399">
        <f t="shared" si="196"/>
        <v>0</v>
      </c>
      <c r="AQ1105" s="373"/>
      <c r="AR1105" s="44"/>
      <c r="AS1105" s="366"/>
      <c r="AT1105" s="366"/>
    </row>
    <row r="1106" spans="1:46" ht="24">
      <c r="A1106" s="257" t="s">
        <v>1446</v>
      </c>
      <c r="B1106" s="257" t="str">
        <f t="shared" si="197"/>
        <v>SiNx</v>
      </c>
      <c r="C1106" s="280">
        <f t="shared" si="198"/>
        <v>0</v>
      </c>
      <c r="D1106" s="183">
        <f t="shared" si="199"/>
        <v>480.11841664132697</v>
      </c>
      <c r="E1106" s="96">
        <f t="shared" si="203"/>
        <v>10.87</v>
      </c>
      <c r="F1106" s="96">
        <f t="shared" si="204"/>
        <v>1.74</v>
      </c>
      <c r="G1106" s="183">
        <f t="shared" si="200"/>
        <v>0</v>
      </c>
      <c r="H1106" s="215">
        <f t="shared" si="194"/>
        <v>0.79856927710843362</v>
      </c>
      <c r="I1106" s="183">
        <f t="shared" si="201"/>
        <v>0</v>
      </c>
      <c r="J1106" s="366"/>
      <c r="K1106" s="366" t="s">
        <v>1431</v>
      </c>
      <c r="L1106" s="366"/>
      <c r="M1106" s="373"/>
      <c r="N1106" s="191">
        <v>41549</v>
      </c>
      <c r="O1106" s="366">
        <v>377</v>
      </c>
      <c r="P1106" s="257" t="s">
        <v>187</v>
      </c>
      <c r="Q1106" s="257" t="s">
        <v>1367</v>
      </c>
      <c r="R1106" s="257">
        <v>2</v>
      </c>
      <c r="S1106" s="257">
        <v>800</v>
      </c>
      <c r="T1106" s="257">
        <v>84</v>
      </c>
      <c r="U1106" s="257">
        <v>400</v>
      </c>
      <c r="V1106" s="257">
        <v>8</v>
      </c>
      <c r="W1106" s="257">
        <v>26.5</v>
      </c>
      <c r="X1106" s="257">
        <v>2.5</v>
      </c>
      <c r="Y1106" s="257">
        <v>40</v>
      </c>
      <c r="Z1106" s="161"/>
      <c r="AA1106" s="76"/>
      <c r="AB1106" s="51"/>
      <c r="AC1106" s="366"/>
      <c r="AD1106" s="366"/>
      <c r="AE1106" s="366"/>
      <c r="AF1106" s="366"/>
      <c r="AG1106" s="349"/>
      <c r="AH1106" s="113">
        <v>480.11841664132697</v>
      </c>
      <c r="AI1106" s="53"/>
      <c r="AJ1106" s="53">
        <v>10.87</v>
      </c>
      <c r="AK1106" s="53">
        <v>1.74</v>
      </c>
      <c r="AL1106" s="53">
        <f>(193.6+18.5)/265.6</f>
        <v>0.79856927710843362</v>
      </c>
      <c r="AM1106" s="366"/>
      <c r="AN1106" s="24">
        <f t="shared" si="202"/>
        <v>0</v>
      </c>
      <c r="AO1106" s="198">
        <f t="shared" si="195"/>
        <v>0</v>
      </c>
      <c r="AP1106" s="399">
        <f t="shared" si="196"/>
        <v>0</v>
      </c>
      <c r="AQ1106" s="373"/>
      <c r="AR1106" s="44"/>
      <c r="AS1106" s="366"/>
      <c r="AT1106" s="366"/>
    </row>
    <row r="1107" spans="1:46" ht="12">
      <c r="A1107" s="256" t="s">
        <v>1447</v>
      </c>
      <c r="B1107" s="256" t="str">
        <f t="shared" si="197"/>
        <v>MgO</v>
      </c>
      <c r="C1107" s="32">
        <f t="shared" si="198"/>
        <v>4.37</v>
      </c>
      <c r="D1107" s="279">
        <f t="shared" si="199"/>
        <v>315.26170278900997</v>
      </c>
      <c r="E1107" s="78">
        <f t="shared" si="203"/>
        <v>11.58</v>
      </c>
      <c r="F1107" s="78">
        <f t="shared" si="204"/>
        <v>1.26</v>
      </c>
      <c r="G1107" s="279">
        <f t="shared" si="200"/>
        <v>137.76936411879734</v>
      </c>
      <c r="H1107" s="190">
        <f t="shared" si="194"/>
        <v>0.76733780760626391</v>
      </c>
      <c r="I1107" s="279">
        <f t="shared" si="201"/>
        <v>15953.692364956734</v>
      </c>
      <c r="J1107" s="256"/>
      <c r="K1107" s="256" t="s">
        <v>1431</v>
      </c>
      <c r="L1107" s="256"/>
      <c r="M1107" s="68"/>
      <c r="N1107" s="18">
        <v>41549</v>
      </c>
      <c r="O1107" s="256">
        <v>377</v>
      </c>
      <c r="P1107" s="256" t="s">
        <v>46</v>
      </c>
      <c r="Q1107" s="256"/>
      <c r="R1107" s="256">
        <v>3</v>
      </c>
      <c r="S1107" s="256">
        <v>800</v>
      </c>
      <c r="T1107" s="256">
        <v>84</v>
      </c>
      <c r="U1107" s="256">
        <v>400</v>
      </c>
      <c r="V1107" s="256">
        <v>8</v>
      </c>
      <c r="W1107" s="256">
        <v>26.5</v>
      </c>
      <c r="X1107" s="256">
        <v>2.5</v>
      </c>
      <c r="Y1107" s="256">
        <v>40</v>
      </c>
      <c r="Z1107" s="256"/>
      <c r="AA1107" s="207"/>
      <c r="AB1107" s="86">
        <v>0.20150000000000001</v>
      </c>
      <c r="AC1107" s="256">
        <v>0.5736</v>
      </c>
      <c r="AD1107" s="256">
        <v>0.2248</v>
      </c>
      <c r="AE1107" s="256" t="s">
        <v>47</v>
      </c>
      <c r="AF1107" s="256">
        <v>4.37</v>
      </c>
      <c r="AG1107" s="335"/>
      <c r="AH1107" s="213">
        <v>315.26170278900997</v>
      </c>
      <c r="AI1107" s="78"/>
      <c r="AJ1107" s="78">
        <v>11.58</v>
      </c>
      <c r="AK1107" s="78">
        <v>1.26</v>
      </c>
      <c r="AL1107" s="78">
        <f>(118+19.2)/178.8</f>
        <v>0.76733780760626391</v>
      </c>
      <c r="AM1107" s="256"/>
      <c r="AN1107" s="24">
        <f t="shared" si="202"/>
        <v>137.76936411879734</v>
      </c>
      <c r="AO1107" s="160">
        <f t="shared" si="195"/>
        <v>15953.692364956734</v>
      </c>
      <c r="AP1107" s="209">
        <f t="shared" si="196"/>
        <v>3.1214285714285719</v>
      </c>
      <c r="AQ1107" s="68"/>
      <c r="AR1107" s="15"/>
      <c r="AS1107" s="256"/>
      <c r="AT1107" s="256"/>
    </row>
    <row r="1108" spans="1:46" ht="24">
      <c r="A1108" s="257" t="s">
        <v>1448</v>
      </c>
      <c r="B1108" s="257" t="str">
        <f t="shared" si="197"/>
        <v>SiNx</v>
      </c>
      <c r="C1108" s="280">
        <f t="shared" si="198"/>
        <v>0</v>
      </c>
      <c r="D1108" s="183">
        <f t="shared" si="199"/>
        <v>473.87384414692099</v>
      </c>
      <c r="E1108" s="96">
        <f t="shared" si="203"/>
        <v>10.84</v>
      </c>
      <c r="F1108" s="96">
        <f t="shared" si="204"/>
        <v>1.74</v>
      </c>
      <c r="G1108" s="183">
        <f t="shared" si="200"/>
        <v>0</v>
      </c>
      <c r="H1108" s="215">
        <f t="shared" si="194"/>
        <v>0.79820452771272443</v>
      </c>
      <c r="I1108" s="183">
        <f t="shared" si="201"/>
        <v>0</v>
      </c>
      <c r="J1108" s="366"/>
      <c r="K1108" s="366" t="s">
        <v>1431</v>
      </c>
      <c r="L1108" s="366"/>
      <c r="M1108" s="373"/>
      <c r="N1108" s="191">
        <v>41549</v>
      </c>
      <c r="O1108" s="366">
        <v>377</v>
      </c>
      <c r="P1108" s="257" t="s">
        <v>187</v>
      </c>
      <c r="Q1108" s="257" t="s">
        <v>1367</v>
      </c>
      <c r="R1108" s="257">
        <v>4</v>
      </c>
      <c r="S1108" s="257">
        <v>800</v>
      </c>
      <c r="T1108" s="257">
        <v>84</v>
      </c>
      <c r="U1108" s="257">
        <v>400</v>
      </c>
      <c r="V1108" s="257">
        <v>8</v>
      </c>
      <c r="W1108" s="257">
        <v>26.5</v>
      </c>
      <c r="X1108" s="257">
        <v>2.5</v>
      </c>
      <c r="Y1108" s="257">
        <v>40</v>
      </c>
      <c r="Z1108" s="161"/>
      <c r="AA1108" s="76"/>
      <c r="AB1108" s="51"/>
      <c r="AC1108" s="366"/>
      <c r="AD1108" s="366"/>
      <c r="AE1108" s="366"/>
      <c r="AF1108" s="366"/>
      <c r="AG1108" s="349"/>
      <c r="AH1108" s="113">
        <v>473.87384414692099</v>
      </c>
      <c r="AI1108" s="53"/>
      <c r="AJ1108" s="53">
        <v>10.84</v>
      </c>
      <c r="AK1108" s="53">
        <v>1.74</v>
      </c>
      <c r="AL1108" s="53">
        <f>(185.9+18.6)/256.2</f>
        <v>0.79820452771272443</v>
      </c>
      <c r="AM1108" s="366"/>
      <c r="AN1108" s="24">
        <f t="shared" si="202"/>
        <v>0</v>
      </c>
      <c r="AO1108" s="198">
        <f t="shared" si="195"/>
        <v>0</v>
      </c>
      <c r="AP1108" s="399">
        <f t="shared" si="196"/>
        <v>0</v>
      </c>
      <c r="AQ1108" s="373"/>
      <c r="AR1108" s="44"/>
      <c r="AS1108" s="366"/>
      <c r="AT1108" s="366"/>
    </row>
    <row r="1109" spans="1:46" ht="24">
      <c r="A1109" s="257" t="s">
        <v>1449</v>
      </c>
      <c r="B1109" s="257" t="str">
        <f t="shared" si="197"/>
        <v>SiNx</v>
      </c>
      <c r="C1109" s="280">
        <f t="shared" si="198"/>
        <v>0</v>
      </c>
      <c r="D1109" s="183">
        <f t="shared" si="199"/>
        <v>480.832082069259</v>
      </c>
      <c r="E1109" s="96">
        <f t="shared" si="203"/>
        <v>10.83</v>
      </c>
      <c r="F1109" s="96">
        <f t="shared" si="204"/>
        <v>1.75</v>
      </c>
      <c r="G1109" s="183">
        <f t="shared" si="200"/>
        <v>0</v>
      </c>
      <c r="H1109" s="215">
        <f t="shared" si="194"/>
        <v>0.79864253393665163</v>
      </c>
      <c r="I1109" s="183">
        <f t="shared" si="201"/>
        <v>0</v>
      </c>
      <c r="J1109" s="366"/>
      <c r="K1109" s="366" t="s">
        <v>1431</v>
      </c>
      <c r="L1109" s="366"/>
      <c r="M1109" s="373"/>
      <c r="N1109" s="191">
        <v>41549</v>
      </c>
      <c r="O1109" s="366">
        <v>377</v>
      </c>
      <c r="P1109" s="257" t="s">
        <v>187</v>
      </c>
      <c r="Q1109" s="257" t="s">
        <v>1367</v>
      </c>
      <c r="R1109" s="257">
        <v>5</v>
      </c>
      <c r="S1109" s="257">
        <v>800</v>
      </c>
      <c r="T1109" s="257">
        <v>84</v>
      </c>
      <c r="U1109" s="257">
        <v>400</v>
      </c>
      <c r="V1109" s="257">
        <v>8</v>
      </c>
      <c r="W1109" s="257">
        <v>26.5</v>
      </c>
      <c r="X1109" s="257">
        <v>2.5</v>
      </c>
      <c r="Y1109" s="257">
        <v>40</v>
      </c>
      <c r="Z1109" s="161"/>
      <c r="AA1109" s="76"/>
      <c r="AB1109" s="51"/>
      <c r="AC1109" s="366"/>
      <c r="AD1109" s="366"/>
      <c r="AE1109" s="366"/>
      <c r="AF1109" s="366"/>
      <c r="AG1109" s="349"/>
      <c r="AH1109" s="113">
        <v>480.832082069259</v>
      </c>
      <c r="AI1109" s="53"/>
      <c r="AJ1109" s="53">
        <v>10.83</v>
      </c>
      <c r="AK1109" s="53">
        <v>1.75</v>
      </c>
      <c r="AL1109" s="53">
        <f>(193.5+18.3)/265.2</f>
        <v>0.79864253393665163</v>
      </c>
      <c r="AM1109" s="366"/>
      <c r="AN1109" s="24">
        <f t="shared" si="202"/>
        <v>0</v>
      </c>
      <c r="AO1109" s="198">
        <f t="shared" si="195"/>
        <v>0</v>
      </c>
      <c r="AP1109" s="399">
        <f t="shared" si="196"/>
        <v>0</v>
      </c>
      <c r="AQ1109" s="373"/>
      <c r="AR1109" s="44"/>
      <c r="AS1109" s="366"/>
      <c r="AT1109" s="366"/>
    </row>
    <row r="1110" spans="1:46" ht="24">
      <c r="A1110" s="257" t="s">
        <v>1450</v>
      </c>
      <c r="B1110" s="257" t="str">
        <f t="shared" si="197"/>
        <v>SiNx</v>
      </c>
      <c r="C1110" s="280">
        <f t="shared" si="198"/>
        <v>0</v>
      </c>
      <c r="D1110" s="183">
        <f t="shared" si="199"/>
        <v>389.839740007915</v>
      </c>
      <c r="E1110" s="96">
        <f t="shared" si="203"/>
        <v>12.09</v>
      </c>
      <c r="F1110" s="96">
        <f t="shared" si="204"/>
        <v>1.43</v>
      </c>
      <c r="G1110" s="183">
        <f t="shared" si="200"/>
        <v>0</v>
      </c>
      <c r="H1110" s="215">
        <f t="shared" si="194"/>
        <v>0.86561264822134398</v>
      </c>
      <c r="I1110" s="183">
        <f t="shared" si="201"/>
        <v>0</v>
      </c>
      <c r="J1110" s="366"/>
      <c r="K1110" s="366" t="s">
        <v>1431</v>
      </c>
      <c r="L1110" s="366"/>
      <c r="M1110" s="373"/>
      <c r="N1110" s="191">
        <v>41549</v>
      </c>
      <c r="O1110" s="366">
        <v>377</v>
      </c>
      <c r="P1110" s="257" t="s">
        <v>187</v>
      </c>
      <c r="Q1110" s="257" t="s">
        <v>1367</v>
      </c>
      <c r="R1110" s="257">
        <v>6</v>
      </c>
      <c r="S1110" s="257">
        <v>800</v>
      </c>
      <c r="T1110" s="257">
        <v>84</v>
      </c>
      <c r="U1110" s="257">
        <v>400</v>
      </c>
      <c r="V1110" s="257">
        <v>8</v>
      </c>
      <c r="W1110" s="257">
        <v>26.5</v>
      </c>
      <c r="X1110" s="257">
        <v>2.5</v>
      </c>
      <c r="Y1110" s="257">
        <v>40</v>
      </c>
      <c r="Z1110" s="161"/>
      <c r="AA1110" s="76"/>
      <c r="AB1110" s="51"/>
      <c r="AC1110" s="366"/>
      <c r="AD1110" s="366"/>
      <c r="AE1110" s="366"/>
      <c r="AF1110" s="366"/>
      <c r="AG1110" s="349"/>
      <c r="AH1110" s="113">
        <v>389.839740007915</v>
      </c>
      <c r="AI1110" s="53"/>
      <c r="AJ1110" s="53">
        <v>12.09</v>
      </c>
      <c r="AK1110" s="53">
        <v>1.43</v>
      </c>
      <c r="AL1110" s="53">
        <f>(157.4+17.8)/202.4</f>
        <v>0.86561264822134398</v>
      </c>
      <c r="AM1110" s="366"/>
      <c r="AN1110" s="24">
        <f t="shared" si="202"/>
        <v>0</v>
      </c>
      <c r="AO1110" s="198">
        <f t="shared" si="195"/>
        <v>0</v>
      </c>
      <c r="AP1110" s="399">
        <f t="shared" si="196"/>
        <v>0</v>
      </c>
      <c r="AQ1110" s="373"/>
      <c r="AR1110" s="44"/>
      <c r="AS1110" s="366"/>
      <c r="AT1110" s="366"/>
    </row>
    <row r="1111" spans="1:46" ht="24">
      <c r="A1111" s="257" t="s">
        <v>1451</v>
      </c>
      <c r="B1111" s="257" t="str">
        <f t="shared" si="197"/>
        <v>SiNx</v>
      </c>
      <c r="C1111" s="280">
        <f t="shared" si="198"/>
        <v>0</v>
      </c>
      <c r="D1111" s="183">
        <f t="shared" si="199"/>
        <v>545.59721965409801</v>
      </c>
      <c r="E1111" s="96">
        <f t="shared" si="203"/>
        <v>11.06</v>
      </c>
      <c r="F1111" s="96">
        <f t="shared" si="204"/>
        <v>1.93</v>
      </c>
      <c r="G1111" s="183">
        <f t="shared" si="200"/>
        <v>0</v>
      </c>
      <c r="H1111" s="215">
        <f t="shared" si="194"/>
        <v>0.81916285153695223</v>
      </c>
      <c r="I1111" s="183">
        <f t="shared" si="201"/>
        <v>0</v>
      </c>
      <c r="J1111" s="366"/>
      <c r="K1111" s="366" t="s">
        <v>1452</v>
      </c>
      <c r="L1111" s="366"/>
      <c r="M1111" s="373"/>
      <c r="N1111" s="191">
        <v>41551</v>
      </c>
      <c r="O1111" s="366">
        <v>378</v>
      </c>
      <c r="P1111" s="257" t="s">
        <v>187</v>
      </c>
      <c r="Q1111" s="257" t="s">
        <v>1367</v>
      </c>
      <c r="R1111" s="257">
        <v>3</v>
      </c>
      <c r="S1111" s="257">
        <v>800</v>
      </c>
      <c r="T1111" s="257">
        <v>66</v>
      </c>
      <c r="U1111" s="257">
        <v>400</v>
      </c>
      <c r="V1111" s="257">
        <v>8</v>
      </c>
      <c r="W1111" s="257">
        <v>26.5</v>
      </c>
      <c r="X1111" s="257">
        <v>2.5</v>
      </c>
      <c r="Y1111" s="257">
        <v>40</v>
      </c>
      <c r="Z1111" s="161"/>
      <c r="AA1111" s="76"/>
      <c r="AB1111" s="51"/>
      <c r="AC1111" s="366"/>
      <c r="AD1111" s="366"/>
      <c r="AE1111" s="366"/>
      <c r="AF1111" s="366"/>
      <c r="AG1111" s="349"/>
      <c r="AH1111" s="113">
        <v>545.59721965409801</v>
      </c>
      <c r="AI1111" s="53"/>
      <c r="AJ1111" s="53">
        <v>11.06</v>
      </c>
      <c r="AK1111" s="53">
        <v>1.93</v>
      </c>
      <c r="AL1111" s="53">
        <f>(232.2+18.3)/305.8</f>
        <v>0.81916285153695223</v>
      </c>
      <c r="AM1111" s="366"/>
      <c r="AN1111" s="24">
        <f t="shared" si="202"/>
        <v>0</v>
      </c>
      <c r="AO1111" s="198">
        <f t="shared" si="195"/>
        <v>0</v>
      </c>
      <c r="AP1111" s="399">
        <f t="shared" si="196"/>
        <v>0</v>
      </c>
      <c r="AQ1111" s="373"/>
      <c r="AR1111" s="44"/>
      <c r="AS1111" s="366"/>
      <c r="AT1111" s="366"/>
    </row>
    <row r="1112" spans="1:46" ht="12">
      <c r="A1112" s="256" t="s">
        <v>1453</v>
      </c>
      <c r="B1112" s="257" t="str">
        <f t="shared" si="197"/>
        <v>MgO</v>
      </c>
      <c r="C1112" s="32"/>
      <c r="D1112" s="183">
        <f t="shared" si="199"/>
        <v>392.51598536265999</v>
      </c>
      <c r="E1112" s="78"/>
      <c r="F1112" s="78"/>
      <c r="G1112" s="279"/>
      <c r="H1112" s="190"/>
      <c r="I1112" s="279"/>
      <c r="J1112" s="256"/>
      <c r="K1112" s="256" t="s">
        <v>1452</v>
      </c>
      <c r="L1112" s="256"/>
      <c r="M1112" s="68"/>
      <c r="N1112" s="18">
        <v>41551</v>
      </c>
      <c r="O1112" s="256">
        <v>378</v>
      </c>
      <c r="P1112" s="256" t="s">
        <v>46</v>
      </c>
      <c r="Q1112" s="256"/>
      <c r="R1112" s="256">
        <v>4</v>
      </c>
      <c r="S1112" s="256">
        <v>800</v>
      </c>
      <c r="T1112" s="256">
        <v>66</v>
      </c>
      <c r="U1112" s="256">
        <v>400</v>
      </c>
      <c r="V1112" s="256">
        <v>8</v>
      </c>
      <c r="W1112" s="256">
        <v>26.5</v>
      </c>
      <c r="X1112" s="256">
        <v>2.5</v>
      </c>
      <c r="Y1112" s="256">
        <v>40</v>
      </c>
      <c r="Z1112" s="256"/>
      <c r="AA1112" s="207"/>
      <c r="AB1112" s="86">
        <v>0.1807</v>
      </c>
      <c r="AC1112" s="256">
        <v>0.63129999999999997</v>
      </c>
      <c r="AD1112" s="256">
        <v>0.18809999999999999</v>
      </c>
      <c r="AE1112" s="256" t="s">
        <v>47</v>
      </c>
      <c r="AF1112" s="256">
        <v>3.27</v>
      </c>
      <c r="AG1112" s="335"/>
      <c r="AH1112" s="213">
        <v>392.51598536265999</v>
      </c>
      <c r="AI1112" s="78"/>
      <c r="AJ1112" s="78">
        <v>11.25</v>
      </c>
      <c r="AK1112" s="78">
        <v>1.59</v>
      </c>
      <c r="AL1112" s="78">
        <f>(169.5+20.4)/256.2</f>
        <v>0.74121779859484782</v>
      </c>
      <c r="AM1112" s="256"/>
      <c r="AN1112" s="24">
        <f t="shared" si="202"/>
        <v>128.35272721358982</v>
      </c>
      <c r="AO1112" s="198">
        <f t="shared" si="195"/>
        <v>14439.681811528853</v>
      </c>
      <c r="AP1112" s="209"/>
      <c r="AQ1112" s="68"/>
      <c r="AR1112" s="15"/>
      <c r="AS1112" s="256"/>
      <c r="AT1112" s="256"/>
    </row>
    <row r="1113" spans="1:46" ht="24">
      <c r="A1113" s="257" t="s">
        <v>1454</v>
      </c>
      <c r="B1113" s="257" t="str">
        <f t="shared" si="197"/>
        <v>SiNx</v>
      </c>
      <c r="C1113" s="280">
        <f t="shared" ref="C1113:C1144" si="205">AF1113</f>
        <v>0</v>
      </c>
      <c r="D1113" s="183">
        <f t="shared" si="199"/>
        <v>542.56414158538701</v>
      </c>
      <c r="E1113" s="96">
        <f t="shared" ref="E1113:E1144" si="206">AJ1113</f>
        <v>11.01</v>
      </c>
      <c r="F1113" s="96">
        <f t="shared" ref="F1113:F1144" si="207">AK1113</f>
        <v>1.97</v>
      </c>
      <c r="G1113" s="183">
        <f t="shared" ref="G1113:G1144" si="208">AN1113</f>
        <v>0</v>
      </c>
      <c r="H1113" s="215">
        <f t="shared" ref="H1113:H1144" si="209">AL1113</f>
        <v>0.81475566911529851</v>
      </c>
      <c r="I1113" s="183">
        <f t="shared" ref="I1113:I1144" si="210">AO1113</f>
        <v>0</v>
      </c>
      <c r="J1113" s="366"/>
      <c r="K1113" s="366" t="s">
        <v>1452</v>
      </c>
      <c r="L1113" s="366"/>
      <c r="M1113" s="373"/>
      <c r="N1113" s="191">
        <v>41551</v>
      </c>
      <c r="O1113" s="366">
        <v>378</v>
      </c>
      <c r="P1113" s="257" t="s">
        <v>187</v>
      </c>
      <c r="Q1113" s="257" t="s">
        <v>1367</v>
      </c>
      <c r="R1113" s="257">
        <v>6</v>
      </c>
      <c r="S1113" s="257">
        <v>800</v>
      </c>
      <c r="T1113" s="257">
        <v>66</v>
      </c>
      <c r="U1113" s="257">
        <v>400</v>
      </c>
      <c r="V1113" s="257">
        <v>8</v>
      </c>
      <c r="W1113" s="257">
        <v>26.5</v>
      </c>
      <c r="X1113" s="257">
        <v>2.5</v>
      </c>
      <c r="Y1113" s="257">
        <v>40</v>
      </c>
      <c r="Z1113" s="161"/>
      <c r="AA1113" s="76"/>
      <c r="AB1113" s="51"/>
      <c r="AC1113" s="366"/>
      <c r="AD1113" s="366"/>
      <c r="AE1113" s="366"/>
      <c r="AF1113" s="366"/>
      <c r="AG1113" s="349"/>
      <c r="AH1113" s="113">
        <v>542.56414158538701</v>
      </c>
      <c r="AI1113" s="53"/>
      <c r="AJ1113" s="53">
        <v>11.01</v>
      </c>
      <c r="AK1113" s="53">
        <v>1.97</v>
      </c>
      <c r="AL1113" s="53">
        <f>(237+18.1)/313.1</f>
        <v>0.81475566911529851</v>
      </c>
      <c r="AM1113" s="366"/>
      <c r="AN1113" s="24">
        <f t="shared" si="202"/>
        <v>0</v>
      </c>
      <c r="AO1113" s="198">
        <f t="shared" si="195"/>
        <v>0</v>
      </c>
      <c r="AP1113" s="399">
        <f t="shared" ref="AP1113:AP1144" si="211">(AF1113/T1113)*60</f>
        <v>0</v>
      </c>
      <c r="AQ1113" s="373"/>
      <c r="AR1113" s="44"/>
      <c r="AS1113" s="366"/>
      <c r="AT1113" s="366"/>
    </row>
    <row r="1114" spans="1:46" ht="24">
      <c r="A1114" s="257" t="s">
        <v>1455</v>
      </c>
      <c r="B1114" s="257" t="str">
        <f t="shared" si="197"/>
        <v>SiNx</v>
      </c>
      <c r="C1114" s="280">
        <f t="shared" si="205"/>
        <v>0</v>
      </c>
      <c r="D1114" s="183">
        <f t="shared" si="199"/>
        <v>460.13578465922802</v>
      </c>
      <c r="E1114" s="96">
        <f t="shared" si="206"/>
        <v>11.47</v>
      </c>
      <c r="F1114" s="96">
        <f t="shared" si="207"/>
        <v>1.64</v>
      </c>
      <c r="G1114" s="183">
        <f t="shared" si="208"/>
        <v>0</v>
      </c>
      <c r="H1114" s="215">
        <f t="shared" si="209"/>
        <v>0.84765462847654638</v>
      </c>
      <c r="I1114" s="183">
        <f t="shared" si="210"/>
        <v>0</v>
      </c>
      <c r="J1114" s="366"/>
      <c r="K1114" s="366" t="s">
        <v>1452</v>
      </c>
      <c r="L1114" s="366"/>
      <c r="M1114" s="373"/>
      <c r="N1114" s="191">
        <v>41554</v>
      </c>
      <c r="O1114" s="366">
        <v>379</v>
      </c>
      <c r="P1114" s="257" t="s">
        <v>187</v>
      </c>
      <c r="Q1114" s="257" t="s">
        <v>1367</v>
      </c>
      <c r="R1114" s="257">
        <v>3</v>
      </c>
      <c r="S1114" s="257">
        <v>800</v>
      </c>
      <c r="T1114" s="257">
        <v>72</v>
      </c>
      <c r="U1114" s="257">
        <v>400</v>
      </c>
      <c r="V1114" s="257">
        <v>8</v>
      </c>
      <c r="W1114" s="257">
        <v>26.5</v>
      </c>
      <c r="X1114" s="257">
        <v>2.5</v>
      </c>
      <c r="Y1114" s="257">
        <v>40</v>
      </c>
      <c r="Z1114" s="161"/>
      <c r="AA1114" s="76"/>
      <c r="AB1114" s="51"/>
      <c r="AC1114" s="366"/>
      <c r="AD1114" s="366"/>
      <c r="AE1114" s="366"/>
      <c r="AF1114" s="366"/>
      <c r="AG1114" s="349"/>
      <c r="AH1114" s="113">
        <v>460.13578465922802</v>
      </c>
      <c r="AI1114" s="53"/>
      <c r="AJ1114" s="53">
        <v>11.47</v>
      </c>
      <c r="AK1114" s="53">
        <v>1.64</v>
      </c>
      <c r="AL1114" s="53">
        <f>(185.9+18.3)/240.9</f>
        <v>0.84765462847654638</v>
      </c>
      <c r="AM1114" s="366"/>
      <c r="AN1114" s="24">
        <f t="shared" si="202"/>
        <v>0</v>
      </c>
      <c r="AO1114" s="198">
        <f t="shared" si="195"/>
        <v>0</v>
      </c>
      <c r="AP1114" s="399">
        <f t="shared" si="211"/>
        <v>0</v>
      </c>
      <c r="AQ1114" s="373"/>
      <c r="AR1114" s="44"/>
      <c r="AS1114" s="366"/>
      <c r="AT1114" s="366"/>
    </row>
    <row r="1115" spans="1:46" ht="12">
      <c r="A1115" s="256" t="s">
        <v>1456</v>
      </c>
      <c r="B1115" s="256" t="str">
        <f t="shared" si="197"/>
        <v>MgO</v>
      </c>
      <c r="C1115" s="32">
        <f t="shared" si="205"/>
        <v>3.79</v>
      </c>
      <c r="D1115" s="279">
        <f t="shared" si="199"/>
        <v>386.44982922523798</v>
      </c>
      <c r="E1115" s="78">
        <f t="shared" si="206"/>
        <v>10.89</v>
      </c>
      <c r="F1115" s="78">
        <f t="shared" si="207"/>
        <v>1.44</v>
      </c>
      <c r="G1115" s="279">
        <f t="shared" si="208"/>
        <v>146.4644852763652</v>
      </c>
      <c r="H1115" s="190">
        <f t="shared" si="209"/>
        <v>0.73866884442629643</v>
      </c>
      <c r="I1115" s="279">
        <f t="shared" si="210"/>
        <v>15949.98244659617</v>
      </c>
      <c r="J1115" s="256"/>
      <c r="K1115" s="256" t="s">
        <v>1452</v>
      </c>
      <c r="L1115" s="256"/>
      <c r="M1115" s="68"/>
      <c r="N1115" s="18">
        <v>41554</v>
      </c>
      <c r="O1115" s="256">
        <v>379</v>
      </c>
      <c r="P1115" s="256" t="s">
        <v>46</v>
      </c>
      <c r="Q1115" s="256"/>
      <c r="R1115" s="256">
        <v>4</v>
      </c>
      <c r="S1115" s="256">
        <v>800</v>
      </c>
      <c r="T1115" s="256">
        <v>72</v>
      </c>
      <c r="U1115" s="256">
        <v>400</v>
      </c>
      <c r="V1115" s="256">
        <v>8</v>
      </c>
      <c r="W1115" s="256">
        <v>26.5</v>
      </c>
      <c r="X1115" s="256">
        <v>2.5</v>
      </c>
      <c r="Y1115" s="256">
        <v>40</v>
      </c>
      <c r="Z1115" s="256"/>
      <c r="AA1115" s="207"/>
      <c r="AB1115" s="86">
        <v>0.1883</v>
      </c>
      <c r="AC1115" s="256">
        <v>0.6028</v>
      </c>
      <c r="AD1115" s="256">
        <v>0.2089</v>
      </c>
      <c r="AE1115" s="256" t="s">
        <v>47</v>
      </c>
      <c r="AF1115" s="256">
        <v>3.79</v>
      </c>
      <c r="AG1115" s="335"/>
      <c r="AH1115" s="213">
        <v>386.44982922523798</v>
      </c>
      <c r="AI1115" s="78"/>
      <c r="AJ1115" s="78">
        <v>10.89</v>
      </c>
      <c r="AK1115" s="78">
        <v>1.44</v>
      </c>
      <c r="AL1115" s="78">
        <f>(160.5+20.4)/244.9</f>
        <v>0.73866884442629643</v>
      </c>
      <c r="AM1115" s="256"/>
      <c r="AN1115" s="24">
        <f t="shared" si="202"/>
        <v>146.4644852763652</v>
      </c>
      <c r="AO1115" s="160">
        <f t="shared" si="195"/>
        <v>15949.98244659617</v>
      </c>
      <c r="AP1115" s="209">
        <f t="shared" si="211"/>
        <v>3.1583333333333332</v>
      </c>
      <c r="AQ1115" s="68"/>
      <c r="AR1115" s="15"/>
      <c r="AS1115" s="256"/>
      <c r="AT1115" s="256"/>
    </row>
    <row r="1116" spans="1:46" ht="24">
      <c r="A1116" s="257" t="s">
        <v>1457</v>
      </c>
      <c r="B1116" s="257" t="str">
        <f t="shared" si="197"/>
        <v>SiNx</v>
      </c>
      <c r="C1116" s="280">
        <f t="shared" si="205"/>
        <v>0</v>
      </c>
      <c r="D1116" s="183">
        <f t="shared" si="199"/>
        <v>462.99044637095602</v>
      </c>
      <c r="E1116" s="96">
        <f t="shared" si="206"/>
        <v>11.6</v>
      </c>
      <c r="F1116" s="96">
        <f t="shared" si="207"/>
        <v>1.68</v>
      </c>
      <c r="G1116" s="183">
        <f t="shared" si="208"/>
        <v>0</v>
      </c>
      <c r="H1116" s="215">
        <f t="shared" si="209"/>
        <v>0.84498977505112471</v>
      </c>
      <c r="I1116" s="183">
        <f t="shared" si="210"/>
        <v>0</v>
      </c>
      <c r="J1116" s="366"/>
      <c r="K1116" s="366" t="s">
        <v>1452</v>
      </c>
      <c r="L1116" s="366"/>
      <c r="M1116" s="373"/>
      <c r="N1116" s="191">
        <v>41554</v>
      </c>
      <c r="O1116" s="366">
        <v>379</v>
      </c>
      <c r="P1116" s="257" t="s">
        <v>187</v>
      </c>
      <c r="Q1116" s="257" t="s">
        <v>1367</v>
      </c>
      <c r="R1116" s="257">
        <v>6</v>
      </c>
      <c r="S1116" s="257">
        <v>800</v>
      </c>
      <c r="T1116" s="257">
        <v>72</v>
      </c>
      <c r="U1116" s="257">
        <v>400</v>
      </c>
      <c r="V1116" s="257">
        <v>8</v>
      </c>
      <c r="W1116" s="257">
        <v>26.5</v>
      </c>
      <c r="X1116" s="257">
        <v>2.5</v>
      </c>
      <c r="Y1116" s="257">
        <v>40</v>
      </c>
      <c r="Z1116" s="161"/>
      <c r="AA1116" s="76"/>
      <c r="AB1116" s="51"/>
      <c r="AC1116" s="366"/>
      <c r="AD1116" s="366"/>
      <c r="AE1116" s="366"/>
      <c r="AF1116" s="366"/>
      <c r="AG1116" s="349"/>
      <c r="AH1116" s="113">
        <v>462.99044637095602</v>
      </c>
      <c r="AI1116" s="53"/>
      <c r="AJ1116" s="53">
        <v>11.6</v>
      </c>
      <c r="AK1116" s="53">
        <v>1.68</v>
      </c>
      <c r="AL1116" s="53">
        <f>(188.4+18.2)/244.5</f>
        <v>0.84498977505112471</v>
      </c>
      <c r="AM1116" s="366"/>
      <c r="AN1116" s="24">
        <f t="shared" si="202"/>
        <v>0</v>
      </c>
      <c r="AO1116" s="198">
        <f t="shared" si="195"/>
        <v>0</v>
      </c>
      <c r="AP1116" s="399">
        <f t="shared" si="211"/>
        <v>0</v>
      </c>
      <c r="AQ1116" s="373"/>
      <c r="AR1116" s="44"/>
      <c r="AS1116" s="366"/>
      <c r="AT1116" s="366"/>
    </row>
    <row r="1117" spans="1:46" ht="12">
      <c r="A1117" s="256" t="s">
        <v>1458</v>
      </c>
      <c r="B1117" s="256" t="str">
        <f t="shared" si="197"/>
        <v>MgO</v>
      </c>
      <c r="C1117" s="32">
        <f t="shared" si="205"/>
        <v>4.66</v>
      </c>
      <c r="D1117" s="279">
        <f t="shared" si="199"/>
        <v>320.257360784534</v>
      </c>
      <c r="E1117" s="78">
        <f t="shared" si="206"/>
        <v>11.65</v>
      </c>
      <c r="F1117" s="78">
        <f t="shared" si="207"/>
        <v>1.32</v>
      </c>
      <c r="G1117" s="279">
        <f t="shared" si="208"/>
        <v>149.23993012559285</v>
      </c>
      <c r="H1117" s="190">
        <f t="shared" si="209"/>
        <v>0.76648648648648643</v>
      </c>
      <c r="I1117" s="279">
        <f t="shared" si="210"/>
        <v>17386.451859631568</v>
      </c>
      <c r="J1117" s="256"/>
      <c r="K1117" s="256" t="s">
        <v>1309</v>
      </c>
      <c r="L1117" s="256"/>
      <c r="M1117" s="68"/>
      <c r="N1117" s="18">
        <v>41555</v>
      </c>
      <c r="O1117" s="256">
        <v>380</v>
      </c>
      <c r="P1117" s="256" t="s">
        <v>46</v>
      </c>
      <c r="Q1117" s="256"/>
      <c r="R1117" s="256">
        <v>1</v>
      </c>
      <c r="S1117" s="256">
        <v>800</v>
      </c>
      <c r="T1117" s="256">
        <v>84</v>
      </c>
      <c r="U1117" s="256">
        <v>400</v>
      </c>
      <c r="V1117" s="256">
        <v>8</v>
      </c>
      <c r="W1117" s="256">
        <v>26.5</v>
      </c>
      <c r="X1117" s="256">
        <v>2.5</v>
      </c>
      <c r="Y1117" s="256">
        <v>40</v>
      </c>
      <c r="Z1117" s="256"/>
      <c r="AA1117" s="207"/>
      <c r="AB1117" s="86">
        <v>0.2046</v>
      </c>
      <c r="AC1117" s="256">
        <v>0.55969999999999998</v>
      </c>
      <c r="AD1117" s="256">
        <v>0.23569999999999999</v>
      </c>
      <c r="AE1117" s="256" t="s">
        <v>47</v>
      </c>
      <c r="AF1117" s="256">
        <v>4.66</v>
      </c>
      <c r="AG1117" s="335"/>
      <c r="AH1117" s="213">
        <v>320.257360784534</v>
      </c>
      <c r="AI1117" s="78"/>
      <c r="AJ1117" s="78">
        <v>11.65</v>
      </c>
      <c r="AK1117" s="78">
        <v>1.32</v>
      </c>
      <c r="AL1117" s="78">
        <f>(122.1+19.7)/185</f>
        <v>0.76648648648648643</v>
      </c>
      <c r="AM1117" s="256"/>
      <c r="AN1117" s="24">
        <f t="shared" si="202"/>
        <v>149.23993012559285</v>
      </c>
      <c r="AO1117" s="160">
        <f t="shared" si="195"/>
        <v>17386.451859631568</v>
      </c>
      <c r="AP1117" s="209">
        <f t="shared" si="211"/>
        <v>3.3285714285714287</v>
      </c>
      <c r="AQ1117" s="68"/>
      <c r="AR1117" s="15"/>
      <c r="AS1117" s="256"/>
      <c r="AT1117" s="256"/>
    </row>
    <row r="1118" spans="1:46" ht="12">
      <c r="A1118" s="83" t="s">
        <v>1459</v>
      </c>
      <c r="B1118" s="83" t="str">
        <f t="shared" si="197"/>
        <v>SiO2</v>
      </c>
      <c r="C1118" s="329">
        <f t="shared" si="205"/>
        <v>0</v>
      </c>
      <c r="D1118" s="168">
        <f t="shared" si="199"/>
        <v>430.69708575702799</v>
      </c>
      <c r="E1118" s="139">
        <f t="shared" si="206"/>
        <v>11.1</v>
      </c>
      <c r="F1118" s="139">
        <f t="shared" si="207"/>
        <v>1.57</v>
      </c>
      <c r="G1118" s="168">
        <f t="shared" si="208"/>
        <v>0</v>
      </c>
      <c r="H1118" s="150">
        <f t="shared" si="209"/>
        <v>0.82083862770012705</v>
      </c>
      <c r="I1118" s="168">
        <f t="shared" si="210"/>
        <v>0</v>
      </c>
      <c r="J1118" s="83"/>
      <c r="K1118" s="83" t="s">
        <v>1309</v>
      </c>
      <c r="L1118" s="83"/>
      <c r="M1118" s="385"/>
      <c r="N1118" s="362">
        <v>41555</v>
      </c>
      <c r="O1118" s="83">
        <v>380</v>
      </c>
      <c r="P1118" s="83" t="s">
        <v>1182</v>
      </c>
      <c r="Q1118" s="83">
        <v>228.9</v>
      </c>
      <c r="R1118" s="83">
        <v>2</v>
      </c>
      <c r="S1118" s="83">
        <v>800</v>
      </c>
      <c r="T1118" s="83">
        <v>84</v>
      </c>
      <c r="U1118" s="83">
        <v>400</v>
      </c>
      <c r="V1118" s="83">
        <v>8</v>
      </c>
      <c r="W1118" s="83">
        <v>26.5</v>
      </c>
      <c r="X1118" s="83">
        <v>2.5</v>
      </c>
      <c r="Y1118" s="83">
        <v>40</v>
      </c>
      <c r="Z1118" s="83"/>
      <c r="AA1118" s="119"/>
      <c r="AB1118" s="84"/>
      <c r="AC1118" s="83"/>
      <c r="AD1118" s="83"/>
      <c r="AE1118" s="83"/>
      <c r="AF1118" s="83"/>
      <c r="AG1118" s="220"/>
      <c r="AH1118" s="344">
        <v>430.69708575702799</v>
      </c>
      <c r="AI1118" s="139"/>
      <c r="AJ1118" s="139">
        <v>11.1</v>
      </c>
      <c r="AK1118" s="139">
        <v>1.57</v>
      </c>
      <c r="AL1118" s="139">
        <f>(175.7+18.1)/236.1</f>
        <v>0.82083862770012705</v>
      </c>
      <c r="AM1118" s="83"/>
      <c r="AN1118" s="24">
        <f t="shared" si="202"/>
        <v>0</v>
      </c>
      <c r="AO1118" s="252">
        <f t="shared" si="195"/>
        <v>0</v>
      </c>
      <c r="AP1118" s="65">
        <f t="shared" si="211"/>
        <v>0</v>
      </c>
      <c r="AQ1118" s="385"/>
      <c r="AR1118" s="162"/>
      <c r="AS1118" s="83"/>
      <c r="AT1118" s="83"/>
    </row>
    <row r="1119" spans="1:46" ht="12">
      <c r="A1119" s="83" t="s">
        <v>1460</v>
      </c>
      <c r="B1119" s="83" t="str">
        <f t="shared" si="197"/>
        <v>SiO2</v>
      </c>
      <c r="C1119" s="329">
        <f t="shared" si="205"/>
        <v>0</v>
      </c>
      <c r="D1119" s="168">
        <f t="shared" si="199"/>
        <v>364.50461731632498</v>
      </c>
      <c r="E1119" s="139">
        <f t="shared" si="206"/>
        <v>12</v>
      </c>
      <c r="F1119" s="139">
        <f t="shared" si="207"/>
        <v>1.39</v>
      </c>
      <c r="G1119" s="168">
        <f t="shared" si="208"/>
        <v>0</v>
      </c>
      <c r="H1119" s="150">
        <f t="shared" si="209"/>
        <v>0.87164015359297853</v>
      </c>
      <c r="I1119" s="168">
        <f t="shared" si="210"/>
        <v>0</v>
      </c>
      <c r="J1119" s="83"/>
      <c r="K1119" s="83" t="s">
        <v>1309</v>
      </c>
      <c r="L1119" s="83"/>
      <c r="M1119" s="385"/>
      <c r="N1119" s="362">
        <v>41555</v>
      </c>
      <c r="O1119" s="83">
        <v>380</v>
      </c>
      <c r="P1119" s="83" t="s">
        <v>1182</v>
      </c>
      <c r="Q1119" s="83">
        <v>228.9</v>
      </c>
      <c r="R1119" s="83">
        <v>3</v>
      </c>
      <c r="S1119" s="83">
        <v>800</v>
      </c>
      <c r="T1119" s="83">
        <v>84</v>
      </c>
      <c r="U1119" s="83">
        <v>400</v>
      </c>
      <c r="V1119" s="83">
        <v>8</v>
      </c>
      <c r="W1119" s="83">
        <v>26.5</v>
      </c>
      <c r="X1119" s="83">
        <v>2.5</v>
      </c>
      <c r="Y1119" s="83">
        <v>40</v>
      </c>
      <c r="Z1119" s="83"/>
      <c r="AA1119" s="119"/>
      <c r="AB1119" s="84"/>
      <c r="AC1119" s="83"/>
      <c r="AD1119" s="83"/>
      <c r="AE1119" s="83"/>
      <c r="AF1119" s="83"/>
      <c r="AG1119" s="220"/>
      <c r="AH1119" s="344">
        <v>364.50461731632498</v>
      </c>
      <c r="AI1119" s="139"/>
      <c r="AJ1119" s="139">
        <v>12</v>
      </c>
      <c r="AK1119" s="139">
        <v>1.39</v>
      </c>
      <c r="AL1119" s="139">
        <f>(140.6+18.3)/182.3</f>
        <v>0.87164015359297853</v>
      </c>
      <c r="AM1119" s="83"/>
      <c r="AN1119" s="24">
        <f t="shared" si="202"/>
        <v>0</v>
      </c>
      <c r="AO1119" s="252">
        <f t="shared" si="195"/>
        <v>0</v>
      </c>
      <c r="AP1119" s="65">
        <f t="shared" si="211"/>
        <v>0</v>
      </c>
      <c r="AQ1119" s="385"/>
      <c r="AR1119" s="162"/>
      <c r="AS1119" s="83"/>
      <c r="AT1119" s="83"/>
    </row>
    <row r="1120" spans="1:46" ht="12">
      <c r="A1120" s="83" t="s">
        <v>1461</v>
      </c>
      <c r="B1120" s="83" t="str">
        <f t="shared" si="197"/>
        <v>SiO2</v>
      </c>
      <c r="C1120" s="329">
        <f t="shared" si="205"/>
        <v>0</v>
      </c>
      <c r="D1120" s="168">
        <f t="shared" si="199"/>
        <v>431.58916754194399</v>
      </c>
      <c r="E1120" s="139">
        <f t="shared" si="206"/>
        <v>11.01</v>
      </c>
      <c r="F1120" s="139">
        <f t="shared" si="207"/>
        <v>1.54</v>
      </c>
      <c r="G1120" s="168">
        <f t="shared" si="208"/>
        <v>0</v>
      </c>
      <c r="H1120" s="150">
        <f t="shared" si="209"/>
        <v>0.82238547968885034</v>
      </c>
      <c r="I1120" s="168">
        <f t="shared" si="210"/>
        <v>0</v>
      </c>
      <c r="J1120" s="83"/>
      <c r="K1120" s="83" t="s">
        <v>1309</v>
      </c>
      <c r="L1120" s="83"/>
      <c r="M1120" s="385"/>
      <c r="N1120" s="362">
        <v>41555</v>
      </c>
      <c r="O1120" s="83">
        <v>380</v>
      </c>
      <c r="P1120" s="83" t="s">
        <v>1182</v>
      </c>
      <c r="Q1120" s="83">
        <v>228.9</v>
      </c>
      <c r="R1120" s="83">
        <v>4</v>
      </c>
      <c r="S1120" s="83">
        <v>800</v>
      </c>
      <c r="T1120" s="83">
        <v>84</v>
      </c>
      <c r="U1120" s="83">
        <v>400</v>
      </c>
      <c r="V1120" s="83">
        <v>8</v>
      </c>
      <c r="W1120" s="83">
        <v>26.5</v>
      </c>
      <c r="X1120" s="83">
        <v>2.5</v>
      </c>
      <c r="Y1120" s="83">
        <v>40</v>
      </c>
      <c r="Z1120" s="83"/>
      <c r="AA1120" s="119"/>
      <c r="AB1120" s="84"/>
      <c r="AC1120" s="83"/>
      <c r="AD1120" s="83"/>
      <c r="AE1120" s="83"/>
      <c r="AF1120" s="83"/>
      <c r="AG1120" s="220"/>
      <c r="AH1120" s="344">
        <v>431.58916754194399</v>
      </c>
      <c r="AI1120" s="139"/>
      <c r="AJ1120" s="139">
        <v>11.01</v>
      </c>
      <c r="AK1120" s="139">
        <v>1.54</v>
      </c>
      <c r="AL1120" s="139">
        <f>(171.6+18.7)/231.4</f>
        <v>0.82238547968885034</v>
      </c>
      <c r="AM1120" s="83"/>
      <c r="AN1120" s="24">
        <f t="shared" si="202"/>
        <v>0</v>
      </c>
      <c r="AO1120" s="252">
        <f t="shared" si="195"/>
        <v>0</v>
      </c>
      <c r="AP1120" s="65">
        <f t="shared" si="211"/>
        <v>0</v>
      </c>
      <c r="AQ1120" s="385"/>
      <c r="AR1120" s="162"/>
      <c r="AS1120" s="83"/>
      <c r="AT1120" s="83"/>
    </row>
    <row r="1121" spans="1:46" ht="12">
      <c r="A1121" s="83" t="s">
        <v>1462</v>
      </c>
      <c r="B1121" s="83" t="str">
        <f t="shared" si="197"/>
        <v>SiO2</v>
      </c>
      <c r="C1121" s="329">
        <f t="shared" si="205"/>
        <v>0</v>
      </c>
      <c r="D1121" s="168">
        <f t="shared" si="199"/>
        <v>426.593509546419</v>
      </c>
      <c r="E1121" s="139">
        <f t="shared" si="206"/>
        <v>11.14</v>
      </c>
      <c r="F1121" s="139">
        <f t="shared" si="207"/>
        <v>1.56</v>
      </c>
      <c r="G1121" s="168">
        <f t="shared" si="208"/>
        <v>0</v>
      </c>
      <c r="H1121" s="150">
        <f t="shared" si="209"/>
        <v>0.82281236395298218</v>
      </c>
      <c r="I1121" s="168">
        <f t="shared" si="210"/>
        <v>0</v>
      </c>
      <c r="J1121" s="83"/>
      <c r="K1121" s="83" t="s">
        <v>1309</v>
      </c>
      <c r="L1121" s="83"/>
      <c r="M1121" s="385"/>
      <c r="N1121" s="362">
        <v>41555</v>
      </c>
      <c r="O1121" s="83">
        <v>380</v>
      </c>
      <c r="P1121" s="83" t="s">
        <v>1182</v>
      </c>
      <c r="Q1121" s="83">
        <v>228.9</v>
      </c>
      <c r="R1121" s="83">
        <v>5</v>
      </c>
      <c r="S1121" s="83">
        <v>800</v>
      </c>
      <c r="T1121" s="83">
        <v>84</v>
      </c>
      <c r="U1121" s="83">
        <v>400</v>
      </c>
      <c r="V1121" s="83">
        <v>8</v>
      </c>
      <c r="W1121" s="83">
        <v>26.5</v>
      </c>
      <c r="X1121" s="83">
        <v>2.5</v>
      </c>
      <c r="Y1121" s="83">
        <v>40</v>
      </c>
      <c r="Z1121" s="83"/>
      <c r="AA1121" s="119"/>
      <c r="AB1121" s="84"/>
      <c r="AC1121" s="83"/>
      <c r="AD1121" s="83"/>
      <c r="AE1121" s="83"/>
      <c r="AF1121" s="83"/>
      <c r="AG1121" s="220"/>
      <c r="AH1121" s="344">
        <v>426.593509546419</v>
      </c>
      <c r="AI1121" s="139"/>
      <c r="AJ1121" s="139">
        <v>11.14</v>
      </c>
      <c r="AK1121" s="139">
        <v>1.56</v>
      </c>
      <c r="AL1121" s="139">
        <f>(170.8+18.2)/229.7</f>
        <v>0.82281236395298218</v>
      </c>
      <c r="AM1121" s="83"/>
      <c r="AN1121" s="24">
        <f t="shared" si="202"/>
        <v>0</v>
      </c>
      <c r="AO1121" s="252">
        <f t="shared" si="195"/>
        <v>0</v>
      </c>
      <c r="AP1121" s="65">
        <f t="shared" si="211"/>
        <v>0</v>
      </c>
      <c r="AQ1121" s="385"/>
      <c r="AR1121" s="162"/>
      <c r="AS1121" s="83"/>
      <c r="AT1121" s="83"/>
    </row>
    <row r="1122" spans="1:46" ht="12">
      <c r="A1122" s="83" t="s">
        <v>1463</v>
      </c>
      <c r="B1122" s="83" t="str">
        <f t="shared" si="197"/>
        <v>SiO2</v>
      </c>
      <c r="C1122" s="329">
        <f t="shared" si="205"/>
        <v>0</v>
      </c>
      <c r="D1122" s="168">
        <f t="shared" si="199"/>
        <v>362.72045374649502</v>
      </c>
      <c r="E1122" s="139">
        <f t="shared" si="206"/>
        <v>12.06</v>
      </c>
      <c r="F1122" s="139">
        <f t="shared" si="207"/>
        <v>1.39</v>
      </c>
      <c r="G1122" s="168">
        <f t="shared" si="208"/>
        <v>0</v>
      </c>
      <c r="H1122" s="150">
        <f t="shared" si="209"/>
        <v>0.87554112554112551</v>
      </c>
      <c r="I1122" s="168">
        <f t="shared" si="210"/>
        <v>0</v>
      </c>
      <c r="J1122" s="83"/>
      <c r="K1122" s="83" t="s">
        <v>1309</v>
      </c>
      <c r="L1122" s="83"/>
      <c r="M1122" s="385"/>
      <c r="N1122" s="362">
        <v>41555</v>
      </c>
      <c r="O1122" s="83">
        <v>380</v>
      </c>
      <c r="P1122" s="83" t="s">
        <v>1182</v>
      </c>
      <c r="Q1122" s="83">
        <v>228.9</v>
      </c>
      <c r="R1122" s="83">
        <v>6</v>
      </c>
      <c r="S1122" s="83">
        <v>800</v>
      </c>
      <c r="T1122" s="83">
        <v>84</v>
      </c>
      <c r="U1122" s="83">
        <v>400</v>
      </c>
      <c r="V1122" s="83">
        <v>8</v>
      </c>
      <c r="W1122" s="83">
        <v>26.5</v>
      </c>
      <c r="X1122" s="83">
        <v>2.5</v>
      </c>
      <c r="Y1122" s="83">
        <v>40</v>
      </c>
      <c r="Z1122" s="83"/>
      <c r="AA1122" s="119"/>
      <c r="AB1122" s="84"/>
      <c r="AC1122" s="83"/>
      <c r="AD1122" s="83"/>
      <c r="AE1122" s="83"/>
      <c r="AF1122" s="83"/>
      <c r="AG1122" s="220"/>
      <c r="AH1122" s="344">
        <v>362.72045374649502</v>
      </c>
      <c r="AI1122" s="139"/>
      <c r="AJ1122" s="139">
        <v>12.06</v>
      </c>
      <c r="AK1122" s="139">
        <v>1.39</v>
      </c>
      <c r="AL1122" s="139">
        <f>(142.9+18.9)/184.8</f>
        <v>0.87554112554112551</v>
      </c>
      <c r="AM1122" s="83"/>
      <c r="AN1122" s="24">
        <f t="shared" si="202"/>
        <v>0</v>
      </c>
      <c r="AO1122" s="252">
        <f t="shared" si="195"/>
        <v>0</v>
      </c>
      <c r="AP1122" s="65">
        <f t="shared" si="211"/>
        <v>0</v>
      </c>
      <c r="AQ1122" s="385"/>
      <c r="AR1122" s="162"/>
      <c r="AS1122" s="83"/>
      <c r="AT1122" s="83"/>
    </row>
    <row r="1123" spans="1:46" ht="24">
      <c r="A1123" s="257" t="s">
        <v>1464</v>
      </c>
      <c r="B1123" s="257" t="str">
        <f t="shared" si="197"/>
        <v>SiNx</v>
      </c>
      <c r="C1123" s="329">
        <f t="shared" si="205"/>
        <v>0</v>
      </c>
      <c r="D1123" s="168">
        <f t="shared" si="199"/>
        <v>432.65966568384198</v>
      </c>
      <c r="E1123" s="139">
        <f t="shared" si="206"/>
        <v>11.17</v>
      </c>
      <c r="F1123" s="139">
        <f t="shared" si="207"/>
        <v>1.64</v>
      </c>
      <c r="G1123" s="168">
        <f t="shared" si="208"/>
        <v>0</v>
      </c>
      <c r="H1123" s="150">
        <f t="shared" si="209"/>
        <v>0.85975609756097571</v>
      </c>
      <c r="I1123" s="168">
        <f t="shared" si="210"/>
        <v>0</v>
      </c>
      <c r="J1123" s="366"/>
      <c r="K1123" s="366"/>
      <c r="L1123" s="366"/>
      <c r="M1123" s="373"/>
      <c r="N1123" s="191">
        <v>41556</v>
      </c>
      <c r="O1123" s="366">
        <v>381</v>
      </c>
      <c r="P1123" s="257" t="s">
        <v>187</v>
      </c>
      <c r="Q1123" s="257" t="s">
        <v>1367</v>
      </c>
      <c r="R1123" s="257">
        <v>3</v>
      </c>
      <c r="S1123" s="257">
        <v>800</v>
      </c>
      <c r="T1123" s="257">
        <v>72</v>
      </c>
      <c r="U1123" s="257">
        <v>400</v>
      </c>
      <c r="V1123" s="257">
        <v>6</v>
      </c>
      <c r="W1123" s="257">
        <v>26.5</v>
      </c>
      <c r="X1123" s="257">
        <v>2.5</v>
      </c>
      <c r="Y1123" s="257">
        <v>40</v>
      </c>
      <c r="Z1123" s="161"/>
      <c r="AA1123" s="76"/>
      <c r="AB1123" s="51"/>
      <c r="AC1123" s="366"/>
      <c r="AD1123" s="366"/>
      <c r="AE1123" s="366"/>
      <c r="AF1123" s="366"/>
      <c r="AG1123" s="349"/>
      <c r="AH1123" s="113">
        <v>432.65966568384198</v>
      </c>
      <c r="AI1123" s="53"/>
      <c r="AJ1123" s="53">
        <v>11.17</v>
      </c>
      <c r="AK1123" s="53">
        <v>1.64</v>
      </c>
      <c r="AL1123" s="53">
        <f>(177.8+19.6)/229.6</f>
        <v>0.85975609756097571</v>
      </c>
      <c r="AM1123" s="366"/>
      <c r="AN1123" s="24">
        <f t="shared" si="202"/>
        <v>0</v>
      </c>
      <c r="AO1123" s="198">
        <f t="shared" si="195"/>
        <v>0</v>
      </c>
      <c r="AP1123" s="399">
        <f t="shared" si="211"/>
        <v>0</v>
      </c>
      <c r="AQ1123" s="373"/>
      <c r="AR1123" s="44"/>
      <c r="AS1123" s="366"/>
      <c r="AT1123" s="366"/>
    </row>
    <row r="1124" spans="1:46" ht="12">
      <c r="A1124" s="256" t="s">
        <v>1465</v>
      </c>
      <c r="B1124" s="256" t="str">
        <f t="shared" si="197"/>
        <v>MgO</v>
      </c>
      <c r="C1124" s="329">
        <f t="shared" si="205"/>
        <v>4.2</v>
      </c>
      <c r="D1124" s="168">
        <f t="shared" si="199"/>
        <v>279.40001503542101</v>
      </c>
      <c r="E1124" s="139">
        <f t="shared" si="206"/>
        <v>12.67</v>
      </c>
      <c r="F1124" s="139">
        <f t="shared" si="207"/>
        <v>0</v>
      </c>
      <c r="G1124" s="168">
        <f t="shared" si="208"/>
        <v>117.34800631487683</v>
      </c>
      <c r="H1124" s="150">
        <f t="shared" si="209"/>
        <v>0.8942512420156139</v>
      </c>
      <c r="I1124" s="168">
        <f t="shared" si="210"/>
        <v>14867.992400094894</v>
      </c>
      <c r="J1124" s="256"/>
      <c r="K1124" s="256"/>
      <c r="L1124" s="256"/>
      <c r="M1124" s="68"/>
      <c r="N1124" s="18">
        <v>41556</v>
      </c>
      <c r="O1124" s="256">
        <v>381</v>
      </c>
      <c r="P1124" s="256" t="s">
        <v>46</v>
      </c>
      <c r="Q1124" s="256"/>
      <c r="R1124" s="256">
        <v>4</v>
      </c>
      <c r="S1124" s="256">
        <v>800</v>
      </c>
      <c r="T1124" s="256">
        <v>72</v>
      </c>
      <c r="U1124" s="256">
        <v>400</v>
      </c>
      <c r="V1124" s="256">
        <v>6</v>
      </c>
      <c r="W1124" s="256">
        <v>26.5</v>
      </c>
      <c r="X1124" s="256">
        <v>2.5</v>
      </c>
      <c r="Y1124" s="256">
        <v>40</v>
      </c>
      <c r="Z1124" s="256"/>
      <c r="AA1124" s="207"/>
      <c r="AB1124" s="86">
        <v>0.19750000000000001</v>
      </c>
      <c r="AC1124" s="256">
        <v>0.58169999999999999</v>
      </c>
      <c r="AD1124" s="256">
        <v>0.2208</v>
      </c>
      <c r="AE1124" s="256" t="s">
        <v>47</v>
      </c>
      <c r="AF1124" s="256">
        <v>4.2</v>
      </c>
      <c r="AG1124" s="335"/>
      <c r="AH1124" s="213">
        <v>279.40001503542101</v>
      </c>
      <c r="AI1124" s="78"/>
      <c r="AJ1124" s="78">
        <v>12.67</v>
      </c>
      <c r="AK1124" s="78"/>
      <c r="AL1124" s="78">
        <f>(105.6+20.4)/140.9</f>
        <v>0.8942512420156139</v>
      </c>
      <c r="AM1124" s="256"/>
      <c r="AN1124" s="24">
        <f t="shared" si="202"/>
        <v>117.34800631487683</v>
      </c>
      <c r="AO1124" s="160">
        <f t="shared" si="195"/>
        <v>14867.992400094894</v>
      </c>
      <c r="AP1124" s="209">
        <f t="shared" si="211"/>
        <v>3.5</v>
      </c>
      <c r="AQ1124" s="68"/>
      <c r="AR1124" s="15"/>
      <c r="AS1124" s="256"/>
      <c r="AT1124" s="256"/>
    </row>
    <row r="1125" spans="1:46" ht="24">
      <c r="A1125" s="257" t="s">
        <v>1466</v>
      </c>
      <c r="B1125" s="257" t="str">
        <f t="shared" si="197"/>
        <v>SiNx</v>
      </c>
      <c r="C1125" s="329">
        <f t="shared" si="205"/>
        <v>0</v>
      </c>
      <c r="D1125" s="168">
        <f t="shared" si="199"/>
        <v>437.12007460841699</v>
      </c>
      <c r="E1125" s="139">
        <f t="shared" si="206"/>
        <v>11.1</v>
      </c>
      <c r="F1125" s="139">
        <f t="shared" si="207"/>
        <v>1.62</v>
      </c>
      <c r="G1125" s="168">
        <f t="shared" si="208"/>
        <v>0</v>
      </c>
      <c r="H1125" s="150">
        <f t="shared" si="209"/>
        <v>0.85696148963182395</v>
      </c>
      <c r="I1125" s="168">
        <f t="shared" si="210"/>
        <v>0</v>
      </c>
      <c r="J1125" s="366"/>
      <c r="K1125" s="366"/>
      <c r="L1125" s="366"/>
      <c r="M1125" s="373"/>
      <c r="N1125" s="191">
        <v>41556</v>
      </c>
      <c r="O1125" s="366">
        <v>381</v>
      </c>
      <c r="P1125" s="257" t="s">
        <v>187</v>
      </c>
      <c r="Q1125" s="257" t="s">
        <v>1367</v>
      </c>
      <c r="R1125" s="257">
        <v>6</v>
      </c>
      <c r="S1125" s="257">
        <v>800</v>
      </c>
      <c r="T1125" s="257">
        <v>72</v>
      </c>
      <c r="U1125" s="257">
        <v>400</v>
      </c>
      <c r="V1125" s="257">
        <v>6</v>
      </c>
      <c r="W1125" s="257">
        <v>26.5</v>
      </c>
      <c r="X1125" s="257">
        <v>2.5</v>
      </c>
      <c r="Y1125" s="257">
        <v>40</v>
      </c>
      <c r="Z1125" s="161"/>
      <c r="AA1125" s="76"/>
      <c r="AB1125" s="51"/>
      <c r="AC1125" s="366"/>
      <c r="AD1125" s="366"/>
      <c r="AE1125" s="366"/>
      <c r="AF1125" s="366"/>
      <c r="AG1125" s="349"/>
      <c r="AH1125" s="113">
        <v>437.12007460841699</v>
      </c>
      <c r="AI1125" s="53"/>
      <c r="AJ1125" s="53">
        <v>11.1</v>
      </c>
      <c r="AK1125" s="53">
        <v>1.62</v>
      </c>
      <c r="AL1125" s="53">
        <f>(184.2+18.3)/236.3</f>
        <v>0.85696148963182395</v>
      </c>
      <c r="AM1125" s="366"/>
      <c r="AN1125" s="24">
        <f t="shared" si="202"/>
        <v>0</v>
      </c>
      <c r="AO1125" s="198">
        <f t="shared" si="195"/>
        <v>0</v>
      </c>
      <c r="AP1125" s="399">
        <f t="shared" si="211"/>
        <v>0</v>
      </c>
      <c r="AQ1125" s="373"/>
      <c r="AR1125" s="44"/>
      <c r="AS1125" s="366"/>
      <c r="AT1125" s="366"/>
    </row>
    <row r="1126" spans="1:46" ht="12">
      <c r="A1126" s="354" t="s">
        <v>1467</v>
      </c>
      <c r="B1126" s="354">
        <f t="shared" si="197"/>
        <v>0</v>
      </c>
      <c r="C1126" s="386">
        <f t="shared" si="205"/>
        <v>0</v>
      </c>
      <c r="D1126" s="98">
        <f t="shared" si="199"/>
        <v>0</v>
      </c>
      <c r="E1126" s="235">
        <f t="shared" si="206"/>
        <v>0</v>
      </c>
      <c r="F1126" s="235">
        <f t="shared" si="207"/>
        <v>0</v>
      </c>
      <c r="G1126" s="98">
        <f t="shared" si="208"/>
        <v>0</v>
      </c>
      <c r="H1126" s="79">
        <f t="shared" si="209"/>
        <v>0</v>
      </c>
      <c r="I1126" s="98">
        <f t="shared" si="210"/>
        <v>0</v>
      </c>
      <c r="J1126" s="180"/>
      <c r="K1126" s="180" t="s">
        <v>1384</v>
      </c>
      <c r="L1126" s="180"/>
      <c r="M1126" s="214"/>
      <c r="N1126" s="125"/>
      <c r="O1126" s="180"/>
      <c r="P1126" s="180"/>
      <c r="Q1126" s="180"/>
      <c r="R1126" s="180"/>
      <c r="S1126" s="180"/>
      <c r="T1126" s="180"/>
      <c r="U1126" s="180"/>
      <c r="V1126" s="180"/>
      <c r="W1126" s="180"/>
      <c r="X1126" s="180"/>
      <c r="Y1126" s="180"/>
      <c r="Z1126" s="180"/>
      <c r="AA1126" s="334"/>
      <c r="AB1126" s="308"/>
      <c r="AC1126" s="180"/>
      <c r="AD1126" s="180"/>
      <c r="AE1126" s="180"/>
      <c r="AF1126" s="180"/>
      <c r="AG1126" s="391"/>
      <c r="AH1126" s="402"/>
      <c r="AI1126" s="147"/>
      <c r="AJ1126" s="147"/>
      <c r="AK1126" s="147"/>
      <c r="AL1126" s="147"/>
      <c r="AM1126" s="180"/>
      <c r="AN1126" s="24">
        <f t="shared" si="202"/>
        <v>0</v>
      </c>
      <c r="AO1126" s="118">
        <f t="shared" ref="AO1126:AO1164" si="212">(AF1126*AH1126)*AJ1126</f>
        <v>0</v>
      </c>
      <c r="AP1126" s="197" t="e">
        <f t="shared" si="211"/>
        <v>#DIV/0!</v>
      </c>
      <c r="AQ1126" s="214"/>
      <c r="AR1126" s="125"/>
      <c r="AS1126" s="180"/>
      <c r="AT1126" s="180"/>
    </row>
    <row r="1127" spans="1:46" ht="12">
      <c r="A1127" s="354" t="s">
        <v>1468</v>
      </c>
      <c r="B1127" s="354">
        <f t="shared" si="197"/>
        <v>0</v>
      </c>
      <c r="C1127" s="386">
        <f t="shared" si="205"/>
        <v>0</v>
      </c>
      <c r="D1127" s="98">
        <f t="shared" si="199"/>
        <v>0</v>
      </c>
      <c r="E1127" s="235">
        <f t="shared" si="206"/>
        <v>0</v>
      </c>
      <c r="F1127" s="235">
        <f t="shared" si="207"/>
        <v>0</v>
      </c>
      <c r="G1127" s="98">
        <f t="shared" si="208"/>
        <v>0</v>
      </c>
      <c r="H1127" s="79">
        <f t="shared" si="209"/>
        <v>0</v>
      </c>
      <c r="I1127" s="98">
        <f t="shared" si="210"/>
        <v>0</v>
      </c>
      <c r="J1127" s="180"/>
      <c r="K1127" s="180" t="s">
        <v>1384</v>
      </c>
      <c r="L1127" s="180"/>
      <c r="M1127" s="214"/>
      <c r="N1127" s="125"/>
      <c r="O1127" s="180"/>
      <c r="P1127" s="180"/>
      <c r="Q1127" s="180"/>
      <c r="R1127" s="180"/>
      <c r="S1127" s="180"/>
      <c r="T1127" s="180"/>
      <c r="U1127" s="180"/>
      <c r="V1127" s="180"/>
      <c r="W1127" s="180"/>
      <c r="X1127" s="180"/>
      <c r="Y1127" s="180"/>
      <c r="Z1127" s="180"/>
      <c r="AA1127" s="334"/>
      <c r="AB1127" s="308"/>
      <c r="AC1127" s="180"/>
      <c r="AD1127" s="180"/>
      <c r="AE1127" s="180"/>
      <c r="AF1127" s="180"/>
      <c r="AG1127" s="391"/>
      <c r="AH1127" s="402"/>
      <c r="AI1127" s="147"/>
      <c r="AJ1127" s="147"/>
      <c r="AK1127" s="147"/>
      <c r="AL1127" s="147"/>
      <c r="AM1127" s="180"/>
      <c r="AN1127" s="24">
        <f t="shared" si="202"/>
        <v>0</v>
      </c>
      <c r="AO1127" s="118">
        <f t="shared" si="212"/>
        <v>0</v>
      </c>
      <c r="AP1127" s="197" t="e">
        <f t="shared" si="211"/>
        <v>#DIV/0!</v>
      </c>
      <c r="AQ1127" s="214"/>
      <c r="AR1127" s="125"/>
      <c r="AS1127" s="180"/>
      <c r="AT1127" s="180"/>
    </row>
    <row r="1128" spans="1:46" ht="12">
      <c r="A1128" s="354" t="s">
        <v>1469</v>
      </c>
      <c r="B1128" s="354">
        <f t="shared" si="197"/>
        <v>0</v>
      </c>
      <c r="C1128" s="386">
        <f t="shared" si="205"/>
        <v>0</v>
      </c>
      <c r="D1128" s="98">
        <f t="shared" si="199"/>
        <v>0</v>
      </c>
      <c r="E1128" s="235">
        <f t="shared" si="206"/>
        <v>0</v>
      </c>
      <c r="F1128" s="235">
        <f t="shared" si="207"/>
        <v>0</v>
      </c>
      <c r="G1128" s="98">
        <f t="shared" si="208"/>
        <v>0</v>
      </c>
      <c r="H1128" s="79">
        <f t="shared" si="209"/>
        <v>0</v>
      </c>
      <c r="I1128" s="98">
        <f t="shared" si="210"/>
        <v>0</v>
      </c>
      <c r="J1128" s="180"/>
      <c r="K1128" s="180" t="s">
        <v>1384</v>
      </c>
      <c r="L1128" s="180"/>
      <c r="M1128" s="214"/>
      <c r="N1128" s="125"/>
      <c r="O1128" s="180"/>
      <c r="P1128" s="180"/>
      <c r="Q1128" s="180"/>
      <c r="R1128" s="180"/>
      <c r="S1128" s="180"/>
      <c r="T1128" s="180"/>
      <c r="U1128" s="180"/>
      <c r="V1128" s="180"/>
      <c r="W1128" s="180"/>
      <c r="X1128" s="180"/>
      <c r="Y1128" s="180"/>
      <c r="Z1128" s="180"/>
      <c r="AA1128" s="334"/>
      <c r="AB1128" s="308"/>
      <c r="AC1128" s="180"/>
      <c r="AD1128" s="180"/>
      <c r="AE1128" s="180"/>
      <c r="AF1128" s="180"/>
      <c r="AG1128" s="391"/>
      <c r="AH1128" s="402"/>
      <c r="AI1128" s="147"/>
      <c r="AJ1128" s="147"/>
      <c r="AK1128" s="147"/>
      <c r="AL1128" s="147"/>
      <c r="AM1128" s="180"/>
      <c r="AN1128" s="24">
        <f t="shared" si="202"/>
        <v>0</v>
      </c>
      <c r="AO1128" s="118">
        <f t="shared" si="212"/>
        <v>0</v>
      </c>
      <c r="AP1128" s="197" t="e">
        <f t="shared" si="211"/>
        <v>#DIV/0!</v>
      </c>
      <c r="AQ1128" s="214"/>
      <c r="AR1128" s="125"/>
      <c r="AS1128" s="180"/>
      <c r="AT1128" s="180"/>
    </row>
    <row r="1129" spans="1:46" ht="12">
      <c r="A1129" s="354" t="s">
        <v>1470</v>
      </c>
      <c r="B1129" s="354">
        <f t="shared" si="197"/>
        <v>0</v>
      </c>
      <c r="C1129" s="386">
        <f t="shared" si="205"/>
        <v>0</v>
      </c>
      <c r="D1129" s="98">
        <f t="shared" si="199"/>
        <v>0</v>
      </c>
      <c r="E1129" s="235">
        <f t="shared" si="206"/>
        <v>0</v>
      </c>
      <c r="F1129" s="235">
        <f t="shared" si="207"/>
        <v>0</v>
      </c>
      <c r="G1129" s="98">
        <f t="shared" si="208"/>
        <v>0</v>
      </c>
      <c r="H1129" s="79">
        <f t="shared" si="209"/>
        <v>0</v>
      </c>
      <c r="I1129" s="98">
        <f t="shared" si="210"/>
        <v>0</v>
      </c>
      <c r="J1129" s="180"/>
      <c r="K1129" s="180" t="s">
        <v>1384</v>
      </c>
      <c r="L1129" s="180"/>
      <c r="M1129" s="214"/>
      <c r="N1129" s="125"/>
      <c r="O1129" s="180"/>
      <c r="P1129" s="180"/>
      <c r="Q1129" s="180"/>
      <c r="R1129" s="180"/>
      <c r="S1129" s="180"/>
      <c r="T1129" s="180"/>
      <c r="U1129" s="180"/>
      <c r="V1129" s="180"/>
      <c r="W1129" s="180"/>
      <c r="X1129" s="180"/>
      <c r="Y1129" s="180"/>
      <c r="Z1129" s="180"/>
      <c r="AA1129" s="334"/>
      <c r="AB1129" s="308"/>
      <c r="AC1129" s="180"/>
      <c r="AD1129" s="180"/>
      <c r="AE1129" s="180"/>
      <c r="AF1129" s="180"/>
      <c r="AG1129" s="391"/>
      <c r="AH1129" s="402"/>
      <c r="AI1129" s="147"/>
      <c r="AJ1129" s="147"/>
      <c r="AK1129" s="147"/>
      <c r="AL1129" s="147"/>
      <c r="AM1129" s="180"/>
      <c r="AN1129" s="24">
        <f t="shared" si="202"/>
        <v>0</v>
      </c>
      <c r="AO1129" s="118">
        <f t="shared" si="212"/>
        <v>0</v>
      </c>
      <c r="AP1129" s="197" t="e">
        <f t="shared" si="211"/>
        <v>#DIV/0!</v>
      </c>
      <c r="AQ1129" s="214"/>
      <c r="AR1129" s="125"/>
      <c r="AS1129" s="180"/>
      <c r="AT1129" s="180"/>
    </row>
    <row r="1130" spans="1:46" ht="12">
      <c r="A1130" s="354" t="s">
        <v>1471</v>
      </c>
      <c r="B1130" s="354">
        <f t="shared" si="197"/>
        <v>0</v>
      </c>
      <c r="C1130" s="386">
        <f t="shared" si="205"/>
        <v>0</v>
      </c>
      <c r="D1130" s="98">
        <f t="shared" si="199"/>
        <v>0</v>
      </c>
      <c r="E1130" s="235">
        <f t="shared" si="206"/>
        <v>0</v>
      </c>
      <c r="F1130" s="235">
        <f t="shared" si="207"/>
        <v>0</v>
      </c>
      <c r="G1130" s="98">
        <f t="shared" si="208"/>
        <v>0</v>
      </c>
      <c r="H1130" s="79">
        <f t="shared" si="209"/>
        <v>0</v>
      </c>
      <c r="I1130" s="98">
        <f t="shared" si="210"/>
        <v>0</v>
      </c>
      <c r="J1130" s="180"/>
      <c r="K1130" s="180" t="s">
        <v>1384</v>
      </c>
      <c r="L1130" s="180"/>
      <c r="M1130" s="214"/>
      <c r="N1130" s="125"/>
      <c r="O1130" s="180"/>
      <c r="P1130" s="180"/>
      <c r="Q1130" s="180"/>
      <c r="R1130" s="180"/>
      <c r="S1130" s="180"/>
      <c r="T1130" s="180"/>
      <c r="U1130" s="180"/>
      <c r="V1130" s="180"/>
      <c r="W1130" s="180"/>
      <c r="X1130" s="180"/>
      <c r="Y1130" s="180"/>
      <c r="Z1130" s="180"/>
      <c r="AA1130" s="334"/>
      <c r="AB1130" s="308"/>
      <c r="AC1130" s="180"/>
      <c r="AD1130" s="180"/>
      <c r="AE1130" s="180"/>
      <c r="AF1130" s="180"/>
      <c r="AG1130" s="391"/>
      <c r="AH1130" s="402"/>
      <c r="AI1130" s="147"/>
      <c r="AJ1130" s="147"/>
      <c r="AK1130" s="147"/>
      <c r="AL1130" s="147"/>
      <c r="AM1130" s="180"/>
      <c r="AN1130" s="24">
        <f t="shared" si="202"/>
        <v>0</v>
      </c>
      <c r="AO1130" s="118">
        <f t="shared" si="212"/>
        <v>0</v>
      </c>
      <c r="AP1130" s="197" t="e">
        <f t="shared" si="211"/>
        <v>#DIV/0!</v>
      </c>
      <c r="AQ1130" s="214"/>
      <c r="AR1130" s="125"/>
      <c r="AS1130" s="180"/>
      <c r="AT1130" s="180"/>
    </row>
    <row r="1131" spans="1:46" ht="12">
      <c r="A1131" s="354" t="s">
        <v>1472</v>
      </c>
      <c r="B1131" s="354">
        <f t="shared" si="197"/>
        <v>0</v>
      </c>
      <c r="C1131" s="386">
        <f t="shared" si="205"/>
        <v>0</v>
      </c>
      <c r="D1131" s="98">
        <f t="shared" si="199"/>
        <v>0</v>
      </c>
      <c r="E1131" s="235">
        <f t="shared" si="206"/>
        <v>0</v>
      </c>
      <c r="F1131" s="235">
        <f t="shared" si="207"/>
        <v>0</v>
      </c>
      <c r="G1131" s="98">
        <f t="shared" si="208"/>
        <v>0</v>
      </c>
      <c r="H1131" s="79">
        <f t="shared" si="209"/>
        <v>0</v>
      </c>
      <c r="I1131" s="98">
        <f t="shared" si="210"/>
        <v>0</v>
      </c>
      <c r="J1131" s="180"/>
      <c r="K1131" s="180" t="s">
        <v>1384</v>
      </c>
      <c r="L1131" s="180"/>
      <c r="M1131" s="214"/>
      <c r="N1131" s="125"/>
      <c r="O1131" s="180"/>
      <c r="P1131" s="180"/>
      <c r="Q1131" s="180"/>
      <c r="R1131" s="180"/>
      <c r="S1131" s="180"/>
      <c r="T1131" s="180"/>
      <c r="U1131" s="180"/>
      <c r="V1131" s="180"/>
      <c r="W1131" s="180"/>
      <c r="X1131" s="180"/>
      <c r="Y1131" s="180"/>
      <c r="Z1131" s="180"/>
      <c r="AA1131" s="334"/>
      <c r="AB1131" s="308"/>
      <c r="AC1131" s="180"/>
      <c r="AD1131" s="180"/>
      <c r="AE1131" s="180"/>
      <c r="AF1131" s="354"/>
      <c r="AG1131" s="377"/>
      <c r="AH1131" s="402"/>
      <c r="AI1131" s="147"/>
      <c r="AJ1131" s="147"/>
      <c r="AK1131" s="147"/>
      <c r="AL1131" s="147"/>
      <c r="AM1131" s="180"/>
      <c r="AN1131" s="24">
        <f t="shared" si="202"/>
        <v>0</v>
      </c>
      <c r="AO1131" s="118">
        <f t="shared" si="212"/>
        <v>0</v>
      </c>
      <c r="AP1131" s="197" t="e">
        <f t="shared" si="211"/>
        <v>#DIV/0!</v>
      </c>
      <c r="AQ1131" s="214"/>
      <c r="AR1131" s="125"/>
      <c r="AS1131" s="180"/>
      <c r="AT1131" s="180"/>
    </row>
    <row r="1132" spans="1:46" ht="12">
      <c r="A1132" s="354" t="s">
        <v>1473</v>
      </c>
      <c r="B1132" s="354">
        <f t="shared" si="197"/>
        <v>0</v>
      </c>
      <c r="C1132" s="386">
        <f t="shared" si="205"/>
        <v>0</v>
      </c>
      <c r="D1132" s="98">
        <f t="shared" si="199"/>
        <v>0</v>
      </c>
      <c r="E1132" s="235">
        <f t="shared" si="206"/>
        <v>0</v>
      </c>
      <c r="F1132" s="235">
        <f t="shared" si="207"/>
        <v>0</v>
      </c>
      <c r="G1132" s="98">
        <f t="shared" si="208"/>
        <v>0</v>
      </c>
      <c r="H1132" s="79">
        <f t="shared" si="209"/>
        <v>0</v>
      </c>
      <c r="I1132" s="98">
        <f t="shared" si="210"/>
        <v>0</v>
      </c>
      <c r="J1132" s="180"/>
      <c r="K1132" s="180" t="s">
        <v>1384</v>
      </c>
      <c r="L1132" s="180"/>
      <c r="M1132" s="214"/>
      <c r="N1132" s="125"/>
      <c r="O1132" s="180"/>
      <c r="P1132" s="180"/>
      <c r="Q1132" s="180"/>
      <c r="R1132" s="180"/>
      <c r="S1132" s="180"/>
      <c r="T1132" s="180"/>
      <c r="U1132" s="180"/>
      <c r="V1132" s="180"/>
      <c r="W1132" s="180"/>
      <c r="X1132" s="180"/>
      <c r="Y1132" s="180"/>
      <c r="Z1132" s="180"/>
      <c r="AA1132" s="334"/>
      <c r="AB1132" s="308"/>
      <c r="AC1132" s="180"/>
      <c r="AD1132" s="180"/>
      <c r="AE1132" s="180"/>
      <c r="AF1132" s="354"/>
      <c r="AG1132" s="377"/>
      <c r="AH1132" s="402"/>
      <c r="AI1132" s="147"/>
      <c r="AJ1132" s="147"/>
      <c r="AK1132" s="147"/>
      <c r="AL1132" s="147"/>
      <c r="AM1132" s="180"/>
      <c r="AN1132" s="24">
        <f t="shared" si="202"/>
        <v>0</v>
      </c>
      <c r="AO1132" s="118">
        <f t="shared" si="212"/>
        <v>0</v>
      </c>
      <c r="AP1132" s="197" t="e">
        <f t="shared" si="211"/>
        <v>#DIV/0!</v>
      </c>
      <c r="AQ1132" s="214"/>
      <c r="AR1132" s="125"/>
      <c r="AS1132" s="180"/>
      <c r="AT1132" s="180"/>
    </row>
    <row r="1133" spans="1:46" ht="12">
      <c r="A1133" s="354" t="s">
        <v>1474</v>
      </c>
      <c r="B1133" s="354">
        <f t="shared" si="197"/>
        <v>0</v>
      </c>
      <c r="C1133" s="386">
        <f t="shared" si="205"/>
        <v>0</v>
      </c>
      <c r="D1133" s="98">
        <f t="shared" si="199"/>
        <v>0</v>
      </c>
      <c r="E1133" s="235">
        <f t="shared" si="206"/>
        <v>0</v>
      </c>
      <c r="F1133" s="235">
        <f t="shared" si="207"/>
        <v>0</v>
      </c>
      <c r="G1133" s="98">
        <f t="shared" si="208"/>
        <v>0</v>
      </c>
      <c r="H1133" s="79">
        <f t="shared" si="209"/>
        <v>0</v>
      </c>
      <c r="I1133" s="98">
        <f t="shared" si="210"/>
        <v>0</v>
      </c>
      <c r="J1133" s="180"/>
      <c r="K1133" s="180" t="s">
        <v>1384</v>
      </c>
      <c r="L1133" s="180"/>
      <c r="M1133" s="214"/>
      <c r="N1133" s="125"/>
      <c r="O1133" s="180"/>
      <c r="P1133" s="180"/>
      <c r="Q1133" s="180"/>
      <c r="R1133" s="180"/>
      <c r="S1133" s="180"/>
      <c r="T1133" s="180"/>
      <c r="U1133" s="180"/>
      <c r="V1133" s="180"/>
      <c r="W1133" s="180"/>
      <c r="X1133" s="180"/>
      <c r="Y1133" s="180"/>
      <c r="Z1133" s="180"/>
      <c r="AA1133" s="334"/>
      <c r="AB1133" s="308"/>
      <c r="AC1133" s="180"/>
      <c r="AD1133" s="180"/>
      <c r="AE1133" s="180"/>
      <c r="AF1133" s="354"/>
      <c r="AG1133" s="377"/>
      <c r="AH1133" s="402"/>
      <c r="AI1133" s="147"/>
      <c r="AJ1133" s="147"/>
      <c r="AK1133" s="147"/>
      <c r="AL1133" s="147"/>
      <c r="AM1133" s="180"/>
      <c r="AN1133" s="24">
        <f t="shared" si="202"/>
        <v>0</v>
      </c>
      <c r="AO1133" s="118">
        <f t="shared" si="212"/>
        <v>0</v>
      </c>
      <c r="AP1133" s="197" t="e">
        <f t="shared" si="211"/>
        <v>#DIV/0!</v>
      </c>
      <c r="AQ1133" s="214"/>
      <c r="AR1133" s="125"/>
      <c r="AS1133" s="180"/>
      <c r="AT1133" s="180"/>
    </row>
    <row r="1134" spans="1:46" ht="12">
      <c r="A1134" s="256" t="s">
        <v>1475</v>
      </c>
      <c r="B1134" s="256" t="str">
        <f t="shared" si="197"/>
        <v>MgO</v>
      </c>
      <c r="C1134" s="32">
        <f t="shared" si="205"/>
        <v>3.63</v>
      </c>
      <c r="D1134" s="279">
        <f t="shared" si="199"/>
        <v>451.75021588102601</v>
      </c>
      <c r="E1134" s="78">
        <f t="shared" si="206"/>
        <v>10.4</v>
      </c>
      <c r="F1134" s="78">
        <f t="shared" si="207"/>
        <v>1.677</v>
      </c>
      <c r="G1134" s="279">
        <f t="shared" si="208"/>
        <v>163.98532836481243</v>
      </c>
      <c r="H1134" s="190">
        <f t="shared" si="209"/>
        <v>0.72776769509981853</v>
      </c>
      <c r="I1134" s="279">
        <f t="shared" si="210"/>
        <v>17054.474149940492</v>
      </c>
      <c r="J1134" s="67"/>
      <c r="K1134" s="67"/>
      <c r="L1134" s="67"/>
      <c r="M1134" s="371"/>
      <c r="N1134" s="309">
        <v>41599</v>
      </c>
      <c r="O1134" s="67">
        <v>385</v>
      </c>
      <c r="P1134" s="67" t="s">
        <v>46</v>
      </c>
      <c r="Q1134" s="67"/>
      <c r="R1134" s="67">
        <v>1</v>
      </c>
      <c r="S1134" s="256">
        <v>800</v>
      </c>
      <c r="T1134" s="256">
        <v>69</v>
      </c>
      <c r="U1134" s="256">
        <v>400</v>
      </c>
      <c r="V1134" s="256">
        <v>8</v>
      </c>
      <c r="W1134" s="256">
        <v>26.5</v>
      </c>
      <c r="X1134" s="256">
        <v>2.5</v>
      </c>
      <c r="Y1134" s="256">
        <v>40</v>
      </c>
      <c r="Z1134" s="306"/>
      <c r="AA1134" s="317"/>
      <c r="AB1134" s="182">
        <v>0.17369999999999999</v>
      </c>
      <c r="AC1134" s="67">
        <v>0.61199999999999999</v>
      </c>
      <c r="AD1134" s="67">
        <v>0.21429999999999999</v>
      </c>
      <c r="AE1134" s="256" t="s">
        <v>47</v>
      </c>
      <c r="AF1134" s="256">
        <v>3.63</v>
      </c>
      <c r="AG1134" s="145"/>
      <c r="AH1134" s="66">
        <v>451.75021588102601</v>
      </c>
      <c r="AI1134" s="216"/>
      <c r="AJ1134" s="216">
        <v>10.4</v>
      </c>
      <c r="AK1134" s="216">
        <v>1.677</v>
      </c>
      <c r="AL1134" s="216">
        <f>(21.4+179.1)/275.5</f>
        <v>0.72776769509981853</v>
      </c>
      <c r="AM1134" s="67"/>
      <c r="AN1134" s="24">
        <f t="shared" si="202"/>
        <v>163.98532836481243</v>
      </c>
      <c r="AO1134" s="389">
        <f t="shared" si="212"/>
        <v>17054.474149940492</v>
      </c>
      <c r="AP1134" s="187">
        <f t="shared" si="211"/>
        <v>3.1565217391304348</v>
      </c>
      <c r="AQ1134" s="371"/>
      <c r="AR1134" s="41"/>
      <c r="AS1134" s="67"/>
      <c r="AT1134" s="67"/>
    </row>
    <row r="1135" spans="1:46" ht="12">
      <c r="A1135" s="257" t="s">
        <v>1476</v>
      </c>
      <c r="B1135" s="257" t="str">
        <f t="shared" si="197"/>
        <v>SiNx</v>
      </c>
      <c r="C1135" s="280">
        <f t="shared" si="205"/>
        <v>0</v>
      </c>
      <c r="D1135" s="183">
        <f t="shared" si="199"/>
        <v>541.85047615745395</v>
      </c>
      <c r="E1135" s="96">
        <f t="shared" si="206"/>
        <v>11.39</v>
      </c>
      <c r="F1135" s="96">
        <f t="shared" si="207"/>
        <v>1.85</v>
      </c>
      <c r="G1135" s="183">
        <f t="shared" si="208"/>
        <v>0</v>
      </c>
      <c r="H1135" s="215">
        <f t="shared" si="209"/>
        <v>0.82763433356594551</v>
      </c>
      <c r="I1135" s="183">
        <f t="shared" si="210"/>
        <v>0</v>
      </c>
      <c r="J1135" s="366"/>
      <c r="K1135" s="366" t="s">
        <v>1477</v>
      </c>
      <c r="L1135" s="366"/>
      <c r="M1135" s="373"/>
      <c r="N1135" s="191">
        <v>41599</v>
      </c>
      <c r="O1135" s="366">
        <v>385</v>
      </c>
      <c r="P1135" s="366" t="s">
        <v>187</v>
      </c>
      <c r="Q1135" s="257" t="s">
        <v>1478</v>
      </c>
      <c r="R1135" s="366">
        <v>3</v>
      </c>
      <c r="S1135" s="257">
        <v>800</v>
      </c>
      <c r="T1135" s="257">
        <v>69</v>
      </c>
      <c r="U1135" s="257">
        <v>400</v>
      </c>
      <c r="V1135" s="257">
        <v>8</v>
      </c>
      <c r="W1135" s="257">
        <v>26.5</v>
      </c>
      <c r="X1135" s="257">
        <v>2.5</v>
      </c>
      <c r="Y1135" s="257">
        <v>40</v>
      </c>
      <c r="Z1135" s="161"/>
      <c r="AA1135" s="76"/>
      <c r="AB1135" s="51"/>
      <c r="AC1135" s="366"/>
      <c r="AD1135" s="366"/>
      <c r="AE1135" s="366"/>
      <c r="AF1135" s="257"/>
      <c r="AG1135" s="273"/>
      <c r="AH1135" s="113">
        <v>541.85047615745395</v>
      </c>
      <c r="AI1135" s="53"/>
      <c r="AJ1135" s="53">
        <v>11.39</v>
      </c>
      <c r="AK1135" s="53">
        <v>1.85</v>
      </c>
      <c r="AL1135" s="53">
        <f>(216.9+20.3)/286.6</f>
        <v>0.82763433356594551</v>
      </c>
      <c r="AM1135" s="366"/>
      <c r="AN1135" s="24">
        <f t="shared" si="202"/>
        <v>0</v>
      </c>
      <c r="AO1135" s="198">
        <f t="shared" si="212"/>
        <v>0</v>
      </c>
      <c r="AP1135" s="399">
        <f t="shared" si="211"/>
        <v>0</v>
      </c>
      <c r="AQ1135" s="373"/>
      <c r="AR1135" s="44"/>
      <c r="AS1135" s="366"/>
      <c r="AT1135" s="366"/>
    </row>
    <row r="1136" spans="1:46" ht="12">
      <c r="A1136" s="257" t="s">
        <v>1479</v>
      </c>
      <c r="B1136" s="257" t="str">
        <f t="shared" si="197"/>
        <v>SiNx</v>
      </c>
      <c r="C1136" s="280">
        <f t="shared" si="205"/>
        <v>0</v>
      </c>
      <c r="D1136" s="183">
        <f t="shared" si="199"/>
        <v>546.84613415297895</v>
      </c>
      <c r="E1136" s="96">
        <f t="shared" si="206"/>
        <v>11.33</v>
      </c>
      <c r="F1136" s="96">
        <f t="shared" si="207"/>
        <v>1.87</v>
      </c>
      <c r="G1136" s="183">
        <f t="shared" si="208"/>
        <v>0</v>
      </c>
      <c r="H1136" s="215">
        <f t="shared" si="209"/>
        <v>0.81929347826086973</v>
      </c>
      <c r="I1136" s="183">
        <f t="shared" si="210"/>
        <v>0</v>
      </c>
      <c r="J1136" s="366"/>
      <c r="K1136" s="366" t="s">
        <v>1477</v>
      </c>
      <c r="L1136" s="366"/>
      <c r="M1136" s="373"/>
      <c r="N1136" s="191">
        <v>41599</v>
      </c>
      <c r="O1136" s="366">
        <v>385</v>
      </c>
      <c r="P1136" s="366" t="s">
        <v>187</v>
      </c>
      <c r="Q1136" s="257" t="s">
        <v>1478</v>
      </c>
      <c r="R1136" s="366">
        <v>6</v>
      </c>
      <c r="S1136" s="257">
        <v>800</v>
      </c>
      <c r="T1136" s="257">
        <v>69</v>
      </c>
      <c r="U1136" s="257">
        <v>400</v>
      </c>
      <c r="V1136" s="257">
        <v>8</v>
      </c>
      <c r="W1136" s="257">
        <v>26.5</v>
      </c>
      <c r="X1136" s="257">
        <v>2.5</v>
      </c>
      <c r="Y1136" s="257">
        <v>40</v>
      </c>
      <c r="Z1136" s="161"/>
      <c r="AA1136" s="76"/>
      <c r="AB1136" s="51"/>
      <c r="AC1136" s="366"/>
      <c r="AD1136" s="366"/>
      <c r="AE1136" s="366"/>
      <c r="AF1136" s="257"/>
      <c r="AG1136" s="273"/>
      <c r="AH1136" s="113">
        <v>546.84613415297895</v>
      </c>
      <c r="AI1136" s="53"/>
      <c r="AJ1136" s="53">
        <v>11.33</v>
      </c>
      <c r="AK1136" s="53">
        <v>1.87</v>
      </c>
      <c r="AL1136" s="53">
        <f>(220.8+20.4)/294.4</f>
        <v>0.81929347826086973</v>
      </c>
      <c r="AM1136" s="366"/>
      <c r="AN1136" s="24">
        <f t="shared" si="202"/>
        <v>0</v>
      </c>
      <c r="AO1136" s="198">
        <f t="shared" si="212"/>
        <v>0</v>
      </c>
      <c r="AP1136" s="399">
        <f t="shared" si="211"/>
        <v>0</v>
      </c>
      <c r="AQ1136" s="373"/>
      <c r="AR1136" s="44"/>
      <c r="AS1136" s="366"/>
      <c r="AT1136" s="366"/>
    </row>
    <row r="1137" spans="1:46" ht="12">
      <c r="A1137" s="256" t="s">
        <v>1480</v>
      </c>
      <c r="B1137" s="256" t="str">
        <f t="shared" si="197"/>
        <v>MgO</v>
      </c>
      <c r="C1137" s="32">
        <f t="shared" si="205"/>
        <v>3.71</v>
      </c>
      <c r="D1137" s="279">
        <f t="shared" si="199"/>
        <v>395.90589614533798</v>
      </c>
      <c r="E1137" s="78">
        <f t="shared" si="206"/>
        <v>11.16</v>
      </c>
      <c r="F1137" s="78">
        <f t="shared" si="207"/>
        <v>1.49</v>
      </c>
      <c r="G1137" s="279">
        <f t="shared" si="208"/>
        <v>146.88108746992037</v>
      </c>
      <c r="H1137" s="190">
        <f t="shared" si="209"/>
        <v>0.75043327556325812</v>
      </c>
      <c r="I1137" s="279">
        <f t="shared" si="210"/>
        <v>16391.929361643117</v>
      </c>
      <c r="J1137" s="67"/>
      <c r="K1137" s="67" t="s">
        <v>1481</v>
      </c>
      <c r="L1137" s="67"/>
      <c r="M1137" s="371"/>
      <c r="N1137" s="309">
        <v>41600</v>
      </c>
      <c r="O1137" s="67">
        <v>386</v>
      </c>
      <c r="P1137" s="67" t="s">
        <v>46</v>
      </c>
      <c r="Q1137" s="67"/>
      <c r="R1137" s="67">
        <v>1</v>
      </c>
      <c r="S1137" s="256">
        <v>800</v>
      </c>
      <c r="T1137" s="256">
        <v>69</v>
      </c>
      <c r="U1137" s="256">
        <v>400</v>
      </c>
      <c r="V1137" s="256">
        <v>8</v>
      </c>
      <c r="W1137" s="256">
        <v>26.5</v>
      </c>
      <c r="X1137" s="256">
        <v>2.5</v>
      </c>
      <c r="Y1137" s="256">
        <v>40</v>
      </c>
      <c r="Z1137" s="306"/>
      <c r="AA1137" s="317"/>
      <c r="AB1137" s="182">
        <v>0.1794</v>
      </c>
      <c r="AC1137" s="67">
        <v>0.60719999999999996</v>
      </c>
      <c r="AD1137" s="67">
        <v>0.2135</v>
      </c>
      <c r="AE1137" s="256" t="s">
        <v>47</v>
      </c>
      <c r="AF1137" s="256">
        <v>3.71</v>
      </c>
      <c r="AG1137" s="145"/>
      <c r="AH1137" s="66">
        <v>395.90589614533798</v>
      </c>
      <c r="AI1137" s="216"/>
      <c r="AJ1137" s="216">
        <v>11.16</v>
      </c>
      <c r="AK1137" s="216">
        <v>1.49</v>
      </c>
      <c r="AL1137" s="216">
        <f>(152+21.2)/230.8</f>
        <v>0.75043327556325812</v>
      </c>
      <c r="AM1137" s="67"/>
      <c r="AN1137" s="24">
        <f t="shared" si="202"/>
        <v>146.88108746992037</v>
      </c>
      <c r="AO1137" s="389">
        <f t="shared" si="212"/>
        <v>16391.929361643117</v>
      </c>
      <c r="AP1137" s="187">
        <f t="shared" si="211"/>
        <v>3.2260869565217392</v>
      </c>
      <c r="AQ1137" s="371"/>
      <c r="AR1137" s="41"/>
      <c r="AS1137" s="67"/>
      <c r="AT1137" s="67"/>
    </row>
    <row r="1138" spans="1:46" ht="12">
      <c r="A1138" s="257" t="s">
        <v>1482</v>
      </c>
      <c r="B1138" s="257" t="str">
        <f t="shared" si="197"/>
        <v>SiNx</v>
      </c>
      <c r="C1138" s="280">
        <f t="shared" si="205"/>
        <v>0</v>
      </c>
      <c r="D1138" s="183">
        <f t="shared" si="199"/>
        <v>501.885212193256</v>
      </c>
      <c r="E1138" s="96">
        <f t="shared" si="206"/>
        <v>11.38</v>
      </c>
      <c r="F1138" s="96">
        <f t="shared" si="207"/>
        <v>1.78</v>
      </c>
      <c r="G1138" s="183">
        <f t="shared" si="208"/>
        <v>0</v>
      </c>
      <c r="H1138" s="215">
        <f t="shared" si="209"/>
        <v>0.83828506957502835</v>
      </c>
      <c r="I1138" s="183">
        <f t="shared" si="210"/>
        <v>0</v>
      </c>
      <c r="J1138" s="366"/>
      <c r="K1138" s="366" t="s">
        <v>1477</v>
      </c>
      <c r="L1138" s="366"/>
      <c r="M1138" s="373"/>
      <c r="N1138" s="191">
        <v>41600</v>
      </c>
      <c r="O1138" s="366">
        <v>386</v>
      </c>
      <c r="P1138" s="366" t="s">
        <v>187</v>
      </c>
      <c r="Q1138" s="257" t="s">
        <v>1478</v>
      </c>
      <c r="R1138" s="366">
        <v>3</v>
      </c>
      <c r="S1138" s="257">
        <v>800</v>
      </c>
      <c r="T1138" s="257">
        <v>69</v>
      </c>
      <c r="U1138" s="257">
        <v>400</v>
      </c>
      <c r="V1138" s="257">
        <v>8</v>
      </c>
      <c r="W1138" s="257">
        <v>26.5</v>
      </c>
      <c r="X1138" s="257">
        <v>2.5</v>
      </c>
      <c r="Y1138" s="257">
        <v>40</v>
      </c>
      <c r="Z1138" s="161"/>
      <c r="AA1138" s="76"/>
      <c r="AB1138" s="51"/>
      <c r="AC1138" s="366"/>
      <c r="AD1138" s="366"/>
      <c r="AE1138" s="366"/>
      <c r="AF1138" s="257"/>
      <c r="AG1138" s="273"/>
      <c r="AH1138" s="113">
        <v>501.885212193256</v>
      </c>
      <c r="AI1138" s="53"/>
      <c r="AJ1138" s="53">
        <v>11.38</v>
      </c>
      <c r="AK1138" s="53">
        <v>1.78</v>
      </c>
      <c r="AL1138" s="53">
        <f>(202.4+20.5)/265.9</f>
        <v>0.83828506957502835</v>
      </c>
      <c r="AM1138" s="366"/>
      <c r="AN1138" s="24">
        <f t="shared" si="202"/>
        <v>0</v>
      </c>
      <c r="AO1138" s="198">
        <f t="shared" si="212"/>
        <v>0</v>
      </c>
      <c r="AP1138" s="399">
        <f t="shared" si="211"/>
        <v>0</v>
      </c>
      <c r="AQ1138" s="373"/>
      <c r="AR1138" s="44"/>
      <c r="AS1138" s="366"/>
      <c r="AT1138" s="366"/>
    </row>
    <row r="1139" spans="1:46" ht="12">
      <c r="A1139" s="257" t="s">
        <v>1483</v>
      </c>
      <c r="B1139" s="257" t="str">
        <f t="shared" si="197"/>
        <v>SiNx</v>
      </c>
      <c r="C1139" s="280">
        <f t="shared" si="205"/>
        <v>0</v>
      </c>
      <c r="D1139" s="183">
        <f t="shared" si="199"/>
        <v>487.433487277631</v>
      </c>
      <c r="E1139" s="96">
        <f t="shared" si="206"/>
        <v>11.45</v>
      </c>
      <c r="F1139" s="96">
        <f t="shared" si="207"/>
        <v>1.74</v>
      </c>
      <c r="G1139" s="183">
        <f t="shared" si="208"/>
        <v>0</v>
      </c>
      <c r="H1139" s="215">
        <f t="shared" si="209"/>
        <v>0.84063590538968602</v>
      </c>
      <c r="I1139" s="183">
        <f t="shared" si="210"/>
        <v>0</v>
      </c>
      <c r="J1139" s="366"/>
      <c r="K1139" s="366" t="s">
        <v>1477</v>
      </c>
      <c r="L1139" s="366"/>
      <c r="M1139" s="373"/>
      <c r="N1139" s="191">
        <v>41600</v>
      </c>
      <c r="O1139" s="366">
        <v>386</v>
      </c>
      <c r="P1139" s="366" t="s">
        <v>187</v>
      </c>
      <c r="Q1139" s="257" t="s">
        <v>1478</v>
      </c>
      <c r="R1139" s="366">
        <v>6</v>
      </c>
      <c r="S1139" s="257">
        <v>800</v>
      </c>
      <c r="T1139" s="257">
        <v>69</v>
      </c>
      <c r="U1139" s="257">
        <v>400</v>
      </c>
      <c r="V1139" s="257">
        <v>8</v>
      </c>
      <c r="W1139" s="257">
        <v>26.5</v>
      </c>
      <c r="X1139" s="257">
        <v>2.5</v>
      </c>
      <c r="Y1139" s="257">
        <v>40</v>
      </c>
      <c r="Z1139" s="161"/>
      <c r="AA1139" s="76"/>
      <c r="AB1139" s="51"/>
      <c r="AC1139" s="366"/>
      <c r="AD1139" s="366"/>
      <c r="AE1139" s="366"/>
      <c r="AF1139" s="257"/>
      <c r="AG1139" s="273"/>
      <c r="AH1139" s="113">
        <v>487.433487277631</v>
      </c>
      <c r="AI1139" s="53"/>
      <c r="AJ1139" s="53">
        <v>11.45</v>
      </c>
      <c r="AK1139" s="53">
        <v>1.74</v>
      </c>
      <c r="AL1139" s="53">
        <f>(196.3+20.5)/257.9</f>
        <v>0.84063590538968602</v>
      </c>
      <c r="AM1139" s="366"/>
      <c r="AN1139" s="24">
        <f t="shared" si="202"/>
        <v>0</v>
      </c>
      <c r="AO1139" s="198">
        <f t="shared" si="212"/>
        <v>0</v>
      </c>
      <c r="AP1139" s="399">
        <f t="shared" si="211"/>
        <v>0</v>
      </c>
      <c r="AQ1139" s="373"/>
      <c r="AR1139" s="44"/>
      <c r="AS1139" s="366"/>
      <c r="AT1139" s="366"/>
    </row>
    <row r="1140" spans="1:46" ht="12">
      <c r="A1140" s="256" t="s">
        <v>1484</v>
      </c>
      <c r="B1140" s="256" t="str">
        <f t="shared" si="197"/>
        <v>MgO</v>
      </c>
      <c r="C1140" s="32">
        <f t="shared" si="205"/>
        <v>3.64</v>
      </c>
      <c r="D1140" s="279">
        <f t="shared" si="199"/>
        <v>428.37767311624901</v>
      </c>
      <c r="E1140" s="78">
        <f t="shared" si="206"/>
        <v>10.65</v>
      </c>
      <c r="F1140" s="78">
        <f t="shared" si="207"/>
        <v>1.69</v>
      </c>
      <c r="G1140" s="279">
        <f t="shared" si="208"/>
        <v>155.92947301431462</v>
      </c>
      <c r="H1140" s="190">
        <f t="shared" si="209"/>
        <v>0.62686567164179108</v>
      </c>
      <c r="I1140" s="279">
        <f t="shared" si="210"/>
        <v>16606.488876024508</v>
      </c>
      <c r="J1140" s="67"/>
      <c r="K1140" s="67"/>
      <c r="L1140" s="67"/>
      <c r="M1140" s="371"/>
      <c r="N1140" s="309">
        <v>41602</v>
      </c>
      <c r="O1140" s="67">
        <v>387</v>
      </c>
      <c r="P1140" s="67" t="s">
        <v>46</v>
      </c>
      <c r="Q1140" s="67"/>
      <c r="R1140" s="67">
        <v>1</v>
      </c>
      <c r="S1140" s="256">
        <v>800</v>
      </c>
      <c r="T1140" s="256">
        <v>69</v>
      </c>
      <c r="U1140" s="256">
        <v>400</v>
      </c>
      <c r="V1140" s="256">
        <v>8</v>
      </c>
      <c r="W1140" s="256">
        <v>26.5</v>
      </c>
      <c r="X1140" s="256">
        <v>2.5</v>
      </c>
      <c r="Y1140" s="256">
        <v>40</v>
      </c>
      <c r="Z1140" s="306"/>
      <c r="AA1140" s="317"/>
      <c r="AB1140" s="182">
        <v>0.17910000000000001</v>
      </c>
      <c r="AC1140" s="67">
        <v>0.61129999999999995</v>
      </c>
      <c r="AD1140" s="67">
        <v>0.20960000000000001</v>
      </c>
      <c r="AE1140" s="256" t="s">
        <v>47</v>
      </c>
      <c r="AF1140" s="256">
        <v>3.64</v>
      </c>
      <c r="AG1140" s="145"/>
      <c r="AH1140" s="66">
        <v>428.37767311624901</v>
      </c>
      <c r="AI1140" s="216"/>
      <c r="AJ1140" s="216">
        <v>10.65</v>
      </c>
      <c r="AK1140" s="216">
        <v>1.69</v>
      </c>
      <c r="AL1140" s="78">
        <f>(23.1+144.9)/268</f>
        <v>0.62686567164179108</v>
      </c>
      <c r="AM1140" s="67"/>
      <c r="AN1140" s="24">
        <f t="shared" si="202"/>
        <v>155.92947301431462</v>
      </c>
      <c r="AO1140" s="389">
        <f t="shared" si="212"/>
        <v>16606.488876024508</v>
      </c>
      <c r="AP1140" s="187">
        <f t="shared" si="211"/>
        <v>3.1652173913043478</v>
      </c>
      <c r="AQ1140" s="371"/>
      <c r="AR1140" s="41"/>
      <c r="AS1140" s="67"/>
      <c r="AT1140" s="67"/>
    </row>
    <row r="1141" spans="1:46" ht="12">
      <c r="A1141" s="257" t="s">
        <v>1485</v>
      </c>
      <c r="B1141" s="257" t="str">
        <f t="shared" si="197"/>
        <v>SiNx</v>
      </c>
      <c r="C1141" s="280">
        <f t="shared" si="205"/>
        <v>0</v>
      </c>
      <c r="D1141" s="183">
        <f t="shared" si="199"/>
        <v>515.26643896698295</v>
      </c>
      <c r="E1141" s="96">
        <f t="shared" si="206"/>
        <v>11.23</v>
      </c>
      <c r="F1141" s="96">
        <f t="shared" si="207"/>
        <v>1.8</v>
      </c>
      <c r="G1141" s="183">
        <f t="shared" si="208"/>
        <v>0</v>
      </c>
      <c r="H1141" s="215">
        <f t="shared" si="209"/>
        <v>0.83492647058823533</v>
      </c>
      <c r="I1141" s="183">
        <f t="shared" si="210"/>
        <v>0</v>
      </c>
      <c r="J1141" s="366"/>
      <c r="K1141" s="366" t="s">
        <v>1477</v>
      </c>
      <c r="L1141" s="366"/>
      <c r="M1141" s="373"/>
      <c r="N1141" s="191">
        <v>41602</v>
      </c>
      <c r="O1141" s="366">
        <v>387</v>
      </c>
      <c r="P1141" s="366" t="s">
        <v>187</v>
      </c>
      <c r="Q1141" s="257" t="s">
        <v>1478</v>
      </c>
      <c r="R1141" s="366">
        <v>3</v>
      </c>
      <c r="S1141" s="257">
        <v>800</v>
      </c>
      <c r="T1141" s="257">
        <v>69</v>
      </c>
      <c r="U1141" s="257">
        <v>400</v>
      </c>
      <c r="V1141" s="257">
        <v>8</v>
      </c>
      <c r="W1141" s="257">
        <v>26.5</v>
      </c>
      <c r="X1141" s="257">
        <v>2.5</v>
      </c>
      <c r="Y1141" s="257">
        <v>40</v>
      </c>
      <c r="Z1141" s="161"/>
      <c r="AA1141" s="76"/>
      <c r="AB1141" s="51"/>
      <c r="AC1141" s="366"/>
      <c r="AD1141" s="366"/>
      <c r="AE1141" s="366"/>
      <c r="AF1141" s="257"/>
      <c r="AG1141" s="273"/>
      <c r="AH1141" s="113">
        <v>515.26643896698295</v>
      </c>
      <c r="AI1141" s="53"/>
      <c r="AJ1141" s="53">
        <v>11.23</v>
      </c>
      <c r="AK1141" s="53">
        <v>1.8</v>
      </c>
      <c r="AL1141" s="96">
        <f>(205.7+21.4)/272</f>
        <v>0.83492647058823533</v>
      </c>
      <c r="AM1141" s="366"/>
      <c r="AN1141" s="24">
        <f t="shared" si="202"/>
        <v>0</v>
      </c>
      <c r="AO1141" s="198">
        <f t="shared" si="212"/>
        <v>0</v>
      </c>
      <c r="AP1141" s="399">
        <f t="shared" si="211"/>
        <v>0</v>
      </c>
      <c r="AQ1141" s="373"/>
      <c r="AR1141" s="44"/>
      <c r="AS1141" s="366"/>
      <c r="AT1141" s="366"/>
    </row>
    <row r="1142" spans="1:46" ht="12">
      <c r="A1142" s="257" t="s">
        <v>1486</v>
      </c>
      <c r="B1142" s="257" t="str">
        <f t="shared" si="197"/>
        <v>SiNx</v>
      </c>
      <c r="C1142" s="280">
        <f t="shared" si="205"/>
        <v>0</v>
      </c>
      <c r="D1142" s="183">
        <f t="shared" si="199"/>
        <v>522.58150960328805</v>
      </c>
      <c r="E1142" s="96">
        <f t="shared" si="206"/>
        <v>11.29</v>
      </c>
      <c r="F1142" s="96">
        <f t="shared" si="207"/>
        <v>1.85</v>
      </c>
      <c r="G1142" s="183">
        <f t="shared" si="208"/>
        <v>0</v>
      </c>
      <c r="H1142" s="215">
        <f t="shared" si="209"/>
        <v>0.83308823529411757</v>
      </c>
      <c r="I1142" s="183">
        <f t="shared" si="210"/>
        <v>0</v>
      </c>
      <c r="J1142" s="366"/>
      <c r="K1142" s="366" t="s">
        <v>1477</v>
      </c>
      <c r="L1142" s="366"/>
      <c r="M1142" s="373"/>
      <c r="N1142" s="191">
        <v>41602</v>
      </c>
      <c r="O1142" s="366">
        <v>387</v>
      </c>
      <c r="P1142" s="366" t="s">
        <v>187</v>
      </c>
      <c r="Q1142" s="257" t="s">
        <v>1478</v>
      </c>
      <c r="R1142" s="366">
        <v>6</v>
      </c>
      <c r="S1142" s="257">
        <v>800</v>
      </c>
      <c r="T1142" s="257">
        <v>69</v>
      </c>
      <c r="U1142" s="257">
        <v>400</v>
      </c>
      <c r="V1142" s="257">
        <v>8</v>
      </c>
      <c r="W1142" s="257">
        <v>26.5</v>
      </c>
      <c r="X1142" s="257">
        <v>2.5</v>
      </c>
      <c r="Y1142" s="257">
        <v>40</v>
      </c>
      <c r="Z1142" s="161"/>
      <c r="AA1142" s="76"/>
      <c r="AB1142" s="51"/>
      <c r="AC1142" s="366"/>
      <c r="AD1142" s="366"/>
      <c r="AE1142" s="366"/>
      <c r="AF1142" s="257"/>
      <c r="AG1142" s="273"/>
      <c r="AH1142" s="113">
        <v>522.58150960328805</v>
      </c>
      <c r="AI1142" s="53"/>
      <c r="AJ1142" s="53">
        <v>11.29</v>
      </c>
      <c r="AK1142" s="53">
        <v>1.85</v>
      </c>
      <c r="AL1142" s="96">
        <f>(205.1+21.5)/272</f>
        <v>0.83308823529411757</v>
      </c>
      <c r="AM1142" s="366"/>
      <c r="AN1142" s="24">
        <f t="shared" si="202"/>
        <v>0</v>
      </c>
      <c r="AO1142" s="198">
        <f t="shared" si="212"/>
        <v>0</v>
      </c>
      <c r="AP1142" s="399">
        <f t="shared" si="211"/>
        <v>0</v>
      </c>
      <c r="AQ1142" s="373"/>
      <c r="AR1142" s="44"/>
      <c r="AS1142" s="366"/>
      <c r="AT1142" s="366"/>
    </row>
    <row r="1143" spans="1:46" ht="12">
      <c r="A1143" s="256" t="s">
        <v>1487</v>
      </c>
      <c r="B1143" s="256" t="str">
        <f t="shared" si="197"/>
        <v>MgO</v>
      </c>
      <c r="C1143" s="32">
        <f t="shared" si="205"/>
        <v>3.67</v>
      </c>
      <c r="D1143" s="279">
        <f t="shared" si="199"/>
        <v>355.04855039622498</v>
      </c>
      <c r="E1143" s="78">
        <f t="shared" si="206"/>
        <v>11.89</v>
      </c>
      <c r="F1143" s="78">
        <f t="shared" si="207"/>
        <v>1.38</v>
      </c>
      <c r="G1143" s="279">
        <f t="shared" si="208"/>
        <v>130.30281799541456</v>
      </c>
      <c r="H1143" s="190">
        <f t="shared" si="209"/>
        <v>0.77777777777777779</v>
      </c>
      <c r="I1143" s="279">
        <f t="shared" si="210"/>
        <v>15493.005059654792</v>
      </c>
      <c r="J1143" s="67"/>
      <c r="K1143" s="67"/>
      <c r="L1143" s="67"/>
      <c r="M1143" s="371"/>
      <c r="N1143" s="309">
        <v>41603</v>
      </c>
      <c r="O1143" s="67">
        <v>388</v>
      </c>
      <c r="P1143" s="67" t="s">
        <v>46</v>
      </c>
      <c r="Q1143" s="67"/>
      <c r="R1143" s="67">
        <v>1</v>
      </c>
      <c r="S1143" s="256">
        <v>800</v>
      </c>
      <c r="T1143" s="256">
        <v>69</v>
      </c>
      <c r="U1143" s="256">
        <v>400</v>
      </c>
      <c r="V1143" s="256">
        <v>8</v>
      </c>
      <c r="W1143" s="256">
        <v>26.5</v>
      </c>
      <c r="X1143" s="256">
        <v>2.5</v>
      </c>
      <c r="Y1143" s="256">
        <v>40</v>
      </c>
      <c r="Z1143" s="306"/>
      <c r="AA1143" s="317"/>
      <c r="AB1143" s="182">
        <v>0.18310000000000001</v>
      </c>
      <c r="AC1143" s="67">
        <v>0.60950000000000004</v>
      </c>
      <c r="AD1143" s="67">
        <v>0.2074</v>
      </c>
      <c r="AE1143" s="256" t="s">
        <v>47</v>
      </c>
      <c r="AF1143" s="256">
        <v>3.67</v>
      </c>
      <c r="AG1143" s="145"/>
      <c r="AH1143" s="66">
        <v>355.04855039622498</v>
      </c>
      <c r="AI1143" s="216"/>
      <c r="AJ1143" s="216">
        <v>11.89</v>
      </c>
      <c r="AK1143" s="216">
        <v>1.38</v>
      </c>
      <c r="AL1143" s="78">
        <f>(131.7+22.3)/198</f>
        <v>0.77777777777777779</v>
      </c>
      <c r="AM1143" s="67"/>
      <c r="AN1143" s="24">
        <f t="shared" si="202"/>
        <v>130.30281799541456</v>
      </c>
      <c r="AO1143" s="389">
        <f t="shared" si="212"/>
        <v>15493.005059654792</v>
      </c>
      <c r="AP1143" s="187">
        <f t="shared" si="211"/>
        <v>3.1913043478260867</v>
      </c>
      <c r="AQ1143" s="371"/>
      <c r="AR1143" s="41"/>
      <c r="AS1143" s="67"/>
      <c r="AT1143" s="67"/>
    </row>
    <row r="1144" spans="1:46" ht="12">
      <c r="A1144" s="257" t="s">
        <v>1488</v>
      </c>
      <c r="B1144" s="257" t="str">
        <f t="shared" si="197"/>
        <v>SiNx</v>
      </c>
      <c r="C1144" s="280">
        <f t="shared" si="205"/>
        <v>0</v>
      </c>
      <c r="D1144" s="183">
        <f t="shared" si="199"/>
        <v>502.24204490722201</v>
      </c>
      <c r="E1144" s="96">
        <f t="shared" si="206"/>
        <v>11.26</v>
      </c>
      <c r="F1144" s="96">
        <f t="shared" si="207"/>
        <v>1.8</v>
      </c>
      <c r="G1144" s="183">
        <f t="shared" si="208"/>
        <v>0</v>
      </c>
      <c r="H1144" s="215">
        <f t="shared" si="209"/>
        <v>0.83860294117647061</v>
      </c>
      <c r="I1144" s="183">
        <f t="shared" si="210"/>
        <v>0</v>
      </c>
      <c r="J1144" s="366"/>
      <c r="K1144" s="366" t="s">
        <v>1489</v>
      </c>
      <c r="L1144" s="366"/>
      <c r="M1144" s="373"/>
      <c r="N1144" s="191">
        <v>41603</v>
      </c>
      <c r="O1144" s="366">
        <v>388</v>
      </c>
      <c r="P1144" s="366" t="s">
        <v>187</v>
      </c>
      <c r="Q1144" s="257" t="s">
        <v>1478</v>
      </c>
      <c r="R1144" s="366">
        <v>3</v>
      </c>
      <c r="S1144" s="257">
        <v>800</v>
      </c>
      <c r="T1144" s="257">
        <v>69</v>
      </c>
      <c r="U1144" s="257">
        <v>400</v>
      </c>
      <c r="V1144" s="257">
        <v>8</v>
      </c>
      <c r="W1144" s="257">
        <v>26.5</v>
      </c>
      <c r="X1144" s="257">
        <v>2.5</v>
      </c>
      <c r="Y1144" s="257">
        <v>40</v>
      </c>
      <c r="Z1144" s="161"/>
      <c r="AA1144" s="76"/>
      <c r="AB1144" s="51"/>
      <c r="AC1144" s="366"/>
      <c r="AD1144" s="366"/>
      <c r="AE1144" s="366"/>
      <c r="AF1144" s="257"/>
      <c r="AG1144" s="273"/>
      <c r="AH1144" s="113">
        <v>502.24204490722201</v>
      </c>
      <c r="AI1144" s="53"/>
      <c r="AJ1144" s="53">
        <v>11.26</v>
      </c>
      <c r="AK1144" s="53">
        <v>1.8</v>
      </c>
      <c r="AL1144" s="96">
        <f>(206+22.1)/272</f>
        <v>0.83860294117647061</v>
      </c>
      <c r="AM1144" s="366"/>
      <c r="AN1144" s="24">
        <f t="shared" si="202"/>
        <v>0</v>
      </c>
      <c r="AO1144" s="198">
        <f t="shared" si="212"/>
        <v>0</v>
      </c>
      <c r="AP1144" s="399">
        <f t="shared" si="211"/>
        <v>0</v>
      </c>
      <c r="AQ1144" s="373"/>
      <c r="AR1144" s="44"/>
      <c r="AS1144" s="366"/>
      <c r="AT1144" s="366"/>
    </row>
    <row r="1145" spans="1:46" ht="12">
      <c r="A1145" s="257" t="s">
        <v>1490</v>
      </c>
      <c r="B1145" s="257" t="str">
        <f t="shared" si="197"/>
        <v>SiNx</v>
      </c>
      <c r="C1145" s="280">
        <f t="shared" ref="C1145:C1176" si="213">AF1145</f>
        <v>0</v>
      </c>
      <c r="D1145" s="183">
        <f t="shared" si="199"/>
        <v>498.13846869661302</v>
      </c>
      <c r="E1145" s="96">
        <f t="shared" ref="E1145:E1164" si="214">AJ1145</f>
        <v>11.28</v>
      </c>
      <c r="F1145" s="96">
        <f t="shared" ref="F1145:F1164" si="215">AK1145</f>
        <v>1.78</v>
      </c>
      <c r="G1145" s="183">
        <f t="shared" ref="G1145:G1176" si="216">AN1145</f>
        <v>0</v>
      </c>
      <c r="H1145" s="215">
        <f t="shared" ref="H1145:H1176" si="217">AL1145</f>
        <v>0.8401486988847584</v>
      </c>
      <c r="I1145" s="183">
        <f t="shared" ref="I1145:I1176" si="218">AO1145</f>
        <v>0</v>
      </c>
      <c r="J1145" s="366"/>
      <c r="K1145" s="366" t="s">
        <v>1489</v>
      </c>
      <c r="L1145" s="366"/>
      <c r="M1145" s="373"/>
      <c r="N1145" s="191">
        <v>41603</v>
      </c>
      <c r="O1145" s="366">
        <v>388</v>
      </c>
      <c r="P1145" s="366" t="s">
        <v>187</v>
      </c>
      <c r="Q1145" s="257" t="s">
        <v>1478</v>
      </c>
      <c r="R1145" s="366">
        <v>6</v>
      </c>
      <c r="S1145" s="257">
        <v>800</v>
      </c>
      <c r="T1145" s="257">
        <v>69</v>
      </c>
      <c r="U1145" s="257">
        <v>400</v>
      </c>
      <c r="V1145" s="257">
        <v>8</v>
      </c>
      <c r="W1145" s="257">
        <v>26.5</v>
      </c>
      <c r="X1145" s="257">
        <v>2.5</v>
      </c>
      <c r="Y1145" s="257">
        <v>40</v>
      </c>
      <c r="Z1145" s="161"/>
      <c r="AA1145" s="76"/>
      <c r="AB1145" s="51"/>
      <c r="AC1145" s="366"/>
      <c r="AD1145" s="366"/>
      <c r="AE1145" s="366"/>
      <c r="AF1145" s="257"/>
      <c r="AG1145" s="273"/>
      <c r="AH1145" s="113">
        <v>498.13846869661302</v>
      </c>
      <c r="AI1145" s="53"/>
      <c r="AJ1145" s="53">
        <v>11.28</v>
      </c>
      <c r="AK1145" s="53">
        <v>1.78</v>
      </c>
      <c r="AL1145" s="96">
        <f>(204.5+21.5)/269</f>
        <v>0.8401486988847584</v>
      </c>
      <c r="AM1145" s="366"/>
      <c r="AN1145" s="24">
        <f t="shared" si="202"/>
        <v>0</v>
      </c>
      <c r="AO1145" s="198">
        <f t="shared" si="212"/>
        <v>0</v>
      </c>
      <c r="AP1145" s="399">
        <f t="shared" ref="AP1145:AP1176" si="219">(AF1145/T1145)*60</f>
        <v>0</v>
      </c>
      <c r="AQ1145" s="373"/>
      <c r="AR1145" s="44"/>
      <c r="AS1145" s="366"/>
      <c r="AT1145" s="366"/>
    </row>
    <row r="1146" spans="1:46" ht="12">
      <c r="A1146" s="256" t="s">
        <v>1491</v>
      </c>
      <c r="B1146" s="256" t="str">
        <f t="shared" si="197"/>
        <v>MgO</v>
      </c>
      <c r="C1146" s="32">
        <f t="shared" si="213"/>
        <v>3.76</v>
      </c>
      <c r="D1146" s="279">
        <f t="shared" si="199"/>
        <v>433.55174746875701</v>
      </c>
      <c r="E1146" s="78">
        <f t="shared" si="214"/>
        <v>10.86</v>
      </c>
      <c r="F1146" s="78">
        <f t="shared" si="215"/>
        <v>1.66</v>
      </c>
      <c r="G1146" s="279">
        <f t="shared" si="216"/>
        <v>163.01545704825261</v>
      </c>
      <c r="H1146" s="190">
        <f t="shared" si="217"/>
        <v>0.73730769230769222</v>
      </c>
      <c r="I1146" s="279">
        <f t="shared" si="218"/>
        <v>17703.478635440235</v>
      </c>
      <c r="J1146" s="256"/>
      <c r="K1146" s="256" t="s">
        <v>1492</v>
      </c>
      <c r="L1146" s="256"/>
      <c r="M1146" s="68"/>
      <c r="N1146" s="18">
        <v>41604</v>
      </c>
      <c r="O1146" s="256">
        <v>389</v>
      </c>
      <c r="P1146" s="256" t="s">
        <v>46</v>
      </c>
      <c r="Q1146" s="256"/>
      <c r="R1146" s="256">
        <v>1</v>
      </c>
      <c r="S1146" s="256">
        <v>800</v>
      </c>
      <c r="T1146" s="256">
        <v>69</v>
      </c>
      <c r="U1146" s="256">
        <v>400</v>
      </c>
      <c r="V1146" s="256">
        <v>8</v>
      </c>
      <c r="W1146" s="256">
        <v>26.5</v>
      </c>
      <c r="X1146" s="256">
        <v>2.5</v>
      </c>
      <c r="Y1146" s="256">
        <v>40</v>
      </c>
      <c r="Z1146" s="256"/>
      <c r="AA1146" s="207"/>
      <c r="AB1146" s="86">
        <v>0.17480000000000001</v>
      </c>
      <c r="AC1146" s="256">
        <v>0.60460000000000003</v>
      </c>
      <c r="AD1146" s="256">
        <v>0.22059999999999999</v>
      </c>
      <c r="AE1146" s="256" t="s">
        <v>47</v>
      </c>
      <c r="AF1146" s="256">
        <v>3.76</v>
      </c>
      <c r="AG1146" s="335"/>
      <c r="AH1146" s="213">
        <v>433.55174746875701</v>
      </c>
      <c r="AI1146" s="78"/>
      <c r="AJ1146" s="78">
        <v>10.86</v>
      </c>
      <c r="AK1146" s="78">
        <v>1.66</v>
      </c>
      <c r="AL1146" s="78">
        <f>(23.2+168.5)/260</f>
        <v>0.73730769230769222</v>
      </c>
      <c r="AM1146" s="256"/>
      <c r="AN1146" s="24">
        <f t="shared" si="202"/>
        <v>163.01545704825261</v>
      </c>
      <c r="AO1146" s="160">
        <f t="shared" si="212"/>
        <v>17703.478635440235</v>
      </c>
      <c r="AP1146" s="209">
        <f t="shared" si="219"/>
        <v>3.2695652173913041</v>
      </c>
      <c r="AQ1146" s="68"/>
      <c r="AR1146" s="15"/>
      <c r="AS1146" s="256"/>
      <c r="AT1146" s="256"/>
    </row>
    <row r="1147" spans="1:46" ht="12">
      <c r="A1147" s="257" t="s">
        <v>1493</v>
      </c>
      <c r="B1147" s="257" t="str">
        <f t="shared" si="197"/>
        <v>SiNx</v>
      </c>
      <c r="C1147" s="280">
        <f t="shared" si="213"/>
        <v>0</v>
      </c>
      <c r="D1147" s="183">
        <f t="shared" si="199"/>
        <v>563.617271709384</v>
      </c>
      <c r="E1147" s="96">
        <f t="shared" si="214"/>
        <v>10.66</v>
      </c>
      <c r="F1147" s="96">
        <f t="shared" si="215"/>
        <v>1.91</v>
      </c>
      <c r="G1147" s="183">
        <f t="shared" si="216"/>
        <v>0</v>
      </c>
      <c r="H1147" s="215">
        <f t="shared" si="217"/>
        <v>0.82699999999999996</v>
      </c>
      <c r="I1147" s="183">
        <f t="shared" si="218"/>
        <v>0</v>
      </c>
      <c r="J1147" s="366"/>
      <c r="K1147" s="366" t="s">
        <v>1492</v>
      </c>
      <c r="L1147" s="366"/>
      <c r="M1147" s="373"/>
      <c r="N1147" s="191">
        <v>41604</v>
      </c>
      <c r="O1147" s="366">
        <v>389</v>
      </c>
      <c r="P1147" s="366" t="s">
        <v>187</v>
      </c>
      <c r="Q1147" s="257" t="s">
        <v>1478</v>
      </c>
      <c r="R1147" s="366">
        <v>3</v>
      </c>
      <c r="S1147" s="257">
        <v>800</v>
      </c>
      <c r="T1147" s="257">
        <v>69</v>
      </c>
      <c r="U1147" s="257">
        <v>400</v>
      </c>
      <c r="V1147" s="257">
        <v>8</v>
      </c>
      <c r="W1147" s="257">
        <v>26.5</v>
      </c>
      <c r="X1147" s="257">
        <v>2.5</v>
      </c>
      <c r="Y1147" s="257">
        <v>40</v>
      </c>
      <c r="Z1147" s="161"/>
      <c r="AA1147" s="76"/>
      <c r="AB1147" s="51"/>
      <c r="AC1147" s="366"/>
      <c r="AD1147" s="366"/>
      <c r="AE1147" s="366"/>
      <c r="AF1147" s="257"/>
      <c r="AG1147" s="273"/>
      <c r="AH1147" s="113">
        <v>563.617271709384</v>
      </c>
      <c r="AI1147" s="53"/>
      <c r="AJ1147" s="53">
        <v>10.66</v>
      </c>
      <c r="AK1147" s="53">
        <v>1.91</v>
      </c>
      <c r="AL1147" s="96">
        <f>(20.4+227.7)/300</f>
        <v>0.82699999999999996</v>
      </c>
      <c r="AM1147" s="366"/>
      <c r="AN1147" s="24">
        <f t="shared" si="202"/>
        <v>0</v>
      </c>
      <c r="AO1147" s="198">
        <f t="shared" si="212"/>
        <v>0</v>
      </c>
      <c r="AP1147" s="399">
        <f t="shared" si="219"/>
        <v>0</v>
      </c>
      <c r="AQ1147" s="373"/>
      <c r="AR1147" s="44"/>
      <c r="AS1147" s="366"/>
      <c r="AT1147" s="366"/>
    </row>
    <row r="1148" spans="1:46" ht="12">
      <c r="A1148" s="257" t="s">
        <v>1494</v>
      </c>
      <c r="B1148" s="257" t="str">
        <f t="shared" si="197"/>
        <v>SiNx</v>
      </c>
      <c r="C1148" s="280">
        <f t="shared" si="213"/>
        <v>0</v>
      </c>
      <c r="D1148" s="183">
        <f t="shared" si="199"/>
        <v>562.54677356748596</v>
      </c>
      <c r="E1148" s="96">
        <f t="shared" si="214"/>
        <v>10.74</v>
      </c>
      <c r="F1148" s="96">
        <f t="shared" si="215"/>
        <v>1.92</v>
      </c>
      <c r="G1148" s="183">
        <f t="shared" si="216"/>
        <v>0</v>
      </c>
      <c r="H1148" s="215">
        <f t="shared" si="217"/>
        <v>0.82900000000000007</v>
      </c>
      <c r="I1148" s="183">
        <f t="shared" si="218"/>
        <v>0</v>
      </c>
      <c r="J1148" s="366"/>
      <c r="K1148" s="366" t="s">
        <v>1492</v>
      </c>
      <c r="L1148" s="366"/>
      <c r="M1148" s="373"/>
      <c r="N1148" s="191">
        <v>41604</v>
      </c>
      <c r="O1148" s="366">
        <v>389</v>
      </c>
      <c r="P1148" s="366" t="s">
        <v>187</v>
      </c>
      <c r="Q1148" s="257" t="s">
        <v>1478</v>
      </c>
      <c r="R1148" s="366">
        <v>6</v>
      </c>
      <c r="S1148" s="257">
        <v>800</v>
      </c>
      <c r="T1148" s="257">
        <v>69</v>
      </c>
      <c r="U1148" s="257">
        <v>400</v>
      </c>
      <c r="V1148" s="257">
        <v>8</v>
      </c>
      <c r="W1148" s="257">
        <v>26.5</v>
      </c>
      <c r="X1148" s="257">
        <v>2.5</v>
      </c>
      <c r="Y1148" s="257">
        <v>40</v>
      </c>
      <c r="Z1148" s="161"/>
      <c r="AA1148" s="76"/>
      <c r="AB1148" s="51"/>
      <c r="AC1148" s="366"/>
      <c r="AD1148" s="366"/>
      <c r="AE1148" s="366"/>
      <c r="AF1148" s="257"/>
      <c r="AG1148" s="273"/>
      <c r="AH1148" s="113">
        <v>562.54677356748596</v>
      </c>
      <c r="AI1148" s="53"/>
      <c r="AJ1148" s="53">
        <v>10.74</v>
      </c>
      <c r="AK1148" s="53">
        <v>1.92</v>
      </c>
      <c r="AL1148" s="96">
        <f>(21.9+226.8)/300</f>
        <v>0.82900000000000007</v>
      </c>
      <c r="AM1148" s="366"/>
      <c r="AN1148" s="24">
        <f t="shared" si="202"/>
        <v>0</v>
      </c>
      <c r="AO1148" s="198">
        <f t="shared" si="212"/>
        <v>0</v>
      </c>
      <c r="AP1148" s="399">
        <f t="shared" si="219"/>
        <v>0</v>
      </c>
      <c r="AQ1148" s="373"/>
      <c r="AR1148" s="44"/>
      <c r="AS1148" s="366"/>
      <c r="AT1148" s="366"/>
    </row>
    <row r="1149" spans="1:46" ht="12">
      <c r="A1149" s="58" t="s">
        <v>1495</v>
      </c>
      <c r="B1149" s="58" t="str">
        <f t="shared" si="197"/>
        <v>MgO</v>
      </c>
      <c r="C1149" s="313">
        <f t="shared" si="213"/>
        <v>3.59</v>
      </c>
      <c r="D1149" s="370">
        <f t="shared" si="199"/>
        <v>456.56745751956697</v>
      </c>
      <c r="E1149" s="120">
        <f t="shared" si="214"/>
        <v>0</v>
      </c>
      <c r="F1149" s="120">
        <f t="shared" si="215"/>
        <v>0</v>
      </c>
      <c r="G1149" s="370">
        <f t="shared" si="216"/>
        <v>163.90771724952452</v>
      </c>
      <c r="H1149" s="172">
        <f t="shared" si="217"/>
        <v>0</v>
      </c>
      <c r="I1149" s="370">
        <f t="shared" si="218"/>
        <v>0</v>
      </c>
      <c r="J1149" s="25"/>
      <c r="K1149" s="25"/>
      <c r="L1149" s="25"/>
      <c r="M1149" s="236"/>
      <c r="N1149" s="218">
        <v>41635</v>
      </c>
      <c r="O1149" s="25">
        <v>391</v>
      </c>
      <c r="P1149" s="25" t="s">
        <v>46</v>
      </c>
      <c r="Q1149" s="25"/>
      <c r="R1149" s="58">
        <v>1</v>
      </c>
      <c r="S1149" s="58">
        <v>800</v>
      </c>
      <c r="T1149" s="58">
        <v>69</v>
      </c>
      <c r="U1149" s="58">
        <v>400</v>
      </c>
      <c r="V1149" s="58">
        <v>8</v>
      </c>
      <c r="W1149" s="58">
        <v>26.5</v>
      </c>
      <c r="X1149" s="58">
        <v>2.5</v>
      </c>
      <c r="Y1149" s="58">
        <v>40</v>
      </c>
      <c r="Z1149" s="25"/>
      <c r="AA1149" s="13"/>
      <c r="AB1149" s="286">
        <v>0.1852</v>
      </c>
      <c r="AC1149" s="25">
        <v>0.61380000000000001</v>
      </c>
      <c r="AD1149" s="25">
        <v>0.2009</v>
      </c>
      <c r="AE1149" s="58" t="s">
        <v>47</v>
      </c>
      <c r="AF1149" s="25">
        <v>3.59</v>
      </c>
      <c r="AG1149" s="274"/>
      <c r="AH1149" s="154">
        <v>456.56745751956697</v>
      </c>
      <c r="AI1149" s="103"/>
      <c r="AJ1149" s="103"/>
      <c r="AK1149" s="103"/>
      <c r="AL1149" s="103"/>
      <c r="AM1149" s="25"/>
      <c r="AN1149" s="24">
        <f t="shared" si="202"/>
        <v>163.90771724952452</v>
      </c>
      <c r="AO1149" s="91">
        <f t="shared" si="212"/>
        <v>0</v>
      </c>
      <c r="AP1149" s="225">
        <f t="shared" si="219"/>
        <v>3.1217391304347828</v>
      </c>
      <c r="AQ1149" s="236"/>
      <c r="AR1149" s="322"/>
      <c r="AS1149" s="25"/>
      <c r="AT1149" s="25"/>
    </row>
    <row r="1150" spans="1:46" ht="12">
      <c r="A1150" s="83" t="s">
        <v>1496</v>
      </c>
      <c r="B1150" s="83" t="str">
        <f t="shared" si="197"/>
        <v>SiO2</v>
      </c>
      <c r="C1150" s="329">
        <f t="shared" si="213"/>
        <v>0</v>
      </c>
      <c r="D1150" s="168">
        <f t="shared" si="199"/>
        <v>512.94702632620397</v>
      </c>
      <c r="E1150" s="139">
        <f t="shared" si="214"/>
        <v>11.55</v>
      </c>
      <c r="F1150" s="139">
        <f t="shared" si="215"/>
        <v>1.75</v>
      </c>
      <c r="G1150" s="168">
        <f t="shared" si="216"/>
        <v>0</v>
      </c>
      <c r="H1150" s="150">
        <f t="shared" si="217"/>
        <v>0.8278023598820059</v>
      </c>
      <c r="I1150" s="168">
        <f t="shared" si="218"/>
        <v>0</v>
      </c>
      <c r="J1150" s="138"/>
      <c r="K1150" s="138"/>
      <c r="L1150" s="138"/>
      <c r="M1150" s="316"/>
      <c r="N1150" s="135">
        <v>41635</v>
      </c>
      <c r="O1150" s="138">
        <v>391</v>
      </c>
      <c r="P1150" s="138" t="s">
        <v>1182</v>
      </c>
      <c r="Q1150" s="83">
        <v>228.9</v>
      </c>
      <c r="R1150" s="138">
        <v>3</v>
      </c>
      <c r="S1150" s="83">
        <v>800</v>
      </c>
      <c r="T1150" s="83">
        <v>69</v>
      </c>
      <c r="U1150" s="83">
        <v>400</v>
      </c>
      <c r="V1150" s="83">
        <v>8</v>
      </c>
      <c r="W1150" s="83">
        <v>26.5</v>
      </c>
      <c r="X1150" s="83">
        <v>2.5</v>
      </c>
      <c r="Y1150" s="83">
        <v>40</v>
      </c>
      <c r="Z1150" s="240"/>
      <c r="AA1150" s="75"/>
      <c r="AB1150" s="300"/>
      <c r="AC1150" s="138"/>
      <c r="AD1150" s="138"/>
      <c r="AE1150" s="138"/>
      <c r="AF1150" s="138"/>
      <c r="AG1150" s="63"/>
      <c r="AH1150" s="70">
        <v>512.94702632620397</v>
      </c>
      <c r="AI1150" s="121"/>
      <c r="AJ1150" s="121">
        <v>11.55</v>
      </c>
      <c r="AK1150" s="121">
        <v>1.75</v>
      </c>
      <c r="AL1150" s="121">
        <f>(20.9+203.6)/271.2</f>
        <v>0.8278023598820059</v>
      </c>
      <c r="AM1150" s="138"/>
      <c r="AN1150" s="24">
        <f t="shared" si="202"/>
        <v>0</v>
      </c>
      <c r="AO1150" s="353">
        <f t="shared" si="212"/>
        <v>0</v>
      </c>
      <c r="AP1150" s="36">
        <f t="shared" si="219"/>
        <v>0</v>
      </c>
      <c r="AQ1150" s="316"/>
      <c r="AR1150" s="258"/>
      <c r="AS1150" s="138"/>
      <c r="AT1150" s="138"/>
    </row>
    <row r="1151" spans="1:46" ht="12">
      <c r="A1151" s="83" t="s">
        <v>1497</v>
      </c>
      <c r="B1151" s="83" t="str">
        <f t="shared" si="197"/>
        <v>SiO2</v>
      </c>
      <c r="C1151" s="329">
        <f t="shared" si="213"/>
        <v>0</v>
      </c>
      <c r="D1151" s="168">
        <f t="shared" si="199"/>
        <v>509.378699186544</v>
      </c>
      <c r="E1151" s="139">
        <f t="shared" si="214"/>
        <v>11.6</v>
      </c>
      <c r="F1151" s="139">
        <f t="shared" si="215"/>
        <v>1.76</v>
      </c>
      <c r="G1151" s="168">
        <f t="shared" si="216"/>
        <v>0</v>
      </c>
      <c r="H1151" s="150">
        <f t="shared" si="217"/>
        <v>0.82016248153618909</v>
      </c>
      <c r="I1151" s="168">
        <f t="shared" si="218"/>
        <v>0</v>
      </c>
      <c r="J1151" s="138"/>
      <c r="K1151" s="138"/>
      <c r="L1151" s="138"/>
      <c r="M1151" s="316"/>
      <c r="N1151" s="135">
        <v>41635</v>
      </c>
      <c r="O1151" s="138">
        <v>391</v>
      </c>
      <c r="P1151" s="138" t="s">
        <v>1182</v>
      </c>
      <c r="Q1151" s="83">
        <v>228.9</v>
      </c>
      <c r="R1151" s="138">
        <v>6</v>
      </c>
      <c r="S1151" s="83">
        <v>800</v>
      </c>
      <c r="T1151" s="83">
        <v>69</v>
      </c>
      <c r="U1151" s="83">
        <v>400</v>
      </c>
      <c r="V1151" s="83">
        <v>8</v>
      </c>
      <c r="W1151" s="83">
        <v>26.5</v>
      </c>
      <c r="X1151" s="83">
        <v>2.5</v>
      </c>
      <c r="Y1151" s="83">
        <v>40</v>
      </c>
      <c r="Z1151" s="240"/>
      <c r="AA1151" s="75"/>
      <c r="AB1151" s="300"/>
      <c r="AC1151" s="138"/>
      <c r="AD1151" s="138"/>
      <c r="AE1151" s="138"/>
      <c r="AF1151" s="138"/>
      <c r="AG1151" s="63"/>
      <c r="AH1151" s="70">
        <v>509.378699186544</v>
      </c>
      <c r="AI1151" s="121"/>
      <c r="AJ1151" s="121">
        <v>11.6</v>
      </c>
      <c r="AK1151" s="121">
        <v>1.76</v>
      </c>
      <c r="AL1151" s="121">
        <f>(20.8+201.3)/270.8</f>
        <v>0.82016248153618909</v>
      </c>
      <c r="AM1151" s="138"/>
      <c r="AN1151" s="24">
        <f t="shared" si="202"/>
        <v>0</v>
      </c>
      <c r="AO1151" s="353">
        <f t="shared" si="212"/>
        <v>0</v>
      </c>
      <c r="AP1151" s="36">
        <f t="shared" si="219"/>
        <v>0</v>
      </c>
      <c r="AQ1151" s="316"/>
      <c r="AR1151" s="258"/>
      <c r="AS1151" s="138"/>
      <c r="AT1151" s="138"/>
    </row>
    <row r="1152" spans="1:46" ht="12">
      <c r="A1152" s="256" t="s">
        <v>1498</v>
      </c>
      <c r="B1152" s="256" t="str">
        <f t="shared" si="197"/>
        <v>MgO</v>
      </c>
      <c r="C1152" s="32">
        <f t="shared" si="213"/>
        <v>3.59</v>
      </c>
      <c r="D1152" s="279">
        <f t="shared" si="199"/>
        <v>407.50295934923503</v>
      </c>
      <c r="E1152" s="78">
        <f t="shared" si="214"/>
        <v>10.66</v>
      </c>
      <c r="F1152" s="78">
        <f t="shared" si="215"/>
        <v>1.48</v>
      </c>
      <c r="G1152" s="279">
        <f t="shared" si="216"/>
        <v>146.29356240637537</v>
      </c>
      <c r="H1152" s="190">
        <f t="shared" si="217"/>
        <v>0.73198733174980202</v>
      </c>
      <c r="I1152" s="279">
        <f t="shared" si="218"/>
        <v>15594.893752519614</v>
      </c>
      <c r="J1152" s="67"/>
      <c r="K1152" s="67"/>
      <c r="L1152" s="67"/>
      <c r="M1152" s="371"/>
      <c r="N1152" s="309">
        <v>41636</v>
      </c>
      <c r="O1152" s="67">
        <v>392</v>
      </c>
      <c r="P1152" s="67" t="s">
        <v>46</v>
      </c>
      <c r="Q1152" s="67"/>
      <c r="R1152" s="256">
        <v>1</v>
      </c>
      <c r="S1152" s="256">
        <v>800</v>
      </c>
      <c r="T1152" s="256">
        <v>69</v>
      </c>
      <c r="U1152" s="256">
        <v>400</v>
      </c>
      <c r="V1152" s="256">
        <v>8</v>
      </c>
      <c r="W1152" s="256">
        <v>26.5</v>
      </c>
      <c r="X1152" s="256">
        <v>2.5</v>
      </c>
      <c r="Y1152" s="256">
        <v>40</v>
      </c>
      <c r="Z1152" s="306"/>
      <c r="AA1152" s="317"/>
      <c r="AB1152" s="182">
        <v>0.18579999999999999</v>
      </c>
      <c r="AC1152" s="67">
        <v>0.61409999999999998</v>
      </c>
      <c r="AD1152" s="67">
        <v>0.20019999999999999</v>
      </c>
      <c r="AE1152" s="256" t="s">
        <v>47</v>
      </c>
      <c r="AF1152" s="67">
        <v>3.59</v>
      </c>
      <c r="AG1152" s="315"/>
      <c r="AH1152" s="66">
        <v>407.50295934923503</v>
      </c>
      <c r="AI1152" s="216"/>
      <c r="AJ1152" s="216">
        <v>10.66</v>
      </c>
      <c r="AK1152" s="216">
        <v>1.48</v>
      </c>
      <c r="AL1152" s="216">
        <f>(22.2+162.7)/252.6</f>
        <v>0.73198733174980202</v>
      </c>
      <c r="AM1152" s="67"/>
      <c r="AN1152" s="24">
        <f t="shared" si="202"/>
        <v>146.29356240637537</v>
      </c>
      <c r="AO1152" s="389">
        <f t="shared" si="212"/>
        <v>15594.893752519614</v>
      </c>
      <c r="AP1152" s="187">
        <f t="shared" si="219"/>
        <v>3.1217391304347828</v>
      </c>
      <c r="AQ1152" s="371"/>
      <c r="AR1152" s="41"/>
      <c r="AS1152" s="67"/>
      <c r="AT1152" s="67"/>
    </row>
    <row r="1153" spans="1:46" ht="12">
      <c r="A1153" s="83" t="s">
        <v>1499</v>
      </c>
      <c r="B1153" s="83" t="str">
        <f t="shared" si="197"/>
        <v>SiO2</v>
      </c>
      <c r="C1153" s="329">
        <f t="shared" si="213"/>
        <v>0</v>
      </c>
      <c r="D1153" s="168">
        <f t="shared" si="199"/>
        <v>504.56145754800201</v>
      </c>
      <c r="E1153" s="139">
        <f t="shared" si="214"/>
        <v>11.5</v>
      </c>
      <c r="F1153" s="139">
        <f t="shared" si="215"/>
        <v>1.78</v>
      </c>
      <c r="G1153" s="168">
        <f t="shared" si="216"/>
        <v>0</v>
      </c>
      <c r="H1153" s="150">
        <f t="shared" si="217"/>
        <v>0.82552870090634434</v>
      </c>
      <c r="I1153" s="168">
        <f t="shared" si="218"/>
        <v>0</v>
      </c>
      <c r="J1153" s="138"/>
      <c r="K1153" s="138"/>
      <c r="L1153" s="138"/>
      <c r="M1153" s="316"/>
      <c r="N1153" s="135">
        <v>41636</v>
      </c>
      <c r="O1153" s="138">
        <v>392</v>
      </c>
      <c r="P1153" s="138" t="s">
        <v>1182</v>
      </c>
      <c r="Q1153" s="83">
        <v>228.9</v>
      </c>
      <c r="R1153" s="138">
        <v>3</v>
      </c>
      <c r="S1153" s="83">
        <v>800</v>
      </c>
      <c r="T1153" s="83">
        <v>69</v>
      </c>
      <c r="U1153" s="83">
        <v>400</v>
      </c>
      <c r="V1153" s="83">
        <v>8</v>
      </c>
      <c r="W1153" s="83">
        <v>26.5</v>
      </c>
      <c r="X1153" s="83">
        <v>2.5</v>
      </c>
      <c r="Y1153" s="83">
        <v>40</v>
      </c>
      <c r="Z1153" s="240"/>
      <c r="AA1153" s="75"/>
      <c r="AB1153" s="300"/>
      <c r="AC1153" s="138"/>
      <c r="AD1153" s="138"/>
      <c r="AE1153" s="138"/>
      <c r="AF1153" s="138"/>
      <c r="AG1153" s="63"/>
      <c r="AH1153" s="70">
        <v>504.56145754800201</v>
      </c>
      <c r="AI1153" s="121"/>
      <c r="AJ1153" s="121">
        <v>11.5</v>
      </c>
      <c r="AK1153" s="121">
        <v>1.78</v>
      </c>
      <c r="AL1153" s="121">
        <f>(20.7+197.9)/264.8</f>
        <v>0.82552870090634434</v>
      </c>
      <c r="AM1153" s="138"/>
      <c r="AN1153" s="24">
        <f t="shared" si="202"/>
        <v>0</v>
      </c>
      <c r="AO1153" s="353">
        <f t="shared" si="212"/>
        <v>0</v>
      </c>
      <c r="AP1153" s="36">
        <f t="shared" si="219"/>
        <v>0</v>
      </c>
      <c r="AQ1153" s="316"/>
      <c r="AR1153" s="258"/>
      <c r="AS1153" s="138"/>
      <c r="AT1153" s="138"/>
    </row>
    <row r="1154" spans="1:46" ht="12">
      <c r="A1154" s="83" t="s">
        <v>1500</v>
      </c>
      <c r="B1154" s="83" t="str">
        <f t="shared" si="197"/>
        <v>SiO2</v>
      </c>
      <c r="C1154" s="329">
        <f t="shared" si="213"/>
        <v>0</v>
      </c>
      <c r="D1154" s="168">
        <f t="shared" si="199"/>
        <v>491.89389620220697</v>
      </c>
      <c r="E1154" s="139">
        <f t="shared" si="214"/>
        <v>11.64</v>
      </c>
      <c r="F1154" s="139">
        <f t="shared" si="215"/>
        <v>1.69</v>
      </c>
      <c r="G1154" s="168">
        <f t="shared" si="216"/>
        <v>0</v>
      </c>
      <c r="H1154" s="150">
        <f t="shared" si="217"/>
        <v>0.84225019669551549</v>
      </c>
      <c r="I1154" s="168">
        <f t="shared" si="218"/>
        <v>0</v>
      </c>
      <c r="J1154" s="138"/>
      <c r="K1154" s="138"/>
      <c r="L1154" s="138"/>
      <c r="M1154" s="316"/>
      <c r="N1154" s="135">
        <v>41636</v>
      </c>
      <c r="O1154" s="138">
        <v>392</v>
      </c>
      <c r="P1154" s="138" t="s">
        <v>1182</v>
      </c>
      <c r="Q1154" s="83">
        <v>228.9</v>
      </c>
      <c r="R1154" s="138">
        <v>6</v>
      </c>
      <c r="S1154" s="83">
        <v>800</v>
      </c>
      <c r="T1154" s="83">
        <v>69</v>
      </c>
      <c r="U1154" s="83">
        <v>400</v>
      </c>
      <c r="V1154" s="83">
        <v>8</v>
      </c>
      <c r="W1154" s="83">
        <v>26.5</v>
      </c>
      <c r="X1154" s="83">
        <v>2.5</v>
      </c>
      <c r="Y1154" s="83">
        <v>40</v>
      </c>
      <c r="Z1154" s="240"/>
      <c r="AA1154" s="75"/>
      <c r="AB1154" s="300"/>
      <c r="AC1154" s="138"/>
      <c r="AD1154" s="138"/>
      <c r="AE1154" s="138"/>
      <c r="AF1154" s="138"/>
      <c r="AG1154" s="63"/>
      <c r="AH1154" s="70">
        <v>491.89389620220697</v>
      </c>
      <c r="AI1154" s="121"/>
      <c r="AJ1154" s="121">
        <v>11.64</v>
      </c>
      <c r="AK1154" s="121">
        <v>1.69</v>
      </c>
      <c r="AL1154" s="121">
        <f>(21.3+192.8)/254.2</f>
        <v>0.84225019669551549</v>
      </c>
      <c r="AM1154" s="138"/>
      <c r="AN1154" s="24">
        <f t="shared" si="202"/>
        <v>0</v>
      </c>
      <c r="AO1154" s="353">
        <f t="shared" si="212"/>
        <v>0</v>
      </c>
      <c r="AP1154" s="36">
        <f t="shared" si="219"/>
        <v>0</v>
      </c>
      <c r="AQ1154" s="316"/>
      <c r="AR1154" s="258"/>
      <c r="AS1154" s="138"/>
      <c r="AT1154" s="138"/>
    </row>
    <row r="1155" spans="1:46" ht="12">
      <c r="A1155" s="256" t="s">
        <v>1501</v>
      </c>
      <c r="B1155" s="256" t="str">
        <f t="shared" ref="B1155:B1186" si="220">P1155</f>
        <v>MgO</v>
      </c>
      <c r="C1155" s="32">
        <f t="shared" si="213"/>
        <v>3.59</v>
      </c>
      <c r="D1155" s="279">
        <f t="shared" ref="D1155:D1164" si="221">AH1155</f>
        <v>341.66732362249797</v>
      </c>
      <c r="E1155" s="78">
        <f t="shared" si="214"/>
        <v>12.24</v>
      </c>
      <c r="F1155" s="78">
        <f t="shared" si="215"/>
        <v>1.35</v>
      </c>
      <c r="G1155" s="279">
        <f t="shared" si="216"/>
        <v>122.65856918047677</v>
      </c>
      <c r="H1155" s="190">
        <f t="shared" si="217"/>
        <v>0.78806272129489119</v>
      </c>
      <c r="I1155" s="279">
        <f t="shared" si="218"/>
        <v>15013.408867690358</v>
      </c>
      <c r="J1155" s="67"/>
      <c r="K1155" s="67" t="s">
        <v>1502</v>
      </c>
      <c r="L1155" s="67"/>
      <c r="M1155" s="371"/>
      <c r="N1155" s="309">
        <v>41637</v>
      </c>
      <c r="O1155" s="67">
        <v>393</v>
      </c>
      <c r="P1155" s="67" t="s">
        <v>46</v>
      </c>
      <c r="Q1155" s="67"/>
      <c r="R1155" s="256">
        <v>1</v>
      </c>
      <c r="S1155" s="256">
        <v>800</v>
      </c>
      <c r="T1155" s="256">
        <v>69</v>
      </c>
      <c r="U1155" s="256">
        <v>400</v>
      </c>
      <c r="V1155" s="256">
        <v>8</v>
      </c>
      <c r="W1155" s="256">
        <v>26.5</v>
      </c>
      <c r="X1155" s="256">
        <v>2.5</v>
      </c>
      <c r="Y1155" s="256">
        <v>40</v>
      </c>
      <c r="Z1155" s="306"/>
      <c r="AA1155" s="317"/>
      <c r="AB1155" s="182">
        <v>0.18290000000000001</v>
      </c>
      <c r="AC1155" s="67">
        <v>0.61380000000000001</v>
      </c>
      <c r="AD1155" s="67">
        <v>0.20319999999999999</v>
      </c>
      <c r="AE1155" s="256" t="s">
        <v>47</v>
      </c>
      <c r="AF1155" s="67">
        <v>3.59</v>
      </c>
      <c r="AG1155" s="315"/>
      <c r="AH1155" s="66">
        <v>341.66732362249797</v>
      </c>
      <c r="AI1155" s="216"/>
      <c r="AJ1155" s="216">
        <v>12.24</v>
      </c>
      <c r="AK1155" s="216">
        <v>1.35</v>
      </c>
      <c r="AL1155" s="216">
        <f>(22.7+133.1)/197.7</f>
        <v>0.78806272129489119</v>
      </c>
      <c r="AM1155" s="67"/>
      <c r="AN1155" s="24">
        <f t="shared" ref="AN1155:AN1218" si="222">((AH1155*AF1155)/10)</f>
        <v>122.65856918047677</v>
      </c>
      <c r="AO1155" s="389">
        <f t="shared" si="212"/>
        <v>15013.408867690358</v>
      </c>
      <c r="AP1155" s="187">
        <f t="shared" si="219"/>
        <v>3.1217391304347828</v>
      </c>
      <c r="AQ1155" s="371"/>
      <c r="AR1155" s="41"/>
      <c r="AS1155" s="67"/>
      <c r="AT1155" s="67"/>
    </row>
    <row r="1156" spans="1:46" ht="12">
      <c r="A1156" s="83" t="s">
        <v>1503</v>
      </c>
      <c r="B1156" s="83" t="str">
        <f t="shared" si="220"/>
        <v>SiO2</v>
      </c>
      <c r="C1156" s="329">
        <f t="shared" si="213"/>
        <v>0</v>
      </c>
      <c r="D1156" s="168">
        <f t="shared" si="221"/>
        <v>489.21765084746102</v>
      </c>
      <c r="E1156" s="139">
        <f t="shared" si="214"/>
        <v>11.57</v>
      </c>
      <c r="F1156" s="139">
        <f t="shared" si="215"/>
        <v>1.8</v>
      </c>
      <c r="G1156" s="168">
        <f t="shared" si="216"/>
        <v>0</v>
      </c>
      <c r="H1156" s="150">
        <f t="shared" si="217"/>
        <v>0.83934049079754602</v>
      </c>
      <c r="I1156" s="168">
        <f t="shared" si="218"/>
        <v>0</v>
      </c>
      <c r="J1156" s="138"/>
      <c r="K1156" s="359" t="s">
        <v>1502</v>
      </c>
      <c r="L1156" s="138"/>
      <c r="M1156" s="316"/>
      <c r="N1156" s="135">
        <v>41637</v>
      </c>
      <c r="O1156" s="138">
        <v>393</v>
      </c>
      <c r="P1156" s="138" t="s">
        <v>1182</v>
      </c>
      <c r="Q1156" s="83">
        <v>228.9</v>
      </c>
      <c r="R1156" s="138">
        <v>3</v>
      </c>
      <c r="S1156" s="83">
        <v>800</v>
      </c>
      <c r="T1156" s="83">
        <v>69</v>
      </c>
      <c r="U1156" s="83">
        <v>400</v>
      </c>
      <c r="V1156" s="83">
        <v>8</v>
      </c>
      <c r="W1156" s="83">
        <v>26.5</v>
      </c>
      <c r="X1156" s="83">
        <v>2.5</v>
      </c>
      <c r="Y1156" s="83">
        <v>40</v>
      </c>
      <c r="Z1156" s="240"/>
      <c r="AA1156" s="75"/>
      <c r="AB1156" s="300"/>
      <c r="AC1156" s="138"/>
      <c r="AD1156" s="138"/>
      <c r="AE1156" s="138"/>
      <c r="AF1156" s="138"/>
      <c r="AG1156" s="63"/>
      <c r="AH1156" s="70">
        <v>489.21765084746102</v>
      </c>
      <c r="AI1156" s="121"/>
      <c r="AJ1156" s="121">
        <v>11.57</v>
      </c>
      <c r="AK1156" s="121">
        <v>1.8</v>
      </c>
      <c r="AL1156" s="121">
        <f>(20.3+198.6)/260.8</f>
        <v>0.83934049079754602</v>
      </c>
      <c r="AM1156" s="138"/>
      <c r="AN1156" s="24">
        <f t="shared" si="222"/>
        <v>0</v>
      </c>
      <c r="AO1156" s="353">
        <f t="shared" si="212"/>
        <v>0</v>
      </c>
      <c r="AP1156" s="36">
        <f t="shared" si="219"/>
        <v>0</v>
      </c>
      <c r="AQ1156" s="316"/>
      <c r="AR1156" s="258"/>
      <c r="AS1156" s="138"/>
      <c r="AT1156" s="138"/>
    </row>
    <row r="1157" spans="1:46" ht="12">
      <c r="A1157" s="83" t="s">
        <v>1504</v>
      </c>
      <c r="B1157" s="83" t="str">
        <f t="shared" si="220"/>
        <v>SiO2</v>
      </c>
      <c r="C1157" s="329">
        <f t="shared" si="213"/>
        <v>0</v>
      </c>
      <c r="D1157" s="168">
        <f t="shared" si="221"/>
        <v>485.47090735081798</v>
      </c>
      <c r="E1157" s="139">
        <f t="shared" si="214"/>
        <v>11.48</v>
      </c>
      <c r="F1157" s="139">
        <f t="shared" si="215"/>
        <v>1.66</v>
      </c>
      <c r="G1157" s="168">
        <f t="shared" si="216"/>
        <v>0</v>
      </c>
      <c r="H1157" s="150">
        <f t="shared" si="217"/>
        <v>0.83314020857473936</v>
      </c>
      <c r="I1157" s="168">
        <f t="shared" si="218"/>
        <v>0</v>
      </c>
      <c r="J1157" s="138"/>
      <c r="K1157" s="359" t="s">
        <v>1502</v>
      </c>
      <c r="L1157" s="138"/>
      <c r="M1157" s="316"/>
      <c r="N1157" s="135">
        <v>41637</v>
      </c>
      <c r="O1157" s="138">
        <v>393</v>
      </c>
      <c r="P1157" s="138" t="s">
        <v>1182</v>
      </c>
      <c r="Q1157" s="83">
        <v>228.9</v>
      </c>
      <c r="R1157" s="138">
        <v>6</v>
      </c>
      <c r="S1157" s="83">
        <v>800</v>
      </c>
      <c r="T1157" s="83">
        <v>69</v>
      </c>
      <c r="U1157" s="83">
        <v>400</v>
      </c>
      <c r="V1157" s="83">
        <v>8</v>
      </c>
      <c r="W1157" s="83">
        <v>26.5</v>
      </c>
      <c r="X1157" s="83">
        <v>2.5</v>
      </c>
      <c r="Y1157" s="83">
        <v>40</v>
      </c>
      <c r="Z1157" s="240"/>
      <c r="AA1157" s="75"/>
      <c r="AB1157" s="300"/>
      <c r="AC1157" s="138"/>
      <c r="AD1157" s="138"/>
      <c r="AE1157" s="138"/>
      <c r="AF1157" s="138"/>
      <c r="AG1157" s="63"/>
      <c r="AH1157" s="70">
        <v>485.47090735081798</v>
      </c>
      <c r="AI1157" s="121"/>
      <c r="AJ1157" s="121">
        <v>11.48</v>
      </c>
      <c r="AK1157" s="121">
        <v>1.66</v>
      </c>
      <c r="AL1157" s="121">
        <f>(20.6+195.1)/258.9</f>
        <v>0.83314020857473936</v>
      </c>
      <c r="AM1157" s="138"/>
      <c r="AN1157" s="24">
        <f t="shared" si="222"/>
        <v>0</v>
      </c>
      <c r="AO1157" s="353">
        <f t="shared" si="212"/>
        <v>0</v>
      </c>
      <c r="AP1157" s="36">
        <f t="shared" si="219"/>
        <v>0</v>
      </c>
      <c r="AQ1157" s="316"/>
      <c r="AR1157" s="258"/>
      <c r="AS1157" s="138"/>
      <c r="AT1157" s="138"/>
    </row>
    <row r="1158" spans="1:46" ht="12">
      <c r="A1158" s="256" t="s">
        <v>1505</v>
      </c>
      <c r="B1158" s="256" t="str">
        <f t="shared" si="220"/>
        <v>MgO</v>
      </c>
      <c r="C1158" s="32">
        <f t="shared" si="213"/>
        <v>3.65</v>
      </c>
      <c r="D1158" s="279">
        <f t="shared" si="221"/>
        <v>342.38098905043</v>
      </c>
      <c r="E1158" s="78">
        <f t="shared" si="214"/>
        <v>12.16</v>
      </c>
      <c r="F1158" s="78">
        <f t="shared" si="215"/>
        <v>1.35</v>
      </c>
      <c r="G1158" s="279">
        <f t="shared" si="216"/>
        <v>124.96906100340695</v>
      </c>
      <c r="H1158" s="190">
        <f t="shared" si="217"/>
        <v>0.78626345463864689</v>
      </c>
      <c r="I1158" s="279">
        <f t="shared" si="218"/>
        <v>15196.237818014286</v>
      </c>
      <c r="J1158" s="67"/>
      <c r="K1158" s="67" t="s">
        <v>1506</v>
      </c>
      <c r="L1158" s="67"/>
      <c r="M1158" s="371"/>
      <c r="N1158" s="309">
        <v>41638</v>
      </c>
      <c r="O1158" s="67">
        <v>394</v>
      </c>
      <c r="P1158" s="67" t="s">
        <v>46</v>
      </c>
      <c r="Q1158" s="67"/>
      <c r="R1158" s="256">
        <v>1</v>
      </c>
      <c r="S1158" s="256">
        <v>800</v>
      </c>
      <c r="T1158" s="256">
        <v>69</v>
      </c>
      <c r="U1158" s="256">
        <v>400</v>
      </c>
      <c r="V1158" s="256">
        <v>8</v>
      </c>
      <c r="W1158" s="256">
        <v>26.5</v>
      </c>
      <c r="X1158" s="256">
        <v>2.5</v>
      </c>
      <c r="Y1158" s="256">
        <v>40</v>
      </c>
      <c r="Z1158" s="306"/>
      <c r="AA1158" s="317"/>
      <c r="AB1158" s="182">
        <v>0.18959999999999999</v>
      </c>
      <c r="AC1158" s="67">
        <v>0.61099999999999999</v>
      </c>
      <c r="AD1158" s="67">
        <v>0.1993</v>
      </c>
      <c r="AE1158" s="256" t="s">
        <v>47</v>
      </c>
      <c r="AF1158" s="67">
        <v>3.65</v>
      </c>
      <c r="AG1158" s="315"/>
      <c r="AH1158" s="66">
        <v>342.38098905043</v>
      </c>
      <c r="AI1158" s="216"/>
      <c r="AJ1158" s="216">
        <v>12.16</v>
      </c>
      <c r="AK1158" s="216">
        <v>1.35</v>
      </c>
      <c r="AL1158" s="216">
        <f>(22.5+130.9)/195.1</f>
        <v>0.78626345463864689</v>
      </c>
      <c r="AM1158" s="67"/>
      <c r="AN1158" s="24">
        <f t="shared" si="222"/>
        <v>124.96906100340695</v>
      </c>
      <c r="AO1158" s="389">
        <f t="shared" si="212"/>
        <v>15196.237818014286</v>
      </c>
      <c r="AP1158" s="187">
        <f t="shared" si="219"/>
        <v>3.1739130434782608</v>
      </c>
      <c r="AQ1158" s="371"/>
      <c r="AR1158" s="41"/>
      <c r="AS1158" s="67"/>
      <c r="AT1158" s="67"/>
    </row>
    <row r="1159" spans="1:46" ht="12">
      <c r="A1159" s="83" t="s">
        <v>1507</v>
      </c>
      <c r="B1159" s="83" t="str">
        <f t="shared" si="220"/>
        <v>SiO2</v>
      </c>
      <c r="C1159" s="329">
        <f t="shared" si="213"/>
        <v>0</v>
      </c>
      <c r="D1159" s="168">
        <f t="shared" si="221"/>
        <v>480.65366571227599</v>
      </c>
      <c r="E1159" s="139">
        <f t="shared" si="214"/>
        <v>11.54</v>
      </c>
      <c r="F1159" s="139">
        <f t="shared" si="215"/>
        <v>1.68</v>
      </c>
      <c r="G1159" s="168">
        <f t="shared" si="216"/>
        <v>0</v>
      </c>
      <c r="H1159" s="150">
        <f t="shared" si="217"/>
        <v>0.84639621898385176</v>
      </c>
      <c r="I1159" s="168">
        <f t="shared" si="218"/>
        <v>0</v>
      </c>
      <c r="J1159" s="138"/>
      <c r="K1159" s="138" t="s">
        <v>1506</v>
      </c>
      <c r="L1159" s="138"/>
      <c r="M1159" s="316"/>
      <c r="N1159" s="135">
        <v>41638</v>
      </c>
      <c r="O1159" s="138">
        <v>394</v>
      </c>
      <c r="P1159" s="138" t="s">
        <v>1182</v>
      </c>
      <c r="Q1159" s="83">
        <v>228.9</v>
      </c>
      <c r="R1159" s="138">
        <v>3</v>
      </c>
      <c r="S1159" s="83">
        <v>800</v>
      </c>
      <c r="T1159" s="83">
        <v>69</v>
      </c>
      <c r="U1159" s="83">
        <v>400</v>
      </c>
      <c r="V1159" s="83">
        <v>8</v>
      </c>
      <c r="W1159" s="83">
        <v>26.5</v>
      </c>
      <c r="X1159" s="83">
        <v>2.5</v>
      </c>
      <c r="Y1159" s="83">
        <v>40</v>
      </c>
      <c r="Z1159" s="240"/>
      <c r="AA1159" s="75"/>
      <c r="AB1159" s="300"/>
      <c r="AC1159" s="138"/>
      <c r="AD1159" s="138"/>
      <c r="AE1159" s="138"/>
      <c r="AF1159" s="138"/>
      <c r="AG1159" s="63"/>
      <c r="AH1159" s="70">
        <v>480.65366571227599</v>
      </c>
      <c r="AI1159" s="121"/>
      <c r="AJ1159" s="121">
        <v>11.54</v>
      </c>
      <c r="AK1159" s="121">
        <v>1.68</v>
      </c>
      <c r="AL1159" s="121">
        <f>(21.7+193.2)/253.9</f>
        <v>0.84639621898385176</v>
      </c>
      <c r="AM1159" s="138"/>
      <c r="AN1159" s="24">
        <f t="shared" si="222"/>
        <v>0</v>
      </c>
      <c r="AO1159" s="353">
        <f t="shared" si="212"/>
        <v>0</v>
      </c>
      <c r="AP1159" s="36">
        <f t="shared" si="219"/>
        <v>0</v>
      </c>
      <c r="AQ1159" s="316"/>
      <c r="AR1159" s="258"/>
      <c r="AS1159" s="138"/>
      <c r="AT1159" s="138"/>
    </row>
    <row r="1160" spans="1:46" ht="12">
      <c r="A1160" s="83" t="s">
        <v>1508</v>
      </c>
      <c r="B1160" s="83" t="str">
        <f t="shared" si="220"/>
        <v>SiO2</v>
      </c>
      <c r="C1160" s="329">
        <f t="shared" si="213"/>
        <v>0</v>
      </c>
      <c r="D1160" s="168">
        <f t="shared" si="221"/>
        <v>461.20628280112601</v>
      </c>
      <c r="E1160" s="139">
        <f t="shared" si="214"/>
        <v>11.65</v>
      </c>
      <c r="F1160" s="139">
        <f t="shared" si="215"/>
        <v>1.69</v>
      </c>
      <c r="G1160" s="168">
        <f t="shared" si="216"/>
        <v>0</v>
      </c>
      <c r="H1160" s="150">
        <f t="shared" si="217"/>
        <v>0.84510978043912177</v>
      </c>
      <c r="I1160" s="168">
        <f t="shared" si="218"/>
        <v>0</v>
      </c>
      <c r="J1160" s="138"/>
      <c r="K1160" s="138" t="s">
        <v>1506</v>
      </c>
      <c r="L1160" s="138"/>
      <c r="M1160" s="316"/>
      <c r="N1160" s="135">
        <v>41638</v>
      </c>
      <c r="O1160" s="138">
        <v>394</v>
      </c>
      <c r="P1160" s="138" t="s">
        <v>1182</v>
      </c>
      <c r="Q1160" s="83">
        <v>228.9</v>
      </c>
      <c r="R1160" s="138">
        <v>6</v>
      </c>
      <c r="S1160" s="83">
        <v>800</v>
      </c>
      <c r="T1160" s="83">
        <v>69</v>
      </c>
      <c r="U1160" s="83">
        <v>400</v>
      </c>
      <c r="V1160" s="83">
        <v>8</v>
      </c>
      <c r="W1160" s="83">
        <v>26.5</v>
      </c>
      <c r="X1160" s="83">
        <v>2.5</v>
      </c>
      <c r="Y1160" s="83">
        <v>40</v>
      </c>
      <c r="Z1160" s="240"/>
      <c r="AA1160" s="75"/>
      <c r="AB1160" s="300"/>
      <c r="AC1160" s="138"/>
      <c r="AD1160" s="138"/>
      <c r="AE1160" s="138"/>
      <c r="AF1160" s="138"/>
      <c r="AG1160" s="63"/>
      <c r="AH1160" s="70">
        <v>461.20628280112601</v>
      </c>
      <c r="AI1160" s="121"/>
      <c r="AJ1160" s="121">
        <v>11.65</v>
      </c>
      <c r="AK1160" s="121">
        <v>1.69</v>
      </c>
      <c r="AL1160" s="121">
        <f>(20.9+190.8)/250.5</f>
        <v>0.84510978043912177</v>
      </c>
      <c r="AM1160" s="138"/>
      <c r="AN1160" s="24">
        <f t="shared" si="222"/>
        <v>0</v>
      </c>
      <c r="AO1160" s="353">
        <f t="shared" si="212"/>
        <v>0</v>
      </c>
      <c r="AP1160" s="36">
        <f t="shared" si="219"/>
        <v>0</v>
      </c>
      <c r="AQ1160" s="316"/>
      <c r="AR1160" s="258"/>
      <c r="AS1160" s="138"/>
      <c r="AT1160" s="138"/>
    </row>
    <row r="1161" spans="1:46" ht="12">
      <c r="A1161" s="256" t="s">
        <v>1509</v>
      </c>
      <c r="B1161" s="256" t="str">
        <f t="shared" si="220"/>
        <v>Al2O3</v>
      </c>
      <c r="C1161" s="32">
        <f t="shared" si="213"/>
        <v>0</v>
      </c>
      <c r="D1161" s="279">
        <f t="shared" si="221"/>
        <v>966.30298942007698</v>
      </c>
      <c r="E1161" s="78">
        <f t="shared" si="214"/>
        <v>0</v>
      </c>
      <c r="F1161" s="78">
        <f t="shared" si="215"/>
        <v>0</v>
      </c>
      <c r="G1161" s="279">
        <f t="shared" si="216"/>
        <v>0</v>
      </c>
      <c r="H1161" s="190">
        <f t="shared" si="217"/>
        <v>0.95799999999999996</v>
      </c>
      <c r="I1161" s="279">
        <f t="shared" si="218"/>
        <v>0</v>
      </c>
      <c r="J1161" s="67"/>
      <c r="K1161" s="67" t="s">
        <v>1510</v>
      </c>
      <c r="L1161" s="67"/>
      <c r="M1161" s="371"/>
      <c r="N1161" s="309">
        <v>41639</v>
      </c>
      <c r="O1161" s="67">
        <v>395</v>
      </c>
      <c r="P1161" s="67" t="s">
        <v>622</v>
      </c>
      <c r="Q1161" s="67"/>
      <c r="R1161" s="67">
        <v>3</v>
      </c>
      <c r="S1161" s="67" t="s">
        <v>659</v>
      </c>
      <c r="T1161" s="67">
        <v>90</v>
      </c>
      <c r="U1161" s="67" t="s">
        <v>1511</v>
      </c>
      <c r="V1161" s="67">
        <v>0</v>
      </c>
      <c r="W1161" s="67">
        <v>30</v>
      </c>
      <c r="X1161" s="67">
        <v>2.5</v>
      </c>
      <c r="Y1161" s="67">
        <v>40</v>
      </c>
      <c r="Z1161" s="67"/>
      <c r="AA1161" s="159"/>
      <c r="AB1161" s="182"/>
      <c r="AC1161" s="67"/>
      <c r="AD1161" s="67"/>
      <c r="AE1161" s="256"/>
      <c r="AF1161" s="67"/>
      <c r="AG1161" s="315"/>
      <c r="AH1161" s="66">
        <v>966.30298942007698</v>
      </c>
      <c r="AI1161" s="216"/>
      <c r="AJ1161" s="216"/>
      <c r="AK1161" s="216"/>
      <c r="AL1161" s="216">
        <v>0.95799999999999996</v>
      </c>
      <c r="AM1161" s="67"/>
      <c r="AN1161" s="24">
        <f t="shared" si="222"/>
        <v>0</v>
      </c>
      <c r="AO1161" s="389">
        <f t="shared" si="212"/>
        <v>0</v>
      </c>
      <c r="AP1161" s="187">
        <f t="shared" si="219"/>
        <v>0</v>
      </c>
      <c r="AQ1161" s="371"/>
      <c r="AR1161" s="41"/>
      <c r="AS1161" s="67"/>
      <c r="AT1161" s="67"/>
    </row>
    <row r="1162" spans="1:46" ht="12">
      <c r="A1162" s="256" t="s">
        <v>1512</v>
      </c>
      <c r="B1162" s="256" t="str">
        <f t="shared" si="220"/>
        <v>Al2O3</v>
      </c>
      <c r="C1162" s="32">
        <f t="shared" si="213"/>
        <v>0</v>
      </c>
      <c r="D1162" s="279">
        <f t="shared" si="221"/>
        <v>969.51448384577202</v>
      </c>
      <c r="E1162" s="78">
        <f t="shared" si="214"/>
        <v>0</v>
      </c>
      <c r="F1162" s="78">
        <f t="shared" si="215"/>
        <v>0</v>
      </c>
      <c r="G1162" s="279">
        <f t="shared" si="216"/>
        <v>0</v>
      </c>
      <c r="H1162" s="190">
        <f t="shared" si="217"/>
        <v>0</v>
      </c>
      <c r="I1162" s="279">
        <f t="shared" si="218"/>
        <v>0</v>
      </c>
      <c r="J1162" s="67"/>
      <c r="K1162" s="67"/>
      <c r="L1162" s="67"/>
      <c r="M1162" s="371"/>
      <c r="N1162" s="309">
        <v>41639</v>
      </c>
      <c r="O1162" s="67">
        <v>395</v>
      </c>
      <c r="P1162" s="67" t="s">
        <v>622</v>
      </c>
      <c r="Q1162" s="67"/>
      <c r="R1162" s="67">
        <v>6</v>
      </c>
      <c r="S1162" s="67" t="s">
        <v>659</v>
      </c>
      <c r="T1162" s="67">
        <v>90</v>
      </c>
      <c r="U1162" s="67" t="s">
        <v>1511</v>
      </c>
      <c r="V1162" s="67">
        <v>0</v>
      </c>
      <c r="W1162" s="67">
        <v>30</v>
      </c>
      <c r="X1162" s="67">
        <v>2.5</v>
      </c>
      <c r="Y1162" s="67">
        <v>40</v>
      </c>
      <c r="Z1162" s="67"/>
      <c r="AA1162" s="159"/>
      <c r="AB1162" s="182"/>
      <c r="AC1162" s="67"/>
      <c r="AD1162" s="67"/>
      <c r="AE1162" s="67"/>
      <c r="AF1162" s="67"/>
      <c r="AG1162" s="315"/>
      <c r="AH1162" s="66">
        <v>969.51448384577202</v>
      </c>
      <c r="AI1162" s="216"/>
      <c r="AJ1162" s="216"/>
      <c r="AK1162" s="216"/>
      <c r="AL1162" s="216"/>
      <c r="AM1162" s="67"/>
      <c r="AN1162" s="24">
        <f t="shared" si="222"/>
        <v>0</v>
      </c>
      <c r="AO1162" s="389">
        <f t="shared" si="212"/>
        <v>0</v>
      </c>
      <c r="AP1162" s="187">
        <f t="shared" si="219"/>
        <v>0</v>
      </c>
      <c r="AQ1162" s="371"/>
      <c r="AR1162" s="41"/>
      <c r="AS1162" s="67"/>
      <c r="AT1162" s="67"/>
    </row>
    <row r="1163" spans="1:46" ht="12">
      <c r="A1163" s="256" t="s">
        <v>1513</v>
      </c>
      <c r="B1163" s="256" t="str">
        <f t="shared" si="220"/>
        <v>MgO</v>
      </c>
      <c r="C1163" s="32">
        <f t="shared" si="213"/>
        <v>0</v>
      </c>
      <c r="D1163" s="279">
        <f t="shared" si="221"/>
        <v>0</v>
      </c>
      <c r="E1163" s="78">
        <f t="shared" si="214"/>
        <v>0</v>
      </c>
      <c r="F1163" s="78">
        <f t="shared" si="215"/>
        <v>0</v>
      </c>
      <c r="G1163" s="279">
        <f t="shared" si="216"/>
        <v>0</v>
      </c>
      <c r="H1163" s="190">
        <f t="shared" si="217"/>
        <v>0</v>
      </c>
      <c r="I1163" s="279">
        <f t="shared" si="218"/>
        <v>0</v>
      </c>
      <c r="J1163" s="67"/>
      <c r="K1163" s="67" t="s">
        <v>1514</v>
      </c>
      <c r="L1163" s="67"/>
      <c r="M1163" s="371"/>
      <c r="N1163" s="309">
        <v>41652</v>
      </c>
      <c r="O1163" s="67">
        <v>397</v>
      </c>
      <c r="P1163" s="67" t="s">
        <v>46</v>
      </c>
      <c r="Q1163" s="67"/>
      <c r="R1163" s="256">
        <v>3</v>
      </c>
      <c r="S1163" s="256" t="s">
        <v>659</v>
      </c>
      <c r="T1163" s="256">
        <v>69</v>
      </c>
      <c r="U1163" s="256">
        <v>400</v>
      </c>
      <c r="V1163" s="256">
        <v>8</v>
      </c>
      <c r="W1163" s="256">
        <v>26.5</v>
      </c>
      <c r="X1163" s="256">
        <v>2.5</v>
      </c>
      <c r="Y1163" s="256">
        <v>40</v>
      </c>
      <c r="Z1163" s="306"/>
      <c r="AA1163" s="317"/>
      <c r="AB1163" s="182"/>
      <c r="AC1163" s="67"/>
      <c r="AD1163" s="67"/>
      <c r="AE1163" s="67"/>
      <c r="AF1163" s="67"/>
      <c r="AG1163" s="315"/>
      <c r="AH1163" s="66"/>
      <c r="AI1163" s="216"/>
      <c r="AJ1163" s="216"/>
      <c r="AK1163" s="216"/>
      <c r="AL1163" s="216"/>
      <c r="AM1163" s="67"/>
      <c r="AN1163" s="24">
        <f t="shared" si="222"/>
        <v>0</v>
      </c>
      <c r="AO1163" s="389">
        <f t="shared" si="212"/>
        <v>0</v>
      </c>
      <c r="AP1163" s="187">
        <f t="shared" si="219"/>
        <v>0</v>
      </c>
      <c r="AQ1163" s="371"/>
      <c r="AR1163" s="41"/>
      <c r="AS1163" s="67"/>
      <c r="AT1163" s="67"/>
    </row>
    <row r="1164" spans="1:46" ht="12">
      <c r="A1164" s="256" t="s">
        <v>1515</v>
      </c>
      <c r="B1164" s="256" t="str">
        <f t="shared" si="220"/>
        <v>MgO</v>
      </c>
      <c r="C1164" s="32">
        <f t="shared" si="213"/>
        <v>0</v>
      </c>
      <c r="D1164" s="279">
        <f t="shared" si="221"/>
        <v>0</v>
      </c>
      <c r="E1164" s="78">
        <f t="shared" si="214"/>
        <v>0</v>
      </c>
      <c r="F1164" s="78">
        <f t="shared" si="215"/>
        <v>0</v>
      </c>
      <c r="G1164" s="279">
        <f t="shared" si="216"/>
        <v>0</v>
      </c>
      <c r="H1164" s="190">
        <f t="shared" si="217"/>
        <v>0</v>
      </c>
      <c r="I1164" s="279">
        <f t="shared" si="218"/>
        <v>0</v>
      </c>
      <c r="J1164" s="67"/>
      <c r="K1164" s="67" t="s">
        <v>1514</v>
      </c>
      <c r="L1164" s="67"/>
      <c r="M1164" s="371"/>
      <c r="N1164" s="309">
        <v>41652</v>
      </c>
      <c r="O1164" s="67">
        <v>397</v>
      </c>
      <c r="P1164" s="67" t="s">
        <v>46</v>
      </c>
      <c r="Q1164" s="67"/>
      <c r="R1164" s="256">
        <v>6</v>
      </c>
      <c r="S1164" s="256" t="s">
        <v>659</v>
      </c>
      <c r="T1164" s="256">
        <v>69</v>
      </c>
      <c r="U1164" s="256">
        <v>400</v>
      </c>
      <c r="V1164" s="256">
        <v>8</v>
      </c>
      <c r="W1164" s="256">
        <v>26.5</v>
      </c>
      <c r="X1164" s="256">
        <v>2.5</v>
      </c>
      <c r="Y1164" s="256">
        <v>40</v>
      </c>
      <c r="Z1164" s="306"/>
      <c r="AA1164" s="317"/>
      <c r="AB1164" s="182"/>
      <c r="AC1164" s="67"/>
      <c r="AD1164" s="67"/>
      <c r="AE1164" s="67"/>
      <c r="AF1164" s="67"/>
      <c r="AG1164" s="315"/>
      <c r="AH1164" s="66"/>
      <c r="AI1164" s="216"/>
      <c r="AJ1164" s="216"/>
      <c r="AK1164" s="216"/>
      <c r="AL1164" s="216"/>
      <c r="AM1164" s="67"/>
      <c r="AN1164" s="24">
        <f t="shared" si="222"/>
        <v>0</v>
      </c>
      <c r="AO1164" s="389">
        <f t="shared" si="212"/>
        <v>0</v>
      </c>
      <c r="AP1164" s="187">
        <f t="shared" si="219"/>
        <v>0</v>
      </c>
      <c r="AQ1164" s="371"/>
      <c r="AR1164" s="41"/>
      <c r="AS1164" s="67"/>
      <c r="AT1164" s="67"/>
    </row>
    <row r="1165" spans="1:46" ht="12">
      <c r="A1165" s="256" t="s">
        <v>1516</v>
      </c>
      <c r="B1165" s="256" t="str">
        <f t="shared" si="220"/>
        <v>MgO</v>
      </c>
      <c r="C1165" s="329">
        <f t="shared" si="213"/>
        <v>0</v>
      </c>
      <c r="D1165" s="168">
        <f>AJ1165</f>
        <v>15.4</v>
      </c>
      <c r="E1165" s="139">
        <f>AL1165</f>
        <v>0.8</v>
      </c>
      <c r="F1165" s="139">
        <f t="shared" ref="F1165:F1186" si="223">AK1165</f>
        <v>1.37</v>
      </c>
      <c r="G1165" s="168">
        <f t="shared" si="216"/>
        <v>0</v>
      </c>
      <c r="H1165" s="150">
        <f t="shared" si="217"/>
        <v>0.8</v>
      </c>
      <c r="I1165" s="168">
        <f t="shared" si="218"/>
        <v>0</v>
      </c>
      <c r="J1165" s="81"/>
      <c r="K1165" s="81" t="s">
        <v>1517</v>
      </c>
      <c r="L1165" s="81"/>
      <c r="M1165" s="52"/>
      <c r="N1165" s="336">
        <v>41654</v>
      </c>
      <c r="O1165" s="81">
        <v>398</v>
      </c>
      <c r="P1165" s="81" t="s">
        <v>46</v>
      </c>
      <c r="Q1165" s="81"/>
      <c r="R1165" s="256">
        <v>3</v>
      </c>
      <c r="S1165" s="256">
        <v>800</v>
      </c>
      <c r="T1165" s="256">
        <v>600</v>
      </c>
      <c r="U1165" s="256">
        <v>400</v>
      </c>
      <c r="V1165" s="256">
        <v>8</v>
      </c>
      <c r="W1165" s="256">
        <v>30</v>
      </c>
      <c r="X1165" s="256">
        <v>2.5</v>
      </c>
      <c r="Y1165" s="256">
        <v>40</v>
      </c>
      <c r="Z1165" s="81"/>
      <c r="AA1165" s="234"/>
      <c r="AB1165" s="199"/>
      <c r="AC1165" s="81"/>
      <c r="AD1165" s="81"/>
      <c r="AE1165" s="81"/>
      <c r="AF1165" s="81"/>
      <c r="AG1165" s="33"/>
      <c r="AH1165" s="401">
        <v>34.0775241837582</v>
      </c>
      <c r="AI1165" s="50"/>
      <c r="AJ1165" s="343">
        <v>15.4</v>
      </c>
      <c r="AK1165" s="20">
        <v>1.37</v>
      </c>
      <c r="AL1165" s="141">
        <v>0.8</v>
      </c>
      <c r="AM1165" s="81"/>
      <c r="AN1165" s="24">
        <f t="shared" si="222"/>
        <v>0</v>
      </c>
      <c r="AO1165" s="189">
        <f>(AF1165*AJ1165)*AL1165</f>
        <v>0</v>
      </c>
      <c r="AP1165" s="184">
        <f t="shared" si="219"/>
        <v>0</v>
      </c>
      <c r="AQ1165" s="52"/>
      <c r="AR1165" s="357"/>
      <c r="AS1165" s="81"/>
      <c r="AT1165" s="81"/>
    </row>
    <row r="1166" spans="1:46" ht="12">
      <c r="A1166" s="256" t="s">
        <v>1518</v>
      </c>
      <c r="B1166" s="256" t="str">
        <f t="shared" si="220"/>
        <v>Al2O3</v>
      </c>
      <c r="C1166" s="329">
        <f t="shared" si="213"/>
        <v>0</v>
      </c>
      <c r="D1166" s="168">
        <f t="shared" ref="D1166:D1186" si="224">AH1166</f>
        <v>25.513539048572898</v>
      </c>
      <c r="E1166" s="139">
        <f t="shared" ref="E1166:E1186" si="225">AJ1166</f>
        <v>14.8</v>
      </c>
      <c r="F1166" s="139">
        <f t="shared" si="223"/>
        <v>0.1</v>
      </c>
      <c r="G1166" s="168">
        <f t="shared" si="216"/>
        <v>0</v>
      </c>
      <c r="H1166" s="150">
        <f t="shared" si="217"/>
        <v>1.2</v>
      </c>
      <c r="I1166" s="168">
        <f t="shared" si="218"/>
        <v>0</v>
      </c>
      <c r="J1166" s="81"/>
      <c r="K1166" s="81" t="s">
        <v>1517</v>
      </c>
      <c r="L1166" s="81"/>
      <c r="M1166" s="52"/>
      <c r="N1166" s="336">
        <v>41654</v>
      </c>
      <c r="O1166" s="81">
        <v>398</v>
      </c>
      <c r="P1166" s="81" t="s">
        <v>622</v>
      </c>
      <c r="Q1166" s="81"/>
      <c r="R1166" s="256">
        <v>6</v>
      </c>
      <c r="S1166" s="256">
        <v>800</v>
      </c>
      <c r="T1166" s="256">
        <v>600</v>
      </c>
      <c r="U1166" s="256">
        <v>400</v>
      </c>
      <c r="V1166" s="256">
        <v>8</v>
      </c>
      <c r="W1166" s="256">
        <v>30</v>
      </c>
      <c r="X1166" s="256">
        <v>2.5</v>
      </c>
      <c r="Y1166" s="256">
        <v>40</v>
      </c>
      <c r="Z1166" s="81"/>
      <c r="AA1166" s="234"/>
      <c r="AB1166" s="199"/>
      <c r="AC1166" s="81"/>
      <c r="AD1166" s="81"/>
      <c r="AE1166" s="81"/>
      <c r="AF1166" s="81"/>
      <c r="AG1166" s="95"/>
      <c r="AH1166" s="97">
        <v>25.513539048572898</v>
      </c>
      <c r="AI1166" s="20"/>
      <c r="AJ1166" s="20">
        <v>14.8</v>
      </c>
      <c r="AK1166" s="20">
        <v>0.1</v>
      </c>
      <c r="AL1166" s="20">
        <v>1.2</v>
      </c>
      <c r="AM1166" s="81"/>
      <c r="AN1166" s="24">
        <f t="shared" si="222"/>
        <v>0</v>
      </c>
      <c r="AO1166" s="189">
        <f t="shared" ref="AO1166:AO1186" si="226">(AF1166*AH1166)*AJ1166</f>
        <v>0</v>
      </c>
      <c r="AP1166" s="184">
        <f t="shared" si="219"/>
        <v>0</v>
      </c>
      <c r="AQ1166" s="52"/>
      <c r="AR1166" s="357"/>
      <c r="AS1166" s="81"/>
      <c r="AT1166" s="81"/>
    </row>
    <row r="1167" spans="1:46" ht="24">
      <c r="A1167" s="257" t="s">
        <v>1519</v>
      </c>
      <c r="B1167" s="257" t="str">
        <f t="shared" si="220"/>
        <v>SiNx</v>
      </c>
      <c r="C1167" s="280">
        <f t="shared" si="213"/>
        <v>0</v>
      </c>
      <c r="D1167" s="183">
        <f t="shared" si="224"/>
        <v>104.373568835071</v>
      </c>
      <c r="E1167" s="96" t="str">
        <f t="shared" si="225"/>
        <v>&lt;8</v>
      </c>
      <c r="F1167" s="96" t="str">
        <f t="shared" si="223"/>
        <v>n/a</v>
      </c>
      <c r="G1167" s="183">
        <f t="shared" si="216"/>
        <v>0</v>
      </c>
      <c r="H1167" s="215">
        <f t="shared" si="217"/>
        <v>1.25</v>
      </c>
      <c r="I1167" s="183" t="e">
        <f t="shared" si="218"/>
        <v>#VALUE!</v>
      </c>
      <c r="J1167" s="257"/>
      <c r="K1167" s="257" t="s">
        <v>1520</v>
      </c>
      <c r="L1167" s="257"/>
      <c r="M1167" s="269"/>
      <c r="N1167" s="175">
        <v>41656</v>
      </c>
      <c r="O1167" s="257">
        <v>399</v>
      </c>
      <c r="P1167" s="257" t="s">
        <v>187</v>
      </c>
      <c r="Q1167" s="257" t="s">
        <v>1478</v>
      </c>
      <c r="R1167" s="257">
        <v>3</v>
      </c>
      <c r="S1167" s="257" t="s">
        <v>659</v>
      </c>
      <c r="T1167" s="257">
        <v>69</v>
      </c>
      <c r="U1167" s="257">
        <v>400</v>
      </c>
      <c r="V1167" s="257">
        <v>0</v>
      </c>
      <c r="W1167" s="257">
        <v>26.5</v>
      </c>
      <c r="X1167" s="257">
        <v>2.5</v>
      </c>
      <c r="Y1167" s="257">
        <v>40</v>
      </c>
      <c r="Z1167" s="257"/>
      <c r="AA1167" s="164"/>
      <c r="AB1167" s="289"/>
      <c r="AC1167" s="257"/>
      <c r="AD1167" s="257"/>
      <c r="AE1167" s="257"/>
      <c r="AF1167" s="257"/>
      <c r="AG1167" s="114"/>
      <c r="AH1167" s="266">
        <v>104.373568835071</v>
      </c>
      <c r="AI1167" s="96"/>
      <c r="AJ1167" s="96" t="s">
        <v>1521</v>
      </c>
      <c r="AK1167" s="96" t="s">
        <v>1511</v>
      </c>
      <c r="AL1167" s="96">
        <v>1.25</v>
      </c>
      <c r="AM1167" s="257"/>
      <c r="AN1167" s="24">
        <f t="shared" si="222"/>
        <v>0</v>
      </c>
      <c r="AO1167" s="188" t="e">
        <f t="shared" si="226"/>
        <v>#VALUE!</v>
      </c>
      <c r="AP1167" s="254">
        <f t="shared" si="219"/>
        <v>0</v>
      </c>
      <c r="AQ1167" s="269"/>
      <c r="AR1167" s="179"/>
      <c r="AS1167" s="257"/>
      <c r="AT1167" s="257"/>
    </row>
    <row r="1168" spans="1:46" ht="24">
      <c r="A1168" s="257" t="s">
        <v>1522</v>
      </c>
      <c r="B1168" s="257" t="str">
        <f t="shared" si="220"/>
        <v>SiNx</v>
      </c>
      <c r="C1168" s="280">
        <f t="shared" si="213"/>
        <v>0</v>
      </c>
      <c r="D1168" s="183">
        <f t="shared" si="224"/>
        <v>110.261308615511</v>
      </c>
      <c r="E1168" s="96" t="str">
        <f t="shared" si="225"/>
        <v>&lt;8</v>
      </c>
      <c r="F1168" s="96" t="str">
        <f t="shared" si="223"/>
        <v>n/a</v>
      </c>
      <c r="G1168" s="183">
        <f t="shared" si="216"/>
        <v>0</v>
      </c>
      <c r="H1168" s="215">
        <f t="shared" si="217"/>
        <v>1.27</v>
      </c>
      <c r="I1168" s="183" t="e">
        <f t="shared" si="218"/>
        <v>#VALUE!</v>
      </c>
      <c r="J1168" s="257"/>
      <c r="K1168" s="257" t="s">
        <v>1520</v>
      </c>
      <c r="L1168" s="257"/>
      <c r="M1168" s="269"/>
      <c r="N1168" s="175">
        <v>41656</v>
      </c>
      <c r="O1168" s="257">
        <v>399</v>
      </c>
      <c r="P1168" s="257" t="s">
        <v>187</v>
      </c>
      <c r="Q1168" s="257" t="s">
        <v>1478</v>
      </c>
      <c r="R1168" s="257">
        <v>6</v>
      </c>
      <c r="S1168" s="257" t="s">
        <v>659</v>
      </c>
      <c r="T1168" s="257">
        <v>69</v>
      </c>
      <c r="U1168" s="257">
        <v>400</v>
      </c>
      <c r="V1168" s="257">
        <v>0</v>
      </c>
      <c r="W1168" s="257">
        <v>26.5</v>
      </c>
      <c r="X1168" s="257">
        <v>2.5</v>
      </c>
      <c r="Y1168" s="257">
        <v>40</v>
      </c>
      <c r="Z1168" s="257"/>
      <c r="AA1168" s="164"/>
      <c r="AB1168" s="289"/>
      <c r="AC1168" s="257"/>
      <c r="AD1168" s="257"/>
      <c r="AE1168" s="257"/>
      <c r="AF1168" s="257"/>
      <c r="AG1168" s="114"/>
      <c r="AH1168" s="266">
        <v>110.261308615511</v>
      </c>
      <c r="AI1168" s="96"/>
      <c r="AJ1168" s="96" t="s">
        <v>1521</v>
      </c>
      <c r="AK1168" s="96" t="s">
        <v>1511</v>
      </c>
      <c r="AL1168" s="96">
        <v>1.27</v>
      </c>
      <c r="AM1168" s="257"/>
      <c r="AN1168" s="24">
        <f t="shared" si="222"/>
        <v>0</v>
      </c>
      <c r="AO1168" s="188" t="e">
        <f t="shared" si="226"/>
        <v>#VALUE!</v>
      </c>
      <c r="AP1168" s="254">
        <f t="shared" si="219"/>
        <v>0</v>
      </c>
      <c r="AQ1168" s="269"/>
      <c r="AR1168" s="179"/>
      <c r="AS1168" s="257"/>
      <c r="AT1168" s="257"/>
    </row>
    <row r="1169" spans="1:46" ht="12">
      <c r="A1169" s="257" t="s">
        <v>1523</v>
      </c>
      <c r="B1169" s="257" t="str">
        <f t="shared" si="220"/>
        <v>SiNx</v>
      </c>
      <c r="C1169" s="280">
        <f t="shared" si="213"/>
        <v>0</v>
      </c>
      <c r="D1169" s="183">
        <f t="shared" si="224"/>
        <v>19.9826319820991</v>
      </c>
      <c r="E1169" s="96">
        <f t="shared" si="225"/>
        <v>11.3</v>
      </c>
      <c r="F1169" s="96">
        <f t="shared" si="223"/>
        <v>0.1</v>
      </c>
      <c r="G1169" s="183">
        <f t="shared" si="216"/>
        <v>0</v>
      </c>
      <c r="H1169" s="215">
        <f t="shared" si="217"/>
        <v>2.236842105263158</v>
      </c>
      <c r="I1169" s="183">
        <f t="shared" si="218"/>
        <v>0</v>
      </c>
      <c r="J1169" s="257"/>
      <c r="K1169" s="257"/>
      <c r="L1169" s="257"/>
      <c r="M1169" s="269"/>
      <c r="N1169" s="175">
        <v>41657</v>
      </c>
      <c r="O1169" s="257">
        <v>400</v>
      </c>
      <c r="P1169" s="257" t="s">
        <v>187</v>
      </c>
      <c r="Q1169" s="257" t="s">
        <v>1478</v>
      </c>
      <c r="R1169" s="257">
        <v>2</v>
      </c>
      <c r="S1169" s="257">
        <v>800</v>
      </c>
      <c r="T1169" s="257">
        <v>600</v>
      </c>
      <c r="U1169" s="257">
        <v>400</v>
      </c>
      <c r="V1169" s="257">
        <v>8</v>
      </c>
      <c r="W1169" s="257">
        <v>26.5</v>
      </c>
      <c r="X1169" s="257">
        <v>2.5</v>
      </c>
      <c r="Y1169" s="257">
        <v>40</v>
      </c>
      <c r="Z1169" s="257"/>
      <c r="AA1169" s="164"/>
      <c r="AB1169" s="289"/>
      <c r="AC1169" s="257"/>
      <c r="AD1169" s="257"/>
      <c r="AE1169" s="257"/>
      <c r="AF1169" s="257"/>
      <c r="AG1169" s="114"/>
      <c r="AH1169" s="266">
        <v>19.9826319820991</v>
      </c>
      <c r="AI1169" s="96"/>
      <c r="AJ1169" s="96">
        <v>11.3</v>
      </c>
      <c r="AK1169" s="96">
        <v>0.1</v>
      </c>
      <c r="AL1169" s="96">
        <f>(8.5/3.8)</f>
        <v>2.236842105263158</v>
      </c>
      <c r="AM1169" s="257"/>
      <c r="AN1169" s="24">
        <f t="shared" si="222"/>
        <v>0</v>
      </c>
      <c r="AO1169" s="188">
        <f t="shared" si="226"/>
        <v>0</v>
      </c>
      <c r="AP1169" s="254">
        <f t="shared" si="219"/>
        <v>0</v>
      </c>
      <c r="AQ1169" s="269"/>
      <c r="AR1169" s="179"/>
      <c r="AS1169" s="257"/>
      <c r="AT1169" s="257"/>
    </row>
    <row r="1170" spans="1:46" ht="12">
      <c r="A1170" s="256" t="s">
        <v>1524</v>
      </c>
      <c r="B1170" s="256" t="str">
        <f t="shared" si="220"/>
        <v>Al2O3</v>
      </c>
      <c r="C1170" s="329">
        <f t="shared" si="213"/>
        <v>0</v>
      </c>
      <c r="D1170" s="168">
        <f t="shared" si="224"/>
        <v>11.8111628322764</v>
      </c>
      <c r="E1170" s="139">
        <f t="shared" si="225"/>
        <v>13.8</v>
      </c>
      <c r="F1170" s="139">
        <f t="shared" si="223"/>
        <v>0</v>
      </c>
      <c r="G1170" s="168">
        <f t="shared" si="216"/>
        <v>0</v>
      </c>
      <c r="H1170" s="150">
        <f t="shared" si="217"/>
        <v>2.7058823529411762</v>
      </c>
      <c r="I1170" s="168">
        <f t="shared" si="218"/>
        <v>0</v>
      </c>
      <c r="J1170" s="81"/>
      <c r="K1170" s="81"/>
      <c r="L1170" s="81"/>
      <c r="M1170" s="52"/>
      <c r="N1170" s="336">
        <v>41657</v>
      </c>
      <c r="O1170" s="81">
        <v>400</v>
      </c>
      <c r="P1170" s="81" t="s">
        <v>622</v>
      </c>
      <c r="Q1170" s="81"/>
      <c r="R1170" s="81">
        <v>3</v>
      </c>
      <c r="S1170" s="81">
        <v>800</v>
      </c>
      <c r="T1170" s="81">
        <v>600</v>
      </c>
      <c r="U1170" s="81">
        <v>400</v>
      </c>
      <c r="V1170" s="81">
        <v>8</v>
      </c>
      <c r="W1170" s="81">
        <v>30</v>
      </c>
      <c r="X1170" s="81">
        <v>2.5</v>
      </c>
      <c r="Y1170" s="81">
        <v>40</v>
      </c>
      <c r="Z1170" s="81"/>
      <c r="AA1170" s="234"/>
      <c r="AB1170" s="199"/>
      <c r="AC1170" s="81"/>
      <c r="AD1170" s="81"/>
      <c r="AE1170" s="81"/>
      <c r="AF1170" s="81"/>
      <c r="AG1170" s="95"/>
      <c r="AH1170" s="97">
        <v>11.8111628322764</v>
      </c>
      <c r="AI1170" s="20"/>
      <c r="AJ1170" s="20">
        <v>13.8</v>
      </c>
      <c r="AK1170" s="20"/>
      <c r="AL1170" s="20">
        <f>(4.6/1.7)</f>
        <v>2.7058823529411762</v>
      </c>
      <c r="AM1170" s="81"/>
      <c r="AN1170" s="24">
        <f t="shared" si="222"/>
        <v>0</v>
      </c>
      <c r="AO1170" s="189">
        <f t="shared" si="226"/>
        <v>0</v>
      </c>
      <c r="AP1170" s="184">
        <f t="shared" si="219"/>
        <v>0</v>
      </c>
      <c r="AQ1170" s="52"/>
      <c r="AR1170" s="357"/>
      <c r="AS1170" s="81"/>
      <c r="AT1170" s="81"/>
    </row>
    <row r="1171" spans="1:46" ht="12">
      <c r="A1171" s="83" t="s">
        <v>1525</v>
      </c>
      <c r="B1171" s="83" t="str">
        <f t="shared" si="220"/>
        <v>SiO2</v>
      </c>
      <c r="C1171" s="329">
        <f t="shared" si="213"/>
        <v>0</v>
      </c>
      <c r="D1171" s="168">
        <f t="shared" si="224"/>
        <v>0</v>
      </c>
      <c r="E1171" s="139">
        <f t="shared" si="225"/>
        <v>0</v>
      </c>
      <c r="F1171" s="139">
        <f t="shared" si="223"/>
        <v>0</v>
      </c>
      <c r="G1171" s="168">
        <f t="shared" si="216"/>
        <v>0</v>
      </c>
      <c r="H1171" s="150">
        <f t="shared" si="217"/>
        <v>0</v>
      </c>
      <c r="I1171" s="168">
        <f t="shared" si="218"/>
        <v>0</v>
      </c>
      <c r="J1171" s="83"/>
      <c r="K1171" s="83"/>
      <c r="L1171" s="83"/>
      <c r="M1171" s="385"/>
      <c r="N1171" s="362">
        <v>41657</v>
      </c>
      <c r="O1171" s="83">
        <v>400</v>
      </c>
      <c r="P1171" s="83" t="s">
        <v>1182</v>
      </c>
      <c r="Q1171" s="83">
        <v>228.9</v>
      </c>
      <c r="R1171" s="83">
        <v>5</v>
      </c>
      <c r="S1171" s="83">
        <v>800</v>
      </c>
      <c r="T1171" s="83">
        <v>600</v>
      </c>
      <c r="U1171" s="83">
        <v>400</v>
      </c>
      <c r="V1171" s="83">
        <v>8</v>
      </c>
      <c r="W1171" s="83">
        <v>30</v>
      </c>
      <c r="X1171" s="83">
        <v>2.5</v>
      </c>
      <c r="Y1171" s="83">
        <v>40</v>
      </c>
      <c r="Z1171" s="83"/>
      <c r="AA1171" s="119"/>
      <c r="AB1171" s="84"/>
      <c r="AC1171" s="83"/>
      <c r="AD1171" s="83"/>
      <c r="AE1171" s="83"/>
      <c r="AF1171" s="83"/>
      <c r="AG1171" s="220"/>
      <c r="AH1171" s="344"/>
      <c r="AI1171" s="139"/>
      <c r="AJ1171" s="139"/>
      <c r="AK1171" s="139"/>
      <c r="AL1171" s="139"/>
      <c r="AM1171" s="83"/>
      <c r="AN1171" s="24">
        <f t="shared" si="222"/>
        <v>0</v>
      </c>
      <c r="AO1171" s="252">
        <f t="shared" si="226"/>
        <v>0</v>
      </c>
      <c r="AP1171" s="65">
        <f t="shared" si="219"/>
        <v>0</v>
      </c>
      <c r="AQ1171" s="385"/>
      <c r="AR1171" s="162"/>
      <c r="AS1171" s="83"/>
      <c r="AT1171" s="83"/>
    </row>
    <row r="1172" spans="1:46" ht="12">
      <c r="A1172" s="256" t="s">
        <v>1526</v>
      </c>
      <c r="B1172" s="256" t="str">
        <f t="shared" si="220"/>
        <v>MgO</v>
      </c>
      <c r="C1172" s="32">
        <f t="shared" si="213"/>
        <v>0</v>
      </c>
      <c r="D1172" s="279">
        <f t="shared" si="224"/>
        <v>25.691955405556001</v>
      </c>
      <c r="E1172" s="78">
        <f t="shared" si="225"/>
        <v>15.7</v>
      </c>
      <c r="F1172" s="78">
        <f t="shared" si="223"/>
        <v>0.4</v>
      </c>
      <c r="G1172" s="279">
        <f t="shared" si="216"/>
        <v>0</v>
      </c>
      <c r="H1172" s="190">
        <f t="shared" si="217"/>
        <v>1.0384615384615385</v>
      </c>
      <c r="I1172" s="279">
        <f t="shared" si="218"/>
        <v>0</v>
      </c>
      <c r="J1172" s="256"/>
      <c r="K1172" s="256"/>
      <c r="L1172" s="256"/>
      <c r="M1172" s="68"/>
      <c r="N1172" s="18">
        <v>41657</v>
      </c>
      <c r="O1172" s="256">
        <v>400</v>
      </c>
      <c r="P1172" s="256" t="s">
        <v>46</v>
      </c>
      <c r="Q1172" s="256"/>
      <c r="R1172" s="256">
        <v>6</v>
      </c>
      <c r="S1172" s="256">
        <v>800</v>
      </c>
      <c r="T1172" s="256">
        <v>600</v>
      </c>
      <c r="U1172" s="256">
        <v>400</v>
      </c>
      <c r="V1172" s="256">
        <v>8</v>
      </c>
      <c r="W1172" s="256">
        <v>30</v>
      </c>
      <c r="X1172" s="256">
        <v>2.5</v>
      </c>
      <c r="Y1172" s="256">
        <v>40</v>
      </c>
      <c r="Z1172" s="256"/>
      <c r="AA1172" s="207"/>
      <c r="AB1172" s="86"/>
      <c r="AC1172" s="256"/>
      <c r="AD1172" s="256"/>
      <c r="AE1172" s="256"/>
      <c r="AF1172" s="256"/>
      <c r="AG1172" s="335"/>
      <c r="AH1172" s="213">
        <v>25.691955405556001</v>
      </c>
      <c r="AI1172" s="78"/>
      <c r="AJ1172" s="78">
        <v>15.7</v>
      </c>
      <c r="AK1172" s="78">
        <v>0.4</v>
      </c>
      <c r="AL1172" s="78">
        <f>10.8/10.4</f>
        <v>1.0384615384615385</v>
      </c>
      <c r="AM1172" s="256"/>
      <c r="AN1172" s="24">
        <f t="shared" si="222"/>
        <v>0</v>
      </c>
      <c r="AO1172" s="160">
        <f t="shared" si="226"/>
        <v>0</v>
      </c>
      <c r="AP1172" s="209">
        <f t="shared" si="219"/>
        <v>0</v>
      </c>
      <c r="AQ1172" s="68"/>
      <c r="AR1172" s="15"/>
      <c r="AS1172" s="256"/>
      <c r="AT1172" s="256"/>
    </row>
    <row r="1173" spans="1:46" ht="12">
      <c r="A1173" s="83" t="s">
        <v>1527</v>
      </c>
      <c r="B1173" s="83" t="str">
        <f t="shared" si="220"/>
        <v>SiO2</v>
      </c>
      <c r="C1173" s="329">
        <f t="shared" si="213"/>
        <v>0</v>
      </c>
      <c r="D1173" s="168">
        <f t="shared" si="224"/>
        <v>502.24204490722201</v>
      </c>
      <c r="E1173" s="139">
        <f t="shared" si="225"/>
        <v>0</v>
      </c>
      <c r="F1173" s="139">
        <f t="shared" si="223"/>
        <v>0</v>
      </c>
      <c r="G1173" s="168">
        <f t="shared" si="216"/>
        <v>0</v>
      </c>
      <c r="H1173" s="150">
        <f t="shared" si="217"/>
        <v>0</v>
      </c>
      <c r="I1173" s="168">
        <f t="shared" si="218"/>
        <v>0</v>
      </c>
      <c r="J1173" s="138"/>
      <c r="K1173" s="138" t="s">
        <v>1528</v>
      </c>
      <c r="L1173" s="138"/>
      <c r="M1173" s="316"/>
      <c r="N1173" s="135">
        <v>41658</v>
      </c>
      <c r="O1173" s="138">
        <v>401</v>
      </c>
      <c r="P1173" s="138" t="s">
        <v>1182</v>
      </c>
      <c r="Q1173" s="83">
        <v>228.9</v>
      </c>
      <c r="R1173" s="138">
        <v>3</v>
      </c>
      <c r="S1173" s="83">
        <v>800</v>
      </c>
      <c r="T1173" s="83">
        <v>69</v>
      </c>
      <c r="U1173" s="83">
        <v>400</v>
      </c>
      <c r="V1173" s="83">
        <v>8</v>
      </c>
      <c r="W1173" s="83">
        <v>26.5</v>
      </c>
      <c r="X1173" s="83">
        <v>2.5</v>
      </c>
      <c r="Y1173" s="83">
        <v>40</v>
      </c>
      <c r="Z1173" s="240"/>
      <c r="AA1173" s="75"/>
      <c r="AB1173" s="300"/>
      <c r="AC1173" s="138"/>
      <c r="AD1173" s="138"/>
      <c r="AE1173" s="138"/>
      <c r="AF1173" s="138"/>
      <c r="AG1173" s="63"/>
      <c r="AH1173" s="70">
        <v>502.24204490722201</v>
      </c>
      <c r="AI1173" s="121"/>
      <c r="AJ1173" s="121"/>
      <c r="AK1173" s="121"/>
      <c r="AL1173" s="121"/>
      <c r="AM1173" s="138"/>
      <c r="AN1173" s="24">
        <f t="shared" si="222"/>
        <v>0</v>
      </c>
      <c r="AO1173" s="353">
        <f t="shared" si="226"/>
        <v>0</v>
      </c>
      <c r="AP1173" s="36">
        <f t="shared" si="219"/>
        <v>0</v>
      </c>
      <c r="AQ1173" s="316"/>
      <c r="AR1173" s="258"/>
      <c r="AS1173" s="138"/>
      <c r="AT1173" s="138"/>
    </row>
    <row r="1174" spans="1:46" ht="12">
      <c r="A1174" s="83" t="s">
        <v>1529</v>
      </c>
      <c r="B1174" s="83" t="str">
        <f t="shared" si="220"/>
        <v>SiO2</v>
      </c>
      <c r="C1174" s="329">
        <f t="shared" si="213"/>
        <v>0</v>
      </c>
      <c r="D1174" s="168">
        <f t="shared" si="224"/>
        <v>506.88087018878099</v>
      </c>
      <c r="E1174" s="139">
        <f t="shared" si="225"/>
        <v>11.2</v>
      </c>
      <c r="F1174" s="139">
        <f t="shared" si="223"/>
        <v>1.7</v>
      </c>
      <c r="G1174" s="168">
        <f t="shared" si="216"/>
        <v>0</v>
      </c>
      <c r="H1174" s="150">
        <f t="shared" si="217"/>
        <v>0.85212845407020155</v>
      </c>
      <c r="I1174" s="168">
        <f t="shared" si="218"/>
        <v>0</v>
      </c>
      <c r="J1174" s="138"/>
      <c r="K1174" s="138" t="s">
        <v>1530</v>
      </c>
      <c r="L1174" s="138"/>
      <c r="M1174" s="316"/>
      <c r="N1174" s="135">
        <v>41658</v>
      </c>
      <c r="O1174" s="138">
        <v>401</v>
      </c>
      <c r="P1174" s="138" t="s">
        <v>1182</v>
      </c>
      <c r="Q1174" s="83">
        <v>228.9</v>
      </c>
      <c r="R1174" s="138">
        <v>6</v>
      </c>
      <c r="S1174" s="83">
        <v>800</v>
      </c>
      <c r="T1174" s="83">
        <v>69</v>
      </c>
      <c r="U1174" s="83">
        <v>400</v>
      </c>
      <c r="V1174" s="83">
        <v>8</v>
      </c>
      <c r="W1174" s="83">
        <v>26.5</v>
      </c>
      <c r="X1174" s="83">
        <v>2.5</v>
      </c>
      <c r="Y1174" s="83">
        <v>40</v>
      </c>
      <c r="Z1174" s="240"/>
      <c r="AA1174" s="75"/>
      <c r="AB1174" s="300"/>
      <c r="AC1174" s="138"/>
      <c r="AD1174" s="138"/>
      <c r="AE1174" s="138"/>
      <c r="AF1174" s="138"/>
      <c r="AG1174" s="63"/>
      <c r="AH1174" s="70">
        <v>506.88087018878099</v>
      </c>
      <c r="AI1174" s="121"/>
      <c r="AJ1174" s="121">
        <v>11.2</v>
      </c>
      <c r="AK1174" s="121">
        <v>1.7</v>
      </c>
      <c r="AL1174" s="121">
        <f>(228.2/267.8)</f>
        <v>0.85212845407020155</v>
      </c>
      <c r="AM1174" s="138"/>
      <c r="AN1174" s="24">
        <f t="shared" si="222"/>
        <v>0</v>
      </c>
      <c r="AO1174" s="353">
        <f t="shared" si="226"/>
        <v>0</v>
      </c>
      <c r="AP1174" s="36">
        <f t="shared" si="219"/>
        <v>0</v>
      </c>
      <c r="AQ1174" s="316"/>
      <c r="AR1174" s="258"/>
      <c r="AS1174" s="138"/>
      <c r="AT1174" s="138"/>
    </row>
    <row r="1175" spans="1:46" ht="24">
      <c r="A1175" s="257" t="s">
        <v>1531</v>
      </c>
      <c r="B1175" s="257" t="str">
        <f t="shared" si="220"/>
        <v>SiNx</v>
      </c>
      <c r="C1175" s="280">
        <f t="shared" si="213"/>
        <v>0</v>
      </c>
      <c r="D1175" s="183">
        <f t="shared" si="224"/>
        <v>1130.80287055843</v>
      </c>
      <c r="E1175" s="96" t="str">
        <f t="shared" si="225"/>
        <v>&lt;7</v>
      </c>
      <c r="F1175" s="96">
        <f t="shared" si="223"/>
        <v>0</v>
      </c>
      <c r="G1175" s="183">
        <f t="shared" si="216"/>
        <v>0</v>
      </c>
      <c r="H1175" s="215">
        <f t="shared" si="217"/>
        <v>0.67490144546649145</v>
      </c>
      <c r="I1175" s="183" t="e">
        <f t="shared" si="218"/>
        <v>#VALUE!</v>
      </c>
      <c r="J1175" s="366"/>
      <c r="K1175" s="366"/>
      <c r="L1175" s="366"/>
      <c r="M1175" s="373"/>
      <c r="N1175" s="191">
        <v>41658</v>
      </c>
      <c r="O1175" s="366">
        <v>402</v>
      </c>
      <c r="P1175" s="366" t="s">
        <v>187</v>
      </c>
      <c r="Q1175" s="257" t="s">
        <v>1478</v>
      </c>
      <c r="R1175" s="366">
        <v>3</v>
      </c>
      <c r="S1175" s="257" t="s">
        <v>659</v>
      </c>
      <c r="T1175" s="257">
        <v>69</v>
      </c>
      <c r="U1175" s="257">
        <v>400</v>
      </c>
      <c r="V1175" s="257">
        <v>8</v>
      </c>
      <c r="W1175" s="257">
        <v>30</v>
      </c>
      <c r="X1175" s="257">
        <v>2.5</v>
      </c>
      <c r="Y1175" s="257">
        <v>40</v>
      </c>
      <c r="Z1175" s="161"/>
      <c r="AA1175" s="76"/>
      <c r="AB1175" s="51"/>
      <c r="AC1175" s="366"/>
      <c r="AD1175" s="366"/>
      <c r="AE1175" s="366"/>
      <c r="AF1175" s="366"/>
      <c r="AG1175" s="349"/>
      <c r="AH1175" s="113">
        <v>1130.80287055843</v>
      </c>
      <c r="AI1175" s="53"/>
      <c r="AJ1175" s="53" t="s">
        <v>1263</v>
      </c>
      <c r="AK1175" s="53"/>
      <c r="AL1175" s="53">
        <f>513.6/761</f>
        <v>0.67490144546649145</v>
      </c>
      <c r="AM1175" s="366"/>
      <c r="AN1175" s="24">
        <f t="shared" si="222"/>
        <v>0</v>
      </c>
      <c r="AO1175" s="198" t="e">
        <f t="shared" si="226"/>
        <v>#VALUE!</v>
      </c>
      <c r="AP1175" s="399">
        <f t="shared" si="219"/>
        <v>0</v>
      </c>
      <c r="AQ1175" s="373"/>
      <c r="AR1175" s="44"/>
      <c r="AS1175" s="366"/>
      <c r="AT1175" s="366"/>
    </row>
    <row r="1176" spans="1:46" ht="24">
      <c r="A1176" s="256" t="s">
        <v>1532</v>
      </c>
      <c r="B1176" s="256" t="str">
        <f t="shared" si="220"/>
        <v>Al2O3</v>
      </c>
      <c r="C1176" s="32">
        <f t="shared" si="213"/>
        <v>0</v>
      </c>
      <c r="D1176" s="279">
        <f t="shared" si="224"/>
        <v>1087.62611216854</v>
      </c>
      <c r="E1176" s="78" t="str">
        <f t="shared" si="225"/>
        <v>&lt;7</v>
      </c>
      <c r="F1176" s="78">
        <f t="shared" si="223"/>
        <v>0</v>
      </c>
      <c r="G1176" s="279">
        <f t="shared" si="216"/>
        <v>0</v>
      </c>
      <c r="H1176" s="190">
        <f t="shared" si="217"/>
        <v>0.6908713692946058</v>
      </c>
      <c r="I1176" s="279" t="e">
        <f t="shared" si="218"/>
        <v>#VALUE!</v>
      </c>
      <c r="J1176" s="67"/>
      <c r="K1176" s="67"/>
      <c r="L1176" s="67"/>
      <c r="M1176" s="371"/>
      <c r="N1176" s="89">
        <v>41658</v>
      </c>
      <c r="O1176" s="359">
        <v>402</v>
      </c>
      <c r="P1176" s="67" t="s">
        <v>622</v>
      </c>
      <c r="Q1176" s="67"/>
      <c r="R1176" s="67">
        <v>6</v>
      </c>
      <c r="S1176" s="256" t="s">
        <v>659</v>
      </c>
      <c r="T1176" s="256">
        <v>69</v>
      </c>
      <c r="U1176" s="256">
        <v>400</v>
      </c>
      <c r="V1176" s="256">
        <v>8</v>
      </c>
      <c r="W1176" s="256">
        <v>30</v>
      </c>
      <c r="X1176" s="256">
        <v>2.5</v>
      </c>
      <c r="Y1176" s="256">
        <v>40</v>
      </c>
      <c r="Z1176" s="306"/>
      <c r="AA1176" s="317"/>
      <c r="AB1176" s="182"/>
      <c r="AC1176" s="67"/>
      <c r="AD1176" s="67"/>
      <c r="AE1176" s="67"/>
      <c r="AF1176" s="67"/>
      <c r="AG1176" s="315"/>
      <c r="AH1176" s="66">
        <v>1087.62611216854</v>
      </c>
      <c r="AI1176" s="216"/>
      <c r="AJ1176" s="216" t="s">
        <v>1263</v>
      </c>
      <c r="AK1176" s="216"/>
      <c r="AL1176" s="216">
        <f>(497.9+1.6)/723</f>
        <v>0.6908713692946058</v>
      </c>
      <c r="AM1176" s="67"/>
      <c r="AN1176" s="24">
        <f t="shared" si="222"/>
        <v>0</v>
      </c>
      <c r="AO1176" s="389" t="e">
        <f t="shared" si="226"/>
        <v>#VALUE!</v>
      </c>
      <c r="AP1176" s="187">
        <f t="shared" si="219"/>
        <v>0</v>
      </c>
      <c r="AQ1176" s="371"/>
      <c r="AR1176" s="41"/>
      <c r="AS1176" s="67"/>
      <c r="AT1176" s="67"/>
    </row>
    <row r="1177" spans="1:46" ht="12">
      <c r="A1177" s="257" t="s">
        <v>1533</v>
      </c>
      <c r="B1177" s="257" t="str">
        <f t="shared" si="220"/>
        <v>SiNx</v>
      </c>
      <c r="C1177" s="280">
        <f t="shared" ref="C1177:C1186" si="227">AF1177</f>
        <v>0</v>
      </c>
      <c r="D1177" s="183">
        <f t="shared" si="224"/>
        <v>591.98547246968496</v>
      </c>
      <c r="E1177" s="96">
        <f t="shared" si="225"/>
        <v>7.4</v>
      </c>
      <c r="F1177" s="96">
        <f t="shared" si="223"/>
        <v>0</v>
      </c>
      <c r="G1177" s="183">
        <f t="shared" ref="G1177:G1186" si="228">AN1177</f>
        <v>0</v>
      </c>
      <c r="H1177" s="215">
        <f t="shared" ref="H1177:H1186" si="229">AL1177</f>
        <v>0.73526170798898061</v>
      </c>
      <c r="I1177" s="183">
        <f t="shared" ref="I1177:I1186" si="230">AO1177</f>
        <v>0</v>
      </c>
      <c r="J1177" s="366"/>
      <c r="K1177" s="366" t="s">
        <v>1534</v>
      </c>
      <c r="L1177" s="366"/>
      <c r="M1177" s="373"/>
      <c r="N1177" s="191">
        <v>41659</v>
      </c>
      <c r="O1177" s="366">
        <v>403</v>
      </c>
      <c r="P1177" s="366" t="s">
        <v>187</v>
      </c>
      <c r="Q1177" s="257" t="s">
        <v>1478</v>
      </c>
      <c r="R1177" s="366">
        <v>3</v>
      </c>
      <c r="S1177" s="257" t="s">
        <v>659</v>
      </c>
      <c r="T1177" s="257">
        <v>99</v>
      </c>
      <c r="U1177" s="257">
        <v>400</v>
      </c>
      <c r="V1177" s="257">
        <v>8</v>
      </c>
      <c r="W1177" s="257">
        <v>30</v>
      </c>
      <c r="X1177" s="257">
        <v>2.5</v>
      </c>
      <c r="Y1177" s="257">
        <v>40</v>
      </c>
      <c r="Z1177" s="161"/>
      <c r="AA1177" s="76"/>
      <c r="AB1177" s="51"/>
      <c r="AC1177" s="366"/>
      <c r="AD1177" s="366"/>
      <c r="AE1177" s="366"/>
      <c r="AF1177" s="366"/>
      <c r="AG1177" s="349"/>
      <c r="AH1177" s="113">
        <v>591.98547246968496</v>
      </c>
      <c r="AI1177" s="53"/>
      <c r="AJ1177" s="53">
        <v>7.4</v>
      </c>
      <c r="AK1177" s="53"/>
      <c r="AL1177" s="53">
        <f>266.9/363</f>
        <v>0.73526170798898061</v>
      </c>
      <c r="AM1177" s="366"/>
      <c r="AN1177" s="24">
        <f t="shared" si="222"/>
        <v>0</v>
      </c>
      <c r="AO1177" s="198">
        <f t="shared" si="226"/>
        <v>0</v>
      </c>
      <c r="AP1177" s="399">
        <f t="shared" ref="AP1177:AP1186" si="231">(AF1177/T1177)*60</f>
        <v>0</v>
      </c>
      <c r="AQ1177" s="373"/>
      <c r="AR1177" s="44"/>
      <c r="AS1177" s="366"/>
      <c r="AT1177" s="366"/>
    </row>
    <row r="1178" spans="1:46" ht="12">
      <c r="A1178" s="256" t="s">
        <v>1535</v>
      </c>
      <c r="B1178" s="256" t="str">
        <f t="shared" si="220"/>
        <v>Al2O3</v>
      </c>
      <c r="C1178" s="329">
        <f t="shared" si="227"/>
        <v>0</v>
      </c>
      <c r="D1178" s="168">
        <f t="shared" si="224"/>
        <v>538.63898173176005</v>
      </c>
      <c r="E1178" s="139">
        <f t="shared" si="225"/>
        <v>6.6</v>
      </c>
      <c r="F1178" s="139">
        <f t="shared" si="223"/>
        <v>0</v>
      </c>
      <c r="G1178" s="168">
        <f t="shared" si="228"/>
        <v>0</v>
      </c>
      <c r="H1178" s="150">
        <f t="shared" si="229"/>
        <v>0.75337423312883434</v>
      </c>
      <c r="I1178" s="168">
        <f t="shared" si="230"/>
        <v>0</v>
      </c>
      <c r="J1178" s="359"/>
      <c r="K1178" s="67" t="s">
        <v>1536</v>
      </c>
      <c r="L1178" s="359"/>
      <c r="M1178" s="338"/>
      <c r="N1178" s="89">
        <v>41659</v>
      </c>
      <c r="O1178" s="359">
        <v>403</v>
      </c>
      <c r="P1178" s="67" t="s">
        <v>622</v>
      </c>
      <c r="Q1178" s="67"/>
      <c r="R1178" s="67">
        <v>6</v>
      </c>
      <c r="S1178" s="256" t="s">
        <v>659</v>
      </c>
      <c r="T1178" s="256">
        <v>99</v>
      </c>
      <c r="U1178" s="256">
        <v>400</v>
      </c>
      <c r="V1178" s="256">
        <v>8</v>
      </c>
      <c r="W1178" s="256">
        <v>30</v>
      </c>
      <c r="X1178" s="256">
        <v>2.5</v>
      </c>
      <c r="Y1178" s="256">
        <v>40</v>
      </c>
      <c r="Z1178" s="71"/>
      <c r="AA1178" s="387"/>
      <c r="AB1178" s="248"/>
      <c r="AC1178" s="359"/>
      <c r="AD1178" s="359"/>
      <c r="AE1178" s="359"/>
      <c r="AF1178" s="359"/>
      <c r="AG1178" s="153"/>
      <c r="AH1178" s="346">
        <v>538.63898173176005</v>
      </c>
      <c r="AI1178" s="24"/>
      <c r="AJ1178" s="24">
        <v>6.6</v>
      </c>
      <c r="AK1178" s="24"/>
      <c r="AL1178" s="24">
        <f>245.6/326</f>
        <v>0.75337423312883434</v>
      </c>
      <c r="AM1178" s="359"/>
      <c r="AN1178" s="24">
        <f t="shared" si="222"/>
        <v>0</v>
      </c>
      <c r="AO1178" s="54">
        <f t="shared" si="226"/>
        <v>0</v>
      </c>
      <c r="AP1178" s="261">
        <f t="shared" si="231"/>
        <v>0</v>
      </c>
      <c r="AQ1178" s="338"/>
      <c r="AR1178" s="45"/>
      <c r="AS1178" s="359"/>
      <c r="AT1178" s="359"/>
    </row>
    <row r="1179" spans="1:46" ht="12">
      <c r="A1179" s="257" t="s">
        <v>1537</v>
      </c>
      <c r="B1179" s="257" t="str">
        <f t="shared" si="220"/>
        <v>SiNx</v>
      </c>
      <c r="C1179" s="280">
        <f t="shared" si="227"/>
        <v>0</v>
      </c>
      <c r="D1179" s="183">
        <f t="shared" si="224"/>
        <v>500.457881337392</v>
      </c>
      <c r="E1179" s="96">
        <f t="shared" si="225"/>
        <v>7.9</v>
      </c>
      <c r="F1179" s="96">
        <f t="shared" si="223"/>
        <v>0</v>
      </c>
      <c r="G1179" s="183">
        <f t="shared" si="228"/>
        <v>0</v>
      </c>
      <c r="H1179" s="215">
        <f t="shared" si="229"/>
        <v>0.75513698630136983</v>
      </c>
      <c r="I1179" s="183">
        <f t="shared" si="230"/>
        <v>0</v>
      </c>
      <c r="J1179" s="366"/>
      <c r="K1179" s="366"/>
      <c r="L1179" s="366"/>
      <c r="M1179" s="373"/>
      <c r="N1179" s="191">
        <v>41659</v>
      </c>
      <c r="O1179" s="366">
        <v>404</v>
      </c>
      <c r="P1179" s="366" t="s">
        <v>187</v>
      </c>
      <c r="Q1179" s="257" t="s">
        <v>1478</v>
      </c>
      <c r="R1179" s="366">
        <v>3</v>
      </c>
      <c r="S1179" s="257" t="s">
        <v>659</v>
      </c>
      <c r="T1179" s="257">
        <v>111</v>
      </c>
      <c r="U1179" s="257">
        <v>400</v>
      </c>
      <c r="V1179" s="257">
        <v>8</v>
      </c>
      <c r="W1179" s="257">
        <v>30</v>
      </c>
      <c r="X1179" s="257">
        <v>2.5</v>
      </c>
      <c r="Y1179" s="257">
        <v>40</v>
      </c>
      <c r="Z1179" s="161"/>
      <c r="AA1179" s="76"/>
      <c r="AB1179" s="51"/>
      <c r="AC1179" s="366"/>
      <c r="AD1179" s="366"/>
      <c r="AE1179" s="366"/>
      <c r="AF1179" s="366"/>
      <c r="AG1179" s="349"/>
      <c r="AH1179" s="113">
        <v>500.457881337392</v>
      </c>
      <c r="AI1179" s="53"/>
      <c r="AJ1179" s="53">
        <v>7.9</v>
      </c>
      <c r="AK1179" s="53"/>
      <c r="AL1179" s="53">
        <f>220.5/292</f>
        <v>0.75513698630136983</v>
      </c>
      <c r="AM1179" s="366"/>
      <c r="AN1179" s="24">
        <f t="shared" si="222"/>
        <v>0</v>
      </c>
      <c r="AO1179" s="198">
        <f t="shared" si="226"/>
        <v>0</v>
      </c>
      <c r="AP1179" s="399">
        <f t="shared" si="231"/>
        <v>0</v>
      </c>
      <c r="AQ1179" s="373"/>
      <c r="AR1179" s="44"/>
      <c r="AS1179" s="366"/>
      <c r="AT1179" s="366"/>
    </row>
    <row r="1180" spans="1:46" ht="12">
      <c r="A1180" s="256" t="s">
        <v>1538</v>
      </c>
      <c r="B1180" s="256" t="str">
        <f t="shared" si="220"/>
        <v>Al2O3</v>
      </c>
      <c r="C1180" s="329">
        <f t="shared" si="227"/>
        <v>0</v>
      </c>
      <c r="D1180" s="168">
        <f t="shared" si="224"/>
        <v>477.977420357531</v>
      </c>
      <c r="E1180" s="139">
        <f t="shared" si="225"/>
        <v>6.1</v>
      </c>
      <c r="F1180" s="139">
        <f t="shared" si="223"/>
        <v>0</v>
      </c>
      <c r="G1180" s="168">
        <f t="shared" si="228"/>
        <v>0</v>
      </c>
      <c r="H1180" s="150">
        <f t="shared" si="229"/>
        <v>0.77242647058823533</v>
      </c>
      <c r="I1180" s="168">
        <f t="shared" si="230"/>
        <v>0</v>
      </c>
      <c r="J1180" s="359"/>
      <c r="K1180" s="359"/>
      <c r="L1180" s="359"/>
      <c r="M1180" s="338"/>
      <c r="N1180" s="89">
        <v>41659</v>
      </c>
      <c r="O1180" s="359">
        <v>404</v>
      </c>
      <c r="P1180" s="67" t="s">
        <v>622</v>
      </c>
      <c r="Q1180" s="67"/>
      <c r="R1180" s="67">
        <v>6</v>
      </c>
      <c r="S1180" s="256" t="s">
        <v>659</v>
      </c>
      <c r="T1180" s="256">
        <v>111</v>
      </c>
      <c r="U1180" s="256">
        <v>400</v>
      </c>
      <c r="V1180" s="256">
        <v>8</v>
      </c>
      <c r="W1180" s="256">
        <v>30</v>
      </c>
      <c r="X1180" s="256">
        <v>2.5</v>
      </c>
      <c r="Y1180" s="256">
        <v>40</v>
      </c>
      <c r="Z1180" s="71"/>
      <c r="AA1180" s="387"/>
      <c r="AB1180" s="248"/>
      <c r="AC1180" s="359"/>
      <c r="AD1180" s="359"/>
      <c r="AE1180" s="359"/>
      <c r="AF1180" s="359"/>
      <c r="AG1180" s="153"/>
      <c r="AH1180" s="346">
        <v>477.977420357531</v>
      </c>
      <c r="AI1180" s="24"/>
      <c r="AJ1180" s="24">
        <v>6.1</v>
      </c>
      <c r="AK1180" s="24"/>
      <c r="AL1180" s="24">
        <f>210.1/272</f>
        <v>0.77242647058823533</v>
      </c>
      <c r="AM1180" s="359"/>
      <c r="AN1180" s="24">
        <f t="shared" si="222"/>
        <v>0</v>
      </c>
      <c r="AO1180" s="54">
        <f t="shared" si="226"/>
        <v>0</v>
      </c>
      <c r="AP1180" s="261">
        <f t="shared" si="231"/>
        <v>0</v>
      </c>
      <c r="AQ1180" s="338"/>
      <c r="AR1180" s="45"/>
      <c r="AS1180" s="359"/>
      <c r="AT1180" s="359"/>
    </row>
    <row r="1181" spans="1:46" ht="12">
      <c r="A1181" s="257" t="s">
        <v>1539</v>
      </c>
      <c r="B1181" s="257" t="str">
        <f t="shared" si="220"/>
        <v>SiNx</v>
      </c>
      <c r="C1181" s="280">
        <f t="shared" si="227"/>
        <v>0</v>
      </c>
      <c r="D1181" s="183">
        <f t="shared" si="224"/>
        <v>49.956579955247697</v>
      </c>
      <c r="E1181" s="96">
        <f t="shared" si="225"/>
        <v>6.2</v>
      </c>
      <c r="F1181" s="96">
        <f t="shared" si="223"/>
        <v>0</v>
      </c>
      <c r="G1181" s="183">
        <f t="shared" si="228"/>
        <v>0</v>
      </c>
      <c r="H1181" s="215">
        <f t="shared" si="229"/>
        <v>1.5774647887323943</v>
      </c>
      <c r="I1181" s="183">
        <f t="shared" si="230"/>
        <v>0</v>
      </c>
      <c r="J1181" s="366"/>
      <c r="K1181" s="366"/>
      <c r="L1181" s="366"/>
      <c r="M1181" s="373"/>
      <c r="N1181" s="191">
        <v>41659</v>
      </c>
      <c r="O1181" s="366">
        <v>405</v>
      </c>
      <c r="P1181" s="366" t="s">
        <v>187</v>
      </c>
      <c r="Q1181" s="257" t="s">
        <v>1478</v>
      </c>
      <c r="R1181" s="366">
        <v>3</v>
      </c>
      <c r="S1181" s="257" t="s">
        <v>659</v>
      </c>
      <c r="T1181" s="257">
        <v>111</v>
      </c>
      <c r="U1181" s="257">
        <v>400</v>
      </c>
      <c r="V1181" s="257">
        <v>0</v>
      </c>
      <c r="W1181" s="257">
        <v>30</v>
      </c>
      <c r="X1181" s="257">
        <v>2.5</v>
      </c>
      <c r="Y1181" s="257">
        <v>40</v>
      </c>
      <c r="Z1181" s="161"/>
      <c r="AA1181" s="76"/>
      <c r="AB1181" s="51"/>
      <c r="AC1181" s="366"/>
      <c r="AD1181" s="366"/>
      <c r="AE1181" s="366"/>
      <c r="AF1181" s="366"/>
      <c r="AG1181" s="349"/>
      <c r="AH1181" s="113">
        <v>49.956579955247697</v>
      </c>
      <c r="AI1181" s="53"/>
      <c r="AJ1181" s="53">
        <v>6.2</v>
      </c>
      <c r="AK1181" s="53"/>
      <c r="AL1181" s="53">
        <f>22.4/14.2</f>
        <v>1.5774647887323943</v>
      </c>
      <c r="AM1181" s="366"/>
      <c r="AN1181" s="24">
        <f t="shared" si="222"/>
        <v>0</v>
      </c>
      <c r="AO1181" s="198">
        <f t="shared" si="226"/>
        <v>0</v>
      </c>
      <c r="AP1181" s="399">
        <f t="shared" si="231"/>
        <v>0</v>
      </c>
      <c r="AQ1181" s="373"/>
      <c r="AR1181" s="44"/>
      <c r="AS1181" s="366"/>
      <c r="AT1181" s="366"/>
    </row>
    <row r="1182" spans="1:46" ht="12">
      <c r="A1182" s="256" t="s">
        <v>1540</v>
      </c>
      <c r="B1182" s="256" t="str">
        <f t="shared" si="220"/>
        <v>Al2O3</v>
      </c>
      <c r="C1182" s="329">
        <f t="shared" si="227"/>
        <v>0</v>
      </c>
      <c r="D1182" s="168">
        <f t="shared" si="224"/>
        <v>50.313412669213797</v>
      </c>
      <c r="E1182" s="139">
        <f t="shared" si="225"/>
        <v>6.3</v>
      </c>
      <c r="F1182" s="139">
        <f t="shared" si="223"/>
        <v>0</v>
      </c>
      <c r="G1182" s="168">
        <f t="shared" si="228"/>
        <v>0</v>
      </c>
      <c r="H1182" s="150">
        <f t="shared" si="229"/>
        <v>1.5714285714285712</v>
      </c>
      <c r="I1182" s="168">
        <f t="shared" si="230"/>
        <v>0</v>
      </c>
      <c r="J1182" s="359"/>
      <c r="K1182" s="359"/>
      <c r="L1182" s="359"/>
      <c r="M1182" s="338"/>
      <c r="N1182" s="89">
        <v>41659</v>
      </c>
      <c r="O1182" s="359">
        <v>405</v>
      </c>
      <c r="P1182" s="67" t="s">
        <v>622</v>
      </c>
      <c r="Q1182" s="67"/>
      <c r="R1182" s="67">
        <v>6</v>
      </c>
      <c r="S1182" s="256" t="s">
        <v>659</v>
      </c>
      <c r="T1182" s="256">
        <v>111</v>
      </c>
      <c r="U1182" s="256">
        <v>400</v>
      </c>
      <c r="V1182" s="256">
        <v>0</v>
      </c>
      <c r="W1182" s="256">
        <v>30</v>
      </c>
      <c r="X1182" s="256">
        <v>2.5</v>
      </c>
      <c r="Y1182" s="256">
        <v>40</v>
      </c>
      <c r="Z1182" s="71"/>
      <c r="AA1182" s="387"/>
      <c r="AB1182" s="248"/>
      <c r="AC1182" s="359"/>
      <c r="AD1182" s="359"/>
      <c r="AE1182" s="359"/>
      <c r="AF1182" s="359"/>
      <c r="AG1182" s="153"/>
      <c r="AH1182" s="346">
        <v>50.313412669213797</v>
      </c>
      <c r="AI1182" s="24"/>
      <c r="AJ1182" s="24">
        <v>6.3</v>
      </c>
      <c r="AK1182" s="24"/>
      <c r="AL1182" s="24">
        <f>20.9/13.3</f>
        <v>1.5714285714285712</v>
      </c>
      <c r="AM1182" s="359"/>
      <c r="AN1182" s="24">
        <f t="shared" si="222"/>
        <v>0</v>
      </c>
      <c r="AO1182" s="54">
        <f t="shared" si="226"/>
        <v>0</v>
      </c>
      <c r="AP1182" s="261">
        <f t="shared" si="231"/>
        <v>0</v>
      </c>
      <c r="AQ1182" s="338"/>
      <c r="AR1182" s="45"/>
      <c r="AS1182" s="359"/>
      <c r="AT1182" s="359"/>
    </row>
    <row r="1183" spans="1:46" ht="12">
      <c r="A1183" s="83" t="s">
        <v>1541</v>
      </c>
      <c r="B1183" s="83" t="str">
        <f t="shared" si="220"/>
        <v>SiO2</v>
      </c>
      <c r="C1183" s="329">
        <f t="shared" si="227"/>
        <v>0</v>
      </c>
      <c r="D1183" s="168">
        <f t="shared" si="224"/>
        <v>0</v>
      </c>
      <c r="E1183" s="139">
        <f t="shared" si="225"/>
        <v>0</v>
      </c>
      <c r="F1183" s="139">
        <f t="shared" si="223"/>
        <v>0</v>
      </c>
      <c r="G1183" s="168">
        <f t="shared" si="228"/>
        <v>0</v>
      </c>
      <c r="H1183" s="150">
        <f t="shared" si="229"/>
        <v>0</v>
      </c>
      <c r="I1183" s="168">
        <f t="shared" si="230"/>
        <v>0</v>
      </c>
      <c r="J1183" s="138"/>
      <c r="K1183" s="138" t="s">
        <v>1542</v>
      </c>
      <c r="L1183" s="138"/>
      <c r="M1183" s="316"/>
      <c r="N1183" s="135">
        <v>41660</v>
      </c>
      <c r="O1183" s="138">
        <v>406</v>
      </c>
      <c r="P1183" s="138" t="s">
        <v>1182</v>
      </c>
      <c r="Q1183" s="138">
        <v>265</v>
      </c>
      <c r="R1183" s="138">
        <v>3</v>
      </c>
      <c r="S1183" s="83" t="s">
        <v>659</v>
      </c>
      <c r="T1183" s="83">
        <v>600</v>
      </c>
      <c r="U1183" s="83">
        <v>150</v>
      </c>
      <c r="V1183" s="83">
        <v>8</v>
      </c>
      <c r="W1183" s="83">
        <v>26.5</v>
      </c>
      <c r="X1183" s="83">
        <v>2.5</v>
      </c>
      <c r="Y1183" s="83">
        <v>40</v>
      </c>
      <c r="Z1183" s="240"/>
      <c r="AA1183" s="75"/>
      <c r="AB1183" s="300"/>
      <c r="AC1183" s="138"/>
      <c r="AD1183" s="138"/>
      <c r="AE1183" s="138"/>
      <c r="AF1183" s="138"/>
      <c r="AG1183" s="63"/>
      <c r="AH1183" s="70"/>
      <c r="AI1183" s="121"/>
      <c r="AJ1183" s="121"/>
      <c r="AK1183" s="121"/>
      <c r="AL1183" s="121"/>
      <c r="AM1183" s="138"/>
      <c r="AN1183" s="24">
        <f t="shared" si="222"/>
        <v>0</v>
      </c>
      <c r="AO1183" s="353">
        <f t="shared" si="226"/>
        <v>0</v>
      </c>
      <c r="AP1183" s="36">
        <f t="shared" si="231"/>
        <v>0</v>
      </c>
      <c r="AQ1183" s="316"/>
      <c r="AR1183" s="258"/>
      <c r="AS1183" s="138"/>
      <c r="AT1183" s="138"/>
    </row>
    <row r="1184" spans="1:46" ht="12">
      <c r="A1184" s="83" t="s">
        <v>1543</v>
      </c>
      <c r="B1184" s="83" t="str">
        <f t="shared" si="220"/>
        <v>SiO2</v>
      </c>
      <c r="C1184" s="329">
        <f t="shared" si="227"/>
        <v>0</v>
      </c>
      <c r="D1184" s="168">
        <f t="shared" si="224"/>
        <v>0</v>
      </c>
      <c r="E1184" s="139">
        <f t="shared" si="225"/>
        <v>0</v>
      </c>
      <c r="F1184" s="139">
        <f t="shared" si="223"/>
        <v>0</v>
      </c>
      <c r="G1184" s="168">
        <f t="shared" si="228"/>
        <v>0</v>
      </c>
      <c r="H1184" s="150">
        <f t="shared" si="229"/>
        <v>0</v>
      </c>
      <c r="I1184" s="168">
        <f t="shared" si="230"/>
        <v>0</v>
      </c>
      <c r="J1184" s="138"/>
      <c r="K1184" s="138" t="s">
        <v>1542</v>
      </c>
      <c r="L1184" s="138"/>
      <c r="M1184" s="316"/>
      <c r="N1184" s="135">
        <v>41660</v>
      </c>
      <c r="O1184" s="138">
        <v>406</v>
      </c>
      <c r="P1184" s="138" t="s">
        <v>1182</v>
      </c>
      <c r="Q1184" s="138">
        <v>265</v>
      </c>
      <c r="R1184" s="138">
        <v>6</v>
      </c>
      <c r="S1184" s="83" t="s">
        <v>659</v>
      </c>
      <c r="T1184" s="83">
        <v>600</v>
      </c>
      <c r="U1184" s="83">
        <v>150</v>
      </c>
      <c r="V1184" s="83">
        <v>8</v>
      </c>
      <c r="W1184" s="83">
        <v>26.5</v>
      </c>
      <c r="X1184" s="83">
        <v>2.5</v>
      </c>
      <c r="Y1184" s="83">
        <v>40</v>
      </c>
      <c r="Z1184" s="240"/>
      <c r="AA1184" s="75"/>
      <c r="AB1184" s="300"/>
      <c r="AC1184" s="138"/>
      <c r="AD1184" s="138"/>
      <c r="AE1184" s="138"/>
      <c r="AF1184" s="138"/>
      <c r="AG1184" s="63"/>
      <c r="AH1184" s="70"/>
      <c r="AI1184" s="121"/>
      <c r="AJ1184" s="121"/>
      <c r="AK1184" s="121"/>
      <c r="AL1184" s="121"/>
      <c r="AM1184" s="138"/>
      <c r="AN1184" s="24">
        <f t="shared" si="222"/>
        <v>0</v>
      </c>
      <c r="AO1184" s="353">
        <f t="shared" si="226"/>
        <v>0</v>
      </c>
      <c r="AP1184" s="36">
        <f t="shared" si="231"/>
        <v>0</v>
      </c>
      <c r="AQ1184" s="316"/>
      <c r="AR1184" s="258"/>
      <c r="AS1184" s="138"/>
      <c r="AT1184" s="138"/>
    </row>
    <row r="1185" spans="1:57" ht="24">
      <c r="A1185" s="257" t="s">
        <v>1544</v>
      </c>
      <c r="B1185" s="257" t="str">
        <f t="shared" si="220"/>
        <v>SiNx</v>
      </c>
      <c r="C1185" s="280">
        <f t="shared" si="227"/>
        <v>0</v>
      </c>
      <c r="D1185" s="183">
        <f t="shared" si="224"/>
        <v>1122.41730178023</v>
      </c>
      <c r="E1185" s="96" t="str">
        <f t="shared" si="225"/>
        <v>&lt;7.4</v>
      </c>
      <c r="F1185" s="96">
        <f t="shared" si="223"/>
        <v>0</v>
      </c>
      <c r="G1185" s="183">
        <f t="shared" si="228"/>
        <v>0</v>
      </c>
      <c r="H1185" s="215">
        <f t="shared" si="229"/>
        <v>0</v>
      </c>
      <c r="I1185" s="183" t="e">
        <f t="shared" si="230"/>
        <v>#VALUE!</v>
      </c>
      <c r="J1185" s="366"/>
      <c r="K1185" s="366"/>
      <c r="L1185" s="366"/>
      <c r="M1185" s="373"/>
      <c r="N1185" s="191">
        <v>41661</v>
      </c>
      <c r="O1185" s="366">
        <v>407</v>
      </c>
      <c r="P1185" s="257" t="s">
        <v>187</v>
      </c>
      <c r="Q1185" s="257" t="s">
        <v>1478</v>
      </c>
      <c r="R1185" s="257">
        <v>3</v>
      </c>
      <c r="S1185" s="257" t="s">
        <v>659</v>
      </c>
      <c r="T1185" s="257">
        <v>69</v>
      </c>
      <c r="U1185" s="257">
        <v>400</v>
      </c>
      <c r="V1185" s="257">
        <v>8</v>
      </c>
      <c r="W1185" s="257">
        <v>26.5</v>
      </c>
      <c r="X1185" s="257">
        <v>2.5</v>
      </c>
      <c r="Y1185" s="257">
        <v>40</v>
      </c>
      <c r="Z1185" s="161"/>
      <c r="AA1185" s="76"/>
      <c r="AB1185" s="51"/>
      <c r="AC1185" s="366"/>
      <c r="AD1185" s="366"/>
      <c r="AE1185" s="366"/>
      <c r="AF1185" s="366"/>
      <c r="AG1185" s="349"/>
      <c r="AH1185" s="113">
        <v>1122.41730178023</v>
      </c>
      <c r="AI1185" s="53"/>
      <c r="AJ1185" s="53" t="s">
        <v>1545</v>
      </c>
      <c r="AK1185" s="53"/>
      <c r="AL1185" s="53"/>
      <c r="AM1185" s="366"/>
      <c r="AN1185" s="24">
        <f t="shared" si="222"/>
        <v>0</v>
      </c>
      <c r="AO1185" s="198" t="e">
        <f t="shared" si="226"/>
        <v>#VALUE!</v>
      </c>
      <c r="AP1185" s="399">
        <f t="shared" si="231"/>
        <v>0</v>
      </c>
      <c r="AQ1185" s="373"/>
      <c r="AR1185" s="44"/>
      <c r="AS1185" s="366"/>
      <c r="AT1185" s="366"/>
    </row>
    <row r="1186" spans="1:57" ht="12">
      <c r="A1186" s="257" t="s">
        <v>1546</v>
      </c>
      <c r="B1186" s="257" t="str">
        <f t="shared" si="220"/>
        <v>SiNx</v>
      </c>
      <c r="C1186" s="280">
        <f t="shared" si="227"/>
        <v>0</v>
      </c>
      <c r="D1186" s="183">
        <f t="shared" si="224"/>
        <v>1103.14833522606</v>
      </c>
      <c r="E1186" s="96">
        <f t="shared" si="225"/>
        <v>0</v>
      </c>
      <c r="F1186" s="96">
        <f t="shared" si="223"/>
        <v>0</v>
      </c>
      <c r="G1186" s="183">
        <f t="shared" si="228"/>
        <v>0</v>
      </c>
      <c r="H1186" s="215">
        <f t="shared" si="229"/>
        <v>0</v>
      </c>
      <c r="I1186" s="183">
        <f t="shared" si="230"/>
        <v>0</v>
      </c>
      <c r="J1186" s="366"/>
      <c r="K1186" s="366"/>
      <c r="L1186" s="366"/>
      <c r="M1186" s="373"/>
      <c r="N1186" s="191">
        <v>41661</v>
      </c>
      <c r="O1186" s="366">
        <v>407</v>
      </c>
      <c r="P1186" s="257" t="s">
        <v>187</v>
      </c>
      <c r="Q1186" s="257" t="s">
        <v>1478</v>
      </c>
      <c r="R1186" s="257">
        <v>6</v>
      </c>
      <c r="S1186" s="257" t="s">
        <v>659</v>
      </c>
      <c r="T1186" s="257">
        <v>69</v>
      </c>
      <c r="U1186" s="257">
        <v>400</v>
      </c>
      <c r="V1186" s="257">
        <v>8</v>
      </c>
      <c r="W1186" s="257">
        <v>26.5</v>
      </c>
      <c r="X1186" s="257">
        <v>2.5</v>
      </c>
      <c r="Y1186" s="257">
        <v>40</v>
      </c>
      <c r="Z1186" s="161"/>
      <c r="AA1186" s="76"/>
      <c r="AB1186" s="51"/>
      <c r="AC1186" s="366"/>
      <c r="AD1186" s="366"/>
      <c r="AE1186" s="366"/>
      <c r="AF1186" s="366"/>
      <c r="AG1186" s="349"/>
      <c r="AH1186" s="113">
        <v>1103.14833522606</v>
      </c>
      <c r="AI1186" s="53"/>
      <c r="AJ1186" s="53"/>
      <c r="AK1186" s="53"/>
      <c r="AL1186" s="53"/>
      <c r="AM1186" s="366"/>
      <c r="AN1186" s="24">
        <f t="shared" si="222"/>
        <v>0</v>
      </c>
      <c r="AO1186" s="198">
        <f t="shared" si="226"/>
        <v>0</v>
      </c>
      <c r="AP1186" s="399">
        <f t="shared" si="231"/>
        <v>0</v>
      </c>
      <c r="AQ1186" s="373"/>
      <c r="AR1186" s="44"/>
      <c r="AS1186" s="366"/>
      <c r="AT1186" s="366"/>
    </row>
    <row r="1187" spans="1:57" ht="12">
      <c r="A1187" s="257" t="s">
        <v>1547</v>
      </c>
      <c r="B1187" s="257"/>
      <c r="C1187" s="280"/>
      <c r="D1187" s="183"/>
      <c r="E1187" s="96"/>
      <c r="F1187" s="96"/>
      <c r="G1187" s="183"/>
      <c r="H1187" s="215"/>
      <c r="I1187" s="183"/>
      <c r="J1187" s="366"/>
      <c r="K1187" s="366"/>
      <c r="L1187" s="366"/>
      <c r="M1187" s="373"/>
      <c r="N1187" s="44"/>
      <c r="O1187" s="366"/>
      <c r="P1187" s="161"/>
      <c r="Q1187" s="257"/>
      <c r="R1187" s="161"/>
      <c r="S1187" s="257"/>
      <c r="T1187" s="257"/>
      <c r="U1187" s="257"/>
      <c r="V1187" s="161"/>
      <c r="W1187" s="257"/>
      <c r="X1187" s="257"/>
      <c r="Y1187" s="257"/>
      <c r="Z1187" s="161"/>
      <c r="AA1187" s="76"/>
      <c r="AB1187" s="51"/>
      <c r="AC1187" s="366"/>
      <c r="AD1187" s="366"/>
      <c r="AE1187" s="366"/>
      <c r="AF1187" s="366"/>
      <c r="AG1187" s="349"/>
      <c r="AH1187" s="113"/>
      <c r="AI1187" s="53"/>
      <c r="AJ1187" s="53"/>
      <c r="AK1187" s="53"/>
      <c r="AL1187" s="53"/>
      <c r="AM1187" s="366"/>
      <c r="AN1187" s="24">
        <f t="shared" si="222"/>
        <v>0</v>
      </c>
      <c r="AO1187" s="198"/>
      <c r="AP1187" s="399"/>
      <c r="AQ1187" s="373"/>
      <c r="AR1187" s="44"/>
      <c r="AS1187" s="366"/>
      <c r="AT1187" s="366"/>
    </row>
    <row r="1188" spans="1:57" ht="12">
      <c r="A1188" s="257" t="s">
        <v>1548</v>
      </c>
      <c r="B1188" s="257"/>
      <c r="C1188" s="280"/>
      <c r="D1188" s="183"/>
      <c r="E1188" s="96"/>
      <c r="F1188" s="96"/>
      <c r="G1188" s="183"/>
      <c r="H1188" s="215"/>
      <c r="I1188" s="183"/>
      <c r="J1188" s="366"/>
      <c r="K1188" s="366"/>
      <c r="L1188" s="366"/>
      <c r="M1188" s="373"/>
      <c r="N1188" s="44"/>
      <c r="O1188" s="366"/>
      <c r="P1188" s="161"/>
      <c r="Q1188" s="257"/>
      <c r="R1188" s="161"/>
      <c r="S1188" s="257"/>
      <c r="T1188" s="257"/>
      <c r="U1188" s="257"/>
      <c r="V1188" s="161"/>
      <c r="W1188" s="257"/>
      <c r="X1188" s="257"/>
      <c r="Y1188" s="257"/>
      <c r="Z1188" s="161"/>
      <c r="AA1188" s="76"/>
      <c r="AB1188" s="51"/>
      <c r="AC1188" s="366"/>
      <c r="AD1188" s="366"/>
      <c r="AE1188" s="366"/>
      <c r="AF1188" s="366"/>
      <c r="AG1188" s="349"/>
      <c r="AH1188" s="113"/>
      <c r="AI1188" s="53"/>
      <c r="AJ1188" s="53"/>
      <c r="AK1188" s="53"/>
      <c r="AL1188" s="53"/>
      <c r="AM1188" s="366"/>
      <c r="AN1188" s="24">
        <f t="shared" si="222"/>
        <v>0</v>
      </c>
      <c r="AO1188" s="198"/>
      <c r="AP1188" s="399"/>
      <c r="AQ1188" s="373"/>
      <c r="AR1188" s="44"/>
      <c r="AS1188" s="366"/>
      <c r="AT1188" s="366"/>
    </row>
    <row r="1189" spans="1:57" ht="12">
      <c r="A1189" s="257" t="s">
        <v>1549</v>
      </c>
      <c r="B1189" s="257" t="str">
        <f t="shared" ref="B1189:B1220" si="232">P1189</f>
        <v>SiNx</v>
      </c>
      <c r="C1189" s="280">
        <f t="shared" ref="C1189:C1220" si="233">AF1189</f>
        <v>0</v>
      </c>
      <c r="D1189" s="183">
        <f t="shared" ref="D1189:D1220" si="234">AH1189</f>
        <v>114.54330118310401</v>
      </c>
      <c r="E1189" s="96">
        <f t="shared" ref="E1189:E1220" si="235">AJ1189</f>
        <v>0</v>
      </c>
      <c r="F1189" s="96">
        <f t="shared" ref="F1189:F1220" si="236">AK1189</f>
        <v>0</v>
      </c>
      <c r="G1189" s="183">
        <f t="shared" ref="G1189:G1220" si="237">AN1189</f>
        <v>0</v>
      </c>
      <c r="H1189" s="215">
        <f t="shared" ref="H1189:H1202" si="238">AL1189</f>
        <v>0</v>
      </c>
      <c r="I1189" s="183">
        <f t="shared" ref="I1189:I1220" si="239">AO1189</f>
        <v>0</v>
      </c>
      <c r="J1189" s="366"/>
      <c r="K1189" s="366"/>
      <c r="L1189" s="366"/>
      <c r="M1189" s="373"/>
      <c r="N1189" s="191">
        <v>41663</v>
      </c>
      <c r="O1189" s="366">
        <v>409</v>
      </c>
      <c r="P1189" s="366" t="s">
        <v>187</v>
      </c>
      <c r="Q1189" s="257" t="s">
        <v>1478</v>
      </c>
      <c r="R1189" s="366">
        <v>1</v>
      </c>
      <c r="S1189" s="257" t="s">
        <v>659</v>
      </c>
      <c r="T1189" s="257">
        <v>69</v>
      </c>
      <c r="U1189" s="257">
        <v>400</v>
      </c>
      <c r="V1189" s="366">
        <v>0</v>
      </c>
      <c r="W1189" s="257">
        <v>26.5</v>
      </c>
      <c r="X1189" s="257">
        <v>2.5</v>
      </c>
      <c r="Y1189" s="257">
        <v>40</v>
      </c>
      <c r="Z1189" s="161"/>
      <c r="AA1189" s="76"/>
      <c r="AB1189" s="51"/>
      <c r="AC1189" s="366"/>
      <c r="AD1189" s="366"/>
      <c r="AE1189" s="366"/>
      <c r="AF1189" s="366"/>
      <c r="AG1189" s="349"/>
      <c r="AH1189" s="113">
        <v>114.54330118310401</v>
      </c>
      <c r="AI1189" s="53"/>
      <c r="AJ1189" s="53"/>
      <c r="AK1189" s="53"/>
      <c r="AL1189" s="53"/>
      <c r="AM1189" s="366"/>
      <c r="AN1189" s="24">
        <f t="shared" si="222"/>
        <v>0</v>
      </c>
      <c r="AO1189" s="198">
        <f t="shared" ref="AO1189:AO1220" si="240">(AF1189*AH1189)*AJ1189</f>
        <v>0</v>
      </c>
      <c r="AP1189" s="399">
        <f t="shared" ref="AP1189:AP1220" si="241">(AF1189/T1189)*60</f>
        <v>0</v>
      </c>
      <c r="AQ1189" s="373"/>
      <c r="AR1189" s="44"/>
      <c r="AS1189" s="366"/>
      <c r="AT1189" s="366"/>
    </row>
    <row r="1190" spans="1:57" ht="12">
      <c r="A1190" s="257" t="s">
        <v>1550</v>
      </c>
      <c r="B1190" s="257" t="str">
        <f t="shared" si="232"/>
        <v>SiNx</v>
      </c>
      <c r="C1190" s="280">
        <f t="shared" si="233"/>
        <v>0</v>
      </c>
      <c r="D1190" s="183">
        <f t="shared" si="234"/>
        <v>115.61379932500201</v>
      </c>
      <c r="E1190" s="96">
        <f t="shared" si="235"/>
        <v>0</v>
      </c>
      <c r="F1190" s="96">
        <f t="shared" si="236"/>
        <v>0</v>
      </c>
      <c r="G1190" s="183">
        <f t="shared" si="237"/>
        <v>0</v>
      </c>
      <c r="H1190" s="215">
        <f t="shared" si="238"/>
        <v>0</v>
      </c>
      <c r="I1190" s="183">
        <f t="shared" si="239"/>
        <v>0</v>
      </c>
      <c r="J1190" s="366"/>
      <c r="K1190" s="366"/>
      <c r="L1190" s="366"/>
      <c r="M1190" s="373"/>
      <c r="N1190" s="191">
        <v>41663</v>
      </c>
      <c r="O1190" s="366">
        <v>409</v>
      </c>
      <c r="P1190" s="366" t="s">
        <v>187</v>
      </c>
      <c r="Q1190" s="257" t="s">
        <v>1478</v>
      </c>
      <c r="R1190" s="366">
        <v>2</v>
      </c>
      <c r="S1190" s="257" t="s">
        <v>659</v>
      </c>
      <c r="T1190" s="257">
        <v>69</v>
      </c>
      <c r="U1190" s="257">
        <v>400</v>
      </c>
      <c r="V1190" s="366">
        <v>0</v>
      </c>
      <c r="W1190" s="257">
        <v>26.5</v>
      </c>
      <c r="X1190" s="257">
        <v>2.5</v>
      </c>
      <c r="Y1190" s="257">
        <v>40</v>
      </c>
      <c r="Z1190" s="161"/>
      <c r="AA1190" s="76"/>
      <c r="AB1190" s="51"/>
      <c r="AC1190" s="366"/>
      <c r="AD1190" s="366"/>
      <c r="AE1190" s="366"/>
      <c r="AF1190" s="366"/>
      <c r="AG1190" s="349"/>
      <c r="AH1190" s="113">
        <v>115.61379932500201</v>
      </c>
      <c r="AI1190" s="53"/>
      <c r="AJ1190" s="53"/>
      <c r="AK1190" s="53"/>
      <c r="AL1190" s="53"/>
      <c r="AM1190" s="366"/>
      <c r="AN1190" s="24">
        <f t="shared" si="222"/>
        <v>0</v>
      </c>
      <c r="AO1190" s="198">
        <f t="shared" si="240"/>
        <v>0</v>
      </c>
      <c r="AP1190" s="399">
        <f t="shared" si="241"/>
        <v>0</v>
      </c>
      <c r="AQ1190" s="373"/>
      <c r="AR1190" s="44"/>
      <c r="AS1190" s="366"/>
      <c r="AT1190" s="366"/>
    </row>
    <row r="1191" spans="1:57" ht="12">
      <c r="A1191" s="257" t="s">
        <v>1551</v>
      </c>
      <c r="B1191" s="257" t="str">
        <f t="shared" si="232"/>
        <v>SiNx</v>
      </c>
      <c r="C1191" s="280">
        <f t="shared" si="233"/>
        <v>0</v>
      </c>
      <c r="D1191" s="183">
        <f t="shared" si="234"/>
        <v>116.505881109917</v>
      </c>
      <c r="E1191" s="96">
        <f t="shared" si="235"/>
        <v>0</v>
      </c>
      <c r="F1191" s="96">
        <f t="shared" si="236"/>
        <v>0</v>
      </c>
      <c r="G1191" s="183">
        <f t="shared" si="237"/>
        <v>0</v>
      </c>
      <c r="H1191" s="215">
        <f t="shared" si="238"/>
        <v>0</v>
      </c>
      <c r="I1191" s="183">
        <f t="shared" si="239"/>
        <v>0</v>
      </c>
      <c r="J1191" s="366"/>
      <c r="K1191" s="366"/>
      <c r="L1191" s="366"/>
      <c r="M1191" s="373"/>
      <c r="N1191" s="191">
        <v>41663</v>
      </c>
      <c r="O1191" s="366">
        <v>409</v>
      </c>
      <c r="P1191" s="366" t="s">
        <v>187</v>
      </c>
      <c r="Q1191" s="257" t="s">
        <v>1478</v>
      </c>
      <c r="R1191" s="366">
        <v>3</v>
      </c>
      <c r="S1191" s="257" t="s">
        <v>659</v>
      </c>
      <c r="T1191" s="257">
        <v>69</v>
      </c>
      <c r="U1191" s="257">
        <v>400</v>
      </c>
      <c r="V1191" s="366">
        <v>0</v>
      </c>
      <c r="W1191" s="257">
        <v>26.5</v>
      </c>
      <c r="X1191" s="257">
        <v>2.5</v>
      </c>
      <c r="Y1191" s="257">
        <v>40</v>
      </c>
      <c r="Z1191" s="161"/>
      <c r="AA1191" s="76"/>
      <c r="AB1191" s="51"/>
      <c r="AC1191" s="366"/>
      <c r="AD1191" s="366"/>
      <c r="AE1191" s="366"/>
      <c r="AF1191" s="366"/>
      <c r="AG1191" s="349"/>
      <c r="AH1191" s="113">
        <v>116.505881109917</v>
      </c>
      <c r="AI1191" s="53"/>
      <c r="AJ1191" s="53"/>
      <c r="AK1191" s="53"/>
      <c r="AL1191" s="53"/>
      <c r="AM1191" s="366"/>
      <c r="AN1191" s="24">
        <f t="shared" si="222"/>
        <v>0</v>
      </c>
      <c r="AO1191" s="198">
        <f t="shared" si="240"/>
        <v>0</v>
      </c>
      <c r="AP1191" s="399">
        <f t="shared" si="241"/>
        <v>0</v>
      </c>
      <c r="AQ1191" s="373"/>
      <c r="AR1191" s="44"/>
      <c r="AS1191" s="366"/>
      <c r="AT1191" s="366"/>
    </row>
    <row r="1192" spans="1:57" ht="12">
      <c r="A1192" s="257" t="s">
        <v>1552</v>
      </c>
      <c r="B1192" s="257" t="str">
        <f t="shared" si="232"/>
        <v>SiNx</v>
      </c>
      <c r="C1192" s="280">
        <f t="shared" si="233"/>
        <v>0</v>
      </c>
      <c r="D1192" s="183">
        <f t="shared" si="234"/>
        <v>114.54330118310401</v>
      </c>
      <c r="E1192" s="96">
        <f t="shared" si="235"/>
        <v>0</v>
      </c>
      <c r="F1192" s="96">
        <f t="shared" si="236"/>
        <v>0</v>
      </c>
      <c r="G1192" s="183">
        <f t="shared" si="237"/>
        <v>0</v>
      </c>
      <c r="H1192" s="215">
        <f t="shared" si="238"/>
        <v>0</v>
      </c>
      <c r="I1192" s="183">
        <f t="shared" si="239"/>
        <v>0</v>
      </c>
      <c r="J1192" s="366"/>
      <c r="K1192" s="366"/>
      <c r="L1192" s="366"/>
      <c r="M1192" s="373"/>
      <c r="N1192" s="191">
        <v>41663</v>
      </c>
      <c r="O1192" s="366">
        <v>409</v>
      </c>
      <c r="P1192" s="366" t="s">
        <v>187</v>
      </c>
      <c r="Q1192" s="257" t="s">
        <v>1478</v>
      </c>
      <c r="R1192" s="366">
        <v>6</v>
      </c>
      <c r="S1192" s="257" t="s">
        <v>659</v>
      </c>
      <c r="T1192" s="257">
        <v>69</v>
      </c>
      <c r="U1192" s="257">
        <v>400</v>
      </c>
      <c r="V1192" s="366">
        <v>0</v>
      </c>
      <c r="W1192" s="257">
        <v>26.5</v>
      </c>
      <c r="X1192" s="257">
        <v>2.5</v>
      </c>
      <c r="Y1192" s="257">
        <v>40</v>
      </c>
      <c r="Z1192" s="161"/>
      <c r="AA1192" s="76"/>
      <c r="AB1192" s="51"/>
      <c r="AC1192" s="366"/>
      <c r="AD1192" s="366"/>
      <c r="AE1192" s="366"/>
      <c r="AF1192" s="366"/>
      <c r="AG1192" s="349"/>
      <c r="AH1192" s="113">
        <v>114.54330118310401</v>
      </c>
      <c r="AI1192" s="53"/>
      <c r="AJ1192" s="53"/>
      <c r="AK1192" s="53"/>
      <c r="AL1192" s="53"/>
      <c r="AM1192" s="366"/>
      <c r="AN1192" s="24">
        <f t="shared" si="222"/>
        <v>0</v>
      </c>
      <c r="AO1192" s="198">
        <f t="shared" si="240"/>
        <v>0</v>
      </c>
      <c r="AP1192" s="399">
        <f t="shared" si="241"/>
        <v>0</v>
      </c>
      <c r="AQ1192" s="373"/>
      <c r="AR1192" s="44"/>
      <c r="AS1192" s="366"/>
      <c r="AT1192" s="366"/>
    </row>
    <row r="1193" spans="1:57" ht="12">
      <c r="A1193" s="202" t="s">
        <v>1553</v>
      </c>
      <c r="B1193" s="202">
        <f t="shared" si="232"/>
        <v>0</v>
      </c>
      <c r="C1193" s="49">
        <f t="shared" si="233"/>
        <v>0</v>
      </c>
      <c r="D1193" s="131">
        <f t="shared" si="234"/>
        <v>0</v>
      </c>
      <c r="E1193" s="40">
        <f t="shared" si="235"/>
        <v>0</v>
      </c>
      <c r="F1193" s="40">
        <f t="shared" si="236"/>
        <v>0</v>
      </c>
      <c r="G1193" s="131">
        <f t="shared" si="237"/>
        <v>0</v>
      </c>
      <c r="H1193" s="287">
        <f t="shared" si="238"/>
        <v>0</v>
      </c>
      <c r="I1193" s="131">
        <f t="shared" si="239"/>
        <v>0</v>
      </c>
      <c r="J1193" s="384"/>
      <c r="K1193" s="384"/>
      <c r="L1193" s="384"/>
      <c r="M1193" s="109"/>
      <c r="N1193" s="94"/>
      <c r="O1193" s="384"/>
      <c r="P1193" s="384"/>
      <c r="Q1193" s="384"/>
      <c r="R1193" s="384"/>
      <c r="S1193" s="384"/>
      <c r="T1193" s="384"/>
      <c r="U1193" s="384"/>
      <c r="V1193" s="384"/>
      <c r="W1193" s="384"/>
      <c r="X1193" s="384"/>
      <c r="Y1193" s="384"/>
      <c r="Z1193" s="384"/>
      <c r="AA1193" s="268"/>
      <c r="AB1193" s="390"/>
      <c r="AC1193" s="384"/>
      <c r="AD1193" s="384"/>
      <c r="AE1193" s="384"/>
      <c r="AF1193" s="384"/>
      <c r="AG1193" s="170"/>
      <c r="AH1193" s="129"/>
      <c r="AI1193" s="319"/>
      <c r="AJ1193" s="319"/>
      <c r="AK1193" s="319"/>
      <c r="AL1193" s="319"/>
      <c r="AM1193" s="384"/>
      <c r="AN1193" s="24">
        <f t="shared" si="222"/>
        <v>0</v>
      </c>
      <c r="AO1193" s="42">
        <f t="shared" si="240"/>
        <v>0</v>
      </c>
      <c r="AP1193" s="201" t="e">
        <f t="shared" si="241"/>
        <v>#DIV/0!</v>
      </c>
      <c r="AQ1193" s="109"/>
      <c r="AR1193" s="94"/>
      <c r="AS1193" s="384"/>
      <c r="AT1193" s="384"/>
    </row>
    <row r="1194" spans="1:57" ht="12">
      <c r="A1194" s="202" t="s">
        <v>1554</v>
      </c>
      <c r="B1194" s="202">
        <f t="shared" si="232"/>
        <v>0</v>
      </c>
      <c r="C1194" s="49">
        <f t="shared" si="233"/>
        <v>0</v>
      </c>
      <c r="D1194" s="131">
        <f t="shared" si="234"/>
        <v>0</v>
      </c>
      <c r="E1194" s="40">
        <f t="shared" si="235"/>
        <v>0</v>
      </c>
      <c r="F1194" s="40">
        <f t="shared" si="236"/>
        <v>0</v>
      </c>
      <c r="G1194" s="131">
        <f t="shared" si="237"/>
        <v>0</v>
      </c>
      <c r="H1194" s="287">
        <f t="shared" si="238"/>
        <v>0</v>
      </c>
      <c r="I1194" s="131">
        <f t="shared" si="239"/>
        <v>0</v>
      </c>
      <c r="J1194" s="384"/>
      <c r="K1194" s="384"/>
      <c r="L1194" s="384"/>
      <c r="M1194" s="109"/>
      <c r="N1194" s="94"/>
      <c r="O1194" s="384"/>
      <c r="P1194" s="384"/>
      <c r="Q1194" s="384"/>
      <c r="R1194" s="384"/>
      <c r="S1194" s="384"/>
      <c r="T1194" s="384"/>
      <c r="U1194" s="384"/>
      <c r="V1194" s="384"/>
      <c r="W1194" s="384"/>
      <c r="X1194" s="384"/>
      <c r="Y1194" s="384"/>
      <c r="Z1194" s="384"/>
      <c r="AA1194" s="268"/>
      <c r="AB1194" s="390"/>
      <c r="AC1194" s="384"/>
      <c r="AD1194" s="384"/>
      <c r="AE1194" s="384"/>
      <c r="AF1194" s="384"/>
      <c r="AG1194" s="170"/>
      <c r="AH1194" s="129"/>
      <c r="AI1194" s="319"/>
      <c r="AJ1194" s="319"/>
      <c r="AK1194" s="319"/>
      <c r="AL1194" s="319"/>
      <c r="AM1194" s="384"/>
      <c r="AN1194" s="24">
        <f t="shared" si="222"/>
        <v>0</v>
      </c>
      <c r="AO1194" s="42">
        <f t="shared" si="240"/>
        <v>0</v>
      </c>
      <c r="AP1194" s="201" t="e">
        <f t="shared" si="241"/>
        <v>#DIV/0!</v>
      </c>
      <c r="AQ1194" s="109"/>
      <c r="AR1194" s="94"/>
      <c r="AS1194" s="384"/>
      <c r="AT1194" s="384"/>
    </row>
    <row r="1195" spans="1:57" ht="12">
      <c r="A1195" s="202" t="s">
        <v>1555</v>
      </c>
      <c r="B1195" s="202">
        <f t="shared" si="232"/>
        <v>0</v>
      </c>
      <c r="C1195" s="49">
        <f t="shared" si="233"/>
        <v>0</v>
      </c>
      <c r="D1195" s="131">
        <f t="shared" si="234"/>
        <v>0</v>
      </c>
      <c r="E1195" s="40">
        <f t="shared" si="235"/>
        <v>0</v>
      </c>
      <c r="F1195" s="40">
        <f t="shared" si="236"/>
        <v>0</v>
      </c>
      <c r="G1195" s="131">
        <f t="shared" si="237"/>
        <v>0</v>
      </c>
      <c r="H1195" s="287">
        <f t="shared" si="238"/>
        <v>0</v>
      </c>
      <c r="I1195" s="131">
        <f t="shared" si="239"/>
        <v>0</v>
      </c>
      <c r="J1195" s="384"/>
      <c r="K1195" s="384"/>
      <c r="L1195" s="384"/>
      <c r="M1195" s="109"/>
      <c r="N1195" s="94"/>
      <c r="O1195" s="384"/>
      <c r="P1195" s="384"/>
      <c r="Q1195" s="384"/>
      <c r="R1195" s="384"/>
      <c r="S1195" s="384"/>
      <c r="T1195" s="384"/>
      <c r="U1195" s="384"/>
      <c r="V1195" s="384"/>
      <c r="W1195" s="384"/>
      <c r="X1195" s="384"/>
      <c r="Y1195" s="384"/>
      <c r="Z1195" s="384"/>
      <c r="AA1195" s="268"/>
      <c r="AB1195" s="390"/>
      <c r="AC1195" s="384"/>
      <c r="AD1195" s="384"/>
      <c r="AE1195" s="384"/>
      <c r="AF1195" s="384"/>
      <c r="AG1195" s="170"/>
      <c r="AH1195" s="129"/>
      <c r="AI1195" s="319"/>
      <c r="AJ1195" s="319"/>
      <c r="AK1195" s="319"/>
      <c r="AL1195" s="319"/>
      <c r="AM1195" s="384"/>
      <c r="AN1195" s="24">
        <f t="shared" si="222"/>
        <v>0</v>
      </c>
      <c r="AO1195" s="42">
        <f t="shared" si="240"/>
        <v>0</v>
      </c>
      <c r="AP1195" s="201" t="e">
        <f t="shared" si="241"/>
        <v>#DIV/0!</v>
      </c>
      <c r="AQ1195" s="109"/>
      <c r="AR1195" s="94"/>
      <c r="AS1195" s="384"/>
      <c r="AT1195" s="384"/>
    </row>
    <row r="1196" spans="1:57" ht="12">
      <c r="A1196" s="202" t="s">
        <v>1556</v>
      </c>
      <c r="B1196" s="202">
        <f t="shared" si="232"/>
        <v>0</v>
      </c>
      <c r="C1196" s="49">
        <f t="shared" si="233"/>
        <v>0</v>
      </c>
      <c r="D1196" s="131">
        <f t="shared" si="234"/>
        <v>0</v>
      </c>
      <c r="E1196" s="40">
        <f t="shared" si="235"/>
        <v>0</v>
      </c>
      <c r="F1196" s="40">
        <f t="shared" si="236"/>
        <v>0</v>
      </c>
      <c r="G1196" s="131">
        <f t="shared" si="237"/>
        <v>0</v>
      </c>
      <c r="H1196" s="287">
        <f t="shared" si="238"/>
        <v>0</v>
      </c>
      <c r="I1196" s="131">
        <f t="shared" si="239"/>
        <v>0</v>
      </c>
      <c r="J1196" s="384"/>
      <c r="K1196" s="384"/>
      <c r="L1196" s="384"/>
      <c r="M1196" s="109"/>
      <c r="N1196" s="94"/>
      <c r="O1196" s="384"/>
      <c r="P1196" s="384"/>
      <c r="Q1196" s="384"/>
      <c r="R1196" s="384"/>
      <c r="S1196" s="384"/>
      <c r="T1196" s="384"/>
      <c r="U1196" s="384"/>
      <c r="V1196" s="384"/>
      <c r="W1196" s="384"/>
      <c r="X1196" s="384"/>
      <c r="Y1196" s="384"/>
      <c r="Z1196" s="384"/>
      <c r="AA1196" s="268"/>
      <c r="AB1196" s="390"/>
      <c r="AC1196" s="384"/>
      <c r="AD1196" s="384"/>
      <c r="AE1196" s="384"/>
      <c r="AF1196" s="384"/>
      <c r="AG1196" s="170"/>
      <c r="AH1196" s="129"/>
      <c r="AI1196" s="319"/>
      <c r="AJ1196" s="319"/>
      <c r="AK1196" s="319"/>
      <c r="AL1196" s="319"/>
      <c r="AM1196" s="384"/>
      <c r="AN1196" s="24">
        <f t="shared" si="222"/>
        <v>0</v>
      </c>
      <c r="AO1196" s="42">
        <f t="shared" si="240"/>
        <v>0</v>
      </c>
      <c r="AP1196" s="201" t="e">
        <f t="shared" si="241"/>
        <v>#DIV/0!</v>
      </c>
      <c r="AQ1196" s="109"/>
      <c r="AR1196" s="94"/>
      <c r="AS1196" s="384"/>
      <c r="AT1196" s="384"/>
    </row>
    <row r="1197" spans="1:57" ht="12">
      <c r="A1197" s="83" t="s">
        <v>1557</v>
      </c>
      <c r="B1197" s="83" t="str">
        <f t="shared" si="232"/>
        <v>SiO2</v>
      </c>
      <c r="C1197" s="329">
        <f t="shared" si="233"/>
        <v>0</v>
      </c>
      <c r="D1197" s="168">
        <f t="shared" si="234"/>
        <v>0</v>
      </c>
      <c r="E1197" s="139">
        <f t="shared" si="235"/>
        <v>0</v>
      </c>
      <c r="F1197" s="139">
        <f t="shared" si="236"/>
        <v>0</v>
      </c>
      <c r="G1197" s="168">
        <f t="shared" si="237"/>
        <v>0</v>
      </c>
      <c r="H1197" s="150">
        <f t="shared" si="238"/>
        <v>0</v>
      </c>
      <c r="I1197" s="168">
        <f t="shared" si="239"/>
        <v>0</v>
      </c>
      <c r="J1197" s="138"/>
      <c r="K1197" s="138" t="s">
        <v>1558</v>
      </c>
      <c r="L1197" s="138"/>
      <c r="M1197" s="316"/>
      <c r="N1197" s="135">
        <v>41666</v>
      </c>
      <c r="O1197" s="138">
        <v>411</v>
      </c>
      <c r="P1197" s="138" t="s">
        <v>1182</v>
      </c>
      <c r="Q1197" s="83">
        <v>228.9</v>
      </c>
      <c r="R1197" s="138">
        <v>3</v>
      </c>
      <c r="S1197" s="83">
        <v>800</v>
      </c>
      <c r="T1197" s="83">
        <v>660</v>
      </c>
      <c r="U1197" s="83">
        <v>400</v>
      </c>
      <c r="V1197" s="83">
        <v>8</v>
      </c>
      <c r="W1197" s="83">
        <v>26.5</v>
      </c>
      <c r="X1197" s="83">
        <v>2.5</v>
      </c>
      <c r="Y1197" s="83">
        <v>40</v>
      </c>
      <c r="Z1197" s="240"/>
      <c r="AA1197" s="75"/>
      <c r="AB1197" s="300"/>
      <c r="AC1197" s="138"/>
      <c r="AD1197" s="138"/>
      <c r="AE1197" s="138"/>
      <c r="AF1197" s="138"/>
      <c r="AG1197" s="63"/>
      <c r="AH1197" s="70"/>
      <c r="AI1197" s="121"/>
      <c r="AJ1197" s="121"/>
      <c r="AK1197" s="121"/>
      <c r="AL1197" s="121"/>
      <c r="AM1197" s="138"/>
      <c r="AN1197" s="24">
        <f t="shared" si="222"/>
        <v>0</v>
      </c>
      <c r="AO1197" s="353">
        <f t="shared" si="240"/>
        <v>0</v>
      </c>
      <c r="AP1197" s="36">
        <f t="shared" si="241"/>
        <v>0</v>
      </c>
      <c r="AQ1197" s="316"/>
      <c r="AR1197" s="258"/>
      <c r="AS1197" s="138"/>
      <c r="AT1197" s="138"/>
    </row>
    <row r="1198" spans="1:57" ht="12">
      <c r="A1198" s="83" t="s">
        <v>1559</v>
      </c>
      <c r="B1198" s="83" t="str">
        <f t="shared" si="232"/>
        <v>SiO2</v>
      </c>
      <c r="C1198" s="329">
        <f t="shared" si="233"/>
        <v>0</v>
      </c>
      <c r="D1198" s="168">
        <f t="shared" si="234"/>
        <v>0</v>
      </c>
      <c r="E1198" s="139">
        <f t="shared" si="235"/>
        <v>6.7</v>
      </c>
      <c r="F1198" s="139">
        <f t="shared" si="236"/>
        <v>0</v>
      </c>
      <c r="G1198" s="168">
        <f t="shared" si="237"/>
        <v>0</v>
      </c>
      <c r="H1198" s="150">
        <f t="shared" si="238"/>
        <v>2.2307692307692308</v>
      </c>
      <c r="I1198" s="168">
        <f t="shared" si="239"/>
        <v>0</v>
      </c>
      <c r="J1198" s="138"/>
      <c r="K1198" s="138" t="s">
        <v>1558</v>
      </c>
      <c r="L1198" s="138"/>
      <c r="M1198" s="316"/>
      <c r="N1198" s="135">
        <v>41666</v>
      </c>
      <c r="O1198" s="138">
        <v>411</v>
      </c>
      <c r="P1198" s="138" t="s">
        <v>1182</v>
      </c>
      <c r="Q1198" s="83">
        <v>228.9</v>
      </c>
      <c r="R1198" s="138">
        <v>6</v>
      </c>
      <c r="S1198" s="83">
        <v>800</v>
      </c>
      <c r="T1198" s="83">
        <v>660</v>
      </c>
      <c r="U1198" s="83">
        <v>400</v>
      </c>
      <c r="V1198" s="83">
        <v>8</v>
      </c>
      <c r="W1198" s="83">
        <v>26.5</v>
      </c>
      <c r="X1198" s="83">
        <v>2.5</v>
      </c>
      <c r="Y1198" s="83">
        <v>40</v>
      </c>
      <c r="Z1198" s="240"/>
      <c r="AA1198" s="75"/>
      <c r="AB1198" s="300"/>
      <c r="AC1198" s="138"/>
      <c r="AD1198" s="138"/>
      <c r="AE1198" s="138"/>
      <c r="AF1198" s="138"/>
      <c r="AG1198" s="63"/>
      <c r="AH1198" s="70"/>
      <c r="AI1198" s="121"/>
      <c r="AJ1198" s="121">
        <v>6.7</v>
      </c>
      <c r="AK1198" s="121"/>
      <c r="AL1198" s="121">
        <f>(2.9/1.3)</f>
        <v>2.2307692307692308</v>
      </c>
      <c r="AM1198" s="138"/>
      <c r="AN1198" s="24">
        <f t="shared" si="222"/>
        <v>0</v>
      </c>
      <c r="AO1198" s="353">
        <f t="shared" si="240"/>
        <v>0</v>
      </c>
      <c r="AP1198" s="36">
        <f t="shared" si="241"/>
        <v>0</v>
      </c>
      <c r="AQ1198" s="316"/>
      <c r="AR1198" s="258"/>
      <c r="AS1198" s="138"/>
      <c r="AT1198" s="138"/>
    </row>
    <row r="1199" spans="1:57" ht="12">
      <c r="A1199" s="202" t="s">
        <v>1560</v>
      </c>
      <c r="B1199" s="202">
        <f t="shared" si="232"/>
        <v>0</v>
      </c>
      <c r="C1199" s="49">
        <f t="shared" si="233"/>
        <v>0</v>
      </c>
      <c r="D1199" s="131">
        <f t="shared" si="234"/>
        <v>0</v>
      </c>
      <c r="E1199" s="40">
        <f t="shared" si="235"/>
        <v>0</v>
      </c>
      <c r="F1199" s="40">
        <f t="shared" si="236"/>
        <v>0</v>
      </c>
      <c r="G1199" s="131">
        <f t="shared" si="237"/>
        <v>0</v>
      </c>
      <c r="H1199" s="287">
        <f t="shared" si="238"/>
        <v>0</v>
      </c>
      <c r="I1199" s="131">
        <f t="shared" si="239"/>
        <v>0</v>
      </c>
      <c r="J1199" s="384"/>
      <c r="K1199" s="384"/>
      <c r="L1199" s="384"/>
      <c r="M1199" s="109"/>
      <c r="N1199" s="94"/>
      <c r="O1199" s="384"/>
      <c r="P1199" s="384"/>
      <c r="Q1199" s="384"/>
      <c r="R1199" s="384"/>
      <c r="S1199" s="384"/>
      <c r="T1199" s="384"/>
      <c r="U1199" s="384"/>
      <c r="V1199" s="384"/>
      <c r="W1199" s="384"/>
      <c r="X1199" s="384"/>
      <c r="Y1199" s="384"/>
      <c r="Z1199" s="384"/>
      <c r="AA1199" s="268"/>
      <c r="AB1199" s="390"/>
      <c r="AC1199" s="384"/>
      <c r="AD1199" s="384"/>
      <c r="AE1199" s="384"/>
      <c r="AF1199" s="384"/>
      <c r="AG1199" s="170"/>
      <c r="AH1199" s="129"/>
      <c r="AI1199" s="319"/>
      <c r="AJ1199" s="319"/>
      <c r="AK1199" s="319"/>
      <c r="AL1199" s="319"/>
      <c r="AM1199" s="384"/>
      <c r="AN1199" s="24">
        <f t="shared" si="222"/>
        <v>0</v>
      </c>
      <c r="AO1199" s="42">
        <f t="shared" si="240"/>
        <v>0</v>
      </c>
      <c r="AP1199" s="201" t="e">
        <f t="shared" si="241"/>
        <v>#DIV/0!</v>
      </c>
      <c r="AQ1199" s="109"/>
      <c r="AR1199" s="94"/>
      <c r="AS1199" s="384"/>
      <c r="AT1199" s="384"/>
    </row>
    <row r="1200" spans="1:57" ht="12">
      <c r="A1200" s="202" t="s">
        <v>1561</v>
      </c>
      <c r="B1200" s="202">
        <f t="shared" si="232"/>
        <v>0</v>
      </c>
      <c r="C1200" s="49">
        <f t="shared" si="233"/>
        <v>0</v>
      </c>
      <c r="D1200" s="131">
        <f t="shared" si="234"/>
        <v>0</v>
      </c>
      <c r="E1200" s="40">
        <f t="shared" si="235"/>
        <v>0</v>
      </c>
      <c r="F1200" s="40">
        <f t="shared" si="236"/>
        <v>0</v>
      </c>
      <c r="G1200" s="131">
        <f t="shared" si="237"/>
        <v>0</v>
      </c>
      <c r="H1200" s="287">
        <f t="shared" si="238"/>
        <v>0</v>
      </c>
      <c r="I1200" s="131">
        <f t="shared" si="239"/>
        <v>0</v>
      </c>
      <c r="J1200" s="384"/>
      <c r="K1200" s="384"/>
      <c r="L1200" s="384"/>
      <c r="M1200" s="109"/>
      <c r="N1200" s="94"/>
      <c r="O1200" s="384"/>
      <c r="P1200" s="384"/>
      <c r="Q1200" s="384"/>
      <c r="R1200" s="384"/>
      <c r="S1200" s="384"/>
      <c r="T1200" s="384"/>
      <c r="U1200" s="384"/>
      <c r="V1200" s="384"/>
      <c r="W1200" s="384"/>
      <c r="X1200" s="384"/>
      <c r="Y1200" s="384"/>
      <c r="Z1200" s="384"/>
      <c r="AA1200" s="268"/>
      <c r="AB1200" s="390"/>
      <c r="AC1200" s="384"/>
      <c r="AD1200" s="384"/>
      <c r="AE1200" s="384"/>
      <c r="AF1200" s="384"/>
      <c r="AG1200" s="170"/>
      <c r="AH1200" s="129"/>
      <c r="AI1200" s="319"/>
      <c r="AJ1200" s="319"/>
      <c r="AK1200" s="319"/>
      <c r="AL1200" s="319"/>
      <c r="AM1200" s="384"/>
      <c r="AN1200" s="24">
        <f t="shared" si="222"/>
        <v>0</v>
      </c>
      <c r="AO1200" s="42">
        <f t="shared" si="240"/>
        <v>0</v>
      </c>
      <c r="AP1200" s="201" t="e">
        <f t="shared" si="241"/>
        <v>#DIV/0!</v>
      </c>
      <c r="AQ1200" s="109"/>
      <c r="AR1200" s="94"/>
      <c r="AS1200" s="384"/>
      <c r="AT1200" s="384"/>
    </row>
    <row r="1201" spans="1:46" ht="12">
      <c r="A1201" s="202" t="s">
        <v>1562</v>
      </c>
      <c r="B1201" s="202">
        <f t="shared" si="232"/>
        <v>0</v>
      </c>
      <c r="C1201" s="49">
        <f t="shared" si="233"/>
        <v>0</v>
      </c>
      <c r="D1201" s="131">
        <f t="shared" si="234"/>
        <v>0</v>
      </c>
      <c r="E1201" s="40">
        <f t="shared" si="235"/>
        <v>0</v>
      </c>
      <c r="F1201" s="40">
        <f t="shared" si="236"/>
        <v>0</v>
      </c>
      <c r="G1201" s="131">
        <f t="shared" si="237"/>
        <v>0</v>
      </c>
      <c r="H1201" s="287">
        <f t="shared" si="238"/>
        <v>0</v>
      </c>
      <c r="I1201" s="131">
        <f t="shared" si="239"/>
        <v>0</v>
      </c>
      <c r="J1201" s="384"/>
      <c r="K1201" s="384"/>
      <c r="L1201" s="384"/>
      <c r="M1201" s="109"/>
      <c r="N1201" s="94"/>
      <c r="O1201" s="384"/>
      <c r="P1201" s="384"/>
      <c r="Q1201" s="384"/>
      <c r="R1201" s="384"/>
      <c r="S1201" s="384"/>
      <c r="T1201" s="384"/>
      <c r="U1201" s="384"/>
      <c r="V1201" s="384"/>
      <c r="W1201" s="384"/>
      <c r="X1201" s="384"/>
      <c r="Y1201" s="384"/>
      <c r="Z1201" s="384"/>
      <c r="AA1201" s="268"/>
      <c r="AB1201" s="390"/>
      <c r="AC1201" s="384"/>
      <c r="AD1201" s="384"/>
      <c r="AE1201" s="384"/>
      <c r="AF1201" s="384"/>
      <c r="AG1201" s="170"/>
      <c r="AH1201" s="129"/>
      <c r="AI1201" s="319"/>
      <c r="AJ1201" s="319"/>
      <c r="AK1201" s="319"/>
      <c r="AL1201" s="319"/>
      <c r="AM1201" s="384"/>
      <c r="AN1201" s="24">
        <f t="shared" si="222"/>
        <v>0</v>
      </c>
      <c r="AO1201" s="42">
        <f t="shared" si="240"/>
        <v>0</v>
      </c>
      <c r="AP1201" s="201" t="e">
        <f t="shared" si="241"/>
        <v>#DIV/0!</v>
      </c>
      <c r="AQ1201" s="109"/>
      <c r="AR1201" s="94"/>
      <c r="AS1201" s="384"/>
      <c r="AT1201" s="384"/>
    </row>
    <row r="1202" spans="1:46" ht="12">
      <c r="A1202" s="202" t="s">
        <v>1563</v>
      </c>
      <c r="B1202" s="202">
        <f t="shared" si="232"/>
        <v>0</v>
      </c>
      <c r="C1202" s="49">
        <f t="shared" si="233"/>
        <v>0</v>
      </c>
      <c r="D1202" s="131">
        <f t="shared" si="234"/>
        <v>0</v>
      </c>
      <c r="E1202" s="40">
        <f t="shared" si="235"/>
        <v>0</v>
      </c>
      <c r="F1202" s="40">
        <f t="shared" si="236"/>
        <v>0</v>
      </c>
      <c r="G1202" s="131">
        <f t="shared" si="237"/>
        <v>0</v>
      </c>
      <c r="H1202" s="287">
        <f t="shared" si="238"/>
        <v>0</v>
      </c>
      <c r="I1202" s="131">
        <f t="shared" si="239"/>
        <v>0</v>
      </c>
      <c r="J1202" s="384"/>
      <c r="K1202" s="384"/>
      <c r="L1202" s="384"/>
      <c r="M1202" s="109"/>
      <c r="N1202" s="94"/>
      <c r="O1202" s="384"/>
      <c r="P1202" s="384"/>
      <c r="Q1202" s="384"/>
      <c r="R1202" s="384"/>
      <c r="S1202" s="384"/>
      <c r="T1202" s="384"/>
      <c r="U1202" s="384"/>
      <c r="V1202" s="384"/>
      <c r="W1202" s="384"/>
      <c r="X1202" s="384"/>
      <c r="Y1202" s="384"/>
      <c r="Z1202" s="384"/>
      <c r="AA1202" s="268"/>
      <c r="AB1202" s="390"/>
      <c r="AC1202" s="384"/>
      <c r="AD1202" s="384"/>
      <c r="AE1202" s="384"/>
      <c r="AF1202" s="384"/>
      <c r="AG1202" s="170"/>
      <c r="AH1202" s="129"/>
      <c r="AI1202" s="319"/>
      <c r="AJ1202" s="319"/>
      <c r="AK1202" s="319"/>
      <c r="AL1202" s="319"/>
      <c r="AM1202" s="384"/>
      <c r="AN1202" s="24">
        <f t="shared" si="222"/>
        <v>0</v>
      </c>
      <c r="AO1202" s="42">
        <f t="shared" si="240"/>
        <v>0</v>
      </c>
      <c r="AP1202" s="201" t="e">
        <f t="shared" si="241"/>
        <v>#DIV/0!</v>
      </c>
      <c r="AQ1202" s="109"/>
      <c r="AR1202" s="94"/>
      <c r="AS1202" s="384"/>
      <c r="AT1202" s="384"/>
    </row>
    <row r="1203" spans="1:46" ht="24">
      <c r="A1203" s="83" t="s">
        <v>1564</v>
      </c>
      <c r="B1203" s="83" t="str">
        <f t="shared" si="232"/>
        <v>SiO2</v>
      </c>
      <c r="C1203" s="329">
        <f t="shared" si="233"/>
        <v>0</v>
      </c>
      <c r="D1203" s="168">
        <f t="shared" si="234"/>
        <v>520.61892967647395</v>
      </c>
      <c r="E1203" s="139" t="str">
        <f t="shared" si="235"/>
        <v>&lt;6.8</v>
      </c>
      <c r="F1203" s="139">
        <f t="shared" si="236"/>
        <v>0</v>
      </c>
      <c r="G1203" s="168">
        <f t="shared" si="237"/>
        <v>0</v>
      </c>
      <c r="H1203" s="150">
        <f>AL1198</f>
        <v>2.2307692307692308</v>
      </c>
      <c r="I1203" s="168" t="e">
        <f t="shared" si="239"/>
        <v>#VALUE!</v>
      </c>
      <c r="J1203" s="138"/>
      <c r="K1203" s="138"/>
      <c r="L1203" s="138"/>
      <c r="M1203" s="316"/>
      <c r="N1203" s="135">
        <v>41669</v>
      </c>
      <c r="O1203" s="138">
        <v>415</v>
      </c>
      <c r="P1203" s="138" t="s">
        <v>1182</v>
      </c>
      <c r="Q1203" s="138" t="s">
        <v>1565</v>
      </c>
      <c r="R1203" s="138">
        <v>3</v>
      </c>
      <c r="S1203" s="138" t="s">
        <v>659</v>
      </c>
      <c r="T1203" s="138">
        <v>120</v>
      </c>
      <c r="U1203" s="138">
        <v>400</v>
      </c>
      <c r="V1203" s="138">
        <v>8</v>
      </c>
      <c r="W1203" s="138">
        <v>26.5</v>
      </c>
      <c r="X1203" s="138">
        <v>2.5</v>
      </c>
      <c r="Y1203" s="138">
        <v>40</v>
      </c>
      <c r="Z1203" s="138"/>
      <c r="AA1203" s="6"/>
      <c r="AB1203" s="300"/>
      <c r="AC1203" s="138"/>
      <c r="AD1203" s="138"/>
      <c r="AE1203" s="138"/>
      <c r="AF1203" s="138"/>
      <c r="AG1203" s="63"/>
      <c r="AH1203" s="70">
        <v>520.61892967647395</v>
      </c>
      <c r="AI1203" s="121"/>
      <c r="AJ1203" s="121" t="s">
        <v>1566</v>
      </c>
      <c r="AK1203" s="121"/>
      <c r="AL1203" s="367">
        <f>(226/307.5)</f>
        <v>0.73495934959349596</v>
      </c>
      <c r="AM1203" s="138"/>
      <c r="AN1203" s="24">
        <f t="shared" si="222"/>
        <v>0</v>
      </c>
      <c r="AO1203" s="353" t="e">
        <f t="shared" si="240"/>
        <v>#VALUE!</v>
      </c>
      <c r="AP1203" s="36">
        <f t="shared" si="241"/>
        <v>0</v>
      </c>
      <c r="AQ1203" s="316"/>
      <c r="AR1203" s="258"/>
      <c r="AS1203" s="138"/>
      <c r="AT1203" s="138"/>
    </row>
    <row r="1204" spans="1:46" ht="24">
      <c r="A1204" s="83" t="s">
        <v>1567</v>
      </c>
      <c r="B1204" s="83" t="str">
        <f t="shared" si="232"/>
        <v>SiO2</v>
      </c>
      <c r="C1204" s="329">
        <f t="shared" si="233"/>
        <v>0</v>
      </c>
      <c r="D1204" s="168">
        <f t="shared" si="234"/>
        <v>518.834766106644</v>
      </c>
      <c r="E1204" s="139" t="str">
        <f t="shared" si="235"/>
        <v>&lt;6.8</v>
      </c>
      <c r="F1204" s="139">
        <f t="shared" si="236"/>
        <v>0</v>
      </c>
      <c r="G1204" s="168">
        <f t="shared" si="237"/>
        <v>0</v>
      </c>
      <c r="H1204" s="150">
        <f t="shared" ref="H1204:H1235" si="242">AL1204</f>
        <v>0.7414782315221059</v>
      </c>
      <c r="I1204" s="168" t="e">
        <f t="shared" si="239"/>
        <v>#VALUE!</v>
      </c>
      <c r="J1204" s="138"/>
      <c r="K1204" s="138"/>
      <c r="L1204" s="138"/>
      <c r="M1204" s="316"/>
      <c r="N1204" s="135">
        <v>41669</v>
      </c>
      <c r="O1204" s="138">
        <v>415</v>
      </c>
      <c r="P1204" s="138" t="s">
        <v>1182</v>
      </c>
      <c r="Q1204" s="138" t="s">
        <v>1565</v>
      </c>
      <c r="R1204" s="138">
        <v>6</v>
      </c>
      <c r="S1204" s="138" t="s">
        <v>659</v>
      </c>
      <c r="T1204" s="138">
        <v>120</v>
      </c>
      <c r="U1204" s="138">
        <v>400</v>
      </c>
      <c r="V1204" s="138">
        <v>8</v>
      </c>
      <c r="W1204" s="138">
        <v>26.5</v>
      </c>
      <c r="X1204" s="138">
        <v>2.5</v>
      </c>
      <c r="Y1204" s="138">
        <v>40</v>
      </c>
      <c r="Z1204" s="138"/>
      <c r="AA1204" s="6"/>
      <c r="AB1204" s="300"/>
      <c r="AC1204" s="138"/>
      <c r="AD1204" s="138"/>
      <c r="AE1204" s="138"/>
      <c r="AF1204" s="138"/>
      <c r="AG1204" s="63"/>
      <c r="AH1204" s="70">
        <v>518.834766106644</v>
      </c>
      <c r="AI1204" s="121"/>
      <c r="AJ1204" s="121" t="s">
        <v>1566</v>
      </c>
      <c r="AK1204" s="121"/>
      <c r="AL1204" s="121">
        <f>219.7/296.3</f>
        <v>0.7414782315221059</v>
      </c>
      <c r="AM1204" s="138"/>
      <c r="AN1204" s="24">
        <f t="shared" si="222"/>
        <v>0</v>
      </c>
      <c r="AO1204" s="353" t="e">
        <f t="shared" si="240"/>
        <v>#VALUE!</v>
      </c>
      <c r="AP1204" s="36">
        <f t="shared" si="241"/>
        <v>0</v>
      </c>
      <c r="AQ1204" s="316"/>
      <c r="AR1204" s="258"/>
      <c r="AS1204" s="138"/>
      <c r="AT1204" s="138"/>
    </row>
    <row r="1205" spans="1:46" ht="12">
      <c r="A1205" s="256" t="s">
        <v>1568</v>
      </c>
      <c r="B1205" s="256" t="str">
        <f t="shared" si="232"/>
        <v>MgO</v>
      </c>
      <c r="C1205" s="32">
        <f t="shared" si="233"/>
        <v>0</v>
      </c>
      <c r="D1205" s="279">
        <f t="shared" si="234"/>
        <v>425.87984411848697</v>
      </c>
      <c r="E1205" s="78">
        <f t="shared" si="235"/>
        <v>11.59</v>
      </c>
      <c r="F1205" s="78">
        <f t="shared" si="236"/>
        <v>1.53</v>
      </c>
      <c r="G1205" s="279">
        <f t="shared" si="237"/>
        <v>0</v>
      </c>
      <c r="H1205" s="190">
        <f t="shared" si="242"/>
        <v>0</v>
      </c>
      <c r="I1205" s="279">
        <f t="shared" si="239"/>
        <v>0</v>
      </c>
      <c r="J1205" s="67"/>
      <c r="K1205" s="67"/>
      <c r="L1205" s="67"/>
      <c r="M1205" s="371"/>
      <c r="N1205" s="309">
        <v>41669</v>
      </c>
      <c r="O1205" s="67">
        <v>416</v>
      </c>
      <c r="P1205" s="67" t="s">
        <v>46</v>
      </c>
      <c r="Q1205" s="67"/>
      <c r="R1205" s="67">
        <v>1</v>
      </c>
      <c r="S1205" s="67">
        <v>800</v>
      </c>
      <c r="T1205" s="67">
        <v>69</v>
      </c>
      <c r="U1205" s="138">
        <v>400</v>
      </c>
      <c r="V1205" s="138">
        <v>8</v>
      </c>
      <c r="W1205" s="138">
        <v>26.5</v>
      </c>
      <c r="X1205" s="138">
        <v>2.5</v>
      </c>
      <c r="Y1205" s="138">
        <v>40</v>
      </c>
      <c r="Z1205" s="359"/>
      <c r="AA1205" s="210"/>
      <c r="AB1205" s="182"/>
      <c r="AC1205" s="67"/>
      <c r="AD1205" s="67"/>
      <c r="AE1205" s="67"/>
      <c r="AF1205" s="67"/>
      <c r="AG1205" s="315"/>
      <c r="AH1205" s="66">
        <v>425.87984411848697</v>
      </c>
      <c r="AI1205" s="216"/>
      <c r="AJ1205" s="216">
        <v>11.59</v>
      </c>
      <c r="AK1205" s="216">
        <v>1.53</v>
      </c>
      <c r="AL1205" s="216"/>
      <c r="AM1205" s="67"/>
      <c r="AN1205" s="24">
        <f t="shared" si="222"/>
        <v>0</v>
      </c>
      <c r="AO1205" s="389">
        <f t="shared" si="240"/>
        <v>0</v>
      </c>
      <c r="AP1205" s="187">
        <f t="shared" si="241"/>
        <v>0</v>
      </c>
      <c r="AQ1205" s="371"/>
      <c r="AR1205" s="41"/>
      <c r="AS1205" s="67"/>
      <c r="AT1205" s="67"/>
    </row>
    <row r="1206" spans="1:46" ht="12">
      <c r="A1206" s="83" t="s">
        <v>1569</v>
      </c>
      <c r="B1206" s="83" t="str">
        <f t="shared" si="232"/>
        <v>SiO2</v>
      </c>
      <c r="C1206" s="329">
        <f t="shared" si="233"/>
        <v>0</v>
      </c>
      <c r="D1206" s="168">
        <f t="shared" si="234"/>
        <v>569.68342784680704</v>
      </c>
      <c r="E1206" s="139">
        <f t="shared" si="235"/>
        <v>10.81</v>
      </c>
      <c r="F1206" s="139">
        <f t="shared" si="236"/>
        <v>1.82</v>
      </c>
      <c r="G1206" s="168">
        <f t="shared" si="237"/>
        <v>0</v>
      </c>
      <c r="H1206" s="150">
        <f t="shared" si="242"/>
        <v>0.82012495889510029</v>
      </c>
      <c r="I1206" s="168">
        <f t="shared" si="239"/>
        <v>0</v>
      </c>
      <c r="J1206" s="138"/>
      <c r="K1206" s="138" t="s">
        <v>1570</v>
      </c>
      <c r="L1206" s="138"/>
      <c r="M1206" s="316"/>
      <c r="N1206" s="135">
        <v>41669</v>
      </c>
      <c r="O1206" s="138">
        <v>416</v>
      </c>
      <c r="P1206" s="138" t="s">
        <v>1182</v>
      </c>
      <c r="Q1206" s="138" t="s">
        <v>1565</v>
      </c>
      <c r="R1206" s="138">
        <v>3</v>
      </c>
      <c r="S1206" s="138">
        <v>800</v>
      </c>
      <c r="T1206" s="138">
        <v>69</v>
      </c>
      <c r="U1206" s="138">
        <v>400</v>
      </c>
      <c r="V1206" s="138">
        <v>8</v>
      </c>
      <c r="W1206" s="138">
        <v>26.5</v>
      </c>
      <c r="X1206" s="138">
        <v>2.5</v>
      </c>
      <c r="Y1206" s="138">
        <v>40</v>
      </c>
      <c r="Z1206" s="138"/>
      <c r="AA1206" s="6"/>
      <c r="AB1206" s="300"/>
      <c r="AC1206" s="138"/>
      <c r="AD1206" s="138"/>
      <c r="AE1206" s="138"/>
      <c r="AF1206" s="138"/>
      <c r="AG1206" s="63"/>
      <c r="AH1206" s="70">
        <v>569.68342784680704</v>
      </c>
      <c r="AI1206" s="121"/>
      <c r="AJ1206" s="121">
        <v>10.81</v>
      </c>
      <c r="AK1206" s="121">
        <v>1.82</v>
      </c>
      <c r="AL1206" s="121">
        <f>249.4/304.1</f>
        <v>0.82012495889510029</v>
      </c>
      <c r="AM1206" s="138"/>
      <c r="AN1206" s="24">
        <f t="shared" si="222"/>
        <v>0</v>
      </c>
      <c r="AO1206" s="353">
        <f t="shared" si="240"/>
        <v>0</v>
      </c>
      <c r="AP1206" s="36">
        <f t="shared" si="241"/>
        <v>0</v>
      </c>
      <c r="AQ1206" s="316"/>
      <c r="AR1206" s="258"/>
      <c r="AS1206" s="138"/>
      <c r="AT1206" s="138"/>
    </row>
    <row r="1207" spans="1:46" ht="12">
      <c r="A1207" s="83" t="s">
        <v>1571</v>
      </c>
      <c r="B1207" s="83" t="str">
        <f t="shared" si="232"/>
        <v>SiO2</v>
      </c>
      <c r="C1207" s="329">
        <f t="shared" si="233"/>
        <v>0</v>
      </c>
      <c r="D1207" s="168">
        <f t="shared" si="234"/>
        <v>583.24307097751705</v>
      </c>
      <c r="E1207" s="139">
        <f t="shared" si="235"/>
        <v>10.87</v>
      </c>
      <c r="F1207" s="139">
        <f t="shared" si="236"/>
        <v>1.88</v>
      </c>
      <c r="G1207" s="168">
        <f t="shared" si="237"/>
        <v>0</v>
      </c>
      <c r="H1207" s="150">
        <f t="shared" si="242"/>
        <v>0.82905427364315898</v>
      </c>
      <c r="I1207" s="168">
        <f t="shared" si="239"/>
        <v>0</v>
      </c>
      <c r="J1207" s="138"/>
      <c r="K1207" s="138" t="s">
        <v>1570</v>
      </c>
      <c r="L1207" s="138"/>
      <c r="M1207" s="316"/>
      <c r="N1207" s="135">
        <v>41669</v>
      </c>
      <c r="O1207" s="138">
        <v>416</v>
      </c>
      <c r="P1207" s="138" t="s">
        <v>1182</v>
      </c>
      <c r="Q1207" s="138" t="s">
        <v>1565</v>
      </c>
      <c r="R1207" s="138">
        <v>6</v>
      </c>
      <c r="S1207" s="138">
        <v>800</v>
      </c>
      <c r="T1207" s="138">
        <v>69</v>
      </c>
      <c r="U1207" s="138">
        <v>400</v>
      </c>
      <c r="V1207" s="138">
        <v>8</v>
      </c>
      <c r="W1207" s="138">
        <v>26.5</v>
      </c>
      <c r="X1207" s="138">
        <v>2.5</v>
      </c>
      <c r="Y1207" s="138">
        <v>40</v>
      </c>
      <c r="Z1207" s="138"/>
      <c r="AA1207" s="6"/>
      <c r="AB1207" s="300"/>
      <c r="AC1207" s="138"/>
      <c r="AD1207" s="138"/>
      <c r="AE1207" s="138"/>
      <c r="AF1207" s="138"/>
      <c r="AG1207" s="63"/>
      <c r="AH1207" s="70">
        <v>583.24307097751705</v>
      </c>
      <c r="AI1207" s="121"/>
      <c r="AJ1207" s="121">
        <v>10.87</v>
      </c>
      <c r="AK1207" s="121">
        <v>1.88</v>
      </c>
      <c r="AL1207" s="121">
        <f>255.1/307.7</f>
        <v>0.82905427364315898</v>
      </c>
      <c r="AM1207" s="138"/>
      <c r="AN1207" s="24">
        <f t="shared" si="222"/>
        <v>0</v>
      </c>
      <c r="AO1207" s="353">
        <f t="shared" si="240"/>
        <v>0</v>
      </c>
      <c r="AP1207" s="36">
        <f t="shared" si="241"/>
        <v>0</v>
      </c>
      <c r="AQ1207" s="316"/>
      <c r="AR1207" s="258"/>
      <c r="AS1207" s="138"/>
      <c r="AT1207" s="138"/>
    </row>
    <row r="1208" spans="1:46" ht="12">
      <c r="A1208" s="256" t="s">
        <v>1572</v>
      </c>
      <c r="B1208" s="256" t="str">
        <f t="shared" si="232"/>
        <v>MgO</v>
      </c>
      <c r="C1208" s="329">
        <f t="shared" si="233"/>
        <v>0</v>
      </c>
      <c r="D1208" s="168">
        <f t="shared" si="234"/>
        <v>689.04397066845195</v>
      </c>
      <c r="E1208" s="139">
        <f t="shared" si="235"/>
        <v>0</v>
      </c>
      <c r="F1208" s="139">
        <f t="shared" si="236"/>
        <v>0</v>
      </c>
      <c r="G1208" s="168">
        <f t="shared" si="237"/>
        <v>0</v>
      </c>
      <c r="H1208" s="150">
        <f t="shared" si="242"/>
        <v>0</v>
      </c>
      <c r="I1208" s="168">
        <f t="shared" si="239"/>
        <v>0</v>
      </c>
      <c r="J1208" s="359"/>
      <c r="K1208" s="359"/>
      <c r="L1208" s="359"/>
      <c r="M1208" s="338"/>
      <c r="N1208" s="89">
        <v>41680</v>
      </c>
      <c r="O1208" s="359">
        <v>417</v>
      </c>
      <c r="P1208" s="67" t="s">
        <v>46</v>
      </c>
      <c r="Q1208" s="67"/>
      <c r="R1208" s="67">
        <v>1</v>
      </c>
      <c r="S1208" s="67">
        <v>800</v>
      </c>
      <c r="T1208" s="67">
        <v>69</v>
      </c>
      <c r="U1208" s="138">
        <v>400</v>
      </c>
      <c r="V1208" s="138">
        <v>8</v>
      </c>
      <c r="W1208" s="138">
        <v>26.5</v>
      </c>
      <c r="X1208" s="138">
        <v>2.5</v>
      </c>
      <c r="Y1208" s="138">
        <v>40</v>
      </c>
      <c r="Z1208" s="359"/>
      <c r="AA1208" s="210"/>
      <c r="AB1208" s="248"/>
      <c r="AC1208" s="359"/>
      <c r="AD1208" s="359"/>
      <c r="AE1208" s="359"/>
      <c r="AF1208" s="359"/>
      <c r="AG1208" s="153"/>
      <c r="AH1208" s="346">
        <v>689.04397066845195</v>
      </c>
      <c r="AI1208" s="24"/>
      <c r="AJ1208" s="24"/>
      <c r="AK1208" s="24"/>
      <c r="AL1208" s="24"/>
      <c r="AM1208" s="359"/>
      <c r="AN1208" s="24">
        <f t="shared" si="222"/>
        <v>0</v>
      </c>
      <c r="AO1208" s="54">
        <f t="shared" si="240"/>
        <v>0</v>
      </c>
      <c r="AP1208" s="261">
        <f t="shared" si="241"/>
        <v>0</v>
      </c>
      <c r="AQ1208" s="338"/>
      <c r="AR1208" s="45"/>
      <c r="AS1208" s="359"/>
      <c r="AT1208" s="359"/>
    </row>
    <row r="1209" spans="1:46" ht="12">
      <c r="A1209" s="83" t="s">
        <v>1573</v>
      </c>
      <c r="B1209" s="83" t="str">
        <f t="shared" si="232"/>
        <v>SiO2</v>
      </c>
      <c r="C1209" s="329">
        <f t="shared" si="233"/>
        <v>0</v>
      </c>
      <c r="D1209" s="168">
        <f t="shared" si="234"/>
        <v>616.96376244730902</v>
      </c>
      <c r="E1209" s="139">
        <f t="shared" si="235"/>
        <v>10.9</v>
      </c>
      <c r="F1209" s="139">
        <f t="shared" si="236"/>
        <v>2</v>
      </c>
      <c r="G1209" s="168">
        <f t="shared" si="237"/>
        <v>0</v>
      </c>
      <c r="H1209" s="150">
        <f t="shared" si="242"/>
        <v>0</v>
      </c>
      <c r="I1209" s="168">
        <f t="shared" si="239"/>
        <v>0</v>
      </c>
      <c r="J1209" s="138"/>
      <c r="K1209" s="138"/>
      <c r="L1209" s="138"/>
      <c r="M1209" s="316"/>
      <c r="N1209" s="135">
        <v>41680</v>
      </c>
      <c r="O1209" s="138">
        <v>417</v>
      </c>
      <c r="P1209" s="138" t="s">
        <v>1182</v>
      </c>
      <c r="Q1209" s="138" t="s">
        <v>1565</v>
      </c>
      <c r="R1209" s="138">
        <v>3</v>
      </c>
      <c r="S1209" s="138">
        <v>800</v>
      </c>
      <c r="T1209" s="138">
        <v>69</v>
      </c>
      <c r="U1209" s="138">
        <v>400</v>
      </c>
      <c r="V1209" s="138">
        <v>8</v>
      </c>
      <c r="W1209" s="138">
        <v>26.5</v>
      </c>
      <c r="X1209" s="138">
        <v>2.5</v>
      </c>
      <c r="Y1209" s="138">
        <v>40</v>
      </c>
      <c r="Z1209" s="138"/>
      <c r="AA1209" s="6"/>
      <c r="AB1209" s="300"/>
      <c r="AC1209" s="138"/>
      <c r="AD1209" s="138"/>
      <c r="AE1209" s="138"/>
      <c r="AF1209" s="138"/>
      <c r="AG1209" s="63"/>
      <c r="AH1209" s="70">
        <v>616.96376244730902</v>
      </c>
      <c r="AI1209" s="121"/>
      <c r="AJ1209" s="121">
        <v>10.9</v>
      </c>
      <c r="AK1209" s="121">
        <v>2</v>
      </c>
      <c r="AL1209" s="121"/>
      <c r="AM1209" s="138"/>
      <c r="AN1209" s="24">
        <f t="shared" si="222"/>
        <v>0</v>
      </c>
      <c r="AO1209" s="353">
        <f t="shared" si="240"/>
        <v>0</v>
      </c>
      <c r="AP1209" s="36">
        <f t="shared" si="241"/>
        <v>0</v>
      </c>
      <c r="AQ1209" s="316"/>
      <c r="AR1209" s="258"/>
      <c r="AS1209" s="138"/>
      <c r="AT1209" s="138"/>
    </row>
    <row r="1210" spans="1:46" ht="12">
      <c r="A1210" s="83" t="s">
        <v>1574</v>
      </c>
      <c r="B1210" s="83" t="str">
        <f t="shared" si="232"/>
        <v>SiO2</v>
      </c>
      <c r="C1210" s="329">
        <f t="shared" si="233"/>
        <v>0</v>
      </c>
      <c r="D1210" s="168">
        <f t="shared" si="234"/>
        <v>615.53643159144497</v>
      </c>
      <c r="E1210" s="139">
        <f t="shared" si="235"/>
        <v>10.8</v>
      </c>
      <c r="F1210" s="139">
        <f t="shared" si="236"/>
        <v>2</v>
      </c>
      <c r="G1210" s="168">
        <f t="shared" si="237"/>
        <v>0</v>
      </c>
      <c r="H1210" s="150">
        <f t="shared" si="242"/>
        <v>0</v>
      </c>
      <c r="I1210" s="168">
        <f t="shared" si="239"/>
        <v>0</v>
      </c>
      <c r="J1210" s="138"/>
      <c r="K1210" s="138"/>
      <c r="L1210" s="138"/>
      <c r="M1210" s="316"/>
      <c r="N1210" s="135">
        <v>41680</v>
      </c>
      <c r="O1210" s="138">
        <v>417</v>
      </c>
      <c r="P1210" s="138" t="s">
        <v>1182</v>
      </c>
      <c r="Q1210" s="138" t="s">
        <v>1565</v>
      </c>
      <c r="R1210" s="138">
        <v>6</v>
      </c>
      <c r="S1210" s="138">
        <v>800</v>
      </c>
      <c r="T1210" s="138">
        <v>69</v>
      </c>
      <c r="U1210" s="138">
        <v>400</v>
      </c>
      <c r="V1210" s="138">
        <v>8</v>
      </c>
      <c r="W1210" s="138">
        <v>26.5</v>
      </c>
      <c r="X1210" s="138">
        <v>2.5</v>
      </c>
      <c r="Y1210" s="138">
        <v>40</v>
      </c>
      <c r="Z1210" s="138"/>
      <c r="AA1210" s="6"/>
      <c r="AB1210" s="300"/>
      <c r="AC1210" s="138"/>
      <c r="AD1210" s="138"/>
      <c r="AE1210" s="138"/>
      <c r="AF1210" s="138"/>
      <c r="AG1210" s="63"/>
      <c r="AH1210" s="70">
        <v>615.53643159144497</v>
      </c>
      <c r="AI1210" s="121"/>
      <c r="AJ1210" s="121">
        <v>10.8</v>
      </c>
      <c r="AK1210" s="121">
        <v>2</v>
      </c>
      <c r="AL1210" s="121"/>
      <c r="AM1210" s="138"/>
      <c r="AN1210" s="24">
        <f t="shared" si="222"/>
        <v>0</v>
      </c>
      <c r="AO1210" s="353">
        <f t="shared" si="240"/>
        <v>0</v>
      </c>
      <c r="AP1210" s="36">
        <f t="shared" si="241"/>
        <v>0</v>
      </c>
      <c r="AQ1210" s="316"/>
      <c r="AR1210" s="258"/>
      <c r="AS1210" s="138"/>
      <c r="AT1210" s="138"/>
    </row>
    <row r="1211" spans="1:46" ht="12">
      <c r="A1211" s="256" t="s">
        <v>1575</v>
      </c>
      <c r="B1211" s="256" t="str">
        <f t="shared" si="232"/>
        <v>MgO</v>
      </c>
      <c r="C1211" s="329">
        <f t="shared" si="233"/>
        <v>0</v>
      </c>
      <c r="D1211" s="168">
        <f t="shared" si="234"/>
        <v>576.46324941216199</v>
      </c>
      <c r="E1211" s="139">
        <f t="shared" si="235"/>
        <v>0</v>
      </c>
      <c r="F1211" s="139">
        <f t="shared" si="236"/>
        <v>0</v>
      </c>
      <c r="G1211" s="168">
        <f t="shared" si="237"/>
        <v>0</v>
      </c>
      <c r="H1211" s="150">
        <f t="shared" si="242"/>
        <v>0</v>
      </c>
      <c r="I1211" s="168">
        <f t="shared" si="239"/>
        <v>0</v>
      </c>
      <c r="J1211" s="359"/>
      <c r="K1211" s="359"/>
      <c r="L1211" s="359"/>
      <c r="M1211" s="338"/>
      <c r="N1211" s="89">
        <v>41681</v>
      </c>
      <c r="O1211" s="359">
        <v>418</v>
      </c>
      <c r="P1211" s="67" t="s">
        <v>46</v>
      </c>
      <c r="Q1211" s="67"/>
      <c r="R1211" s="67">
        <v>1</v>
      </c>
      <c r="S1211" s="67">
        <v>800</v>
      </c>
      <c r="T1211" s="67">
        <v>69</v>
      </c>
      <c r="U1211" s="138">
        <v>400</v>
      </c>
      <c r="V1211" s="138">
        <v>8</v>
      </c>
      <c r="W1211" s="138">
        <v>26.5</v>
      </c>
      <c r="X1211" s="138">
        <v>2.5</v>
      </c>
      <c r="Y1211" s="138">
        <v>40</v>
      </c>
      <c r="Z1211" s="359"/>
      <c r="AA1211" s="210"/>
      <c r="AB1211" s="248"/>
      <c r="AC1211" s="359"/>
      <c r="AD1211" s="359"/>
      <c r="AE1211" s="359"/>
      <c r="AF1211" s="359"/>
      <c r="AG1211" s="153"/>
      <c r="AH1211" s="346">
        <v>576.46324941216199</v>
      </c>
      <c r="AI1211" s="24"/>
      <c r="AJ1211" s="24"/>
      <c r="AK1211" s="24"/>
      <c r="AL1211" s="24"/>
      <c r="AM1211" s="359"/>
      <c r="AN1211" s="24">
        <f t="shared" si="222"/>
        <v>0</v>
      </c>
      <c r="AO1211" s="54">
        <f t="shared" si="240"/>
        <v>0</v>
      </c>
      <c r="AP1211" s="261">
        <f t="shared" si="241"/>
        <v>0</v>
      </c>
      <c r="AQ1211" s="338"/>
      <c r="AR1211" s="45"/>
      <c r="AS1211" s="359"/>
      <c r="AT1211" s="359"/>
    </row>
    <row r="1212" spans="1:46" ht="12">
      <c r="A1212" s="83" t="s">
        <v>1576</v>
      </c>
      <c r="B1212" s="83" t="str">
        <f t="shared" si="232"/>
        <v>SiO2</v>
      </c>
      <c r="C1212" s="329">
        <f t="shared" si="233"/>
        <v>0</v>
      </c>
      <c r="D1212" s="168">
        <f t="shared" si="234"/>
        <v>645.86721227856003</v>
      </c>
      <c r="E1212" s="139">
        <f t="shared" si="235"/>
        <v>11.03</v>
      </c>
      <c r="F1212" s="139">
        <f t="shared" si="236"/>
        <v>1.85</v>
      </c>
      <c r="G1212" s="168">
        <f t="shared" si="237"/>
        <v>0</v>
      </c>
      <c r="H1212" s="150">
        <f t="shared" si="242"/>
        <v>0.7731113956466068</v>
      </c>
      <c r="I1212" s="168">
        <f t="shared" si="239"/>
        <v>0</v>
      </c>
      <c r="J1212" s="138"/>
      <c r="K1212" s="138" t="s">
        <v>1570</v>
      </c>
      <c r="L1212" s="138"/>
      <c r="M1212" s="316"/>
      <c r="N1212" s="135">
        <v>41681</v>
      </c>
      <c r="O1212" s="138">
        <v>418</v>
      </c>
      <c r="P1212" s="138" t="s">
        <v>1182</v>
      </c>
      <c r="Q1212" s="138" t="s">
        <v>1565</v>
      </c>
      <c r="R1212" s="138">
        <v>3</v>
      </c>
      <c r="S1212" s="138">
        <v>800</v>
      </c>
      <c r="T1212" s="138">
        <v>69</v>
      </c>
      <c r="U1212" s="138">
        <v>400</v>
      </c>
      <c r="V1212" s="138">
        <v>8</v>
      </c>
      <c r="W1212" s="138">
        <v>26.5</v>
      </c>
      <c r="X1212" s="138">
        <v>2.5</v>
      </c>
      <c r="Y1212" s="138">
        <v>40</v>
      </c>
      <c r="Z1212" s="138"/>
      <c r="AA1212" s="6"/>
      <c r="AB1212" s="300"/>
      <c r="AC1212" s="138"/>
      <c r="AD1212" s="138"/>
      <c r="AE1212" s="138"/>
      <c r="AF1212" s="138"/>
      <c r="AG1212" s="63"/>
      <c r="AH1212" s="70">
        <v>645.86721227856003</v>
      </c>
      <c r="AI1212" s="121"/>
      <c r="AJ1212" s="121">
        <v>11.03</v>
      </c>
      <c r="AK1212" s="121">
        <v>1.85</v>
      </c>
      <c r="AL1212" s="121">
        <f>(301.9/390.5)</f>
        <v>0.7731113956466068</v>
      </c>
      <c r="AM1212" s="138"/>
      <c r="AN1212" s="24">
        <f t="shared" si="222"/>
        <v>0</v>
      </c>
      <c r="AO1212" s="353">
        <f t="shared" si="240"/>
        <v>0</v>
      </c>
      <c r="AP1212" s="36">
        <f t="shared" si="241"/>
        <v>0</v>
      </c>
      <c r="AQ1212" s="316"/>
      <c r="AR1212" s="258"/>
      <c r="AS1212" s="138"/>
      <c r="AT1212" s="138"/>
    </row>
    <row r="1213" spans="1:46" ht="12">
      <c r="A1213" s="83" t="s">
        <v>1577</v>
      </c>
      <c r="B1213" s="83" t="str">
        <f t="shared" si="232"/>
        <v>SiO2</v>
      </c>
      <c r="C1213" s="329">
        <f t="shared" si="233"/>
        <v>0</v>
      </c>
      <c r="D1213" s="168">
        <f t="shared" si="234"/>
        <v>586.81139811717799</v>
      </c>
      <c r="E1213" s="139">
        <f t="shared" si="235"/>
        <v>11.1</v>
      </c>
      <c r="F1213" s="139">
        <f t="shared" si="236"/>
        <v>1.9</v>
      </c>
      <c r="G1213" s="168">
        <f t="shared" si="237"/>
        <v>0</v>
      </c>
      <c r="H1213" s="150">
        <f t="shared" si="242"/>
        <v>0.79035250463821893</v>
      </c>
      <c r="I1213" s="168">
        <f t="shared" si="239"/>
        <v>0</v>
      </c>
      <c r="J1213" s="138"/>
      <c r="K1213" s="138" t="s">
        <v>1570</v>
      </c>
      <c r="L1213" s="138"/>
      <c r="M1213" s="316"/>
      <c r="N1213" s="135">
        <v>41681</v>
      </c>
      <c r="O1213" s="138">
        <v>418</v>
      </c>
      <c r="P1213" s="138" t="s">
        <v>1182</v>
      </c>
      <c r="Q1213" s="138" t="s">
        <v>1565</v>
      </c>
      <c r="R1213" s="138">
        <v>6</v>
      </c>
      <c r="S1213" s="138">
        <v>800</v>
      </c>
      <c r="T1213" s="138">
        <v>69</v>
      </c>
      <c r="U1213" s="138">
        <v>400</v>
      </c>
      <c r="V1213" s="138">
        <v>8</v>
      </c>
      <c r="W1213" s="138">
        <v>26.5</v>
      </c>
      <c r="X1213" s="138">
        <v>2.5</v>
      </c>
      <c r="Y1213" s="138">
        <v>40</v>
      </c>
      <c r="Z1213" s="138"/>
      <c r="AA1213" s="6"/>
      <c r="AB1213" s="300"/>
      <c r="AC1213" s="138"/>
      <c r="AD1213" s="138"/>
      <c r="AE1213" s="138"/>
      <c r="AF1213" s="138"/>
      <c r="AG1213" s="63"/>
      <c r="AH1213" s="70">
        <v>586.81139811717799</v>
      </c>
      <c r="AI1213" s="121"/>
      <c r="AJ1213" s="121">
        <v>11.1</v>
      </c>
      <c r="AK1213" s="121">
        <v>1.9</v>
      </c>
      <c r="AL1213" s="121">
        <f>255.6/323.4</f>
        <v>0.79035250463821893</v>
      </c>
      <c r="AM1213" s="138"/>
      <c r="AN1213" s="24">
        <f t="shared" si="222"/>
        <v>0</v>
      </c>
      <c r="AO1213" s="353">
        <f t="shared" si="240"/>
        <v>0</v>
      </c>
      <c r="AP1213" s="36">
        <f t="shared" si="241"/>
        <v>0</v>
      </c>
      <c r="AQ1213" s="316"/>
      <c r="AR1213" s="258"/>
      <c r="AS1213" s="138"/>
      <c r="AT1213" s="138"/>
    </row>
    <row r="1214" spans="1:46" ht="12">
      <c r="A1214" s="354" t="s">
        <v>1578</v>
      </c>
      <c r="B1214" s="354">
        <f t="shared" si="232"/>
        <v>0</v>
      </c>
      <c r="C1214" s="386">
        <f t="shared" si="233"/>
        <v>0</v>
      </c>
      <c r="D1214" s="98">
        <f t="shared" si="234"/>
        <v>0</v>
      </c>
      <c r="E1214" s="235">
        <f t="shared" si="235"/>
        <v>0</v>
      </c>
      <c r="F1214" s="235">
        <f t="shared" si="236"/>
        <v>0</v>
      </c>
      <c r="G1214" s="98">
        <f t="shared" si="237"/>
        <v>0</v>
      </c>
      <c r="H1214" s="79">
        <f t="shared" si="242"/>
        <v>0</v>
      </c>
      <c r="I1214" s="98">
        <f t="shared" si="239"/>
        <v>0</v>
      </c>
      <c r="J1214" s="180"/>
      <c r="K1214" s="180"/>
      <c r="L1214" s="180"/>
      <c r="M1214" s="214"/>
      <c r="N1214" s="125"/>
      <c r="O1214" s="180"/>
      <c r="P1214" s="180"/>
      <c r="Q1214" s="180"/>
      <c r="R1214" s="180"/>
      <c r="S1214" s="180"/>
      <c r="T1214" s="180"/>
      <c r="U1214" s="180"/>
      <c r="V1214" s="180"/>
      <c r="W1214" s="180"/>
      <c r="X1214" s="180"/>
      <c r="Y1214" s="180"/>
      <c r="Z1214" s="180"/>
      <c r="AA1214" s="334"/>
      <c r="AB1214" s="308"/>
      <c r="AC1214" s="180"/>
      <c r="AD1214" s="180"/>
      <c r="AE1214" s="180"/>
      <c r="AF1214" s="180"/>
      <c r="AG1214" s="391"/>
      <c r="AH1214" s="402"/>
      <c r="AI1214" s="147"/>
      <c r="AJ1214" s="147"/>
      <c r="AK1214" s="147"/>
      <c r="AL1214" s="147"/>
      <c r="AM1214" s="180"/>
      <c r="AN1214" s="24">
        <f t="shared" si="222"/>
        <v>0</v>
      </c>
      <c r="AO1214" s="118">
        <f t="shared" si="240"/>
        <v>0</v>
      </c>
      <c r="AP1214" s="197" t="e">
        <f t="shared" si="241"/>
        <v>#DIV/0!</v>
      </c>
      <c r="AQ1214" s="214"/>
      <c r="AR1214" s="125"/>
      <c r="AS1214" s="180"/>
      <c r="AT1214" s="180"/>
    </row>
    <row r="1215" spans="1:46" ht="12">
      <c r="A1215" s="354" t="s">
        <v>1579</v>
      </c>
      <c r="B1215" s="354">
        <f t="shared" si="232"/>
        <v>0</v>
      </c>
      <c r="C1215" s="386">
        <f t="shared" si="233"/>
        <v>0</v>
      </c>
      <c r="D1215" s="98">
        <f t="shared" si="234"/>
        <v>0</v>
      </c>
      <c r="E1215" s="235">
        <f t="shared" si="235"/>
        <v>0</v>
      </c>
      <c r="F1215" s="235">
        <f t="shared" si="236"/>
        <v>0</v>
      </c>
      <c r="G1215" s="98">
        <f t="shared" si="237"/>
        <v>0</v>
      </c>
      <c r="H1215" s="79">
        <f t="shared" si="242"/>
        <v>0</v>
      </c>
      <c r="I1215" s="98">
        <f t="shared" si="239"/>
        <v>0</v>
      </c>
      <c r="J1215" s="180"/>
      <c r="K1215" s="180"/>
      <c r="L1215" s="180"/>
      <c r="M1215" s="214"/>
      <c r="N1215" s="125"/>
      <c r="O1215" s="180"/>
      <c r="P1215" s="180"/>
      <c r="Q1215" s="180"/>
      <c r="R1215" s="180"/>
      <c r="S1215" s="180"/>
      <c r="T1215" s="180"/>
      <c r="U1215" s="180"/>
      <c r="V1215" s="180"/>
      <c r="W1215" s="180"/>
      <c r="X1215" s="180"/>
      <c r="Y1215" s="180"/>
      <c r="Z1215" s="180"/>
      <c r="AA1215" s="334"/>
      <c r="AB1215" s="308"/>
      <c r="AC1215" s="180"/>
      <c r="AD1215" s="180"/>
      <c r="AE1215" s="180"/>
      <c r="AF1215" s="180"/>
      <c r="AG1215" s="391"/>
      <c r="AH1215" s="402"/>
      <c r="AI1215" s="147"/>
      <c r="AJ1215" s="147"/>
      <c r="AK1215" s="147"/>
      <c r="AL1215" s="147"/>
      <c r="AM1215" s="180"/>
      <c r="AN1215" s="24">
        <f t="shared" si="222"/>
        <v>0</v>
      </c>
      <c r="AO1215" s="118">
        <f t="shared" si="240"/>
        <v>0</v>
      </c>
      <c r="AP1215" s="197" t="e">
        <f t="shared" si="241"/>
        <v>#DIV/0!</v>
      </c>
      <c r="AQ1215" s="214"/>
      <c r="AR1215" s="125"/>
      <c r="AS1215" s="180"/>
      <c r="AT1215" s="180"/>
    </row>
    <row r="1216" spans="1:46" ht="12">
      <c r="A1216" s="354" t="s">
        <v>1580</v>
      </c>
      <c r="B1216" s="354">
        <f t="shared" si="232"/>
        <v>0</v>
      </c>
      <c r="C1216" s="386">
        <f t="shared" si="233"/>
        <v>0</v>
      </c>
      <c r="D1216" s="98">
        <f t="shared" si="234"/>
        <v>0</v>
      </c>
      <c r="E1216" s="235">
        <f t="shared" si="235"/>
        <v>0</v>
      </c>
      <c r="F1216" s="235">
        <f t="shared" si="236"/>
        <v>0</v>
      </c>
      <c r="G1216" s="98">
        <f t="shared" si="237"/>
        <v>0</v>
      </c>
      <c r="H1216" s="79">
        <f t="shared" si="242"/>
        <v>0</v>
      </c>
      <c r="I1216" s="98">
        <f t="shared" si="239"/>
        <v>0</v>
      </c>
      <c r="J1216" s="180"/>
      <c r="K1216" s="180"/>
      <c r="L1216" s="180"/>
      <c r="M1216" s="214"/>
      <c r="N1216" s="125"/>
      <c r="O1216" s="180"/>
      <c r="P1216" s="180"/>
      <c r="Q1216" s="180"/>
      <c r="R1216" s="180"/>
      <c r="S1216" s="180"/>
      <c r="T1216" s="180"/>
      <c r="U1216" s="180"/>
      <c r="V1216" s="180"/>
      <c r="W1216" s="180"/>
      <c r="X1216" s="180"/>
      <c r="Y1216" s="180"/>
      <c r="Z1216" s="180"/>
      <c r="AA1216" s="334"/>
      <c r="AB1216" s="308"/>
      <c r="AC1216" s="180"/>
      <c r="AD1216" s="180"/>
      <c r="AE1216" s="180"/>
      <c r="AF1216" s="180"/>
      <c r="AG1216" s="391"/>
      <c r="AH1216" s="402"/>
      <c r="AI1216" s="147"/>
      <c r="AJ1216" s="147"/>
      <c r="AK1216" s="147"/>
      <c r="AL1216" s="147"/>
      <c r="AM1216" s="180"/>
      <c r="AN1216" s="24">
        <f t="shared" si="222"/>
        <v>0</v>
      </c>
      <c r="AO1216" s="118">
        <f t="shared" si="240"/>
        <v>0</v>
      </c>
      <c r="AP1216" s="197" t="e">
        <f t="shared" si="241"/>
        <v>#DIV/0!</v>
      </c>
      <c r="AQ1216" s="214"/>
      <c r="AR1216" s="125"/>
      <c r="AS1216" s="180"/>
      <c r="AT1216" s="180"/>
    </row>
    <row r="1217" spans="1:46" ht="12">
      <c r="A1217" s="354" t="s">
        <v>1581</v>
      </c>
      <c r="B1217" s="354">
        <f t="shared" si="232"/>
        <v>0</v>
      </c>
      <c r="C1217" s="386">
        <f t="shared" si="233"/>
        <v>0</v>
      </c>
      <c r="D1217" s="98">
        <f t="shared" si="234"/>
        <v>0</v>
      </c>
      <c r="E1217" s="235">
        <f t="shared" si="235"/>
        <v>0</v>
      </c>
      <c r="F1217" s="235">
        <f t="shared" si="236"/>
        <v>0</v>
      </c>
      <c r="G1217" s="98">
        <f t="shared" si="237"/>
        <v>0</v>
      </c>
      <c r="H1217" s="79">
        <f t="shared" si="242"/>
        <v>0</v>
      </c>
      <c r="I1217" s="98">
        <f t="shared" si="239"/>
        <v>0</v>
      </c>
      <c r="J1217" s="180"/>
      <c r="K1217" s="180"/>
      <c r="L1217" s="180"/>
      <c r="M1217" s="214"/>
      <c r="N1217" s="125"/>
      <c r="O1217" s="180"/>
      <c r="P1217" s="180"/>
      <c r="Q1217" s="180"/>
      <c r="R1217" s="180"/>
      <c r="S1217" s="180"/>
      <c r="T1217" s="180"/>
      <c r="U1217" s="180"/>
      <c r="V1217" s="180"/>
      <c r="W1217" s="180"/>
      <c r="X1217" s="180"/>
      <c r="Y1217" s="180"/>
      <c r="Z1217" s="180"/>
      <c r="AA1217" s="334"/>
      <c r="AB1217" s="308"/>
      <c r="AC1217" s="180"/>
      <c r="AD1217" s="180"/>
      <c r="AE1217" s="180"/>
      <c r="AF1217" s="180"/>
      <c r="AG1217" s="391"/>
      <c r="AH1217" s="402"/>
      <c r="AI1217" s="147"/>
      <c r="AJ1217" s="147"/>
      <c r="AK1217" s="147"/>
      <c r="AL1217" s="147"/>
      <c r="AM1217" s="180"/>
      <c r="AN1217" s="24">
        <f t="shared" si="222"/>
        <v>0</v>
      </c>
      <c r="AO1217" s="118">
        <f t="shared" si="240"/>
        <v>0</v>
      </c>
      <c r="AP1217" s="197" t="e">
        <f t="shared" si="241"/>
        <v>#DIV/0!</v>
      </c>
      <c r="AQ1217" s="214"/>
      <c r="AR1217" s="125"/>
      <c r="AS1217" s="180"/>
      <c r="AT1217" s="180"/>
    </row>
    <row r="1218" spans="1:46" ht="12">
      <c r="A1218" s="354" t="s">
        <v>1582</v>
      </c>
      <c r="B1218" s="354">
        <f t="shared" si="232"/>
        <v>0</v>
      </c>
      <c r="C1218" s="386">
        <f t="shared" si="233"/>
        <v>0</v>
      </c>
      <c r="D1218" s="98">
        <f t="shared" si="234"/>
        <v>0</v>
      </c>
      <c r="E1218" s="235">
        <f t="shared" si="235"/>
        <v>0</v>
      </c>
      <c r="F1218" s="235">
        <f t="shared" si="236"/>
        <v>0</v>
      </c>
      <c r="G1218" s="98">
        <f t="shared" si="237"/>
        <v>0</v>
      </c>
      <c r="H1218" s="79">
        <f t="shared" si="242"/>
        <v>0</v>
      </c>
      <c r="I1218" s="98">
        <f t="shared" si="239"/>
        <v>0</v>
      </c>
      <c r="J1218" s="180"/>
      <c r="K1218" s="180"/>
      <c r="L1218" s="180"/>
      <c r="M1218" s="214"/>
      <c r="N1218" s="125"/>
      <c r="O1218" s="180"/>
      <c r="P1218" s="180"/>
      <c r="Q1218" s="180"/>
      <c r="R1218" s="180"/>
      <c r="S1218" s="180"/>
      <c r="T1218" s="180"/>
      <c r="U1218" s="180"/>
      <c r="V1218" s="180"/>
      <c r="W1218" s="180"/>
      <c r="X1218" s="180"/>
      <c r="Y1218" s="180"/>
      <c r="Z1218" s="180"/>
      <c r="AA1218" s="334"/>
      <c r="AB1218" s="308"/>
      <c r="AC1218" s="180"/>
      <c r="AD1218" s="180"/>
      <c r="AE1218" s="180"/>
      <c r="AF1218" s="180"/>
      <c r="AG1218" s="391"/>
      <c r="AH1218" s="402"/>
      <c r="AI1218" s="147"/>
      <c r="AJ1218" s="147"/>
      <c r="AK1218" s="147"/>
      <c r="AL1218" s="147"/>
      <c r="AM1218" s="180"/>
      <c r="AN1218" s="24">
        <f t="shared" si="222"/>
        <v>0</v>
      </c>
      <c r="AO1218" s="118">
        <f t="shared" si="240"/>
        <v>0</v>
      </c>
      <c r="AP1218" s="197" t="e">
        <f t="shared" si="241"/>
        <v>#DIV/0!</v>
      </c>
      <c r="AQ1218" s="214"/>
      <c r="AR1218" s="125"/>
      <c r="AS1218" s="180"/>
      <c r="AT1218" s="180"/>
    </row>
    <row r="1219" spans="1:46" ht="12">
      <c r="A1219" s="354" t="s">
        <v>1583</v>
      </c>
      <c r="B1219" s="354">
        <f t="shared" si="232"/>
        <v>0</v>
      </c>
      <c r="C1219" s="386">
        <f t="shared" si="233"/>
        <v>0</v>
      </c>
      <c r="D1219" s="98">
        <f t="shared" si="234"/>
        <v>0</v>
      </c>
      <c r="E1219" s="235">
        <f t="shared" si="235"/>
        <v>0</v>
      </c>
      <c r="F1219" s="235">
        <f t="shared" si="236"/>
        <v>0</v>
      </c>
      <c r="G1219" s="98">
        <f t="shared" si="237"/>
        <v>0</v>
      </c>
      <c r="H1219" s="79">
        <f t="shared" si="242"/>
        <v>0</v>
      </c>
      <c r="I1219" s="98">
        <f t="shared" si="239"/>
        <v>0</v>
      </c>
      <c r="J1219" s="180"/>
      <c r="K1219" s="180"/>
      <c r="L1219" s="180"/>
      <c r="M1219" s="214"/>
      <c r="N1219" s="125"/>
      <c r="O1219" s="180"/>
      <c r="P1219" s="180"/>
      <c r="Q1219" s="180"/>
      <c r="R1219" s="180"/>
      <c r="S1219" s="180"/>
      <c r="T1219" s="180"/>
      <c r="U1219" s="180"/>
      <c r="V1219" s="180"/>
      <c r="W1219" s="180"/>
      <c r="X1219" s="180"/>
      <c r="Y1219" s="180"/>
      <c r="Z1219" s="180"/>
      <c r="AA1219" s="334"/>
      <c r="AB1219" s="308"/>
      <c r="AC1219" s="180"/>
      <c r="AD1219" s="180"/>
      <c r="AE1219" s="180"/>
      <c r="AF1219" s="180"/>
      <c r="AG1219" s="391"/>
      <c r="AH1219" s="402"/>
      <c r="AI1219" s="147"/>
      <c r="AJ1219" s="147"/>
      <c r="AK1219" s="147"/>
      <c r="AL1219" s="147"/>
      <c r="AM1219" s="180"/>
      <c r="AN1219" s="24">
        <f t="shared" ref="AN1219:AN1248" si="243">((AH1219*AF1219)/10)</f>
        <v>0</v>
      </c>
      <c r="AO1219" s="118">
        <f t="shared" si="240"/>
        <v>0</v>
      </c>
      <c r="AP1219" s="197" t="e">
        <f t="shared" si="241"/>
        <v>#DIV/0!</v>
      </c>
      <c r="AQ1219" s="214"/>
      <c r="AR1219" s="125"/>
      <c r="AS1219" s="180"/>
      <c r="AT1219" s="180"/>
    </row>
    <row r="1220" spans="1:46" ht="12">
      <c r="A1220" s="354" t="s">
        <v>1584</v>
      </c>
      <c r="B1220" s="354">
        <f t="shared" si="232"/>
        <v>0</v>
      </c>
      <c r="C1220" s="386">
        <f t="shared" si="233"/>
        <v>0</v>
      </c>
      <c r="D1220" s="98">
        <f t="shared" si="234"/>
        <v>0</v>
      </c>
      <c r="E1220" s="235">
        <f t="shared" si="235"/>
        <v>0</v>
      </c>
      <c r="F1220" s="235">
        <f t="shared" si="236"/>
        <v>0</v>
      </c>
      <c r="G1220" s="98">
        <f t="shared" si="237"/>
        <v>0</v>
      </c>
      <c r="H1220" s="79">
        <f t="shared" si="242"/>
        <v>0</v>
      </c>
      <c r="I1220" s="98">
        <f t="shared" si="239"/>
        <v>0</v>
      </c>
      <c r="J1220" s="180"/>
      <c r="K1220" s="180"/>
      <c r="L1220" s="180"/>
      <c r="M1220" s="214"/>
      <c r="N1220" s="125"/>
      <c r="O1220" s="180"/>
      <c r="P1220" s="180"/>
      <c r="Q1220" s="180"/>
      <c r="R1220" s="180"/>
      <c r="S1220" s="180"/>
      <c r="T1220" s="180"/>
      <c r="U1220" s="180"/>
      <c r="V1220" s="180"/>
      <c r="W1220" s="180"/>
      <c r="X1220" s="180"/>
      <c r="Y1220" s="180"/>
      <c r="Z1220" s="180"/>
      <c r="AA1220" s="334"/>
      <c r="AB1220" s="308"/>
      <c r="AC1220" s="180"/>
      <c r="AD1220" s="180"/>
      <c r="AE1220" s="180"/>
      <c r="AF1220" s="180"/>
      <c r="AG1220" s="391"/>
      <c r="AH1220" s="402"/>
      <c r="AI1220" s="147"/>
      <c r="AJ1220" s="147"/>
      <c r="AK1220" s="147"/>
      <c r="AL1220" s="147"/>
      <c r="AM1220" s="180"/>
      <c r="AN1220" s="24">
        <f t="shared" si="243"/>
        <v>0</v>
      </c>
      <c r="AO1220" s="118">
        <f t="shared" si="240"/>
        <v>0</v>
      </c>
      <c r="AP1220" s="197" t="e">
        <f t="shared" si="241"/>
        <v>#DIV/0!</v>
      </c>
      <c r="AQ1220" s="214"/>
      <c r="AR1220" s="125"/>
      <c r="AS1220" s="180"/>
      <c r="AT1220" s="180"/>
    </row>
    <row r="1221" spans="1:46" ht="12">
      <c r="A1221" s="354" t="s">
        <v>1585</v>
      </c>
      <c r="B1221" s="354">
        <f t="shared" ref="B1221:B1252" si="244">P1221</f>
        <v>0</v>
      </c>
      <c r="C1221" s="386">
        <f t="shared" ref="C1221:C1252" si="245">AF1221</f>
        <v>0</v>
      </c>
      <c r="D1221" s="98">
        <f t="shared" ref="D1221:D1252" si="246">AH1221</f>
        <v>0</v>
      </c>
      <c r="E1221" s="235">
        <f t="shared" ref="E1221:E1252" si="247">AJ1221</f>
        <v>0</v>
      </c>
      <c r="F1221" s="235">
        <f t="shared" ref="F1221:F1252" si="248">AK1221</f>
        <v>0</v>
      </c>
      <c r="G1221" s="98">
        <f t="shared" ref="G1221:G1252" si="249">AN1221</f>
        <v>0</v>
      </c>
      <c r="H1221" s="79">
        <f t="shared" si="242"/>
        <v>0</v>
      </c>
      <c r="I1221" s="98">
        <f t="shared" ref="I1221:I1252" si="250">AO1221</f>
        <v>0</v>
      </c>
      <c r="J1221" s="180"/>
      <c r="K1221" s="180"/>
      <c r="L1221" s="180"/>
      <c r="M1221" s="214"/>
      <c r="N1221" s="125"/>
      <c r="O1221" s="180"/>
      <c r="P1221" s="180"/>
      <c r="Q1221" s="180"/>
      <c r="R1221" s="180"/>
      <c r="S1221" s="180"/>
      <c r="T1221" s="180"/>
      <c r="U1221" s="180"/>
      <c r="V1221" s="180"/>
      <c r="W1221" s="180"/>
      <c r="X1221" s="180"/>
      <c r="Y1221" s="180"/>
      <c r="Z1221" s="180"/>
      <c r="AA1221" s="334"/>
      <c r="AB1221" s="308"/>
      <c r="AC1221" s="180"/>
      <c r="AD1221" s="180"/>
      <c r="AE1221" s="180"/>
      <c r="AF1221" s="180"/>
      <c r="AG1221" s="391"/>
      <c r="AH1221" s="402"/>
      <c r="AI1221" s="147"/>
      <c r="AJ1221" s="147"/>
      <c r="AK1221" s="147"/>
      <c r="AL1221" s="147"/>
      <c r="AM1221" s="180"/>
      <c r="AN1221" s="24">
        <f t="shared" si="243"/>
        <v>0</v>
      </c>
      <c r="AO1221" s="118">
        <f t="shared" ref="AO1221:AO1248" si="251">(AF1221*AH1221)*AJ1221</f>
        <v>0</v>
      </c>
      <c r="AP1221" s="197" t="e">
        <f t="shared" ref="AP1221:AP1244" si="252">(AF1221/T1221)*60</f>
        <v>#DIV/0!</v>
      </c>
      <c r="AQ1221" s="214"/>
      <c r="AR1221" s="125"/>
      <c r="AS1221" s="180"/>
      <c r="AT1221" s="180"/>
    </row>
    <row r="1222" spans="1:46" ht="12">
      <c r="A1222" s="354" t="s">
        <v>1586</v>
      </c>
      <c r="B1222" s="354">
        <f t="shared" si="244"/>
        <v>0</v>
      </c>
      <c r="C1222" s="386">
        <f t="shared" si="245"/>
        <v>0</v>
      </c>
      <c r="D1222" s="98">
        <f t="shared" si="246"/>
        <v>0</v>
      </c>
      <c r="E1222" s="235">
        <f t="shared" si="247"/>
        <v>0</v>
      </c>
      <c r="F1222" s="235">
        <f t="shared" si="248"/>
        <v>0</v>
      </c>
      <c r="G1222" s="98">
        <f t="shared" si="249"/>
        <v>0</v>
      </c>
      <c r="H1222" s="79">
        <f t="shared" si="242"/>
        <v>0</v>
      </c>
      <c r="I1222" s="98">
        <f t="shared" si="250"/>
        <v>0</v>
      </c>
      <c r="J1222" s="180"/>
      <c r="K1222" s="180"/>
      <c r="L1222" s="180"/>
      <c r="M1222" s="214"/>
      <c r="N1222" s="125"/>
      <c r="O1222" s="180"/>
      <c r="P1222" s="180"/>
      <c r="Q1222" s="180"/>
      <c r="R1222" s="180"/>
      <c r="S1222" s="180"/>
      <c r="T1222" s="180"/>
      <c r="U1222" s="180"/>
      <c r="V1222" s="180"/>
      <c r="W1222" s="180"/>
      <c r="X1222" s="180"/>
      <c r="Y1222" s="180"/>
      <c r="Z1222" s="180"/>
      <c r="AA1222" s="334"/>
      <c r="AB1222" s="308"/>
      <c r="AC1222" s="180"/>
      <c r="AD1222" s="180"/>
      <c r="AE1222" s="180"/>
      <c r="AF1222" s="180"/>
      <c r="AG1222" s="391"/>
      <c r="AH1222" s="402"/>
      <c r="AI1222" s="147"/>
      <c r="AJ1222" s="147"/>
      <c r="AK1222" s="147"/>
      <c r="AL1222" s="147"/>
      <c r="AM1222" s="180"/>
      <c r="AN1222" s="24">
        <f t="shared" si="243"/>
        <v>0</v>
      </c>
      <c r="AO1222" s="118">
        <f t="shared" si="251"/>
        <v>0</v>
      </c>
      <c r="AP1222" s="197" t="e">
        <f t="shared" si="252"/>
        <v>#DIV/0!</v>
      </c>
      <c r="AQ1222" s="214"/>
      <c r="AR1222" s="125"/>
      <c r="AS1222" s="180"/>
      <c r="AT1222" s="180"/>
    </row>
    <row r="1223" spans="1:46" ht="12">
      <c r="A1223" s="354" t="s">
        <v>1587</v>
      </c>
      <c r="B1223" s="354">
        <f t="shared" si="244"/>
        <v>0</v>
      </c>
      <c r="C1223" s="386">
        <f t="shared" si="245"/>
        <v>0</v>
      </c>
      <c r="D1223" s="98">
        <f t="shared" si="246"/>
        <v>0</v>
      </c>
      <c r="E1223" s="235">
        <f t="shared" si="247"/>
        <v>0</v>
      </c>
      <c r="F1223" s="235">
        <f t="shared" si="248"/>
        <v>0</v>
      </c>
      <c r="G1223" s="98">
        <f t="shared" si="249"/>
        <v>0</v>
      </c>
      <c r="H1223" s="79">
        <f t="shared" si="242"/>
        <v>0</v>
      </c>
      <c r="I1223" s="98">
        <f t="shared" si="250"/>
        <v>0</v>
      </c>
      <c r="J1223" s="180"/>
      <c r="K1223" s="180"/>
      <c r="L1223" s="180"/>
      <c r="M1223" s="214"/>
      <c r="N1223" s="125"/>
      <c r="O1223" s="180"/>
      <c r="P1223" s="180"/>
      <c r="Q1223" s="180"/>
      <c r="R1223" s="180"/>
      <c r="S1223" s="180"/>
      <c r="T1223" s="180"/>
      <c r="U1223" s="180"/>
      <c r="V1223" s="180"/>
      <c r="W1223" s="180"/>
      <c r="X1223" s="180"/>
      <c r="Y1223" s="180"/>
      <c r="Z1223" s="180"/>
      <c r="AA1223" s="334"/>
      <c r="AB1223" s="308"/>
      <c r="AC1223" s="180"/>
      <c r="AD1223" s="180"/>
      <c r="AE1223" s="180"/>
      <c r="AF1223" s="180"/>
      <c r="AG1223" s="391"/>
      <c r="AH1223" s="402"/>
      <c r="AI1223" s="147"/>
      <c r="AJ1223" s="147"/>
      <c r="AK1223" s="147"/>
      <c r="AL1223" s="147"/>
      <c r="AM1223" s="180"/>
      <c r="AN1223" s="24">
        <f t="shared" si="243"/>
        <v>0</v>
      </c>
      <c r="AO1223" s="118">
        <f t="shared" si="251"/>
        <v>0</v>
      </c>
      <c r="AP1223" s="197" t="e">
        <f t="shared" si="252"/>
        <v>#DIV/0!</v>
      </c>
      <c r="AQ1223" s="214"/>
      <c r="AR1223" s="125"/>
      <c r="AS1223" s="180"/>
      <c r="AT1223" s="180"/>
    </row>
    <row r="1224" spans="1:46" ht="12">
      <c r="A1224" s="354" t="s">
        <v>1588</v>
      </c>
      <c r="B1224" s="354">
        <f t="shared" si="244"/>
        <v>0</v>
      </c>
      <c r="C1224" s="386">
        <f t="shared" si="245"/>
        <v>0</v>
      </c>
      <c r="D1224" s="98">
        <f t="shared" si="246"/>
        <v>0</v>
      </c>
      <c r="E1224" s="235">
        <f t="shared" si="247"/>
        <v>0</v>
      </c>
      <c r="F1224" s="235">
        <f t="shared" si="248"/>
        <v>0</v>
      </c>
      <c r="G1224" s="98">
        <f t="shared" si="249"/>
        <v>0</v>
      </c>
      <c r="H1224" s="79">
        <f t="shared" si="242"/>
        <v>0</v>
      </c>
      <c r="I1224" s="98">
        <f t="shared" si="250"/>
        <v>0</v>
      </c>
      <c r="J1224" s="180"/>
      <c r="K1224" s="180"/>
      <c r="L1224" s="180"/>
      <c r="M1224" s="214"/>
      <c r="N1224" s="125"/>
      <c r="O1224" s="180"/>
      <c r="P1224" s="180"/>
      <c r="Q1224" s="180"/>
      <c r="R1224" s="180"/>
      <c r="S1224" s="180"/>
      <c r="T1224" s="180"/>
      <c r="U1224" s="180"/>
      <c r="V1224" s="180"/>
      <c r="W1224" s="180"/>
      <c r="X1224" s="180"/>
      <c r="Y1224" s="180"/>
      <c r="Z1224" s="180"/>
      <c r="AA1224" s="334"/>
      <c r="AB1224" s="308"/>
      <c r="AC1224" s="180"/>
      <c r="AD1224" s="180"/>
      <c r="AE1224" s="180"/>
      <c r="AF1224" s="180"/>
      <c r="AG1224" s="391"/>
      <c r="AH1224" s="402"/>
      <c r="AI1224" s="147"/>
      <c r="AJ1224" s="147"/>
      <c r="AK1224" s="147"/>
      <c r="AL1224" s="147"/>
      <c r="AM1224" s="180"/>
      <c r="AN1224" s="24">
        <f t="shared" si="243"/>
        <v>0</v>
      </c>
      <c r="AO1224" s="118">
        <f t="shared" si="251"/>
        <v>0</v>
      </c>
      <c r="AP1224" s="197" t="e">
        <f t="shared" si="252"/>
        <v>#DIV/0!</v>
      </c>
      <c r="AQ1224" s="214"/>
      <c r="AR1224" s="125"/>
      <c r="AS1224" s="180"/>
      <c r="AT1224" s="180"/>
    </row>
    <row r="1225" spans="1:46" ht="12">
      <c r="A1225" s="354" t="s">
        <v>1589</v>
      </c>
      <c r="B1225" s="354">
        <f t="shared" si="244"/>
        <v>0</v>
      </c>
      <c r="C1225" s="386">
        <f t="shared" si="245"/>
        <v>0</v>
      </c>
      <c r="D1225" s="98">
        <f t="shared" si="246"/>
        <v>0</v>
      </c>
      <c r="E1225" s="235">
        <f t="shared" si="247"/>
        <v>0</v>
      </c>
      <c r="F1225" s="235">
        <f t="shared" si="248"/>
        <v>0</v>
      </c>
      <c r="G1225" s="98">
        <f t="shared" si="249"/>
        <v>0</v>
      </c>
      <c r="H1225" s="79">
        <f t="shared" si="242"/>
        <v>0</v>
      </c>
      <c r="I1225" s="98">
        <f t="shared" si="250"/>
        <v>0</v>
      </c>
      <c r="J1225" s="180"/>
      <c r="K1225" s="180"/>
      <c r="L1225" s="180"/>
      <c r="M1225" s="214"/>
      <c r="N1225" s="125"/>
      <c r="O1225" s="180"/>
      <c r="P1225" s="180"/>
      <c r="Q1225" s="180"/>
      <c r="R1225" s="180"/>
      <c r="S1225" s="180"/>
      <c r="T1225" s="180"/>
      <c r="U1225" s="180"/>
      <c r="V1225" s="180"/>
      <c r="W1225" s="180"/>
      <c r="X1225" s="180"/>
      <c r="Y1225" s="180"/>
      <c r="Z1225" s="180"/>
      <c r="AA1225" s="334"/>
      <c r="AB1225" s="308"/>
      <c r="AC1225" s="180"/>
      <c r="AD1225" s="180"/>
      <c r="AE1225" s="180"/>
      <c r="AF1225" s="180"/>
      <c r="AG1225" s="391"/>
      <c r="AH1225" s="402"/>
      <c r="AI1225" s="147"/>
      <c r="AJ1225" s="147"/>
      <c r="AK1225" s="147"/>
      <c r="AL1225" s="147"/>
      <c r="AM1225" s="180"/>
      <c r="AN1225" s="24">
        <f t="shared" si="243"/>
        <v>0</v>
      </c>
      <c r="AO1225" s="118">
        <f t="shared" si="251"/>
        <v>0</v>
      </c>
      <c r="AP1225" s="197" t="e">
        <f t="shared" si="252"/>
        <v>#DIV/0!</v>
      </c>
      <c r="AQ1225" s="214"/>
      <c r="AR1225" s="125"/>
      <c r="AS1225" s="180"/>
      <c r="AT1225" s="180"/>
    </row>
    <row r="1226" spans="1:46" ht="12">
      <c r="A1226" s="354" t="s">
        <v>1590</v>
      </c>
      <c r="B1226" s="354">
        <f t="shared" si="244"/>
        <v>0</v>
      </c>
      <c r="C1226" s="386">
        <f t="shared" si="245"/>
        <v>0</v>
      </c>
      <c r="D1226" s="98">
        <f t="shared" si="246"/>
        <v>0</v>
      </c>
      <c r="E1226" s="235">
        <f t="shared" si="247"/>
        <v>0</v>
      </c>
      <c r="F1226" s="235">
        <f t="shared" si="248"/>
        <v>0</v>
      </c>
      <c r="G1226" s="98">
        <f t="shared" si="249"/>
        <v>0</v>
      </c>
      <c r="H1226" s="79">
        <f t="shared" si="242"/>
        <v>0</v>
      </c>
      <c r="I1226" s="98">
        <f t="shared" si="250"/>
        <v>0</v>
      </c>
      <c r="J1226" s="180"/>
      <c r="K1226" s="180"/>
      <c r="L1226" s="180"/>
      <c r="M1226" s="214"/>
      <c r="N1226" s="125"/>
      <c r="O1226" s="180"/>
      <c r="P1226" s="180"/>
      <c r="Q1226" s="180"/>
      <c r="R1226" s="180"/>
      <c r="S1226" s="180"/>
      <c r="T1226" s="180"/>
      <c r="U1226" s="180"/>
      <c r="V1226" s="180"/>
      <c r="W1226" s="180"/>
      <c r="X1226" s="180"/>
      <c r="Y1226" s="180"/>
      <c r="Z1226" s="180"/>
      <c r="AA1226" s="334"/>
      <c r="AB1226" s="308"/>
      <c r="AC1226" s="180"/>
      <c r="AD1226" s="180"/>
      <c r="AE1226" s="180"/>
      <c r="AF1226" s="180"/>
      <c r="AG1226" s="391"/>
      <c r="AH1226" s="402"/>
      <c r="AI1226" s="147"/>
      <c r="AJ1226" s="147"/>
      <c r="AK1226" s="147"/>
      <c r="AL1226" s="147"/>
      <c r="AM1226" s="180"/>
      <c r="AN1226" s="24">
        <f t="shared" si="243"/>
        <v>0</v>
      </c>
      <c r="AO1226" s="118">
        <f t="shared" si="251"/>
        <v>0</v>
      </c>
      <c r="AP1226" s="197" t="e">
        <f t="shared" si="252"/>
        <v>#DIV/0!</v>
      </c>
      <c r="AQ1226" s="214"/>
      <c r="AR1226" s="125"/>
      <c r="AS1226" s="180"/>
      <c r="AT1226" s="180"/>
    </row>
    <row r="1227" spans="1:46" ht="12">
      <c r="A1227" s="354" t="s">
        <v>1591</v>
      </c>
      <c r="B1227" s="354">
        <f t="shared" si="244"/>
        <v>0</v>
      </c>
      <c r="C1227" s="386">
        <f t="shared" si="245"/>
        <v>0</v>
      </c>
      <c r="D1227" s="98">
        <f t="shared" si="246"/>
        <v>0</v>
      </c>
      <c r="E1227" s="235">
        <f t="shared" si="247"/>
        <v>0</v>
      </c>
      <c r="F1227" s="235">
        <f t="shared" si="248"/>
        <v>0</v>
      </c>
      <c r="G1227" s="98">
        <f t="shared" si="249"/>
        <v>0</v>
      </c>
      <c r="H1227" s="79">
        <f t="shared" si="242"/>
        <v>0</v>
      </c>
      <c r="I1227" s="98">
        <f t="shared" si="250"/>
        <v>0</v>
      </c>
      <c r="J1227" s="180"/>
      <c r="K1227" s="180"/>
      <c r="L1227" s="180"/>
      <c r="M1227" s="214"/>
      <c r="N1227" s="125"/>
      <c r="O1227" s="180"/>
      <c r="P1227" s="180"/>
      <c r="Q1227" s="180"/>
      <c r="R1227" s="180"/>
      <c r="S1227" s="180"/>
      <c r="T1227" s="180"/>
      <c r="U1227" s="180"/>
      <c r="V1227" s="180"/>
      <c r="W1227" s="180"/>
      <c r="X1227" s="180"/>
      <c r="Y1227" s="180"/>
      <c r="Z1227" s="180"/>
      <c r="AA1227" s="334"/>
      <c r="AB1227" s="308"/>
      <c r="AC1227" s="180"/>
      <c r="AD1227" s="180"/>
      <c r="AE1227" s="180"/>
      <c r="AF1227" s="180"/>
      <c r="AG1227" s="391"/>
      <c r="AH1227" s="402"/>
      <c r="AI1227" s="147"/>
      <c r="AJ1227" s="147"/>
      <c r="AK1227" s="147"/>
      <c r="AL1227" s="147"/>
      <c r="AM1227" s="180"/>
      <c r="AN1227" s="24">
        <f t="shared" si="243"/>
        <v>0</v>
      </c>
      <c r="AO1227" s="118">
        <f t="shared" si="251"/>
        <v>0</v>
      </c>
      <c r="AP1227" s="197" t="e">
        <f t="shared" si="252"/>
        <v>#DIV/0!</v>
      </c>
      <c r="AQ1227" s="214"/>
      <c r="AR1227" s="125"/>
      <c r="AS1227" s="180"/>
      <c r="AT1227" s="180"/>
    </row>
    <row r="1228" spans="1:46" ht="12">
      <c r="A1228" s="256" t="s">
        <v>1592</v>
      </c>
      <c r="B1228" s="256" t="str">
        <f t="shared" si="244"/>
        <v>MgO</v>
      </c>
      <c r="C1228" s="32">
        <f t="shared" si="245"/>
        <v>0</v>
      </c>
      <c r="D1228" s="279">
        <f t="shared" si="246"/>
        <v>399.65263964198198</v>
      </c>
      <c r="E1228" s="78">
        <f t="shared" si="247"/>
        <v>0</v>
      </c>
      <c r="F1228" s="78">
        <f t="shared" si="248"/>
        <v>0</v>
      </c>
      <c r="G1228" s="279">
        <f t="shared" si="249"/>
        <v>0</v>
      </c>
      <c r="H1228" s="190">
        <f t="shared" si="242"/>
        <v>0</v>
      </c>
      <c r="I1228" s="279">
        <f t="shared" si="250"/>
        <v>0</v>
      </c>
      <c r="J1228" s="67"/>
      <c r="K1228" s="67"/>
      <c r="L1228" s="67"/>
      <c r="M1228" s="371"/>
      <c r="N1228" s="309">
        <v>41688</v>
      </c>
      <c r="O1228" s="67">
        <v>423</v>
      </c>
      <c r="P1228" s="67" t="s">
        <v>46</v>
      </c>
      <c r="Q1228" s="67"/>
      <c r="R1228" s="67">
        <v>1</v>
      </c>
      <c r="S1228" s="67">
        <v>800</v>
      </c>
      <c r="T1228" s="67">
        <v>69</v>
      </c>
      <c r="U1228" s="138">
        <v>400</v>
      </c>
      <c r="V1228" s="138">
        <v>8</v>
      </c>
      <c r="W1228" s="138">
        <v>26.5</v>
      </c>
      <c r="X1228" s="138">
        <v>2.5</v>
      </c>
      <c r="Y1228" s="138">
        <v>40</v>
      </c>
      <c r="Z1228" s="359"/>
      <c r="AA1228" s="210"/>
      <c r="AB1228" s="182"/>
      <c r="AC1228" s="67"/>
      <c r="AD1228" s="67"/>
      <c r="AE1228" s="67"/>
      <c r="AF1228" s="67"/>
      <c r="AG1228" s="315"/>
      <c r="AH1228" s="66">
        <v>399.65263964198198</v>
      </c>
      <c r="AI1228" s="216"/>
      <c r="AJ1228" s="216"/>
      <c r="AK1228" s="216"/>
      <c r="AL1228" s="216"/>
      <c r="AM1228" s="67"/>
      <c r="AN1228" s="24">
        <f t="shared" si="243"/>
        <v>0</v>
      </c>
      <c r="AO1228" s="389">
        <f t="shared" si="251"/>
        <v>0</v>
      </c>
      <c r="AP1228" s="187">
        <f t="shared" si="252"/>
        <v>0</v>
      </c>
      <c r="AQ1228" s="371"/>
      <c r="AR1228" s="41"/>
      <c r="AS1228" s="67"/>
      <c r="AT1228" s="67"/>
    </row>
    <row r="1229" spans="1:46" ht="12">
      <c r="A1229" s="83" t="s">
        <v>1593</v>
      </c>
      <c r="B1229" s="83" t="str">
        <f t="shared" si="244"/>
        <v>SiO2</v>
      </c>
      <c r="C1229" s="329">
        <f t="shared" si="245"/>
        <v>0</v>
      </c>
      <c r="D1229" s="168">
        <f t="shared" si="246"/>
        <v>667.27717511652304</v>
      </c>
      <c r="E1229" s="139">
        <f t="shared" si="247"/>
        <v>9.8000000000000007</v>
      </c>
      <c r="F1229" s="139">
        <f t="shared" si="248"/>
        <v>2.0499999999999998</v>
      </c>
      <c r="G1229" s="168">
        <f t="shared" si="249"/>
        <v>0</v>
      </c>
      <c r="H1229" s="150">
        <f t="shared" si="242"/>
        <v>0.78887717448603067</v>
      </c>
      <c r="I1229" s="168">
        <f t="shared" si="250"/>
        <v>0</v>
      </c>
      <c r="J1229" s="138"/>
      <c r="K1229" s="138" t="s">
        <v>1570</v>
      </c>
      <c r="L1229" s="138"/>
      <c r="M1229" s="316"/>
      <c r="N1229" s="135">
        <v>41688</v>
      </c>
      <c r="O1229" s="138">
        <v>423</v>
      </c>
      <c r="P1229" s="138" t="s">
        <v>1182</v>
      </c>
      <c r="Q1229" s="138" t="s">
        <v>1565</v>
      </c>
      <c r="R1229" s="138">
        <v>2</v>
      </c>
      <c r="S1229" s="138">
        <v>800</v>
      </c>
      <c r="T1229" s="138">
        <v>69</v>
      </c>
      <c r="U1229" s="138">
        <v>400</v>
      </c>
      <c r="V1229" s="138">
        <v>8</v>
      </c>
      <c r="W1229" s="138">
        <v>26.5</v>
      </c>
      <c r="X1229" s="138">
        <v>2.5</v>
      </c>
      <c r="Y1229" s="138">
        <v>40</v>
      </c>
      <c r="Z1229" s="138"/>
      <c r="AA1229" s="6"/>
      <c r="AB1229" s="300"/>
      <c r="AC1229" s="138"/>
      <c r="AD1229" s="138"/>
      <c r="AE1229" s="138"/>
      <c r="AF1229" s="138"/>
      <c r="AG1229" s="63"/>
      <c r="AH1229" s="70">
        <v>667.27717511652304</v>
      </c>
      <c r="AI1229" s="121"/>
      <c r="AJ1229" s="121">
        <v>9.8000000000000007</v>
      </c>
      <c r="AK1229" s="121">
        <v>2.0499999999999998</v>
      </c>
      <c r="AL1229" s="121">
        <f>299.3/379.4</f>
        <v>0.78887717448603067</v>
      </c>
      <c r="AM1229" s="138"/>
      <c r="AN1229" s="24">
        <f t="shared" si="243"/>
        <v>0</v>
      </c>
      <c r="AO1229" s="353">
        <f t="shared" si="251"/>
        <v>0</v>
      </c>
      <c r="AP1229" s="36">
        <f t="shared" si="252"/>
        <v>0</v>
      </c>
      <c r="AQ1229" s="316"/>
      <c r="AR1229" s="258"/>
      <c r="AS1229" s="138"/>
      <c r="AT1229" s="138"/>
    </row>
    <row r="1230" spans="1:46" ht="12">
      <c r="A1230" s="83" t="s">
        <v>1594</v>
      </c>
      <c r="B1230" s="83" t="str">
        <f t="shared" si="244"/>
        <v>SiO2</v>
      </c>
      <c r="C1230" s="329">
        <f t="shared" si="245"/>
        <v>0</v>
      </c>
      <c r="D1230" s="168">
        <f t="shared" si="246"/>
        <v>597.33796317917597</v>
      </c>
      <c r="E1230" s="139">
        <f t="shared" si="247"/>
        <v>0</v>
      </c>
      <c r="F1230" s="139">
        <f t="shared" si="248"/>
        <v>0</v>
      </c>
      <c r="G1230" s="168">
        <f t="shared" si="249"/>
        <v>0</v>
      </c>
      <c r="H1230" s="150">
        <f t="shared" si="242"/>
        <v>0</v>
      </c>
      <c r="I1230" s="168">
        <f t="shared" si="250"/>
        <v>0</v>
      </c>
      <c r="J1230" s="138"/>
      <c r="K1230" s="138" t="s">
        <v>1595</v>
      </c>
      <c r="L1230" s="138"/>
      <c r="M1230" s="316"/>
      <c r="N1230" s="135">
        <v>41688</v>
      </c>
      <c r="O1230" s="138">
        <v>423</v>
      </c>
      <c r="P1230" s="138" t="s">
        <v>1182</v>
      </c>
      <c r="Q1230" s="138" t="s">
        <v>1565</v>
      </c>
      <c r="R1230" s="138">
        <v>3</v>
      </c>
      <c r="S1230" s="138">
        <v>800</v>
      </c>
      <c r="T1230" s="138">
        <v>69</v>
      </c>
      <c r="U1230" s="138">
        <v>400</v>
      </c>
      <c r="V1230" s="138">
        <v>8</v>
      </c>
      <c r="W1230" s="138">
        <v>26.5</v>
      </c>
      <c r="X1230" s="138">
        <v>2.5</v>
      </c>
      <c r="Y1230" s="138">
        <v>40</v>
      </c>
      <c r="Z1230" s="138"/>
      <c r="AA1230" s="6"/>
      <c r="AB1230" s="300"/>
      <c r="AC1230" s="138"/>
      <c r="AD1230" s="138"/>
      <c r="AE1230" s="138"/>
      <c r="AF1230" s="138"/>
      <c r="AG1230" s="63"/>
      <c r="AH1230" s="70">
        <v>597.33796317917597</v>
      </c>
      <c r="AI1230" s="121"/>
      <c r="AJ1230" s="121"/>
      <c r="AK1230" s="121"/>
      <c r="AL1230" s="121"/>
      <c r="AM1230" s="138"/>
      <c r="AN1230" s="24">
        <f t="shared" si="243"/>
        <v>0</v>
      </c>
      <c r="AO1230" s="353">
        <f t="shared" si="251"/>
        <v>0</v>
      </c>
      <c r="AP1230" s="36">
        <f t="shared" si="252"/>
        <v>0</v>
      </c>
      <c r="AQ1230" s="316"/>
      <c r="AR1230" s="258"/>
      <c r="AS1230" s="138"/>
      <c r="AT1230" s="138"/>
    </row>
    <row r="1231" spans="1:46" ht="12">
      <c r="A1231" s="83" t="s">
        <v>1596</v>
      </c>
      <c r="B1231" s="83" t="str">
        <f t="shared" si="244"/>
        <v>SiO2</v>
      </c>
      <c r="C1231" s="329">
        <f t="shared" si="245"/>
        <v>0</v>
      </c>
      <c r="D1231" s="168">
        <f t="shared" si="246"/>
        <v>586.63298176019396</v>
      </c>
      <c r="E1231" s="139">
        <f t="shared" si="247"/>
        <v>10.6</v>
      </c>
      <c r="F1231" s="139">
        <f t="shared" si="248"/>
        <v>1.89</v>
      </c>
      <c r="G1231" s="168">
        <f t="shared" si="249"/>
        <v>0</v>
      </c>
      <c r="H1231" s="150">
        <f t="shared" si="242"/>
        <v>0.82189180639038273</v>
      </c>
      <c r="I1231" s="168">
        <f t="shared" si="250"/>
        <v>0</v>
      </c>
      <c r="J1231" s="138"/>
      <c r="K1231" s="138" t="s">
        <v>1595</v>
      </c>
      <c r="L1231" s="138"/>
      <c r="M1231" s="316"/>
      <c r="N1231" s="135">
        <v>41688</v>
      </c>
      <c r="O1231" s="138">
        <v>423</v>
      </c>
      <c r="P1231" s="138" t="s">
        <v>1182</v>
      </c>
      <c r="Q1231" s="138" t="s">
        <v>1565</v>
      </c>
      <c r="R1231" s="138">
        <v>6</v>
      </c>
      <c r="S1231" s="138">
        <v>800</v>
      </c>
      <c r="T1231" s="138">
        <v>69</v>
      </c>
      <c r="U1231" s="138">
        <v>400</v>
      </c>
      <c r="V1231" s="138">
        <v>8</v>
      </c>
      <c r="W1231" s="138">
        <v>26.5</v>
      </c>
      <c r="X1231" s="138">
        <v>2.5</v>
      </c>
      <c r="Y1231" s="138">
        <v>40</v>
      </c>
      <c r="Z1231" s="138"/>
      <c r="AA1231" s="6"/>
      <c r="AB1231" s="300"/>
      <c r="AC1231" s="138"/>
      <c r="AD1231" s="138"/>
      <c r="AE1231" s="138"/>
      <c r="AF1231" s="138"/>
      <c r="AG1231" s="63"/>
      <c r="AH1231" s="70">
        <v>586.63298176019396</v>
      </c>
      <c r="AI1231" s="121"/>
      <c r="AJ1231" s="121">
        <v>10.6</v>
      </c>
      <c r="AK1231" s="121">
        <v>1.89</v>
      </c>
      <c r="AL1231" s="121">
        <f>259.8/316.1</f>
        <v>0.82189180639038273</v>
      </c>
      <c r="AM1231" s="138"/>
      <c r="AN1231" s="24">
        <f t="shared" si="243"/>
        <v>0</v>
      </c>
      <c r="AO1231" s="353">
        <f t="shared" si="251"/>
        <v>0</v>
      </c>
      <c r="AP1231" s="36">
        <f t="shared" si="252"/>
        <v>0</v>
      </c>
      <c r="AQ1231" s="316"/>
      <c r="AR1231" s="258"/>
      <c r="AS1231" s="138"/>
      <c r="AT1231" s="138"/>
    </row>
    <row r="1232" spans="1:46" ht="12">
      <c r="A1232" s="256" t="s">
        <v>1597</v>
      </c>
      <c r="B1232" s="256" t="str">
        <f t="shared" si="244"/>
        <v>MgO</v>
      </c>
      <c r="C1232" s="32">
        <f t="shared" si="245"/>
        <v>0</v>
      </c>
      <c r="D1232" s="279">
        <f t="shared" si="246"/>
        <v>344.87881804819199</v>
      </c>
      <c r="E1232" s="78">
        <f t="shared" si="247"/>
        <v>0</v>
      </c>
      <c r="F1232" s="78">
        <f t="shared" si="248"/>
        <v>0</v>
      </c>
      <c r="G1232" s="279">
        <f t="shared" si="249"/>
        <v>0</v>
      </c>
      <c r="H1232" s="190">
        <f t="shared" si="242"/>
        <v>0</v>
      </c>
      <c r="I1232" s="279">
        <f t="shared" si="250"/>
        <v>0</v>
      </c>
      <c r="J1232" s="67"/>
      <c r="K1232" s="67"/>
      <c r="L1232" s="67"/>
      <c r="M1232" s="371"/>
      <c r="N1232" s="309">
        <v>41688</v>
      </c>
      <c r="O1232" s="67">
        <v>424</v>
      </c>
      <c r="P1232" s="67" t="s">
        <v>46</v>
      </c>
      <c r="Q1232" s="67"/>
      <c r="R1232" s="67">
        <v>1</v>
      </c>
      <c r="S1232" s="67">
        <v>800</v>
      </c>
      <c r="T1232" s="67">
        <v>69</v>
      </c>
      <c r="U1232" s="67">
        <v>400</v>
      </c>
      <c r="V1232" s="67">
        <v>8</v>
      </c>
      <c r="W1232" s="67">
        <v>26.5</v>
      </c>
      <c r="X1232" s="67">
        <v>2.5</v>
      </c>
      <c r="Y1232" s="67">
        <v>40</v>
      </c>
      <c r="Z1232" s="67"/>
      <c r="AA1232" s="159"/>
      <c r="AB1232" s="182"/>
      <c r="AC1232" s="67"/>
      <c r="AD1232" s="67"/>
      <c r="AE1232" s="67"/>
      <c r="AF1232" s="67"/>
      <c r="AG1232" s="315"/>
      <c r="AH1232" s="66">
        <v>344.87881804819199</v>
      </c>
      <c r="AI1232" s="216"/>
      <c r="AJ1232" s="216"/>
      <c r="AK1232" s="216"/>
      <c r="AL1232" s="216"/>
      <c r="AM1232" s="67"/>
      <c r="AN1232" s="24">
        <f t="shared" si="243"/>
        <v>0</v>
      </c>
      <c r="AO1232" s="353">
        <f t="shared" si="251"/>
        <v>0</v>
      </c>
      <c r="AP1232" s="36">
        <f t="shared" si="252"/>
        <v>0</v>
      </c>
      <c r="AQ1232" s="371"/>
      <c r="AR1232" s="41"/>
      <c r="AS1232" s="67"/>
      <c r="AT1232" s="67"/>
    </row>
    <row r="1233" spans="1:46" ht="12">
      <c r="A1233" s="83" t="s">
        <v>1598</v>
      </c>
      <c r="B1233" s="83" t="str">
        <f t="shared" si="244"/>
        <v>SiO2</v>
      </c>
      <c r="C1233" s="329">
        <f t="shared" si="245"/>
        <v>0</v>
      </c>
      <c r="D1233" s="168">
        <f t="shared" si="246"/>
        <v>619.64000780205401</v>
      </c>
      <c r="E1233" s="139">
        <f t="shared" si="247"/>
        <v>10.5</v>
      </c>
      <c r="F1233" s="139">
        <f t="shared" si="248"/>
        <v>1.98</v>
      </c>
      <c r="G1233" s="168">
        <f t="shared" si="249"/>
        <v>0</v>
      </c>
      <c r="H1233" s="150">
        <f t="shared" si="242"/>
        <v>0.83826213946695882</v>
      </c>
      <c r="I1233" s="168">
        <f t="shared" si="250"/>
        <v>0</v>
      </c>
      <c r="J1233" s="138"/>
      <c r="K1233" s="138"/>
      <c r="L1233" s="138"/>
      <c r="M1233" s="316"/>
      <c r="N1233" s="135">
        <v>41688</v>
      </c>
      <c r="O1233" s="138">
        <v>424</v>
      </c>
      <c r="P1233" s="138" t="s">
        <v>1182</v>
      </c>
      <c r="Q1233" s="138" t="s">
        <v>1565</v>
      </c>
      <c r="R1233" s="138">
        <v>3</v>
      </c>
      <c r="S1233" s="138">
        <v>800</v>
      </c>
      <c r="T1233" s="138">
        <v>69</v>
      </c>
      <c r="U1233" s="138">
        <v>400</v>
      </c>
      <c r="V1233" s="138">
        <v>8</v>
      </c>
      <c r="W1233" s="138">
        <v>26.5</v>
      </c>
      <c r="X1233" s="138">
        <v>2.5</v>
      </c>
      <c r="Y1233" s="138">
        <v>40</v>
      </c>
      <c r="Z1233" s="138"/>
      <c r="AA1233" s="6"/>
      <c r="AB1233" s="300"/>
      <c r="AC1233" s="138"/>
      <c r="AD1233" s="138"/>
      <c r="AE1233" s="138"/>
      <c r="AF1233" s="138"/>
      <c r="AG1233" s="63"/>
      <c r="AH1233" s="70">
        <v>619.64000780205401</v>
      </c>
      <c r="AI1233" s="121"/>
      <c r="AJ1233" s="121">
        <v>10.5</v>
      </c>
      <c r="AK1233" s="121">
        <v>1.98</v>
      </c>
      <c r="AL1233" s="121">
        <f>229.6/273.9</f>
        <v>0.83826213946695882</v>
      </c>
      <c r="AM1233" s="138"/>
      <c r="AN1233" s="24">
        <f t="shared" si="243"/>
        <v>0</v>
      </c>
      <c r="AO1233" s="353">
        <f t="shared" si="251"/>
        <v>0</v>
      </c>
      <c r="AP1233" s="36">
        <f t="shared" si="252"/>
        <v>0</v>
      </c>
      <c r="AQ1233" s="316"/>
      <c r="AR1233" s="258"/>
      <c r="AS1233" s="138"/>
      <c r="AT1233" s="138"/>
    </row>
    <row r="1234" spans="1:46" ht="12">
      <c r="A1234" s="83" t="s">
        <v>1599</v>
      </c>
      <c r="B1234" s="83" t="str">
        <f t="shared" si="244"/>
        <v>SiO2</v>
      </c>
      <c r="C1234" s="329">
        <f t="shared" si="245"/>
        <v>0</v>
      </c>
      <c r="D1234" s="168">
        <f t="shared" si="246"/>
        <v>624.10041672662999</v>
      </c>
      <c r="E1234" s="139">
        <f t="shared" si="247"/>
        <v>10.6</v>
      </c>
      <c r="F1234" s="139">
        <f t="shared" si="248"/>
        <v>1.95</v>
      </c>
      <c r="G1234" s="168">
        <f t="shared" si="249"/>
        <v>0</v>
      </c>
      <c r="H1234" s="150">
        <f t="shared" si="242"/>
        <v>0.81092564491654018</v>
      </c>
      <c r="I1234" s="168">
        <f t="shared" si="250"/>
        <v>0</v>
      </c>
      <c r="J1234" s="138"/>
      <c r="K1234" s="138"/>
      <c r="L1234" s="138"/>
      <c r="M1234" s="316"/>
      <c r="N1234" s="135">
        <v>41688</v>
      </c>
      <c r="O1234" s="138">
        <v>424</v>
      </c>
      <c r="P1234" s="138" t="s">
        <v>1182</v>
      </c>
      <c r="Q1234" s="138" t="s">
        <v>1565</v>
      </c>
      <c r="R1234" s="138">
        <v>6</v>
      </c>
      <c r="S1234" s="138">
        <v>800</v>
      </c>
      <c r="T1234" s="138">
        <v>69</v>
      </c>
      <c r="U1234" s="138">
        <v>400</v>
      </c>
      <c r="V1234" s="138">
        <v>8</v>
      </c>
      <c r="W1234" s="138">
        <v>26.5</v>
      </c>
      <c r="X1234" s="138">
        <v>2.5</v>
      </c>
      <c r="Y1234" s="138">
        <v>40</v>
      </c>
      <c r="Z1234" s="138"/>
      <c r="AA1234" s="6"/>
      <c r="AB1234" s="300"/>
      <c r="AC1234" s="138"/>
      <c r="AD1234" s="138"/>
      <c r="AE1234" s="138"/>
      <c r="AF1234" s="138"/>
      <c r="AG1234" s="63"/>
      <c r="AH1234" s="70">
        <v>624.10041672662999</v>
      </c>
      <c r="AI1234" s="121"/>
      <c r="AJ1234" s="121">
        <v>10.6</v>
      </c>
      <c r="AK1234" s="121">
        <v>1.95</v>
      </c>
      <c r="AL1234" s="121">
        <f>267.2/329.5</f>
        <v>0.81092564491654018</v>
      </c>
      <c r="AM1234" s="138"/>
      <c r="AN1234" s="24">
        <f t="shared" si="243"/>
        <v>0</v>
      </c>
      <c r="AO1234" s="353">
        <f t="shared" si="251"/>
        <v>0</v>
      </c>
      <c r="AP1234" s="36">
        <f t="shared" si="252"/>
        <v>0</v>
      </c>
      <c r="AQ1234" s="316"/>
      <c r="AR1234" s="258"/>
      <c r="AS1234" s="138"/>
      <c r="AT1234" s="138"/>
    </row>
    <row r="1235" spans="1:46" ht="12">
      <c r="A1235" s="256" t="s">
        <v>1600</v>
      </c>
      <c r="B1235" s="256" t="str">
        <f t="shared" si="244"/>
        <v>MgO</v>
      </c>
      <c r="C1235" s="32">
        <f t="shared" si="245"/>
        <v>0</v>
      </c>
      <c r="D1235" s="279">
        <f t="shared" si="246"/>
        <v>348.62556154483599</v>
      </c>
      <c r="E1235" s="78">
        <f t="shared" si="247"/>
        <v>0</v>
      </c>
      <c r="F1235" s="78">
        <f t="shared" si="248"/>
        <v>0</v>
      </c>
      <c r="G1235" s="279">
        <f t="shared" si="249"/>
        <v>0</v>
      </c>
      <c r="H1235" s="190">
        <f t="shared" si="242"/>
        <v>0</v>
      </c>
      <c r="I1235" s="279">
        <f t="shared" si="250"/>
        <v>0</v>
      </c>
      <c r="J1235" s="67"/>
      <c r="K1235" s="67"/>
      <c r="L1235" s="67"/>
      <c r="M1235" s="371"/>
      <c r="N1235" s="309">
        <v>41689</v>
      </c>
      <c r="O1235" s="67">
        <v>425</v>
      </c>
      <c r="P1235" s="67" t="s">
        <v>46</v>
      </c>
      <c r="Q1235" s="67"/>
      <c r="R1235" s="67">
        <v>1</v>
      </c>
      <c r="S1235" s="67">
        <v>800</v>
      </c>
      <c r="T1235" s="67">
        <v>75</v>
      </c>
      <c r="U1235" s="67">
        <v>400</v>
      </c>
      <c r="V1235" s="67">
        <v>8</v>
      </c>
      <c r="W1235" s="67">
        <v>26.5</v>
      </c>
      <c r="X1235" s="67">
        <v>2.5</v>
      </c>
      <c r="Y1235" s="67">
        <v>40</v>
      </c>
      <c r="Z1235" s="67"/>
      <c r="AA1235" s="159"/>
      <c r="AB1235" s="182"/>
      <c r="AC1235" s="67"/>
      <c r="AD1235" s="67"/>
      <c r="AE1235" s="67"/>
      <c r="AF1235" s="67"/>
      <c r="AG1235" s="315"/>
      <c r="AH1235" s="66">
        <v>348.62556154483599</v>
      </c>
      <c r="AI1235" s="216"/>
      <c r="AJ1235" s="216"/>
      <c r="AK1235" s="216"/>
      <c r="AL1235" s="216"/>
      <c r="AM1235" s="67"/>
      <c r="AN1235" s="24">
        <f t="shared" si="243"/>
        <v>0</v>
      </c>
      <c r="AO1235" s="353">
        <f t="shared" si="251"/>
        <v>0</v>
      </c>
      <c r="AP1235" s="36">
        <f t="shared" si="252"/>
        <v>0</v>
      </c>
      <c r="AQ1235" s="371"/>
      <c r="AR1235" s="41"/>
      <c r="AS1235" s="67"/>
      <c r="AT1235" s="67"/>
    </row>
    <row r="1236" spans="1:46" ht="12">
      <c r="A1236" s="83" t="s">
        <v>1601</v>
      </c>
      <c r="B1236" s="83" t="str">
        <f t="shared" si="244"/>
        <v>SiO2</v>
      </c>
      <c r="C1236" s="329">
        <f t="shared" si="245"/>
        <v>0</v>
      </c>
      <c r="D1236" s="168">
        <f t="shared" si="246"/>
        <v>509.91394825749302</v>
      </c>
      <c r="E1236" s="139">
        <f t="shared" si="247"/>
        <v>10.9</v>
      </c>
      <c r="F1236" s="139">
        <f t="shared" si="248"/>
        <v>1.72</v>
      </c>
      <c r="G1236" s="168">
        <f t="shared" si="249"/>
        <v>0</v>
      </c>
      <c r="H1236" s="150">
        <f t="shared" ref="H1236:H1267" si="253">AL1236</f>
        <v>0.83826213946695882</v>
      </c>
      <c r="I1236" s="168">
        <f t="shared" si="250"/>
        <v>0</v>
      </c>
      <c r="J1236" s="138"/>
      <c r="K1236" s="138"/>
      <c r="L1236" s="138"/>
      <c r="M1236" s="316"/>
      <c r="N1236" s="135">
        <v>41689</v>
      </c>
      <c r="O1236" s="138">
        <v>425</v>
      </c>
      <c r="P1236" s="138" t="s">
        <v>1182</v>
      </c>
      <c r="Q1236" s="138" t="s">
        <v>1565</v>
      </c>
      <c r="R1236" s="138">
        <v>3</v>
      </c>
      <c r="S1236" s="138">
        <v>800</v>
      </c>
      <c r="T1236" s="138">
        <v>75</v>
      </c>
      <c r="U1236" s="138">
        <v>400</v>
      </c>
      <c r="V1236" s="138">
        <v>8</v>
      </c>
      <c r="W1236" s="138">
        <v>26.5</v>
      </c>
      <c r="X1236" s="138">
        <v>2.5</v>
      </c>
      <c r="Y1236" s="138">
        <v>40</v>
      </c>
      <c r="Z1236" s="138"/>
      <c r="AA1236" s="6"/>
      <c r="AB1236" s="300"/>
      <c r="AC1236" s="138"/>
      <c r="AD1236" s="138"/>
      <c r="AE1236" s="138"/>
      <c r="AF1236" s="138"/>
      <c r="AG1236" s="63"/>
      <c r="AH1236" s="70">
        <v>509.91394825749302</v>
      </c>
      <c r="AI1236" s="121"/>
      <c r="AJ1236" s="121">
        <v>10.9</v>
      </c>
      <c r="AK1236" s="121">
        <v>1.72</v>
      </c>
      <c r="AL1236" s="121">
        <f>229.6/273.9</f>
        <v>0.83826213946695882</v>
      </c>
      <c r="AM1236" s="138"/>
      <c r="AN1236" s="24">
        <f t="shared" si="243"/>
        <v>0</v>
      </c>
      <c r="AO1236" s="353">
        <f t="shared" si="251"/>
        <v>0</v>
      </c>
      <c r="AP1236" s="36">
        <f t="shared" si="252"/>
        <v>0</v>
      </c>
      <c r="AQ1236" s="316"/>
      <c r="AR1236" s="258"/>
      <c r="AS1236" s="138"/>
      <c r="AT1236" s="138"/>
    </row>
    <row r="1237" spans="1:46" ht="12">
      <c r="A1237" s="83" t="s">
        <v>1602</v>
      </c>
      <c r="B1237" s="83" t="str">
        <f t="shared" si="244"/>
        <v>SiO2</v>
      </c>
      <c r="C1237" s="329">
        <f t="shared" si="245"/>
        <v>0</v>
      </c>
      <c r="D1237" s="168">
        <f t="shared" si="246"/>
        <v>507.59453561671302</v>
      </c>
      <c r="E1237" s="139">
        <f t="shared" si="247"/>
        <v>11</v>
      </c>
      <c r="F1237" s="139">
        <f t="shared" si="248"/>
        <v>1.72</v>
      </c>
      <c r="G1237" s="168">
        <f t="shared" si="249"/>
        <v>0</v>
      </c>
      <c r="H1237" s="150">
        <f t="shared" si="253"/>
        <v>0.83137829912023464</v>
      </c>
      <c r="I1237" s="168">
        <f t="shared" si="250"/>
        <v>0</v>
      </c>
      <c r="J1237" s="138"/>
      <c r="K1237" s="138"/>
      <c r="L1237" s="138"/>
      <c r="M1237" s="316"/>
      <c r="N1237" s="135">
        <v>41689</v>
      </c>
      <c r="O1237" s="138">
        <v>425</v>
      </c>
      <c r="P1237" s="138" t="s">
        <v>1182</v>
      </c>
      <c r="Q1237" s="138" t="s">
        <v>1565</v>
      </c>
      <c r="R1237" s="138">
        <v>6</v>
      </c>
      <c r="S1237" s="138">
        <v>800</v>
      </c>
      <c r="T1237" s="138">
        <v>75</v>
      </c>
      <c r="U1237" s="138">
        <v>400</v>
      </c>
      <c r="V1237" s="138">
        <v>8</v>
      </c>
      <c r="W1237" s="138">
        <v>26.5</v>
      </c>
      <c r="X1237" s="138">
        <v>2.5</v>
      </c>
      <c r="Y1237" s="138">
        <v>40</v>
      </c>
      <c r="Z1237" s="138"/>
      <c r="AA1237" s="6"/>
      <c r="AB1237" s="300"/>
      <c r="AC1237" s="138"/>
      <c r="AD1237" s="138"/>
      <c r="AE1237" s="138"/>
      <c r="AF1237" s="138"/>
      <c r="AG1237" s="63"/>
      <c r="AH1237" s="70">
        <v>507.59453561671302</v>
      </c>
      <c r="AI1237" s="121"/>
      <c r="AJ1237" s="121">
        <v>11</v>
      </c>
      <c r="AK1237" s="121">
        <v>1.72</v>
      </c>
      <c r="AL1237" s="121">
        <f>226.8/272.8</f>
        <v>0.83137829912023464</v>
      </c>
      <c r="AM1237" s="138"/>
      <c r="AN1237" s="24">
        <f t="shared" si="243"/>
        <v>0</v>
      </c>
      <c r="AO1237" s="353">
        <f t="shared" si="251"/>
        <v>0</v>
      </c>
      <c r="AP1237" s="36">
        <f t="shared" si="252"/>
        <v>0</v>
      </c>
      <c r="AQ1237" s="316"/>
      <c r="AR1237" s="258"/>
      <c r="AS1237" s="138"/>
      <c r="AT1237" s="138"/>
    </row>
    <row r="1238" spans="1:46" ht="12">
      <c r="A1238" s="256" t="s">
        <v>1603</v>
      </c>
      <c r="B1238" s="256" t="str">
        <f t="shared" si="244"/>
        <v>Al2O3</v>
      </c>
      <c r="C1238" s="32">
        <f t="shared" si="245"/>
        <v>0</v>
      </c>
      <c r="D1238" s="279">
        <f t="shared" si="246"/>
        <v>429.80500397211301</v>
      </c>
      <c r="E1238" s="78">
        <f t="shared" si="247"/>
        <v>0</v>
      </c>
      <c r="F1238" s="78">
        <f t="shared" si="248"/>
        <v>0</v>
      </c>
      <c r="G1238" s="279">
        <f t="shared" si="249"/>
        <v>0</v>
      </c>
      <c r="H1238" s="190">
        <f t="shared" si="253"/>
        <v>0</v>
      </c>
      <c r="I1238" s="279">
        <f t="shared" si="250"/>
        <v>0</v>
      </c>
      <c r="J1238" s="67"/>
      <c r="K1238" s="67"/>
      <c r="L1238" s="67"/>
      <c r="M1238" s="371"/>
      <c r="N1238" s="309">
        <v>41689</v>
      </c>
      <c r="O1238" s="67">
        <v>426</v>
      </c>
      <c r="P1238" s="67" t="s">
        <v>622</v>
      </c>
      <c r="Q1238" s="67"/>
      <c r="R1238" s="67">
        <v>1</v>
      </c>
      <c r="S1238" s="67">
        <v>800</v>
      </c>
      <c r="T1238" s="67">
        <v>75</v>
      </c>
      <c r="U1238" s="67">
        <v>400</v>
      </c>
      <c r="V1238" s="67">
        <v>8</v>
      </c>
      <c r="W1238" s="67">
        <v>26.5</v>
      </c>
      <c r="X1238" s="67">
        <v>2.5</v>
      </c>
      <c r="Y1238" s="67">
        <v>40</v>
      </c>
      <c r="Z1238" s="67"/>
      <c r="AA1238" s="159"/>
      <c r="AB1238" s="182"/>
      <c r="AC1238" s="67"/>
      <c r="AD1238" s="67"/>
      <c r="AE1238" s="67"/>
      <c r="AF1238" s="67"/>
      <c r="AG1238" s="315"/>
      <c r="AH1238" s="66">
        <v>429.80500397211301</v>
      </c>
      <c r="AI1238" s="216"/>
      <c r="AJ1238" s="216"/>
      <c r="AK1238" s="216"/>
      <c r="AL1238" s="216"/>
      <c r="AM1238" s="67"/>
      <c r="AN1238" s="24">
        <f t="shared" si="243"/>
        <v>0</v>
      </c>
      <c r="AO1238" s="353">
        <f t="shared" si="251"/>
        <v>0</v>
      </c>
      <c r="AP1238" s="36">
        <f t="shared" si="252"/>
        <v>0</v>
      </c>
      <c r="AQ1238" s="371"/>
      <c r="AR1238" s="41"/>
      <c r="AS1238" s="67"/>
      <c r="AT1238" s="67"/>
    </row>
    <row r="1239" spans="1:46" ht="12">
      <c r="A1239" s="83" t="s">
        <v>1604</v>
      </c>
      <c r="B1239" s="83" t="str">
        <f t="shared" si="244"/>
        <v>SiO2</v>
      </c>
      <c r="C1239" s="329">
        <f t="shared" si="245"/>
        <v>0</v>
      </c>
      <c r="D1239" s="168">
        <f t="shared" si="246"/>
        <v>542.20730887142099</v>
      </c>
      <c r="E1239" s="139">
        <f t="shared" si="247"/>
        <v>10.84</v>
      </c>
      <c r="F1239" s="139">
        <f t="shared" si="248"/>
        <v>1.74</v>
      </c>
      <c r="G1239" s="168">
        <f t="shared" si="249"/>
        <v>0</v>
      </c>
      <c r="H1239" s="150">
        <f t="shared" si="253"/>
        <v>0.82754957507082161</v>
      </c>
      <c r="I1239" s="168">
        <f t="shared" si="250"/>
        <v>0</v>
      </c>
      <c r="J1239" s="138"/>
      <c r="K1239" s="138" t="s">
        <v>1605</v>
      </c>
      <c r="L1239" s="138"/>
      <c r="M1239" s="316"/>
      <c r="N1239" s="135">
        <v>41689</v>
      </c>
      <c r="O1239" s="138">
        <v>425</v>
      </c>
      <c r="P1239" s="138" t="s">
        <v>1182</v>
      </c>
      <c r="Q1239" s="138" t="s">
        <v>1565</v>
      </c>
      <c r="R1239" s="138">
        <v>3</v>
      </c>
      <c r="S1239" s="138">
        <v>800</v>
      </c>
      <c r="T1239" s="138">
        <v>75</v>
      </c>
      <c r="U1239" s="138">
        <v>400</v>
      </c>
      <c r="V1239" s="138">
        <v>8</v>
      </c>
      <c r="W1239" s="138">
        <v>26.5</v>
      </c>
      <c r="X1239" s="138">
        <v>2.5</v>
      </c>
      <c r="Y1239" s="138">
        <v>40</v>
      </c>
      <c r="Z1239" s="138"/>
      <c r="AA1239" s="6"/>
      <c r="AB1239" s="300"/>
      <c r="AC1239" s="138"/>
      <c r="AD1239" s="138"/>
      <c r="AE1239" s="138"/>
      <c r="AF1239" s="138"/>
      <c r="AG1239" s="63"/>
      <c r="AH1239" s="70">
        <v>542.20730887142099</v>
      </c>
      <c r="AI1239" s="121"/>
      <c r="AJ1239" s="121">
        <v>10.84</v>
      </c>
      <c r="AK1239" s="121">
        <v>1.74</v>
      </c>
      <c r="AL1239" s="121">
        <f>233.7/282.4</f>
        <v>0.82754957507082161</v>
      </c>
      <c r="AM1239" s="138"/>
      <c r="AN1239" s="24">
        <f t="shared" si="243"/>
        <v>0</v>
      </c>
      <c r="AO1239" s="353">
        <f t="shared" si="251"/>
        <v>0</v>
      </c>
      <c r="AP1239" s="36">
        <f t="shared" si="252"/>
        <v>0</v>
      </c>
      <c r="AQ1239" s="316"/>
      <c r="AR1239" s="258"/>
      <c r="AS1239" s="138"/>
      <c r="AT1239" s="138"/>
    </row>
    <row r="1240" spans="1:46" ht="12">
      <c r="A1240" s="83" t="s">
        <v>1606</v>
      </c>
      <c r="B1240" s="83" t="str">
        <f t="shared" si="244"/>
        <v>SiO2</v>
      </c>
      <c r="C1240" s="329">
        <f t="shared" si="245"/>
        <v>0</v>
      </c>
      <c r="D1240" s="168">
        <f t="shared" si="246"/>
        <v>543.45622337030204</v>
      </c>
      <c r="E1240" s="139">
        <f t="shared" si="247"/>
        <v>10.89</v>
      </c>
      <c r="F1240" s="139">
        <f t="shared" si="248"/>
        <v>1.77</v>
      </c>
      <c r="G1240" s="168">
        <f t="shared" si="249"/>
        <v>0</v>
      </c>
      <c r="H1240" s="150">
        <f t="shared" si="253"/>
        <v>0.82375478927203061</v>
      </c>
      <c r="I1240" s="168">
        <f t="shared" si="250"/>
        <v>0</v>
      </c>
      <c r="J1240" s="138"/>
      <c r="K1240" s="138" t="s">
        <v>1607</v>
      </c>
      <c r="L1240" s="138"/>
      <c r="M1240" s="316"/>
      <c r="N1240" s="135">
        <v>41689</v>
      </c>
      <c r="O1240" s="138">
        <v>426</v>
      </c>
      <c r="P1240" s="138" t="s">
        <v>1182</v>
      </c>
      <c r="Q1240" s="138" t="s">
        <v>1565</v>
      </c>
      <c r="R1240" s="138">
        <v>6</v>
      </c>
      <c r="S1240" s="138">
        <v>800</v>
      </c>
      <c r="T1240" s="138">
        <v>75</v>
      </c>
      <c r="U1240" s="138">
        <v>400</v>
      </c>
      <c r="V1240" s="138">
        <v>8</v>
      </c>
      <c r="W1240" s="138">
        <v>26.5</v>
      </c>
      <c r="X1240" s="138">
        <v>2.5</v>
      </c>
      <c r="Y1240" s="138">
        <v>40</v>
      </c>
      <c r="Z1240" s="138"/>
      <c r="AA1240" s="6"/>
      <c r="AB1240" s="300"/>
      <c r="AC1240" s="138"/>
      <c r="AD1240" s="138"/>
      <c r="AE1240" s="138"/>
      <c r="AF1240" s="138"/>
      <c r="AG1240" s="63"/>
      <c r="AH1240" s="70">
        <v>543.45622337030204</v>
      </c>
      <c r="AI1240" s="121"/>
      <c r="AJ1240" s="121">
        <v>10.89</v>
      </c>
      <c r="AK1240" s="121">
        <v>1.77</v>
      </c>
      <c r="AL1240" s="121">
        <f>236.5/287.1</f>
        <v>0.82375478927203061</v>
      </c>
      <c r="AM1240" s="138"/>
      <c r="AN1240" s="24">
        <f t="shared" si="243"/>
        <v>0</v>
      </c>
      <c r="AO1240" s="353">
        <f t="shared" si="251"/>
        <v>0</v>
      </c>
      <c r="AP1240" s="36">
        <f t="shared" si="252"/>
        <v>0</v>
      </c>
      <c r="AQ1240" s="316"/>
      <c r="AR1240" s="258"/>
      <c r="AS1240" s="138"/>
      <c r="AT1240" s="138"/>
    </row>
    <row r="1241" spans="1:46" ht="12">
      <c r="A1241" s="256" t="s">
        <v>1608</v>
      </c>
      <c r="B1241" s="256" t="str">
        <f t="shared" si="244"/>
        <v>Al2O3</v>
      </c>
      <c r="C1241" s="32">
        <f t="shared" si="245"/>
        <v>0</v>
      </c>
      <c r="D1241" s="279">
        <f t="shared" si="246"/>
        <v>474.40909321787001</v>
      </c>
      <c r="E1241" s="78">
        <f t="shared" si="247"/>
        <v>0</v>
      </c>
      <c r="F1241" s="78">
        <f t="shared" si="248"/>
        <v>0</v>
      </c>
      <c r="G1241" s="279">
        <f t="shared" si="249"/>
        <v>0</v>
      </c>
      <c r="H1241" s="190">
        <f t="shared" si="253"/>
        <v>0</v>
      </c>
      <c r="I1241" s="279">
        <f t="shared" si="250"/>
        <v>0</v>
      </c>
      <c r="J1241" s="67"/>
      <c r="K1241" s="67" t="s">
        <v>1609</v>
      </c>
      <c r="L1241" s="67"/>
      <c r="M1241" s="371"/>
      <c r="N1241" s="309">
        <v>41690</v>
      </c>
      <c r="O1241" s="67">
        <v>427</v>
      </c>
      <c r="P1241" s="67" t="s">
        <v>622</v>
      </c>
      <c r="Q1241" s="67"/>
      <c r="R1241" s="67">
        <v>1</v>
      </c>
      <c r="S1241" s="67">
        <v>800</v>
      </c>
      <c r="T1241" s="67">
        <v>75</v>
      </c>
      <c r="U1241" s="67">
        <v>400</v>
      </c>
      <c r="V1241" s="67">
        <v>8</v>
      </c>
      <c r="W1241" s="67">
        <v>26.5</v>
      </c>
      <c r="X1241" s="67">
        <v>2.5</v>
      </c>
      <c r="Y1241" s="67">
        <v>40</v>
      </c>
      <c r="Z1241" s="67"/>
      <c r="AA1241" s="159"/>
      <c r="AB1241" s="182"/>
      <c r="AC1241" s="67"/>
      <c r="AD1241" s="67"/>
      <c r="AE1241" s="67"/>
      <c r="AF1241" s="67"/>
      <c r="AG1241" s="315"/>
      <c r="AH1241" s="66">
        <v>474.40909321787001</v>
      </c>
      <c r="AI1241" s="216"/>
      <c r="AJ1241" s="216"/>
      <c r="AK1241" s="216"/>
      <c r="AL1241" s="216"/>
      <c r="AM1241" s="67"/>
      <c r="AN1241" s="24">
        <f t="shared" si="243"/>
        <v>0</v>
      </c>
      <c r="AO1241" s="389">
        <f t="shared" si="251"/>
        <v>0</v>
      </c>
      <c r="AP1241" s="187">
        <f t="shared" si="252"/>
        <v>0</v>
      </c>
      <c r="AQ1241" s="371"/>
      <c r="AR1241" s="41"/>
      <c r="AS1241" s="67"/>
      <c r="AT1241" s="67"/>
    </row>
    <row r="1242" spans="1:46" ht="12">
      <c r="A1242" s="83" t="s">
        <v>1610</v>
      </c>
      <c r="B1242" s="83" t="str">
        <f t="shared" si="244"/>
        <v>SiO2</v>
      </c>
      <c r="C1242" s="329">
        <f t="shared" si="245"/>
        <v>0</v>
      </c>
      <c r="D1242" s="168">
        <f t="shared" si="246"/>
        <v>549.16554679375804</v>
      </c>
      <c r="E1242" s="139">
        <f t="shared" si="247"/>
        <v>10.93</v>
      </c>
      <c r="F1242" s="139">
        <f t="shared" si="248"/>
        <v>1.8</v>
      </c>
      <c r="G1242" s="168">
        <f t="shared" si="249"/>
        <v>0</v>
      </c>
      <c r="H1242" s="150">
        <f t="shared" si="253"/>
        <v>0.82595573440643866</v>
      </c>
      <c r="I1242" s="168">
        <f t="shared" si="250"/>
        <v>0</v>
      </c>
      <c r="J1242" s="138"/>
      <c r="K1242" s="359" t="s">
        <v>1611</v>
      </c>
      <c r="L1242" s="138"/>
      <c r="M1242" s="316"/>
      <c r="N1242" s="135">
        <v>41690</v>
      </c>
      <c r="O1242" s="138">
        <v>427</v>
      </c>
      <c r="P1242" s="138" t="s">
        <v>1182</v>
      </c>
      <c r="Q1242" s="138" t="s">
        <v>1565</v>
      </c>
      <c r="R1242" s="138">
        <v>3</v>
      </c>
      <c r="S1242" s="138">
        <v>800</v>
      </c>
      <c r="T1242" s="138">
        <v>75</v>
      </c>
      <c r="U1242" s="138">
        <v>400</v>
      </c>
      <c r="V1242" s="138">
        <v>8</v>
      </c>
      <c r="W1242" s="138">
        <v>26.5</v>
      </c>
      <c r="X1242" s="138">
        <v>2.5</v>
      </c>
      <c r="Y1242" s="138">
        <v>40</v>
      </c>
      <c r="Z1242" s="138"/>
      <c r="AA1242" s="6"/>
      <c r="AB1242" s="300"/>
      <c r="AC1242" s="138"/>
      <c r="AD1242" s="138"/>
      <c r="AE1242" s="138"/>
      <c r="AF1242" s="138"/>
      <c r="AG1242" s="63"/>
      <c r="AH1242" s="70">
        <v>549.16554679375804</v>
      </c>
      <c r="AI1242" s="121"/>
      <c r="AJ1242" s="121">
        <v>10.93</v>
      </c>
      <c r="AK1242" s="121">
        <v>1.8</v>
      </c>
      <c r="AL1242" s="121">
        <f>246.3/298.2</f>
        <v>0.82595573440643866</v>
      </c>
      <c r="AM1242" s="138"/>
      <c r="AN1242" s="24">
        <f t="shared" si="243"/>
        <v>0</v>
      </c>
      <c r="AO1242" s="353">
        <f t="shared" si="251"/>
        <v>0</v>
      </c>
      <c r="AP1242" s="36">
        <f t="shared" si="252"/>
        <v>0</v>
      </c>
      <c r="AQ1242" s="316"/>
      <c r="AR1242" s="258"/>
      <c r="AS1242" s="138"/>
      <c r="AT1242" s="138"/>
    </row>
    <row r="1243" spans="1:46" ht="12">
      <c r="A1243" s="83" t="s">
        <v>1612</v>
      </c>
      <c r="B1243" s="83" t="str">
        <f t="shared" si="244"/>
        <v>SiO2</v>
      </c>
      <c r="C1243" s="329">
        <f t="shared" si="245"/>
        <v>0</v>
      </c>
      <c r="D1243" s="168">
        <f t="shared" si="246"/>
        <v>552.19862486246996</v>
      </c>
      <c r="E1243" s="139">
        <f t="shared" si="247"/>
        <v>11.02</v>
      </c>
      <c r="F1243" s="139">
        <f t="shared" si="248"/>
        <v>1.8</v>
      </c>
      <c r="G1243" s="168">
        <f t="shared" si="249"/>
        <v>0</v>
      </c>
      <c r="H1243" s="150">
        <f t="shared" si="253"/>
        <v>0.829494671708491</v>
      </c>
      <c r="I1243" s="168">
        <f t="shared" si="250"/>
        <v>0</v>
      </c>
      <c r="J1243" s="138"/>
      <c r="K1243" s="359" t="s">
        <v>1613</v>
      </c>
      <c r="L1243" s="138"/>
      <c r="M1243" s="316"/>
      <c r="N1243" s="135">
        <v>41690</v>
      </c>
      <c r="O1243" s="138">
        <v>427</v>
      </c>
      <c r="P1243" s="138" t="s">
        <v>1182</v>
      </c>
      <c r="Q1243" s="138" t="s">
        <v>1565</v>
      </c>
      <c r="R1243" s="138">
        <v>6</v>
      </c>
      <c r="S1243" s="138">
        <v>800</v>
      </c>
      <c r="T1243" s="138">
        <v>75</v>
      </c>
      <c r="U1243" s="138">
        <v>400</v>
      </c>
      <c r="V1243" s="138">
        <v>8</v>
      </c>
      <c r="W1243" s="138">
        <v>26.5</v>
      </c>
      <c r="X1243" s="138">
        <v>2.5</v>
      </c>
      <c r="Y1243" s="138">
        <v>40</v>
      </c>
      <c r="Z1243" s="138"/>
      <c r="AA1243" s="6"/>
      <c r="AB1243" s="300"/>
      <c r="AC1243" s="138"/>
      <c r="AD1243" s="138"/>
      <c r="AE1243" s="138"/>
      <c r="AF1243" s="138"/>
      <c r="AG1243" s="63"/>
      <c r="AH1243" s="70">
        <v>552.19862486246996</v>
      </c>
      <c r="AI1243" s="121"/>
      <c r="AJ1243" s="121">
        <v>11.02</v>
      </c>
      <c r="AK1243" s="121">
        <v>1.8</v>
      </c>
      <c r="AL1243" s="121">
        <f>241.3/290.9</f>
        <v>0.829494671708491</v>
      </c>
      <c r="AM1243" s="138"/>
      <c r="AN1243" s="24">
        <f t="shared" si="243"/>
        <v>0</v>
      </c>
      <c r="AO1243" s="353">
        <f t="shared" si="251"/>
        <v>0</v>
      </c>
      <c r="AP1243" s="36">
        <f t="shared" si="252"/>
        <v>0</v>
      </c>
      <c r="AQ1243" s="316"/>
      <c r="AR1243" s="258"/>
      <c r="AS1243" s="138"/>
      <c r="AT1243" s="138"/>
    </row>
    <row r="1244" spans="1:46" ht="12">
      <c r="A1244" s="354" t="s">
        <v>1614</v>
      </c>
      <c r="B1244" s="354">
        <f t="shared" si="244"/>
        <v>0</v>
      </c>
      <c r="C1244" s="386">
        <f t="shared" si="245"/>
        <v>0</v>
      </c>
      <c r="D1244" s="98">
        <f t="shared" si="246"/>
        <v>0</v>
      </c>
      <c r="E1244" s="235">
        <f t="shared" si="247"/>
        <v>0</v>
      </c>
      <c r="F1244" s="235">
        <f t="shared" si="248"/>
        <v>0</v>
      </c>
      <c r="G1244" s="98">
        <f t="shared" si="249"/>
        <v>0</v>
      </c>
      <c r="H1244" s="79">
        <f t="shared" si="253"/>
        <v>0</v>
      </c>
      <c r="I1244" s="98">
        <f t="shared" si="250"/>
        <v>0</v>
      </c>
      <c r="J1244" s="180"/>
      <c r="K1244" s="180"/>
      <c r="L1244" s="180"/>
      <c r="M1244" s="214"/>
      <c r="N1244" s="125"/>
      <c r="O1244" s="180"/>
      <c r="P1244" s="180"/>
      <c r="Q1244" s="180"/>
      <c r="R1244" s="180"/>
      <c r="S1244" s="180"/>
      <c r="T1244" s="180"/>
      <c r="U1244" s="180"/>
      <c r="V1244" s="180"/>
      <c r="W1244" s="180"/>
      <c r="X1244" s="180"/>
      <c r="Y1244" s="180"/>
      <c r="Z1244" s="180"/>
      <c r="AA1244" s="334"/>
      <c r="AB1244" s="308"/>
      <c r="AC1244" s="180"/>
      <c r="AD1244" s="180"/>
      <c r="AE1244" s="180"/>
      <c r="AF1244" s="180"/>
      <c r="AG1244" s="391"/>
      <c r="AH1244" s="402"/>
      <c r="AI1244" s="147"/>
      <c r="AJ1244" s="147"/>
      <c r="AK1244" s="147"/>
      <c r="AL1244" s="147"/>
      <c r="AM1244" s="180"/>
      <c r="AN1244" s="24">
        <f t="shared" si="243"/>
        <v>0</v>
      </c>
      <c r="AO1244" s="118">
        <f t="shared" si="251"/>
        <v>0</v>
      </c>
      <c r="AP1244" s="197" t="e">
        <f t="shared" si="252"/>
        <v>#DIV/0!</v>
      </c>
      <c r="AQ1244" s="214"/>
      <c r="AR1244" s="125"/>
      <c r="AS1244" s="180"/>
      <c r="AT1244" s="180"/>
    </row>
    <row r="1245" spans="1:46" ht="12">
      <c r="A1245" s="256" t="s">
        <v>1615</v>
      </c>
      <c r="B1245" s="256" t="str">
        <f t="shared" si="244"/>
        <v>MgO</v>
      </c>
      <c r="C1245" s="32">
        <f t="shared" si="245"/>
        <v>0</v>
      </c>
      <c r="D1245" s="279">
        <f t="shared" si="246"/>
        <v>0</v>
      </c>
      <c r="E1245" s="78">
        <f t="shared" si="247"/>
        <v>0</v>
      </c>
      <c r="F1245" s="78">
        <f t="shared" si="248"/>
        <v>0</v>
      </c>
      <c r="G1245" s="279">
        <f t="shared" si="249"/>
        <v>0</v>
      </c>
      <c r="H1245" s="190">
        <f t="shared" si="253"/>
        <v>0</v>
      </c>
      <c r="I1245" s="279">
        <f t="shared" si="250"/>
        <v>0</v>
      </c>
      <c r="J1245" s="67"/>
      <c r="K1245" s="67" t="s">
        <v>1609</v>
      </c>
      <c r="L1245" s="67"/>
      <c r="M1245" s="371"/>
      <c r="N1245" s="309">
        <v>41717</v>
      </c>
      <c r="O1245" s="67">
        <v>442</v>
      </c>
      <c r="P1245" s="67" t="s">
        <v>46</v>
      </c>
      <c r="Q1245" s="67"/>
      <c r="R1245" s="67">
        <v>1</v>
      </c>
      <c r="S1245" s="67">
        <v>800</v>
      </c>
      <c r="T1245" s="67">
        <v>84</v>
      </c>
      <c r="U1245" s="67">
        <v>400</v>
      </c>
      <c r="V1245" s="67">
        <v>8</v>
      </c>
      <c r="W1245" s="67">
        <v>26.5</v>
      </c>
      <c r="X1245" s="67">
        <v>2.5</v>
      </c>
      <c r="Y1245" s="67">
        <v>40</v>
      </c>
      <c r="Z1245" s="67"/>
      <c r="AA1245" s="159"/>
      <c r="AB1245" s="182"/>
      <c r="AC1245" s="67"/>
      <c r="AD1245" s="67"/>
      <c r="AE1245" s="67"/>
      <c r="AF1245" s="67"/>
      <c r="AG1245" s="315"/>
      <c r="AH1245" s="66"/>
      <c r="AI1245" s="216"/>
      <c r="AJ1245" s="216"/>
      <c r="AK1245" s="216"/>
      <c r="AL1245" s="216"/>
      <c r="AM1245" s="67"/>
      <c r="AN1245" s="24">
        <f t="shared" si="243"/>
        <v>0</v>
      </c>
      <c r="AO1245" s="118">
        <f t="shared" si="251"/>
        <v>0</v>
      </c>
      <c r="AP1245" s="187"/>
      <c r="AQ1245" s="371"/>
      <c r="AR1245" s="41"/>
      <c r="AS1245" s="67"/>
      <c r="AT1245" s="67"/>
    </row>
    <row r="1246" spans="1:46" ht="12">
      <c r="A1246" s="83" t="s">
        <v>1616</v>
      </c>
      <c r="B1246" s="83" t="str">
        <f t="shared" si="244"/>
        <v>SiO2</v>
      </c>
      <c r="C1246" s="329">
        <f t="shared" si="245"/>
        <v>0</v>
      </c>
      <c r="D1246" s="168">
        <f t="shared" si="246"/>
        <v>0</v>
      </c>
      <c r="E1246" s="139">
        <f t="shared" si="247"/>
        <v>0</v>
      </c>
      <c r="F1246" s="139">
        <f t="shared" si="248"/>
        <v>0</v>
      </c>
      <c r="G1246" s="168">
        <f t="shared" si="249"/>
        <v>0</v>
      </c>
      <c r="H1246" s="150">
        <f t="shared" si="253"/>
        <v>0</v>
      </c>
      <c r="I1246" s="168">
        <f t="shared" si="250"/>
        <v>0</v>
      </c>
      <c r="J1246" s="138"/>
      <c r="K1246" s="359" t="s">
        <v>1609</v>
      </c>
      <c r="L1246" s="138"/>
      <c r="M1246" s="316"/>
      <c r="N1246" s="135">
        <v>41717</v>
      </c>
      <c r="O1246" s="138">
        <v>442</v>
      </c>
      <c r="P1246" s="138" t="s">
        <v>1182</v>
      </c>
      <c r="Q1246" s="138" t="s">
        <v>1565</v>
      </c>
      <c r="R1246" s="138">
        <v>3</v>
      </c>
      <c r="S1246" s="138">
        <v>800</v>
      </c>
      <c r="T1246" s="138">
        <v>84</v>
      </c>
      <c r="U1246" s="138">
        <v>400</v>
      </c>
      <c r="V1246" s="138">
        <v>8</v>
      </c>
      <c r="W1246" s="138">
        <v>26.5</v>
      </c>
      <c r="X1246" s="138">
        <v>2.5</v>
      </c>
      <c r="Y1246" s="138">
        <v>40</v>
      </c>
      <c r="Z1246" s="138"/>
      <c r="AA1246" s="6"/>
      <c r="AB1246" s="300"/>
      <c r="AC1246" s="138"/>
      <c r="AD1246" s="138"/>
      <c r="AE1246" s="138"/>
      <c r="AF1246" s="138"/>
      <c r="AG1246" s="63"/>
      <c r="AH1246" s="70"/>
      <c r="AI1246" s="121"/>
      <c r="AJ1246" s="121"/>
      <c r="AK1246" s="121"/>
      <c r="AL1246" s="121"/>
      <c r="AM1246" s="138"/>
      <c r="AN1246" s="24">
        <f t="shared" si="243"/>
        <v>0</v>
      </c>
      <c r="AO1246" s="118">
        <f t="shared" si="251"/>
        <v>0</v>
      </c>
      <c r="AP1246" s="36"/>
      <c r="AQ1246" s="316"/>
      <c r="AR1246" s="258"/>
      <c r="AS1246" s="138"/>
      <c r="AT1246" s="138"/>
    </row>
    <row r="1247" spans="1:46" ht="12">
      <c r="A1247" s="83" t="s">
        <v>1617</v>
      </c>
      <c r="B1247" s="83" t="str">
        <f t="shared" si="244"/>
        <v>SiO2</v>
      </c>
      <c r="C1247" s="329">
        <f t="shared" si="245"/>
        <v>0</v>
      </c>
      <c r="D1247" s="168">
        <f t="shared" si="246"/>
        <v>0</v>
      </c>
      <c r="E1247" s="139">
        <f t="shared" si="247"/>
        <v>0</v>
      </c>
      <c r="F1247" s="139">
        <f t="shared" si="248"/>
        <v>0</v>
      </c>
      <c r="G1247" s="168">
        <f t="shared" si="249"/>
        <v>0</v>
      </c>
      <c r="H1247" s="150">
        <f t="shared" si="253"/>
        <v>0</v>
      </c>
      <c r="I1247" s="168">
        <f t="shared" si="250"/>
        <v>0</v>
      </c>
      <c r="J1247" s="138"/>
      <c r="K1247" s="359" t="s">
        <v>1609</v>
      </c>
      <c r="L1247" s="138"/>
      <c r="M1247" s="316"/>
      <c r="N1247" s="135">
        <v>41717</v>
      </c>
      <c r="O1247" s="138">
        <v>442</v>
      </c>
      <c r="P1247" s="138" t="s">
        <v>1182</v>
      </c>
      <c r="Q1247" s="138" t="s">
        <v>1565</v>
      </c>
      <c r="R1247" s="138">
        <v>6</v>
      </c>
      <c r="S1247" s="138">
        <v>800</v>
      </c>
      <c r="T1247" s="138">
        <v>84</v>
      </c>
      <c r="U1247" s="138">
        <v>400</v>
      </c>
      <c r="V1247" s="138">
        <v>8</v>
      </c>
      <c r="W1247" s="138">
        <v>26.5</v>
      </c>
      <c r="X1247" s="138">
        <v>2.5</v>
      </c>
      <c r="Y1247" s="138">
        <v>40</v>
      </c>
      <c r="Z1247" s="138"/>
      <c r="AA1247" s="6"/>
      <c r="AB1247" s="300"/>
      <c r="AC1247" s="138"/>
      <c r="AD1247" s="138"/>
      <c r="AE1247" s="138"/>
      <c r="AF1247" s="138"/>
      <c r="AG1247" s="63"/>
      <c r="AH1247" s="70"/>
      <c r="AI1247" s="121"/>
      <c r="AJ1247" s="121"/>
      <c r="AK1247" s="121"/>
      <c r="AL1247" s="121"/>
      <c r="AM1247" s="138"/>
      <c r="AN1247" s="24">
        <f t="shared" si="243"/>
        <v>0</v>
      </c>
      <c r="AO1247" s="118">
        <f t="shared" si="251"/>
        <v>0</v>
      </c>
      <c r="AP1247" s="36"/>
      <c r="AQ1247" s="316"/>
      <c r="AR1247" s="258"/>
      <c r="AS1247" s="138"/>
      <c r="AT1247" s="138"/>
    </row>
    <row r="1248" spans="1:46" ht="12">
      <c r="A1248" s="354" t="s">
        <v>1618</v>
      </c>
      <c r="B1248" s="354">
        <f t="shared" si="244"/>
        <v>0</v>
      </c>
      <c r="C1248" s="386">
        <f t="shared" si="245"/>
        <v>0</v>
      </c>
      <c r="D1248" s="98">
        <f t="shared" si="246"/>
        <v>0</v>
      </c>
      <c r="E1248" s="235">
        <f t="shared" si="247"/>
        <v>0</v>
      </c>
      <c r="F1248" s="235">
        <f t="shared" si="248"/>
        <v>0</v>
      </c>
      <c r="G1248" s="98">
        <f t="shared" si="249"/>
        <v>0</v>
      </c>
      <c r="H1248" s="79">
        <f t="shared" si="253"/>
        <v>0</v>
      </c>
      <c r="I1248" s="98">
        <f t="shared" si="250"/>
        <v>0</v>
      </c>
      <c r="J1248" s="180"/>
      <c r="K1248" s="180"/>
      <c r="L1248" s="180"/>
      <c r="M1248" s="214"/>
      <c r="N1248" s="125"/>
      <c r="O1248" s="180"/>
      <c r="P1248" s="180"/>
      <c r="Q1248" s="180"/>
      <c r="R1248" s="180"/>
      <c r="S1248" s="180"/>
      <c r="T1248" s="180"/>
      <c r="U1248" s="180"/>
      <c r="V1248" s="180"/>
      <c r="W1248" s="180"/>
      <c r="X1248" s="180"/>
      <c r="Y1248" s="180"/>
      <c r="Z1248" s="180"/>
      <c r="AA1248" s="334"/>
      <c r="AB1248" s="308"/>
      <c r="AC1248" s="180"/>
      <c r="AD1248" s="180"/>
      <c r="AE1248" s="180"/>
      <c r="AF1248" s="180"/>
      <c r="AG1248" s="391"/>
      <c r="AH1248" s="402"/>
      <c r="AI1248" s="147"/>
      <c r="AJ1248" s="147"/>
      <c r="AK1248" s="147"/>
      <c r="AL1248" s="147"/>
      <c r="AM1248" s="180"/>
      <c r="AN1248" s="24">
        <f t="shared" si="243"/>
        <v>0</v>
      </c>
      <c r="AO1248" s="118">
        <f t="shared" si="251"/>
        <v>0</v>
      </c>
      <c r="AP1248" s="197"/>
      <c r="AQ1248" s="214"/>
      <c r="AR1248" s="125"/>
      <c r="AS1248" s="180"/>
      <c r="AT1248" s="180"/>
    </row>
    <row r="1249" spans="1:46" ht="12">
      <c r="A1249" s="256" t="s">
        <v>1619</v>
      </c>
      <c r="B1249" s="256" t="str">
        <f t="shared" si="244"/>
        <v>MgO</v>
      </c>
      <c r="C1249" s="32">
        <f t="shared" si="245"/>
        <v>4.1500000000000004</v>
      </c>
      <c r="D1249" s="279">
        <f t="shared" si="246"/>
        <v>464.59619358380399</v>
      </c>
      <c r="E1249" s="78">
        <f t="shared" si="247"/>
        <v>9.7200000000000006</v>
      </c>
      <c r="F1249" s="78">
        <f t="shared" si="248"/>
        <v>1.56</v>
      </c>
      <c r="G1249" s="279">
        <f t="shared" si="249"/>
        <v>220.68319195230688</v>
      </c>
      <c r="H1249" s="190">
        <f t="shared" si="253"/>
        <v>0.62443957877176515</v>
      </c>
      <c r="I1249" s="279">
        <f t="shared" si="250"/>
        <v>21450.406257764229</v>
      </c>
      <c r="J1249" s="67"/>
      <c r="K1249" s="359" t="s">
        <v>1620</v>
      </c>
      <c r="L1249" s="67"/>
      <c r="M1249" s="371"/>
      <c r="N1249" s="309">
        <v>41738</v>
      </c>
      <c r="O1249" s="67">
        <v>457</v>
      </c>
      <c r="P1249" s="67" t="s">
        <v>46</v>
      </c>
      <c r="Q1249" s="67"/>
      <c r="R1249" s="67">
        <v>1</v>
      </c>
      <c r="S1249" s="67">
        <v>800</v>
      </c>
      <c r="T1249" s="67">
        <v>84</v>
      </c>
      <c r="U1249" s="67">
        <v>400</v>
      </c>
      <c r="V1249" s="67">
        <v>8</v>
      </c>
      <c r="W1249" s="67">
        <v>26.5</v>
      </c>
      <c r="X1249" s="67">
        <v>2.5</v>
      </c>
      <c r="Y1249" s="67">
        <v>40</v>
      </c>
      <c r="Z1249" s="67"/>
      <c r="AA1249" s="159"/>
      <c r="AB1249" s="182">
        <v>0.19009999999999999</v>
      </c>
      <c r="AC1249" s="67">
        <v>0.58209999999999995</v>
      </c>
      <c r="AD1249" s="67">
        <v>0.2278</v>
      </c>
      <c r="AE1249" s="256" t="s">
        <v>1621</v>
      </c>
      <c r="AF1249" s="67">
        <v>4.1500000000000004</v>
      </c>
      <c r="AG1249" s="315">
        <v>4.75</v>
      </c>
      <c r="AH1249" s="66">
        <v>464.59619358380399</v>
      </c>
      <c r="AI1249" s="216"/>
      <c r="AJ1249" s="216">
        <v>9.7200000000000006</v>
      </c>
      <c r="AK1249" s="216">
        <v>1.56</v>
      </c>
      <c r="AL1249" s="216">
        <f>598.9/959.1</f>
        <v>0.62443957877176515</v>
      </c>
      <c r="AM1249" s="67"/>
      <c r="AN1249" s="24">
        <f t="shared" ref="AN1249:AN1280" si="254">((AH1249*AG1249)/10)</f>
        <v>220.68319195230688</v>
      </c>
      <c r="AO1249" s="118">
        <f t="shared" ref="AO1249:AO1280" si="255">(AG1249*AH1249)*AJ1249</f>
        <v>21450.406257764229</v>
      </c>
      <c r="AP1249" s="187">
        <f t="shared" ref="AP1249:AP1280" si="256">(AG1249/T1249)*60</f>
        <v>3.3928571428571428</v>
      </c>
      <c r="AQ1249" s="371"/>
      <c r="AR1249" s="41"/>
      <c r="AS1249" s="67"/>
      <c r="AT1249" s="67"/>
    </row>
    <row r="1250" spans="1:46" ht="12">
      <c r="A1250" s="83" t="s">
        <v>1622</v>
      </c>
      <c r="B1250" s="83" t="str">
        <f t="shared" si="244"/>
        <v>SiO2</v>
      </c>
      <c r="C1250" s="329">
        <f t="shared" si="245"/>
        <v>0</v>
      </c>
      <c r="D1250" s="168">
        <f t="shared" si="246"/>
        <v>423.38201512072402</v>
      </c>
      <c r="E1250" s="139">
        <f t="shared" si="247"/>
        <v>11.72</v>
      </c>
      <c r="F1250" s="139">
        <f t="shared" si="248"/>
        <v>1.44</v>
      </c>
      <c r="G1250" s="168">
        <f t="shared" si="249"/>
        <v>195.17910897065377</v>
      </c>
      <c r="H1250" s="150">
        <f t="shared" si="253"/>
        <v>0.84751278475127856</v>
      </c>
      <c r="I1250" s="168">
        <f t="shared" si="250"/>
        <v>22874.991571360624</v>
      </c>
      <c r="J1250" s="138"/>
      <c r="K1250" s="138" t="s">
        <v>1309</v>
      </c>
      <c r="L1250" s="138"/>
      <c r="M1250" s="316"/>
      <c r="N1250" s="135">
        <v>41738</v>
      </c>
      <c r="O1250" s="138">
        <v>457</v>
      </c>
      <c r="P1250" s="138" t="s">
        <v>1182</v>
      </c>
      <c r="Q1250" s="138" t="s">
        <v>1565</v>
      </c>
      <c r="R1250" s="138">
        <v>3</v>
      </c>
      <c r="S1250" s="138">
        <v>800</v>
      </c>
      <c r="T1250" s="138">
        <v>84</v>
      </c>
      <c r="U1250" s="138">
        <v>400</v>
      </c>
      <c r="V1250" s="138">
        <v>8</v>
      </c>
      <c r="W1250" s="138">
        <v>26.5</v>
      </c>
      <c r="X1250" s="138">
        <v>2.5</v>
      </c>
      <c r="Y1250" s="138">
        <v>40</v>
      </c>
      <c r="Z1250" s="138"/>
      <c r="AA1250" s="6"/>
      <c r="AB1250" s="300"/>
      <c r="AC1250" s="138"/>
      <c r="AD1250" s="138"/>
      <c r="AE1250" s="138"/>
      <c r="AF1250" s="138"/>
      <c r="AG1250" s="63">
        <v>4.6100000000000003</v>
      </c>
      <c r="AH1250" s="70">
        <v>423.38201512072402</v>
      </c>
      <c r="AI1250" s="121"/>
      <c r="AJ1250" s="121">
        <v>11.72</v>
      </c>
      <c r="AK1250" s="121">
        <v>1.44</v>
      </c>
      <c r="AL1250" s="121">
        <f>(181.4+0.9)/215.1</f>
        <v>0.84751278475127856</v>
      </c>
      <c r="AM1250" s="138"/>
      <c r="AN1250" s="24">
        <f t="shared" si="254"/>
        <v>195.17910897065377</v>
      </c>
      <c r="AO1250" s="118">
        <f t="shared" si="255"/>
        <v>22874.991571360624</v>
      </c>
      <c r="AP1250" s="187">
        <f t="shared" si="256"/>
        <v>3.2928571428571431</v>
      </c>
      <c r="AQ1250" s="316"/>
      <c r="AR1250" s="258"/>
      <c r="AS1250" s="138"/>
      <c r="AT1250" s="138"/>
    </row>
    <row r="1251" spans="1:46" ht="12">
      <c r="A1251" s="83" t="s">
        <v>1623</v>
      </c>
      <c r="B1251" s="83" t="str">
        <f t="shared" si="244"/>
        <v>SiO2</v>
      </c>
      <c r="C1251" s="329">
        <f t="shared" si="245"/>
        <v>0</v>
      </c>
      <c r="D1251" s="168">
        <f t="shared" si="246"/>
        <v>443.54306345980598</v>
      </c>
      <c r="E1251" s="139">
        <f t="shared" si="247"/>
        <v>11.63</v>
      </c>
      <c r="F1251" s="139">
        <f t="shared" si="248"/>
        <v>2.2599999999999998</v>
      </c>
      <c r="G1251" s="168">
        <f t="shared" si="249"/>
        <v>198.26374936653326</v>
      </c>
      <c r="H1251" s="150">
        <f t="shared" si="253"/>
        <v>0.83133047210300426</v>
      </c>
      <c r="I1251" s="168">
        <f t="shared" si="250"/>
        <v>23058.074051327822</v>
      </c>
      <c r="J1251" s="138"/>
      <c r="K1251" s="138" t="s">
        <v>1309</v>
      </c>
      <c r="L1251" s="138"/>
      <c r="M1251" s="316"/>
      <c r="N1251" s="135">
        <v>41738</v>
      </c>
      <c r="O1251" s="138">
        <v>457</v>
      </c>
      <c r="P1251" s="138" t="s">
        <v>1182</v>
      </c>
      <c r="Q1251" s="138" t="s">
        <v>1565</v>
      </c>
      <c r="R1251" s="138">
        <v>6</v>
      </c>
      <c r="S1251" s="138">
        <v>800</v>
      </c>
      <c r="T1251" s="138">
        <v>84</v>
      </c>
      <c r="U1251" s="138">
        <v>400</v>
      </c>
      <c r="V1251" s="138">
        <v>8</v>
      </c>
      <c r="W1251" s="138">
        <v>26.5</v>
      </c>
      <c r="X1251" s="138">
        <v>2.5</v>
      </c>
      <c r="Y1251" s="138">
        <v>40</v>
      </c>
      <c r="Z1251" s="138"/>
      <c r="AA1251" s="6"/>
      <c r="AB1251" s="300"/>
      <c r="AC1251" s="138"/>
      <c r="AD1251" s="138"/>
      <c r="AE1251" s="138"/>
      <c r="AF1251" s="138"/>
      <c r="AG1251" s="63">
        <v>4.47</v>
      </c>
      <c r="AH1251" s="70">
        <v>443.54306345980598</v>
      </c>
      <c r="AI1251" s="121"/>
      <c r="AJ1251" s="121">
        <v>11.63</v>
      </c>
      <c r="AK1251" s="121">
        <v>2.2599999999999998</v>
      </c>
      <c r="AL1251" s="121">
        <f>(193.7)/233</f>
        <v>0.83133047210300426</v>
      </c>
      <c r="AM1251" s="138"/>
      <c r="AN1251" s="24">
        <f t="shared" si="254"/>
        <v>198.26374936653326</v>
      </c>
      <c r="AO1251" s="118">
        <f t="shared" si="255"/>
        <v>23058.074051327822</v>
      </c>
      <c r="AP1251" s="187">
        <f t="shared" si="256"/>
        <v>3.1928571428571431</v>
      </c>
      <c r="AQ1251" s="316"/>
      <c r="AR1251" s="258"/>
      <c r="AS1251" s="138"/>
      <c r="AT1251" s="138"/>
    </row>
    <row r="1252" spans="1:46" ht="12">
      <c r="A1252" s="256" t="s">
        <v>1624</v>
      </c>
      <c r="B1252" s="256" t="str">
        <f t="shared" si="244"/>
        <v>MgO</v>
      </c>
      <c r="C1252" s="32">
        <f t="shared" si="245"/>
        <v>4.09</v>
      </c>
      <c r="D1252" s="279">
        <f t="shared" si="246"/>
        <v>442.82939803187401</v>
      </c>
      <c r="E1252" s="78">
        <f t="shared" si="247"/>
        <v>9.7200000000000006</v>
      </c>
      <c r="F1252" s="78">
        <f t="shared" si="248"/>
        <v>1.56</v>
      </c>
      <c r="G1252" s="279">
        <f t="shared" si="249"/>
        <v>216.54357563758634</v>
      </c>
      <c r="H1252" s="190">
        <f t="shared" si="253"/>
        <v>1.4963991769547325</v>
      </c>
      <c r="I1252" s="279">
        <f t="shared" si="250"/>
        <v>21048.035551973397</v>
      </c>
      <c r="J1252" s="67"/>
      <c r="K1252" s="359" t="s">
        <v>1620</v>
      </c>
      <c r="L1252" s="67"/>
      <c r="M1252" s="371"/>
      <c r="N1252" s="309">
        <v>41739</v>
      </c>
      <c r="O1252" s="67">
        <v>458</v>
      </c>
      <c r="P1252" s="67" t="s">
        <v>46</v>
      </c>
      <c r="Q1252" s="67"/>
      <c r="R1252" s="67">
        <v>1</v>
      </c>
      <c r="S1252" s="67">
        <v>800</v>
      </c>
      <c r="T1252" s="67">
        <v>84</v>
      </c>
      <c r="U1252" s="67">
        <v>400</v>
      </c>
      <c r="V1252" s="67">
        <v>8</v>
      </c>
      <c r="W1252" s="67">
        <v>26.5</v>
      </c>
      <c r="X1252" s="67">
        <v>2.5</v>
      </c>
      <c r="Y1252" s="67">
        <v>40</v>
      </c>
      <c r="Z1252" s="67"/>
      <c r="AA1252" s="159"/>
      <c r="AB1252" s="182">
        <v>0.19719999999999999</v>
      </c>
      <c r="AC1252" s="67">
        <v>0.58499999999999996</v>
      </c>
      <c r="AD1252" s="67">
        <v>0.21779999999999999</v>
      </c>
      <c r="AE1252" s="256" t="s">
        <v>1621</v>
      </c>
      <c r="AF1252" s="67">
        <v>4.09</v>
      </c>
      <c r="AG1252" s="315">
        <v>4.8899999999999997</v>
      </c>
      <c r="AH1252" s="66">
        <v>442.82939803187401</v>
      </c>
      <c r="AI1252" s="216"/>
      <c r="AJ1252" s="216">
        <v>9.7200000000000006</v>
      </c>
      <c r="AK1252" s="216">
        <v>1.56</v>
      </c>
      <c r="AL1252" s="216">
        <f>290.9/194.4</f>
        <v>1.4963991769547325</v>
      </c>
      <c r="AM1252" s="67"/>
      <c r="AN1252" s="24">
        <f t="shared" si="254"/>
        <v>216.54357563758634</v>
      </c>
      <c r="AO1252" s="118">
        <f t="shared" si="255"/>
        <v>21048.035551973397</v>
      </c>
      <c r="AP1252" s="187">
        <f t="shared" si="256"/>
        <v>3.4928571428571429</v>
      </c>
      <c r="AQ1252" s="371"/>
      <c r="AR1252" s="41"/>
      <c r="AS1252" s="67"/>
      <c r="AT1252" s="67"/>
    </row>
    <row r="1253" spans="1:46" ht="12">
      <c r="A1253" s="83" t="s">
        <v>1625</v>
      </c>
      <c r="B1253" s="83" t="str">
        <f t="shared" ref="B1253:B1284" si="257">P1253</f>
        <v>SiO2</v>
      </c>
      <c r="C1253" s="329">
        <f t="shared" ref="C1253:C1284" si="258">AF1253</f>
        <v>0</v>
      </c>
      <c r="D1253" s="168">
        <f t="shared" ref="D1253:D1284" si="259">AH1253</f>
        <v>424.98776233357199</v>
      </c>
      <c r="E1253" s="139">
        <f t="shared" ref="E1253:E1284" si="260">AJ1253</f>
        <v>11.7</v>
      </c>
      <c r="F1253" s="139">
        <f t="shared" ref="F1253:F1284" si="261">AK1253</f>
        <v>1.44</v>
      </c>
      <c r="G1253" s="168">
        <f t="shared" ref="G1253:G1284" si="262">AN1253</f>
        <v>194.21940738644241</v>
      </c>
      <c r="H1253" s="150">
        <f t="shared" si="253"/>
        <v>0.85760818985574694</v>
      </c>
      <c r="I1253" s="168">
        <f t="shared" ref="I1253:I1284" si="263">AO1253</f>
        <v>22723.670664213761</v>
      </c>
      <c r="J1253" s="138"/>
      <c r="K1253" s="138" t="s">
        <v>1309</v>
      </c>
      <c r="L1253" s="138"/>
      <c r="M1253" s="316"/>
      <c r="N1253" s="135">
        <v>41739</v>
      </c>
      <c r="O1253" s="138">
        <v>458</v>
      </c>
      <c r="P1253" s="138" t="s">
        <v>1182</v>
      </c>
      <c r="Q1253" s="138" t="s">
        <v>1565</v>
      </c>
      <c r="R1253" s="138">
        <v>3</v>
      </c>
      <c r="S1253" s="138">
        <v>800</v>
      </c>
      <c r="T1253" s="138">
        <v>84</v>
      </c>
      <c r="U1253" s="138">
        <v>400</v>
      </c>
      <c r="V1253" s="138">
        <v>8</v>
      </c>
      <c r="W1253" s="138">
        <v>26.5</v>
      </c>
      <c r="X1253" s="138">
        <v>2.5</v>
      </c>
      <c r="Y1253" s="138">
        <v>40</v>
      </c>
      <c r="Z1253" s="138"/>
      <c r="AA1253" s="6"/>
      <c r="AB1253" s="300"/>
      <c r="AC1253" s="138"/>
      <c r="AD1253" s="138"/>
      <c r="AE1253" s="138"/>
      <c r="AF1253" s="138"/>
      <c r="AG1253" s="63">
        <v>4.57</v>
      </c>
      <c r="AH1253" s="70">
        <v>424.98776233357199</v>
      </c>
      <c r="AI1253" s="121"/>
      <c r="AJ1253" s="121">
        <v>11.7</v>
      </c>
      <c r="AK1253" s="121">
        <v>1.44</v>
      </c>
      <c r="AL1253" s="121">
        <f>184.3/214.9</f>
        <v>0.85760818985574694</v>
      </c>
      <c r="AM1253" s="138"/>
      <c r="AN1253" s="24">
        <f t="shared" si="254"/>
        <v>194.21940738644241</v>
      </c>
      <c r="AO1253" s="118">
        <f t="shared" si="255"/>
        <v>22723.670664213761</v>
      </c>
      <c r="AP1253" s="187">
        <f t="shared" si="256"/>
        <v>3.2642857142857142</v>
      </c>
      <c r="AQ1253" s="316"/>
      <c r="AR1253" s="258"/>
      <c r="AS1253" s="138"/>
      <c r="AT1253" s="138"/>
    </row>
    <row r="1254" spans="1:46" ht="12">
      <c r="A1254" s="83" t="s">
        <v>1626</v>
      </c>
      <c r="B1254" s="83" t="str">
        <f t="shared" si="257"/>
        <v>SiO2</v>
      </c>
      <c r="C1254" s="329">
        <f t="shared" si="258"/>
        <v>0</v>
      </c>
      <c r="D1254" s="168">
        <f t="shared" si="259"/>
        <v>438.72582182126501</v>
      </c>
      <c r="E1254" s="139">
        <f t="shared" si="260"/>
        <v>11.62</v>
      </c>
      <c r="F1254" s="139">
        <f t="shared" si="261"/>
        <v>1.49</v>
      </c>
      <c r="G1254" s="168">
        <f t="shared" si="262"/>
        <v>195.23299071046296</v>
      </c>
      <c r="H1254" s="150">
        <f t="shared" si="253"/>
        <v>0.85348314606741571</v>
      </c>
      <c r="I1254" s="168">
        <f t="shared" si="263"/>
        <v>22686.073520555794</v>
      </c>
      <c r="J1254" s="138"/>
      <c r="K1254" s="138" t="s">
        <v>1309</v>
      </c>
      <c r="L1254" s="138"/>
      <c r="M1254" s="316"/>
      <c r="N1254" s="135">
        <v>41739</v>
      </c>
      <c r="O1254" s="138">
        <v>458</v>
      </c>
      <c r="P1254" s="138" t="s">
        <v>1182</v>
      </c>
      <c r="Q1254" s="138" t="s">
        <v>1565</v>
      </c>
      <c r="R1254" s="138">
        <v>6</v>
      </c>
      <c r="S1254" s="138">
        <v>800</v>
      </c>
      <c r="T1254" s="138">
        <v>84</v>
      </c>
      <c r="U1254" s="138">
        <v>400</v>
      </c>
      <c r="V1254" s="138">
        <v>8</v>
      </c>
      <c r="W1254" s="138">
        <v>26.5</v>
      </c>
      <c r="X1254" s="138">
        <v>2.5</v>
      </c>
      <c r="Y1254" s="138">
        <v>40</v>
      </c>
      <c r="Z1254" s="138"/>
      <c r="AA1254" s="6"/>
      <c r="AB1254" s="300"/>
      <c r="AC1254" s="138"/>
      <c r="AD1254" s="138"/>
      <c r="AE1254" s="138"/>
      <c r="AF1254" s="138"/>
      <c r="AG1254" s="63">
        <v>4.45</v>
      </c>
      <c r="AH1254" s="70">
        <v>438.72582182126501</v>
      </c>
      <c r="AI1254" s="121"/>
      <c r="AJ1254" s="121">
        <v>11.62</v>
      </c>
      <c r="AK1254" s="121">
        <v>1.49</v>
      </c>
      <c r="AL1254" s="121">
        <f>189.9/222.5</f>
        <v>0.85348314606741571</v>
      </c>
      <c r="AM1254" s="138"/>
      <c r="AN1254" s="24">
        <f t="shared" si="254"/>
        <v>195.23299071046296</v>
      </c>
      <c r="AO1254" s="118">
        <f t="shared" si="255"/>
        <v>22686.073520555794</v>
      </c>
      <c r="AP1254" s="187">
        <f t="shared" si="256"/>
        <v>3.1785714285714284</v>
      </c>
      <c r="AQ1254" s="316"/>
      <c r="AR1254" s="258"/>
      <c r="AS1254" s="138"/>
      <c r="AT1254" s="138"/>
    </row>
    <row r="1255" spans="1:46" ht="12">
      <c r="A1255" s="256" t="s">
        <v>1627</v>
      </c>
      <c r="B1255" s="256" t="str">
        <f t="shared" si="257"/>
        <v>MgO</v>
      </c>
      <c r="C1255" s="32">
        <f t="shared" si="258"/>
        <v>4.16</v>
      </c>
      <c r="D1255" s="279">
        <f t="shared" si="259"/>
        <v>429.26975490116399</v>
      </c>
      <c r="E1255" s="78">
        <f t="shared" si="260"/>
        <v>0</v>
      </c>
      <c r="F1255" s="78">
        <f t="shared" si="261"/>
        <v>0</v>
      </c>
      <c r="G1255" s="279">
        <f t="shared" si="262"/>
        <v>215.49341696038431</v>
      </c>
      <c r="H1255" s="190">
        <f t="shared" si="253"/>
        <v>0</v>
      </c>
      <c r="I1255" s="279">
        <f t="shared" si="263"/>
        <v>0</v>
      </c>
      <c r="J1255" s="67"/>
      <c r="K1255" s="67"/>
      <c r="L1255" s="67"/>
      <c r="M1255" s="371"/>
      <c r="N1255" s="309">
        <v>41740</v>
      </c>
      <c r="O1255" s="67">
        <v>459</v>
      </c>
      <c r="P1255" s="67" t="s">
        <v>46</v>
      </c>
      <c r="Q1255" s="67"/>
      <c r="R1255" s="67">
        <v>1</v>
      </c>
      <c r="S1255" s="67">
        <v>800</v>
      </c>
      <c r="T1255" s="67">
        <v>84</v>
      </c>
      <c r="U1255" s="67">
        <v>400</v>
      </c>
      <c r="V1255" s="67">
        <v>8</v>
      </c>
      <c r="W1255" s="67">
        <v>26.5</v>
      </c>
      <c r="X1255" s="67">
        <v>2.5</v>
      </c>
      <c r="Y1255" s="67">
        <v>40</v>
      </c>
      <c r="Z1255" s="67"/>
      <c r="AA1255" s="159"/>
      <c r="AB1255" s="182">
        <v>0.19900000000000001</v>
      </c>
      <c r="AC1255" s="67">
        <v>0.58120000000000005</v>
      </c>
      <c r="AD1255" s="67">
        <v>0.2198</v>
      </c>
      <c r="AE1255" s="256" t="s">
        <v>1621</v>
      </c>
      <c r="AF1255" s="67">
        <v>4.16</v>
      </c>
      <c r="AG1255" s="315">
        <v>5.0199999999999996</v>
      </c>
      <c r="AH1255" s="66">
        <v>429.26975490116399</v>
      </c>
      <c r="AI1255" s="216"/>
      <c r="AJ1255" s="216"/>
      <c r="AK1255" s="216"/>
      <c r="AL1255" s="216"/>
      <c r="AM1255" s="67"/>
      <c r="AN1255" s="24">
        <f t="shared" si="254"/>
        <v>215.49341696038431</v>
      </c>
      <c r="AO1255" s="118">
        <f t="shared" si="255"/>
        <v>0</v>
      </c>
      <c r="AP1255" s="187">
        <f t="shared" si="256"/>
        <v>3.5857142857142854</v>
      </c>
      <c r="AQ1255" s="371"/>
      <c r="AR1255" s="41"/>
      <c r="AS1255" s="67"/>
      <c r="AT1255" s="67"/>
    </row>
    <row r="1256" spans="1:46" ht="12">
      <c r="A1256" s="83" t="s">
        <v>1628</v>
      </c>
      <c r="B1256" s="83" t="str">
        <f t="shared" si="257"/>
        <v>SiO2</v>
      </c>
      <c r="C1256" s="329">
        <f t="shared" si="258"/>
        <v>0</v>
      </c>
      <c r="D1256" s="168">
        <f t="shared" si="259"/>
        <v>436.76324189445103</v>
      </c>
      <c r="E1256" s="139">
        <f t="shared" si="260"/>
        <v>11.54</v>
      </c>
      <c r="F1256" s="139">
        <f t="shared" si="261"/>
        <v>1.5</v>
      </c>
      <c r="G1256" s="168">
        <f t="shared" si="262"/>
        <v>196.98022209439742</v>
      </c>
      <c r="H1256" s="150">
        <f t="shared" si="253"/>
        <v>0.85006518904823991</v>
      </c>
      <c r="I1256" s="168">
        <f t="shared" si="263"/>
        <v>22731.517629693459</v>
      </c>
      <c r="J1256" s="138"/>
      <c r="K1256" s="138" t="s">
        <v>1309</v>
      </c>
      <c r="L1256" s="138"/>
      <c r="M1256" s="316"/>
      <c r="N1256" s="135">
        <v>41740</v>
      </c>
      <c r="O1256" s="138">
        <v>459</v>
      </c>
      <c r="P1256" s="138" t="s">
        <v>1182</v>
      </c>
      <c r="Q1256" s="138" t="s">
        <v>1565</v>
      </c>
      <c r="R1256" s="138">
        <v>3</v>
      </c>
      <c r="S1256" s="138">
        <v>800</v>
      </c>
      <c r="T1256" s="138">
        <v>84</v>
      </c>
      <c r="U1256" s="138">
        <v>400</v>
      </c>
      <c r="V1256" s="138">
        <v>8</v>
      </c>
      <c r="W1256" s="138">
        <v>26.5</v>
      </c>
      <c r="X1256" s="138">
        <v>2.5</v>
      </c>
      <c r="Y1256" s="138">
        <v>40</v>
      </c>
      <c r="Z1256" s="138"/>
      <c r="AA1256" s="6"/>
      <c r="AB1256" s="300"/>
      <c r="AC1256" s="138"/>
      <c r="AD1256" s="138"/>
      <c r="AE1256" s="138"/>
      <c r="AF1256" s="138"/>
      <c r="AG1256" s="63">
        <v>4.51</v>
      </c>
      <c r="AH1256" s="70">
        <v>436.76324189445103</v>
      </c>
      <c r="AI1256" s="121"/>
      <c r="AJ1256" s="121">
        <v>11.54</v>
      </c>
      <c r="AK1256" s="121">
        <v>1.5</v>
      </c>
      <c r="AL1256" s="121">
        <f>195.6/230.1</f>
        <v>0.85006518904823991</v>
      </c>
      <c r="AM1256" s="138"/>
      <c r="AN1256" s="24">
        <f t="shared" si="254"/>
        <v>196.98022209439742</v>
      </c>
      <c r="AO1256" s="118">
        <f t="shared" si="255"/>
        <v>22731.517629693459</v>
      </c>
      <c r="AP1256" s="187">
        <f t="shared" si="256"/>
        <v>3.2214285714285715</v>
      </c>
      <c r="AQ1256" s="316"/>
      <c r="AR1256" s="258"/>
      <c r="AS1256" s="138"/>
      <c r="AT1256" s="138"/>
    </row>
    <row r="1257" spans="1:46" ht="12">
      <c r="A1257" s="83" t="s">
        <v>1629</v>
      </c>
      <c r="B1257" s="83" t="str">
        <f t="shared" si="257"/>
        <v>SiO2</v>
      </c>
      <c r="C1257" s="329">
        <f t="shared" si="258"/>
        <v>0</v>
      </c>
      <c r="D1257" s="168">
        <f t="shared" si="259"/>
        <v>430.51866940004498</v>
      </c>
      <c r="E1257" s="139">
        <f t="shared" si="260"/>
        <v>11.57</v>
      </c>
      <c r="F1257" s="139">
        <f t="shared" si="261"/>
        <v>1.91</v>
      </c>
      <c r="G1257" s="168">
        <f t="shared" si="262"/>
        <v>196.74703191582057</v>
      </c>
      <c r="H1257" s="150">
        <f t="shared" si="253"/>
        <v>0.85727190605239389</v>
      </c>
      <c r="I1257" s="168">
        <f t="shared" si="263"/>
        <v>22763.63159266044</v>
      </c>
      <c r="J1257" s="138"/>
      <c r="K1257" s="138" t="s">
        <v>1309</v>
      </c>
      <c r="L1257" s="138"/>
      <c r="M1257" s="316"/>
      <c r="N1257" s="135">
        <v>41740</v>
      </c>
      <c r="O1257" s="138">
        <v>459</v>
      </c>
      <c r="P1257" s="138" t="s">
        <v>1182</v>
      </c>
      <c r="Q1257" s="138" t="s">
        <v>1565</v>
      </c>
      <c r="R1257" s="138">
        <v>6</v>
      </c>
      <c r="S1257" s="138">
        <v>800</v>
      </c>
      <c r="T1257" s="138">
        <v>84</v>
      </c>
      <c r="U1257" s="138">
        <v>400</v>
      </c>
      <c r="V1257" s="138">
        <v>8</v>
      </c>
      <c r="W1257" s="138">
        <v>26.5</v>
      </c>
      <c r="X1257" s="138">
        <v>2.5</v>
      </c>
      <c r="Y1257" s="138">
        <v>40</v>
      </c>
      <c r="Z1257" s="138"/>
      <c r="AA1257" s="6"/>
      <c r="AB1257" s="300"/>
      <c r="AC1257" s="138"/>
      <c r="AD1257" s="138"/>
      <c r="AE1257" s="138"/>
      <c r="AF1257" s="138"/>
      <c r="AG1257" s="63">
        <v>4.57</v>
      </c>
      <c r="AH1257" s="70">
        <v>430.51866940004498</v>
      </c>
      <c r="AI1257" s="121"/>
      <c r="AJ1257" s="121">
        <v>11.57</v>
      </c>
      <c r="AK1257" s="121">
        <v>1.91</v>
      </c>
      <c r="AL1257" s="121">
        <f>189.8/221.4</f>
        <v>0.85727190605239389</v>
      </c>
      <c r="AM1257" s="138"/>
      <c r="AN1257" s="24">
        <f t="shared" si="254"/>
        <v>196.74703191582057</v>
      </c>
      <c r="AO1257" s="118">
        <f t="shared" si="255"/>
        <v>22763.63159266044</v>
      </c>
      <c r="AP1257" s="187">
        <f t="shared" si="256"/>
        <v>3.2642857142857142</v>
      </c>
      <c r="AQ1257" s="316"/>
      <c r="AR1257" s="258"/>
      <c r="AS1257" s="138"/>
      <c r="AT1257" s="138"/>
    </row>
    <row r="1258" spans="1:46" ht="12">
      <c r="A1258" s="256" t="s">
        <v>1630</v>
      </c>
      <c r="B1258" s="256" t="str">
        <f t="shared" si="257"/>
        <v>MgO</v>
      </c>
      <c r="C1258" s="32">
        <f t="shared" si="258"/>
        <v>4.1500000000000004</v>
      </c>
      <c r="D1258" s="279">
        <f t="shared" si="259"/>
        <v>414.10436455760703</v>
      </c>
      <c r="E1258" s="78">
        <f t="shared" si="260"/>
        <v>0</v>
      </c>
      <c r="F1258" s="78">
        <f t="shared" si="261"/>
        <v>0</v>
      </c>
      <c r="G1258" s="279">
        <f t="shared" si="262"/>
        <v>209.95091283070678</v>
      </c>
      <c r="H1258" s="190">
        <f t="shared" si="253"/>
        <v>0</v>
      </c>
      <c r="I1258" s="279">
        <f t="shared" si="263"/>
        <v>0</v>
      </c>
      <c r="J1258" s="67"/>
      <c r="K1258" s="67"/>
      <c r="L1258" s="67"/>
      <c r="M1258" s="371"/>
      <c r="N1258" s="309">
        <v>41743</v>
      </c>
      <c r="O1258" s="67">
        <v>460</v>
      </c>
      <c r="P1258" s="67" t="s">
        <v>46</v>
      </c>
      <c r="Q1258" s="67"/>
      <c r="R1258" s="67">
        <v>1</v>
      </c>
      <c r="S1258" s="67">
        <v>800</v>
      </c>
      <c r="T1258" s="67">
        <v>84</v>
      </c>
      <c r="U1258" s="67">
        <v>400</v>
      </c>
      <c r="V1258" s="67">
        <v>8</v>
      </c>
      <c r="W1258" s="67">
        <v>26.5</v>
      </c>
      <c r="X1258" s="67">
        <v>2.5</v>
      </c>
      <c r="Y1258" s="67">
        <v>40</v>
      </c>
      <c r="Z1258" s="67"/>
      <c r="AA1258" s="159"/>
      <c r="AB1258" s="182">
        <v>0.2036</v>
      </c>
      <c r="AC1258" s="67">
        <v>0.58169999999999999</v>
      </c>
      <c r="AD1258" s="67">
        <v>0.2147</v>
      </c>
      <c r="AE1258" s="256" t="s">
        <v>1621</v>
      </c>
      <c r="AF1258" s="67">
        <v>4.1500000000000004</v>
      </c>
      <c r="AG1258" s="315">
        <v>5.07</v>
      </c>
      <c r="AH1258" s="66">
        <v>414.10436455760703</v>
      </c>
      <c r="AI1258" s="216"/>
      <c r="AJ1258" s="216"/>
      <c r="AK1258" s="216"/>
      <c r="AL1258" s="216"/>
      <c r="AM1258" s="67"/>
      <c r="AN1258" s="24">
        <f t="shared" si="254"/>
        <v>209.95091283070678</v>
      </c>
      <c r="AO1258" s="118">
        <f t="shared" si="255"/>
        <v>0</v>
      </c>
      <c r="AP1258" s="187">
        <f t="shared" si="256"/>
        <v>3.6214285714285714</v>
      </c>
      <c r="AQ1258" s="371"/>
      <c r="AR1258" s="41"/>
      <c r="AS1258" s="67"/>
      <c r="AT1258" s="67"/>
    </row>
    <row r="1259" spans="1:46" ht="12">
      <c r="A1259" s="83" t="s">
        <v>1631</v>
      </c>
      <c r="B1259" s="83" t="str">
        <f t="shared" si="257"/>
        <v>SiO2</v>
      </c>
      <c r="C1259" s="329">
        <f t="shared" si="258"/>
        <v>0</v>
      </c>
      <c r="D1259" s="168">
        <f t="shared" si="259"/>
        <v>420.34893705201301</v>
      </c>
      <c r="E1259" s="139">
        <f t="shared" si="260"/>
        <v>11.83</v>
      </c>
      <c r="F1259" s="139">
        <f t="shared" si="261"/>
        <v>1.41</v>
      </c>
      <c r="G1259" s="168">
        <f t="shared" si="262"/>
        <v>192.94016210687397</v>
      </c>
      <c r="H1259" s="150">
        <f t="shared" si="253"/>
        <v>0.85653610193487495</v>
      </c>
      <c r="I1259" s="168">
        <f t="shared" si="263"/>
        <v>22824.82117724319</v>
      </c>
      <c r="J1259" s="138"/>
      <c r="K1259" s="138" t="s">
        <v>1309</v>
      </c>
      <c r="L1259" s="138"/>
      <c r="M1259" s="316"/>
      <c r="N1259" s="135">
        <v>41743</v>
      </c>
      <c r="O1259" s="138">
        <v>460</v>
      </c>
      <c r="P1259" s="138" t="s">
        <v>1182</v>
      </c>
      <c r="Q1259" s="138" t="s">
        <v>1565</v>
      </c>
      <c r="R1259" s="138">
        <v>3</v>
      </c>
      <c r="S1259" s="138">
        <v>800</v>
      </c>
      <c r="T1259" s="138">
        <v>84</v>
      </c>
      <c r="U1259" s="138">
        <v>400</v>
      </c>
      <c r="V1259" s="138">
        <v>8</v>
      </c>
      <c r="W1259" s="138">
        <v>26.5</v>
      </c>
      <c r="X1259" s="138">
        <v>2.5</v>
      </c>
      <c r="Y1259" s="138">
        <v>40</v>
      </c>
      <c r="Z1259" s="138"/>
      <c r="AA1259" s="6"/>
      <c r="AB1259" s="300"/>
      <c r="AC1259" s="138"/>
      <c r="AD1259" s="138"/>
      <c r="AE1259" s="138"/>
      <c r="AF1259" s="138"/>
      <c r="AG1259" s="63">
        <v>4.59</v>
      </c>
      <c r="AH1259" s="70">
        <v>420.34893705201301</v>
      </c>
      <c r="AI1259" s="121"/>
      <c r="AJ1259" s="121">
        <v>11.83</v>
      </c>
      <c r="AK1259" s="121">
        <v>1.41</v>
      </c>
      <c r="AL1259" s="121">
        <f>181.5/211.9</f>
        <v>0.85653610193487495</v>
      </c>
      <c r="AM1259" s="138"/>
      <c r="AN1259" s="24">
        <f t="shared" si="254"/>
        <v>192.94016210687397</v>
      </c>
      <c r="AO1259" s="118">
        <f t="shared" si="255"/>
        <v>22824.82117724319</v>
      </c>
      <c r="AP1259" s="187">
        <f t="shared" si="256"/>
        <v>3.2785714285714285</v>
      </c>
      <c r="AQ1259" s="316"/>
      <c r="AR1259" s="258"/>
      <c r="AS1259" s="138"/>
      <c r="AT1259" s="138"/>
    </row>
    <row r="1260" spans="1:46" ht="12">
      <c r="A1260" s="83" t="s">
        <v>1632</v>
      </c>
      <c r="B1260" s="83" t="str">
        <f t="shared" si="257"/>
        <v>SiO2</v>
      </c>
      <c r="C1260" s="329">
        <f t="shared" si="258"/>
        <v>0</v>
      </c>
      <c r="D1260" s="168">
        <f t="shared" si="259"/>
        <v>416.78060991235202</v>
      </c>
      <c r="E1260" s="139">
        <f t="shared" si="260"/>
        <v>11.75</v>
      </c>
      <c r="F1260" s="139">
        <f t="shared" si="261"/>
        <v>1.41</v>
      </c>
      <c r="G1260" s="168">
        <f t="shared" si="262"/>
        <v>192.55264177950664</v>
      </c>
      <c r="H1260" s="150">
        <f t="shared" si="253"/>
        <v>0.85228881547899948</v>
      </c>
      <c r="I1260" s="168">
        <f t="shared" si="263"/>
        <v>22624.935409092031</v>
      </c>
      <c r="J1260" s="138"/>
      <c r="K1260" s="138" t="s">
        <v>1309</v>
      </c>
      <c r="L1260" s="138"/>
      <c r="M1260" s="316"/>
      <c r="N1260" s="135">
        <v>41743</v>
      </c>
      <c r="O1260" s="138">
        <v>460</v>
      </c>
      <c r="P1260" s="138" t="s">
        <v>1182</v>
      </c>
      <c r="Q1260" s="138" t="s">
        <v>1565</v>
      </c>
      <c r="R1260" s="138">
        <v>6</v>
      </c>
      <c r="S1260" s="138">
        <v>800</v>
      </c>
      <c r="T1260" s="138">
        <v>84</v>
      </c>
      <c r="U1260" s="138">
        <v>400</v>
      </c>
      <c r="V1260" s="138">
        <v>8</v>
      </c>
      <c r="W1260" s="138">
        <v>26.5</v>
      </c>
      <c r="X1260" s="138">
        <v>2.5</v>
      </c>
      <c r="Y1260" s="138">
        <v>40</v>
      </c>
      <c r="Z1260" s="138"/>
      <c r="AA1260" s="6"/>
      <c r="AB1260" s="300"/>
      <c r="AC1260" s="138"/>
      <c r="AD1260" s="138"/>
      <c r="AE1260" s="138"/>
      <c r="AF1260" s="138"/>
      <c r="AG1260" s="63">
        <v>4.62</v>
      </c>
      <c r="AH1260" s="70">
        <v>416.78060991235202</v>
      </c>
      <c r="AI1260" s="121"/>
      <c r="AJ1260" s="121">
        <v>11.75</v>
      </c>
      <c r="AK1260" s="121">
        <v>1.41</v>
      </c>
      <c r="AL1260" s="121">
        <f>180.6/211.9</f>
        <v>0.85228881547899948</v>
      </c>
      <c r="AM1260" s="138"/>
      <c r="AN1260" s="24">
        <f t="shared" si="254"/>
        <v>192.55264177950664</v>
      </c>
      <c r="AO1260" s="118">
        <f t="shared" si="255"/>
        <v>22624.935409092031</v>
      </c>
      <c r="AP1260" s="187">
        <f t="shared" si="256"/>
        <v>3.3</v>
      </c>
      <c r="AQ1260" s="316"/>
      <c r="AR1260" s="258"/>
      <c r="AS1260" s="138"/>
      <c r="AT1260" s="138"/>
    </row>
    <row r="1261" spans="1:46" ht="12">
      <c r="A1261" s="256" t="s">
        <v>1633</v>
      </c>
      <c r="B1261" s="256" t="str">
        <f t="shared" si="257"/>
        <v>MgO</v>
      </c>
      <c r="C1261" s="386">
        <f t="shared" si="258"/>
        <v>4.8099999999999996</v>
      </c>
      <c r="D1261" s="98">
        <f t="shared" si="259"/>
        <v>359.15212660683397</v>
      </c>
      <c r="E1261" s="235">
        <f t="shared" si="260"/>
        <v>10.37</v>
      </c>
      <c r="F1261" s="235">
        <f t="shared" si="261"/>
        <v>1.45</v>
      </c>
      <c r="G1261" s="98">
        <f t="shared" si="262"/>
        <v>208.30823343196371</v>
      </c>
      <c r="H1261" s="79">
        <f t="shared" si="253"/>
        <v>0.69462938304482913</v>
      </c>
      <c r="I1261" s="98">
        <f t="shared" si="263"/>
        <v>21601.563806894635</v>
      </c>
      <c r="J1261" s="359"/>
      <c r="K1261" s="359" t="s">
        <v>1620</v>
      </c>
      <c r="L1261" s="359"/>
      <c r="M1261" s="338"/>
      <c r="N1261" s="89">
        <v>41744</v>
      </c>
      <c r="O1261" s="359">
        <v>461</v>
      </c>
      <c r="P1261" s="359" t="s">
        <v>46</v>
      </c>
      <c r="Q1261" s="359"/>
      <c r="R1261" s="359">
        <v>1</v>
      </c>
      <c r="S1261" s="67">
        <v>800</v>
      </c>
      <c r="T1261" s="67">
        <v>96</v>
      </c>
      <c r="U1261" s="67">
        <v>400</v>
      </c>
      <c r="V1261" s="67">
        <v>8</v>
      </c>
      <c r="W1261" s="67">
        <v>26.5</v>
      </c>
      <c r="X1261" s="67">
        <v>2.5</v>
      </c>
      <c r="Y1261" s="67">
        <v>40</v>
      </c>
      <c r="Z1261" s="359"/>
      <c r="AA1261" s="210"/>
      <c r="AB1261" s="248">
        <v>0.2157</v>
      </c>
      <c r="AC1261" s="359">
        <v>0.55010000000000003</v>
      </c>
      <c r="AD1261" s="359">
        <v>0.2341</v>
      </c>
      <c r="AE1261" s="256" t="s">
        <v>1621</v>
      </c>
      <c r="AF1261" s="359">
        <v>4.8099999999999996</v>
      </c>
      <c r="AG1261" s="153">
        <v>5.8</v>
      </c>
      <c r="AH1261" s="346">
        <v>359.15212660683397</v>
      </c>
      <c r="AI1261" s="24"/>
      <c r="AJ1261" s="24">
        <v>10.37</v>
      </c>
      <c r="AK1261" s="24">
        <v>1.45</v>
      </c>
      <c r="AL1261" s="24">
        <f>156.5/225.3</f>
        <v>0.69462938304482913</v>
      </c>
      <c r="AM1261" s="359"/>
      <c r="AN1261" s="24">
        <f t="shared" si="254"/>
        <v>208.30823343196371</v>
      </c>
      <c r="AO1261" s="118">
        <f t="shared" si="255"/>
        <v>21601.563806894635</v>
      </c>
      <c r="AP1261" s="187">
        <f t="shared" si="256"/>
        <v>3.625</v>
      </c>
      <c r="AQ1261" s="338"/>
      <c r="AR1261" s="45"/>
      <c r="AS1261" s="359"/>
      <c r="AT1261" s="359"/>
    </row>
    <row r="1262" spans="1:46" ht="12">
      <c r="A1262" s="257" t="s">
        <v>1634</v>
      </c>
      <c r="B1262" s="257" t="str">
        <f t="shared" si="257"/>
        <v>SiNx</v>
      </c>
      <c r="C1262" s="280">
        <f t="shared" si="258"/>
        <v>0</v>
      </c>
      <c r="D1262" s="183">
        <f t="shared" si="259"/>
        <v>354.33488496829301</v>
      </c>
      <c r="E1262" s="96">
        <f t="shared" si="260"/>
        <v>11.9</v>
      </c>
      <c r="F1262" s="96">
        <f t="shared" si="261"/>
        <v>1.22</v>
      </c>
      <c r="G1262" s="183">
        <f t="shared" si="262"/>
        <v>167.24606570503428</v>
      </c>
      <c r="H1262" s="215">
        <f t="shared" si="253"/>
        <v>0.87028617277346887</v>
      </c>
      <c r="I1262" s="183">
        <f t="shared" si="263"/>
        <v>19902.281818899082</v>
      </c>
      <c r="J1262" s="366"/>
      <c r="K1262" s="366" t="s">
        <v>1250</v>
      </c>
      <c r="L1262" s="366"/>
      <c r="M1262" s="373"/>
      <c r="N1262" s="191">
        <v>41744</v>
      </c>
      <c r="O1262" s="366">
        <v>461</v>
      </c>
      <c r="P1262" s="366" t="s">
        <v>187</v>
      </c>
      <c r="Q1262" s="366">
        <v>172</v>
      </c>
      <c r="R1262" s="366">
        <v>3</v>
      </c>
      <c r="S1262" s="366">
        <v>800</v>
      </c>
      <c r="T1262" s="366">
        <v>96</v>
      </c>
      <c r="U1262" s="366">
        <v>400</v>
      </c>
      <c r="V1262" s="366">
        <v>8</v>
      </c>
      <c r="W1262" s="366">
        <v>26.5</v>
      </c>
      <c r="X1262" s="366">
        <v>2.5</v>
      </c>
      <c r="Y1262" s="366">
        <v>40</v>
      </c>
      <c r="Z1262" s="366"/>
      <c r="AA1262" s="117"/>
      <c r="AB1262" s="51"/>
      <c r="AC1262" s="366"/>
      <c r="AD1262" s="366"/>
      <c r="AE1262" s="366"/>
      <c r="AF1262" s="366"/>
      <c r="AG1262" s="349">
        <v>4.72</v>
      </c>
      <c r="AH1262" s="113">
        <v>354.33488496829301</v>
      </c>
      <c r="AI1262" s="53"/>
      <c r="AJ1262" s="53">
        <v>11.9</v>
      </c>
      <c r="AK1262" s="53">
        <v>1.22</v>
      </c>
      <c r="AL1262" s="53">
        <f>162.7/186.95</f>
        <v>0.87028617277346887</v>
      </c>
      <c r="AM1262" s="366"/>
      <c r="AN1262" s="24">
        <f t="shared" si="254"/>
        <v>167.24606570503428</v>
      </c>
      <c r="AO1262" s="118">
        <f t="shared" si="255"/>
        <v>19902.281818899082</v>
      </c>
      <c r="AP1262" s="187">
        <f t="shared" si="256"/>
        <v>2.9499999999999997</v>
      </c>
      <c r="AQ1262" s="373"/>
      <c r="AR1262" s="44"/>
      <c r="AS1262" s="366"/>
      <c r="AT1262" s="366"/>
    </row>
    <row r="1263" spans="1:46" ht="12">
      <c r="A1263" s="257" t="s">
        <v>1635</v>
      </c>
      <c r="B1263" s="257" t="str">
        <f t="shared" si="257"/>
        <v>SiNx</v>
      </c>
      <c r="C1263" s="280">
        <f t="shared" si="258"/>
        <v>0</v>
      </c>
      <c r="D1263" s="183">
        <f t="shared" si="259"/>
        <v>364.861450030291</v>
      </c>
      <c r="E1263" s="96">
        <f t="shared" si="260"/>
        <v>11.94</v>
      </c>
      <c r="F1263" s="96">
        <f t="shared" si="261"/>
        <v>1.27</v>
      </c>
      <c r="G1263" s="183">
        <f t="shared" si="262"/>
        <v>168.56598991399443</v>
      </c>
      <c r="H1263" s="215">
        <f t="shared" si="253"/>
        <v>0.87357569180683659</v>
      </c>
      <c r="I1263" s="183">
        <f t="shared" si="263"/>
        <v>20126.779195730935</v>
      </c>
      <c r="J1263" s="366"/>
      <c r="K1263" s="366" t="s">
        <v>1250</v>
      </c>
      <c r="L1263" s="366"/>
      <c r="M1263" s="373"/>
      <c r="N1263" s="191">
        <v>41744</v>
      </c>
      <c r="O1263" s="366">
        <v>461</v>
      </c>
      <c r="P1263" s="366" t="s">
        <v>187</v>
      </c>
      <c r="Q1263" s="366">
        <v>172</v>
      </c>
      <c r="R1263" s="366">
        <v>6</v>
      </c>
      <c r="S1263" s="366">
        <v>800</v>
      </c>
      <c r="T1263" s="366">
        <v>96</v>
      </c>
      <c r="U1263" s="366">
        <v>400</v>
      </c>
      <c r="V1263" s="366">
        <v>8</v>
      </c>
      <c r="W1263" s="366">
        <v>26.5</v>
      </c>
      <c r="X1263" s="366">
        <v>2.5</v>
      </c>
      <c r="Y1263" s="366">
        <v>40</v>
      </c>
      <c r="Z1263" s="366"/>
      <c r="AA1263" s="117"/>
      <c r="AB1263" s="51"/>
      <c r="AC1263" s="366"/>
      <c r="AD1263" s="366"/>
      <c r="AE1263" s="366"/>
      <c r="AF1263" s="366"/>
      <c r="AG1263" s="349">
        <v>4.62</v>
      </c>
      <c r="AH1263" s="113">
        <v>364.861450030291</v>
      </c>
      <c r="AI1263" s="53"/>
      <c r="AJ1263" s="53">
        <v>11.94</v>
      </c>
      <c r="AK1263" s="53">
        <v>1.27</v>
      </c>
      <c r="AL1263" s="53">
        <f>161/184.3</f>
        <v>0.87357569180683659</v>
      </c>
      <c r="AM1263" s="366"/>
      <c r="AN1263" s="24">
        <f t="shared" si="254"/>
        <v>168.56598991399443</v>
      </c>
      <c r="AO1263" s="118">
        <f t="shared" si="255"/>
        <v>20126.779195730935</v>
      </c>
      <c r="AP1263" s="187">
        <f t="shared" si="256"/>
        <v>2.8875000000000002</v>
      </c>
      <c r="AQ1263" s="373"/>
      <c r="AR1263" s="44"/>
      <c r="AS1263" s="366"/>
      <c r="AT1263" s="366"/>
    </row>
    <row r="1264" spans="1:46" ht="12">
      <c r="A1264" s="256" t="s">
        <v>1636</v>
      </c>
      <c r="B1264" s="256" t="str">
        <f t="shared" si="257"/>
        <v>MgO</v>
      </c>
      <c r="C1264" s="32">
        <f t="shared" si="258"/>
        <v>3.36</v>
      </c>
      <c r="D1264" s="279">
        <f t="shared" si="259"/>
        <v>596.44588139426105</v>
      </c>
      <c r="E1264" s="78">
        <f t="shared" si="260"/>
        <v>7.92</v>
      </c>
      <c r="F1264" s="78">
        <f t="shared" si="261"/>
        <v>1.21</v>
      </c>
      <c r="G1264" s="279">
        <f t="shared" si="262"/>
        <v>230.82455609957901</v>
      </c>
      <c r="H1264" s="190">
        <f t="shared" si="253"/>
        <v>0.61082594493700415</v>
      </c>
      <c r="I1264" s="279">
        <f t="shared" si="263"/>
        <v>18281.304843086658</v>
      </c>
      <c r="J1264" s="67"/>
      <c r="K1264" s="359" t="s">
        <v>1620</v>
      </c>
      <c r="L1264" s="67"/>
      <c r="M1264" s="371"/>
      <c r="N1264" s="309">
        <v>41751</v>
      </c>
      <c r="O1264" s="67">
        <v>463</v>
      </c>
      <c r="P1264" s="67" t="s">
        <v>46</v>
      </c>
      <c r="Q1264" s="67"/>
      <c r="R1264" s="67">
        <v>1</v>
      </c>
      <c r="S1264" s="67">
        <v>800</v>
      </c>
      <c r="T1264" s="67">
        <v>69</v>
      </c>
      <c r="U1264" s="67">
        <v>400</v>
      </c>
      <c r="V1264" s="67">
        <v>8</v>
      </c>
      <c r="W1264" s="67">
        <v>26.5</v>
      </c>
      <c r="X1264" s="67">
        <v>2.5</v>
      </c>
      <c r="Y1264" s="67">
        <v>40</v>
      </c>
      <c r="Z1264" s="67"/>
      <c r="AA1264" s="159"/>
      <c r="AB1264" s="182">
        <v>0.1734</v>
      </c>
      <c r="AC1264" s="67">
        <v>0.62380000000000002</v>
      </c>
      <c r="AD1264" s="67">
        <v>0.20280000000000001</v>
      </c>
      <c r="AE1264" s="256" t="s">
        <v>1621</v>
      </c>
      <c r="AF1264" s="67">
        <v>3.36</v>
      </c>
      <c r="AG1264" s="315">
        <v>3.87</v>
      </c>
      <c r="AH1264" s="66">
        <v>596.44588139426105</v>
      </c>
      <c r="AI1264" s="216"/>
      <c r="AJ1264" s="216">
        <v>7.92</v>
      </c>
      <c r="AK1264" s="216">
        <v>1.21</v>
      </c>
      <c r="AL1264" s="216">
        <f>261.8/428.6</f>
        <v>0.61082594493700415</v>
      </c>
      <c r="AM1264" s="67"/>
      <c r="AN1264" s="24">
        <f t="shared" si="254"/>
        <v>230.82455609957901</v>
      </c>
      <c r="AO1264" s="118">
        <f t="shared" si="255"/>
        <v>18281.304843086658</v>
      </c>
      <c r="AP1264" s="187">
        <f t="shared" si="256"/>
        <v>3.3652173913043479</v>
      </c>
      <c r="AQ1264" s="371"/>
      <c r="AR1264" s="41"/>
      <c r="AS1264" s="67"/>
      <c r="AT1264" s="67"/>
    </row>
    <row r="1265" spans="1:46" ht="12">
      <c r="A1265" s="257" t="s">
        <v>1637</v>
      </c>
      <c r="B1265" s="257" t="str">
        <f t="shared" si="257"/>
        <v>SiNx</v>
      </c>
      <c r="C1265" s="280">
        <f t="shared" si="258"/>
        <v>0</v>
      </c>
      <c r="D1265" s="183">
        <f t="shared" si="259"/>
        <v>617.32059516127504</v>
      </c>
      <c r="E1265" s="96">
        <f t="shared" si="260"/>
        <v>10.45</v>
      </c>
      <c r="F1265" s="96">
        <f t="shared" si="261"/>
        <v>1.98</v>
      </c>
      <c r="G1265" s="183">
        <f t="shared" si="262"/>
        <v>193.22134628547909</v>
      </c>
      <c r="H1265" s="215">
        <f t="shared" si="253"/>
        <v>0.77719843577659686</v>
      </c>
      <c r="I1265" s="279">
        <f t="shared" si="263"/>
        <v>20191.630686832563</v>
      </c>
      <c r="J1265" s="366"/>
      <c r="K1265" s="366" t="s">
        <v>1250</v>
      </c>
      <c r="L1265" s="366"/>
      <c r="M1265" s="373"/>
      <c r="N1265" s="191">
        <v>41751</v>
      </c>
      <c r="O1265" s="366">
        <v>463</v>
      </c>
      <c r="P1265" s="366" t="s">
        <v>187</v>
      </c>
      <c r="Q1265" s="366">
        <v>172</v>
      </c>
      <c r="R1265" s="366">
        <v>3</v>
      </c>
      <c r="S1265" s="366">
        <v>800</v>
      </c>
      <c r="T1265" s="366">
        <v>69</v>
      </c>
      <c r="U1265" s="366">
        <v>400</v>
      </c>
      <c r="V1265" s="366">
        <v>8</v>
      </c>
      <c r="W1265" s="366">
        <v>26.5</v>
      </c>
      <c r="X1265" s="366">
        <v>2.5</v>
      </c>
      <c r="Y1265" s="366">
        <v>40</v>
      </c>
      <c r="Z1265" s="366"/>
      <c r="AA1265" s="117"/>
      <c r="AB1265" s="51"/>
      <c r="AC1265" s="366"/>
      <c r="AD1265" s="366"/>
      <c r="AE1265" s="366"/>
      <c r="AF1265" s="366"/>
      <c r="AG1265" s="349">
        <v>3.13</v>
      </c>
      <c r="AH1265" s="113">
        <v>617.32059516127504</v>
      </c>
      <c r="AI1265" s="53"/>
      <c r="AJ1265" s="53">
        <v>10.45</v>
      </c>
      <c r="AK1265" s="53">
        <v>1.98</v>
      </c>
      <c r="AL1265" s="53">
        <f>775.1/997.3</f>
        <v>0.77719843577659686</v>
      </c>
      <c r="AM1265" s="366"/>
      <c r="AN1265" s="24">
        <f t="shared" si="254"/>
        <v>193.22134628547909</v>
      </c>
      <c r="AO1265" s="118">
        <f t="shared" si="255"/>
        <v>20191.630686832563</v>
      </c>
      <c r="AP1265" s="187">
        <f t="shared" si="256"/>
        <v>2.7217391304347824</v>
      </c>
      <c r="AQ1265" s="373"/>
      <c r="AR1265" s="44"/>
      <c r="AS1265" s="366"/>
      <c r="AT1265" s="366"/>
    </row>
    <row r="1266" spans="1:46" ht="12">
      <c r="A1266" s="257" t="s">
        <v>1638</v>
      </c>
      <c r="B1266" s="257" t="str">
        <f t="shared" si="257"/>
        <v>SiNx</v>
      </c>
      <c r="C1266" s="280">
        <f t="shared" si="258"/>
        <v>0</v>
      </c>
      <c r="D1266" s="183">
        <f t="shared" si="259"/>
        <v>617.85584423222394</v>
      </c>
      <c r="E1266" s="96">
        <f t="shared" si="260"/>
        <v>10.43</v>
      </c>
      <c r="F1266" s="96">
        <f t="shared" si="261"/>
        <v>1.95</v>
      </c>
      <c r="G1266" s="183">
        <f t="shared" si="262"/>
        <v>192.15316755622163</v>
      </c>
      <c r="H1266" s="215">
        <f t="shared" si="253"/>
        <v>0.78917700112739564</v>
      </c>
      <c r="I1266" s="279">
        <f t="shared" si="263"/>
        <v>20041.575376113917</v>
      </c>
      <c r="J1266" s="366"/>
      <c r="K1266" s="366" t="s">
        <v>1250</v>
      </c>
      <c r="L1266" s="366"/>
      <c r="M1266" s="373"/>
      <c r="N1266" s="191">
        <v>41751</v>
      </c>
      <c r="O1266" s="366">
        <v>463</v>
      </c>
      <c r="P1266" s="366" t="s">
        <v>187</v>
      </c>
      <c r="Q1266" s="366">
        <v>172</v>
      </c>
      <c r="R1266" s="366">
        <v>6</v>
      </c>
      <c r="S1266" s="366">
        <v>800</v>
      </c>
      <c r="T1266" s="366">
        <v>69</v>
      </c>
      <c r="U1266" s="366">
        <v>400</v>
      </c>
      <c r="V1266" s="366">
        <v>8</v>
      </c>
      <c r="W1266" s="366">
        <v>26.5</v>
      </c>
      <c r="X1266" s="366">
        <v>2.5</v>
      </c>
      <c r="Y1266" s="366">
        <v>40</v>
      </c>
      <c r="Z1266" s="366"/>
      <c r="AA1266" s="117"/>
      <c r="AB1266" s="51"/>
      <c r="AC1266" s="366"/>
      <c r="AD1266" s="366"/>
      <c r="AE1266" s="366"/>
      <c r="AF1266" s="366"/>
      <c r="AG1266" s="349">
        <v>3.11</v>
      </c>
      <c r="AH1266" s="113">
        <v>617.85584423222394</v>
      </c>
      <c r="AI1266" s="53"/>
      <c r="AJ1266" s="53">
        <v>10.43</v>
      </c>
      <c r="AK1266" s="53">
        <v>1.95</v>
      </c>
      <c r="AL1266" s="53">
        <f>280/354.8</f>
        <v>0.78917700112739564</v>
      </c>
      <c r="AM1266" s="366"/>
      <c r="AN1266" s="24">
        <f t="shared" si="254"/>
        <v>192.15316755622163</v>
      </c>
      <c r="AO1266" s="118">
        <f t="shared" si="255"/>
        <v>20041.575376113917</v>
      </c>
      <c r="AP1266" s="187">
        <f t="shared" si="256"/>
        <v>2.7043478260869565</v>
      </c>
      <c r="AQ1266" s="373"/>
      <c r="AR1266" s="44"/>
      <c r="AS1266" s="366"/>
      <c r="AT1266" s="366"/>
    </row>
    <row r="1267" spans="1:46" ht="12">
      <c r="A1267" s="256" t="s">
        <v>1639</v>
      </c>
      <c r="B1267" s="256" t="str">
        <f t="shared" si="257"/>
        <v>MgO</v>
      </c>
      <c r="C1267" s="32">
        <f t="shared" si="258"/>
        <v>2.88</v>
      </c>
      <c r="D1267" s="279">
        <f t="shared" si="259"/>
        <v>710.00789261395801</v>
      </c>
      <c r="E1267" s="78">
        <f t="shared" si="260"/>
        <v>7.93</v>
      </c>
      <c r="F1267" s="78">
        <f t="shared" si="261"/>
        <v>1.87</v>
      </c>
      <c r="G1267" s="279">
        <f t="shared" si="262"/>
        <v>232.17258088476427</v>
      </c>
      <c r="H1267" s="190">
        <f t="shared" si="253"/>
        <v>0.61621830849622594</v>
      </c>
      <c r="I1267" s="279">
        <f t="shared" si="263"/>
        <v>18411.285664161805</v>
      </c>
      <c r="J1267" s="67"/>
      <c r="K1267" s="359" t="s">
        <v>1620</v>
      </c>
      <c r="L1267" s="67"/>
      <c r="M1267" s="371"/>
      <c r="N1267" s="309">
        <v>45405</v>
      </c>
      <c r="O1267" s="67">
        <v>464</v>
      </c>
      <c r="P1267" s="67" t="s">
        <v>46</v>
      </c>
      <c r="Q1267" s="67"/>
      <c r="R1267" s="67">
        <v>1</v>
      </c>
      <c r="S1267" s="67">
        <v>800</v>
      </c>
      <c r="T1267" s="67">
        <v>60</v>
      </c>
      <c r="U1267" s="67">
        <v>400</v>
      </c>
      <c r="V1267" s="67">
        <v>8</v>
      </c>
      <c r="W1267" s="67">
        <v>26.5</v>
      </c>
      <c r="X1267" s="67">
        <v>2.5</v>
      </c>
      <c r="Y1267" s="67">
        <v>40</v>
      </c>
      <c r="Z1267" s="67"/>
      <c r="AA1267" s="159"/>
      <c r="AB1267" s="182">
        <v>0.17130000000000001</v>
      </c>
      <c r="AC1267" s="67">
        <v>0.65039999999999998</v>
      </c>
      <c r="AD1267" s="67">
        <v>0.1784</v>
      </c>
      <c r="AE1267" s="256" t="s">
        <v>1621</v>
      </c>
      <c r="AF1267" s="67">
        <v>2.88</v>
      </c>
      <c r="AG1267" s="315">
        <v>3.27</v>
      </c>
      <c r="AH1267" s="66">
        <v>710.00789261395801</v>
      </c>
      <c r="AI1267" s="216"/>
      <c r="AJ1267" s="216">
        <v>7.93</v>
      </c>
      <c r="AK1267" s="216">
        <v>1.87</v>
      </c>
      <c r="AL1267" s="216">
        <f>318.4/516.7</f>
        <v>0.61621830849622594</v>
      </c>
      <c r="AM1267" s="67"/>
      <c r="AN1267" s="24">
        <f t="shared" si="254"/>
        <v>232.17258088476427</v>
      </c>
      <c r="AO1267" s="118">
        <f t="shared" si="255"/>
        <v>18411.285664161805</v>
      </c>
      <c r="AP1267" s="187">
        <f t="shared" si="256"/>
        <v>3.27</v>
      </c>
      <c r="AQ1267" s="371"/>
      <c r="AR1267" s="41"/>
      <c r="AS1267" s="67"/>
      <c r="AT1267" s="67"/>
    </row>
    <row r="1268" spans="1:46" ht="12">
      <c r="A1268" s="257" t="s">
        <v>1640</v>
      </c>
      <c r="B1268" s="257" t="str">
        <f t="shared" si="257"/>
        <v>SiNx</v>
      </c>
      <c r="C1268" s="280">
        <f t="shared" si="258"/>
        <v>0</v>
      </c>
      <c r="D1268" s="183">
        <f t="shared" si="259"/>
        <v>808.22609713311397</v>
      </c>
      <c r="E1268" s="96">
        <f t="shared" si="260"/>
        <v>9.59</v>
      </c>
      <c r="F1268" s="96">
        <f t="shared" si="261"/>
        <v>2.38</v>
      </c>
      <c r="G1268" s="183">
        <f t="shared" si="262"/>
        <v>205.28942867181095</v>
      </c>
      <c r="H1268" s="215">
        <f t="shared" ref="H1268:H1299" si="264">AL1268</f>
        <v>0.74610684013404294</v>
      </c>
      <c r="I1268" s="279">
        <f t="shared" si="263"/>
        <v>19687.25620962667</v>
      </c>
      <c r="J1268" s="366"/>
      <c r="K1268" s="366" t="s">
        <v>1250</v>
      </c>
      <c r="L1268" s="366"/>
      <c r="M1268" s="373"/>
      <c r="N1268" s="191">
        <v>45405</v>
      </c>
      <c r="O1268" s="366">
        <v>464</v>
      </c>
      <c r="P1268" s="366" t="s">
        <v>187</v>
      </c>
      <c r="Q1268" s="366">
        <v>172</v>
      </c>
      <c r="R1268" s="366">
        <v>3</v>
      </c>
      <c r="S1268" s="366">
        <v>800</v>
      </c>
      <c r="T1268" s="366">
        <v>60</v>
      </c>
      <c r="U1268" s="366">
        <v>400</v>
      </c>
      <c r="V1268" s="366">
        <v>8</v>
      </c>
      <c r="W1268" s="366">
        <v>26.5</v>
      </c>
      <c r="X1268" s="366">
        <v>2.5</v>
      </c>
      <c r="Y1268" s="366">
        <v>40</v>
      </c>
      <c r="Z1268" s="366"/>
      <c r="AA1268" s="117"/>
      <c r="AB1268" s="51"/>
      <c r="AC1268" s="366"/>
      <c r="AD1268" s="366"/>
      <c r="AE1268" s="366"/>
      <c r="AF1268" s="366"/>
      <c r="AG1268" s="349">
        <v>2.54</v>
      </c>
      <c r="AH1268" s="113">
        <v>808.22609713311397</v>
      </c>
      <c r="AI1268" s="53"/>
      <c r="AJ1268" s="53">
        <v>9.59</v>
      </c>
      <c r="AK1268" s="53">
        <v>2.38</v>
      </c>
      <c r="AL1268" s="53">
        <f>378.5/507.3</f>
        <v>0.74610684013404294</v>
      </c>
      <c r="AM1268" s="366"/>
      <c r="AN1268" s="24">
        <f t="shared" si="254"/>
        <v>205.28942867181095</v>
      </c>
      <c r="AO1268" s="118">
        <f t="shared" si="255"/>
        <v>19687.25620962667</v>
      </c>
      <c r="AP1268" s="187">
        <f t="shared" si="256"/>
        <v>2.54</v>
      </c>
      <c r="AQ1268" s="373"/>
      <c r="AR1268" s="44"/>
      <c r="AS1268" s="366"/>
      <c r="AT1268" s="366"/>
    </row>
    <row r="1269" spans="1:46" ht="12">
      <c r="A1269" s="257" t="s">
        <v>1641</v>
      </c>
      <c r="B1269" s="257" t="str">
        <f t="shared" si="257"/>
        <v>SiNx</v>
      </c>
      <c r="C1269" s="280">
        <f t="shared" si="258"/>
        <v>0</v>
      </c>
      <c r="D1269" s="183">
        <f t="shared" si="259"/>
        <v>812.50808970070705</v>
      </c>
      <c r="E1269" s="96">
        <f t="shared" si="260"/>
        <v>9.5</v>
      </c>
      <c r="F1269" s="96">
        <f t="shared" si="261"/>
        <v>2.37</v>
      </c>
      <c r="G1269" s="183">
        <f t="shared" si="262"/>
        <v>207.18956287368027</v>
      </c>
      <c r="H1269" s="215">
        <f t="shared" si="264"/>
        <v>0.74133811230585434</v>
      </c>
      <c r="I1269" s="279">
        <f t="shared" si="263"/>
        <v>19683.008472999627</v>
      </c>
      <c r="J1269" s="366"/>
      <c r="K1269" s="366" t="s">
        <v>1250</v>
      </c>
      <c r="L1269" s="366"/>
      <c r="M1269" s="373"/>
      <c r="N1269" s="191">
        <v>45405</v>
      </c>
      <c r="O1269" s="366">
        <v>464</v>
      </c>
      <c r="P1269" s="366" t="s">
        <v>187</v>
      </c>
      <c r="Q1269" s="366">
        <v>172</v>
      </c>
      <c r="R1269" s="366">
        <v>6</v>
      </c>
      <c r="S1269" s="366">
        <v>800</v>
      </c>
      <c r="T1269" s="366">
        <v>60</v>
      </c>
      <c r="U1269" s="366">
        <v>400</v>
      </c>
      <c r="V1269" s="366">
        <v>8</v>
      </c>
      <c r="W1269" s="366">
        <v>26.5</v>
      </c>
      <c r="X1269" s="366">
        <v>2.5</v>
      </c>
      <c r="Y1269" s="366">
        <v>40</v>
      </c>
      <c r="Z1269" s="366"/>
      <c r="AA1269" s="117"/>
      <c r="AB1269" s="51"/>
      <c r="AC1269" s="366"/>
      <c r="AD1269" s="366"/>
      <c r="AE1269" s="366"/>
      <c r="AF1269" s="366"/>
      <c r="AG1269" s="349">
        <v>2.5499999999999998</v>
      </c>
      <c r="AH1269" s="113">
        <v>812.50808970070705</v>
      </c>
      <c r="AI1269" s="53"/>
      <c r="AJ1269" s="53">
        <v>9.5</v>
      </c>
      <c r="AK1269" s="53">
        <v>2.37</v>
      </c>
      <c r="AL1269" s="53">
        <f>372.3/502.2</f>
        <v>0.74133811230585434</v>
      </c>
      <c r="AM1269" s="366"/>
      <c r="AN1269" s="24">
        <f t="shared" si="254"/>
        <v>207.18956287368027</v>
      </c>
      <c r="AO1269" s="118">
        <f t="shared" si="255"/>
        <v>19683.008472999627</v>
      </c>
      <c r="AP1269" s="187">
        <f t="shared" si="256"/>
        <v>2.5499999999999998</v>
      </c>
      <c r="AQ1269" s="373"/>
      <c r="AR1269" s="44"/>
      <c r="AS1269" s="366"/>
      <c r="AT1269" s="366"/>
    </row>
    <row r="1270" spans="1:46" ht="12">
      <c r="A1270" s="256" t="s">
        <v>1642</v>
      </c>
      <c r="B1270" s="256" t="str">
        <f t="shared" si="257"/>
        <v>MgO</v>
      </c>
      <c r="C1270" s="32">
        <f t="shared" si="258"/>
        <v>5.68</v>
      </c>
      <c r="D1270" s="279">
        <f t="shared" si="259"/>
        <v>289.51622247635902</v>
      </c>
      <c r="E1270" s="78">
        <f t="shared" si="260"/>
        <v>10.97</v>
      </c>
      <c r="F1270" s="78">
        <f t="shared" si="261"/>
        <v>1.1399999999999999</v>
      </c>
      <c r="G1270" s="279">
        <f t="shared" si="262"/>
        <v>201.50329084354587</v>
      </c>
      <c r="H1270" s="190">
        <f t="shared" si="264"/>
        <v>0.70449438202247194</v>
      </c>
      <c r="I1270" s="279">
        <f t="shared" si="263"/>
        <v>22104.911005536982</v>
      </c>
      <c r="J1270" s="359"/>
      <c r="K1270" s="359" t="s">
        <v>1620</v>
      </c>
      <c r="L1270" s="359"/>
      <c r="M1270" s="338"/>
      <c r="N1270" s="89">
        <v>41754</v>
      </c>
      <c r="O1270" s="359">
        <v>465</v>
      </c>
      <c r="P1270" s="67" t="s">
        <v>46</v>
      </c>
      <c r="Q1270" s="67"/>
      <c r="R1270" s="67">
        <v>1</v>
      </c>
      <c r="S1270" s="67">
        <v>800</v>
      </c>
      <c r="T1270" s="67">
        <v>111</v>
      </c>
      <c r="U1270" s="67">
        <v>400</v>
      </c>
      <c r="V1270" s="67">
        <v>8</v>
      </c>
      <c r="W1270" s="67">
        <v>26.5</v>
      </c>
      <c r="X1270" s="67">
        <v>2.5</v>
      </c>
      <c r="Y1270" s="67">
        <v>40</v>
      </c>
      <c r="Z1270" s="359"/>
      <c r="AA1270" s="210"/>
      <c r="AB1270" s="248">
        <v>0.21190000000000001</v>
      </c>
      <c r="AC1270" s="359">
        <v>0.51229999999999998</v>
      </c>
      <c r="AD1270" s="359">
        <v>0.27589999999999998</v>
      </c>
      <c r="AE1270" s="256" t="s">
        <v>1621</v>
      </c>
      <c r="AF1270" s="359">
        <v>5.68</v>
      </c>
      <c r="AG1270" s="153">
        <v>6.96</v>
      </c>
      <c r="AH1270" s="346">
        <v>289.51622247635902</v>
      </c>
      <c r="AI1270" s="24"/>
      <c r="AJ1270" s="24">
        <v>10.97</v>
      </c>
      <c r="AK1270" s="24">
        <v>1.1399999999999999</v>
      </c>
      <c r="AL1270" s="24">
        <f>125.4/178</f>
        <v>0.70449438202247194</v>
      </c>
      <c r="AM1270" s="359"/>
      <c r="AN1270" s="24">
        <f t="shared" si="254"/>
        <v>201.50329084354587</v>
      </c>
      <c r="AO1270" s="118">
        <f t="shared" si="255"/>
        <v>22104.911005536982</v>
      </c>
      <c r="AP1270" s="187">
        <f t="shared" si="256"/>
        <v>3.7621621621621619</v>
      </c>
      <c r="AQ1270" s="338"/>
      <c r="AR1270" s="45"/>
      <c r="AS1270" s="359"/>
      <c r="AT1270" s="359"/>
    </row>
    <row r="1271" spans="1:46" ht="12">
      <c r="A1271" s="257" t="s">
        <v>1643</v>
      </c>
      <c r="B1271" s="257" t="str">
        <f t="shared" si="257"/>
        <v>SiNx</v>
      </c>
      <c r="C1271" s="280">
        <f t="shared" si="258"/>
        <v>0</v>
      </c>
      <c r="D1271" s="183">
        <f t="shared" si="259"/>
        <v>297.77689980467301</v>
      </c>
      <c r="E1271" s="96">
        <f t="shared" si="260"/>
        <v>12.33</v>
      </c>
      <c r="F1271" s="96">
        <f t="shared" si="261"/>
        <v>1.04</v>
      </c>
      <c r="G1271" s="183">
        <f t="shared" si="262"/>
        <v>160.79952589452344</v>
      </c>
      <c r="H1271" s="215">
        <f t="shared" si="264"/>
        <v>0.9063208259884159</v>
      </c>
      <c r="I1271" s="279">
        <f t="shared" si="263"/>
        <v>19826.581542794738</v>
      </c>
      <c r="J1271" s="366"/>
      <c r="K1271" s="366" t="s">
        <v>1250</v>
      </c>
      <c r="L1271" s="366"/>
      <c r="M1271" s="373"/>
      <c r="N1271" s="191">
        <v>41754</v>
      </c>
      <c r="O1271" s="366">
        <v>465</v>
      </c>
      <c r="P1271" s="366" t="s">
        <v>187</v>
      </c>
      <c r="Q1271" s="366">
        <v>172</v>
      </c>
      <c r="R1271" s="366">
        <v>3</v>
      </c>
      <c r="S1271" s="366">
        <v>800</v>
      </c>
      <c r="T1271" s="366">
        <v>111</v>
      </c>
      <c r="U1271" s="366">
        <v>400</v>
      </c>
      <c r="V1271" s="366">
        <v>8</v>
      </c>
      <c r="W1271" s="366">
        <v>26.5</v>
      </c>
      <c r="X1271" s="366">
        <v>2.5</v>
      </c>
      <c r="Y1271" s="366">
        <v>40</v>
      </c>
      <c r="Z1271" s="366"/>
      <c r="AA1271" s="117"/>
      <c r="AB1271" s="51"/>
      <c r="AC1271" s="366"/>
      <c r="AD1271" s="366"/>
      <c r="AE1271" s="366"/>
      <c r="AF1271" s="366"/>
      <c r="AG1271" s="349">
        <v>5.4</v>
      </c>
      <c r="AH1271" s="113">
        <v>297.77689980467301</v>
      </c>
      <c r="AI1271" s="53"/>
      <c r="AJ1271" s="53">
        <v>12.33</v>
      </c>
      <c r="AK1271" s="53">
        <v>1.04</v>
      </c>
      <c r="AL1271" s="53">
        <f>359.9/397.1</f>
        <v>0.9063208259884159</v>
      </c>
      <c r="AM1271" s="366"/>
      <c r="AN1271" s="24">
        <f t="shared" si="254"/>
        <v>160.79952589452344</v>
      </c>
      <c r="AO1271" s="118">
        <f t="shared" si="255"/>
        <v>19826.581542794738</v>
      </c>
      <c r="AP1271" s="187">
        <f t="shared" si="256"/>
        <v>2.9189189189189193</v>
      </c>
      <c r="AQ1271" s="373"/>
      <c r="AR1271" s="44"/>
      <c r="AS1271" s="366"/>
      <c r="AT1271" s="366"/>
    </row>
    <row r="1272" spans="1:46" ht="12">
      <c r="A1272" s="257" t="s">
        <v>1644</v>
      </c>
      <c r="B1272" s="257" t="str">
        <f t="shared" si="257"/>
        <v>SiNx</v>
      </c>
      <c r="C1272" s="280">
        <f t="shared" si="258"/>
        <v>0</v>
      </c>
      <c r="D1272" s="183">
        <f t="shared" si="259"/>
        <v>284.75250574491201</v>
      </c>
      <c r="E1272" s="96">
        <f t="shared" si="260"/>
        <v>12.34</v>
      </c>
      <c r="F1272" s="96">
        <f t="shared" si="261"/>
        <v>1.01</v>
      </c>
      <c r="G1272" s="183">
        <f t="shared" si="262"/>
        <v>156.0443731482118</v>
      </c>
      <c r="H1272" s="215">
        <f t="shared" si="264"/>
        <v>0.89563974267333801</v>
      </c>
      <c r="I1272" s="279">
        <f t="shared" si="263"/>
        <v>19255.875646489334</v>
      </c>
      <c r="J1272" s="366"/>
      <c r="K1272" s="366" t="s">
        <v>1250</v>
      </c>
      <c r="L1272" s="366"/>
      <c r="M1272" s="373"/>
      <c r="N1272" s="191">
        <v>41754</v>
      </c>
      <c r="O1272" s="366">
        <v>465</v>
      </c>
      <c r="P1272" s="366" t="s">
        <v>187</v>
      </c>
      <c r="Q1272" s="366">
        <v>172</v>
      </c>
      <c r="R1272" s="366">
        <v>6</v>
      </c>
      <c r="S1272" s="366">
        <v>800</v>
      </c>
      <c r="T1272" s="366">
        <v>111</v>
      </c>
      <c r="U1272" s="366">
        <v>400</v>
      </c>
      <c r="V1272" s="366">
        <v>8</v>
      </c>
      <c r="W1272" s="366">
        <v>26.5</v>
      </c>
      <c r="X1272" s="366">
        <v>2.5</v>
      </c>
      <c r="Y1272" s="366">
        <v>40</v>
      </c>
      <c r="Z1272" s="366"/>
      <c r="AA1272" s="117"/>
      <c r="AB1272" s="51"/>
      <c r="AC1272" s="366"/>
      <c r="AD1272" s="366"/>
      <c r="AE1272" s="366"/>
      <c r="AF1272" s="366"/>
      <c r="AG1272" s="349">
        <v>5.48</v>
      </c>
      <c r="AH1272" s="113">
        <v>284.75250574491201</v>
      </c>
      <c r="AI1272" s="53"/>
      <c r="AJ1272" s="53">
        <v>12.34</v>
      </c>
      <c r="AK1272" s="53">
        <v>1.01</v>
      </c>
      <c r="AL1272" s="53">
        <f>125.3/139.9</f>
        <v>0.89563974267333801</v>
      </c>
      <c r="AM1272" s="366"/>
      <c r="AN1272" s="24">
        <f t="shared" si="254"/>
        <v>156.0443731482118</v>
      </c>
      <c r="AO1272" s="118">
        <f t="shared" si="255"/>
        <v>19255.875646489334</v>
      </c>
      <c r="AP1272" s="187">
        <f t="shared" si="256"/>
        <v>2.9621621621621621</v>
      </c>
      <c r="AQ1272" s="373"/>
      <c r="AR1272" s="44"/>
      <c r="AS1272" s="366"/>
      <c r="AT1272" s="366"/>
    </row>
    <row r="1273" spans="1:46" ht="12">
      <c r="A1273" s="257" t="s">
        <v>1645</v>
      </c>
      <c r="B1273" s="257" t="str">
        <f t="shared" si="257"/>
        <v>SiNx</v>
      </c>
      <c r="C1273" s="280">
        <f t="shared" si="258"/>
        <v>0</v>
      </c>
      <c r="D1273" s="183">
        <f t="shared" si="259"/>
        <v>550.77129400660601</v>
      </c>
      <c r="E1273" s="96">
        <f t="shared" si="260"/>
        <v>10.88</v>
      </c>
      <c r="F1273" s="96">
        <f t="shared" si="261"/>
        <v>1.83</v>
      </c>
      <c r="G1273" s="183">
        <f t="shared" si="262"/>
        <v>188.36378255025926</v>
      </c>
      <c r="H1273" s="215">
        <f t="shared" si="264"/>
        <v>0.79980781550288271</v>
      </c>
      <c r="I1273" s="279">
        <f t="shared" si="263"/>
        <v>20493.979541468208</v>
      </c>
      <c r="J1273" s="366"/>
      <c r="K1273" s="366" t="s">
        <v>1250</v>
      </c>
      <c r="L1273" s="366"/>
      <c r="M1273" s="373"/>
      <c r="N1273" s="191">
        <v>41775</v>
      </c>
      <c r="O1273" s="366">
        <v>470</v>
      </c>
      <c r="P1273" s="366" t="s">
        <v>187</v>
      </c>
      <c r="Q1273" s="366">
        <v>172</v>
      </c>
      <c r="R1273" s="366">
        <v>3</v>
      </c>
      <c r="S1273" s="366">
        <v>800</v>
      </c>
      <c r="T1273" s="366">
        <v>75</v>
      </c>
      <c r="U1273" s="366">
        <v>400</v>
      </c>
      <c r="V1273" s="366">
        <v>8</v>
      </c>
      <c r="W1273" s="366">
        <v>26.5</v>
      </c>
      <c r="X1273" s="366">
        <v>2.5</v>
      </c>
      <c r="Y1273" s="366">
        <v>40</v>
      </c>
      <c r="Z1273" s="366"/>
      <c r="AA1273" s="117"/>
      <c r="AB1273" s="51"/>
      <c r="AC1273" s="366"/>
      <c r="AD1273" s="366"/>
      <c r="AE1273" s="366"/>
      <c r="AF1273" s="366"/>
      <c r="AG1273" s="349">
        <v>3.42</v>
      </c>
      <c r="AH1273" s="113">
        <v>550.77129400660601</v>
      </c>
      <c r="AI1273" s="53"/>
      <c r="AJ1273" s="53">
        <v>10.88</v>
      </c>
      <c r="AK1273" s="53">
        <v>1.83</v>
      </c>
      <c r="AL1273" s="53">
        <f>249.7/312.2</f>
        <v>0.79980781550288271</v>
      </c>
      <c r="AM1273" s="366"/>
      <c r="AN1273" s="24">
        <f t="shared" si="254"/>
        <v>188.36378255025926</v>
      </c>
      <c r="AO1273" s="118">
        <f t="shared" si="255"/>
        <v>20493.979541468208</v>
      </c>
      <c r="AP1273" s="187">
        <f t="shared" si="256"/>
        <v>2.7360000000000002</v>
      </c>
      <c r="AQ1273" s="373"/>
      <c r="AR1273" s="44"/>
      <c r="AS1273" s="366"/>
      <c r="AT1273" s="366"/>
    </row>
    <row r="1274" spans="1:46" ht="12">
      <c r="A1274" s="257" t="s">
        <v>1646</v>
      </c>
      <c r="B1274" s="257" t="str">
        <f t="shared" si="257"/>
        <v>SiNx</v>
      </c>
      <c r="C1274" s="280">
        <f t="shared" si="258"/>
        <v>0</v>
      </c>
      <c r="D1274" s="183">
        <f t="shared" si="259"/>
        <v>576.10641669819597</v>
      </c>
      <c r="E1274" s="96">
        <f t="shared" si="260"/>
        <v>10.73</v>
      </c>
      <c r="F1274" s="96">
        <f t="shared" si="261"/>
        <v>1.86</v>
      </c>
      <c r="G1274" s="183">
        <f t="shared" si="262"/>
        <v>192.99564959389565</v>
      </c>
      <c r="H1274" s="215">
        <f t="shared" si="264"/>
        <v>0.78785211267605626</v>
      </c>
      <c r="I1274" s="279">
        <f t="shared" si="263"/>
        <v>20708.433201425003</v>
      </c>
      <c r="J1274" s="366"/>
      <c r="K1274" s="366" t="s">
        <v>1250</v>
      </c>
      <c r="L1274" s="366"/>
      <c r="M1274" s="373"/>
      <c r="N1274" s="191">
        <v>41775</v>
      </c>
      <c r="O1274" s="366">
        <v>470</v>
      </c>
      <c r="P1274" s="366" t="s">
        <v>187</v>
      </c>
      <c r="Q1274" s="366">
        <v>172</v>
      </c>
      <c r="R1274" s="366">
        <v>6</v>
      </c>
      <c r="S1274" s="366">
        <v>800</v>
      </c>
      <c r="T1274" s="366">
        <v>75</v>
      </c>
      <c r="U1274" s="366">
        <v>400</v>
      </c>
      <c r="V1274" s="366">
        <v>8</v>
      </c>
      <c r="W1274" s="366">
        <v>26.5</v>
      </c>
      <c r="X1274" s="366">
        <v>2.5</v>
      </c>
      <c r="Y1274" s="366">
        <v>40</v>
      </c>
      <c r="Z1274" s="366"/>
      <c r="AA1274" s="117"/>
      <c r="AB1274" s="51"/>
      <c r="AC1274" s="366"/>
      <c r="AD1274" s="366"/>
      <c r="AE1274" s="366"/>
      <c r="AF1274" s="366"/>
      <c r="AG1274" s="349">
        <v>3.35</v>
      </c>
      <c r="AH1274" s="113">
        <v>576.10641669819597</v>
      </c>
      <c r="AI1274" s="53"/>
      <c r="AJ1274" s="53">
        <v>10.73</v>
      </c>
      <c r="AK1274" s="53">
        <v>1.86</v>
      </c>
      <c r="AL1274" s="53">
        <f>268.5/340.8</f>
        <v>0.78785211267605626</v>
      </c>
      <c r="AM1274" s="366"/>
      <c r="AN1274" s="24">
        <f t="shared" si="254"/>
        <v>192.99564959389565</v>
      </c>
      <c r="AO1274" s="118">
        <f t="shared" si="255"/>
        <v>20708.433201425003</v>
      </c>
      <c r="AP1274" s="187">
        <f t="shared" si="256"/>
        <v>2.68</v>
      </c>
      <c r="AQ1274" s="373"/>
      <c r="AR1274" s="44"/>
      <c r="AS1274" s="366"/>
      <c r="AT1274" s="366"/>
    </row>
    <row r="1275" spans="1:46" ht="12">
      <c r="A1275" s="257" t="s">
        <v>1647</v>
      </c>
      <c r="B1275" s="257" t="str">
        <f t="shared" si="257"/>
        <v>SiNx</v>
      </c>
      <c r="C1275" s="280">
        <f t="shared" si="258"/>
        <v>0</v>
      </c>
      <c r="D1275" s="183">
        <f t="shared" si="259"/>
        <v>470.84076607820998</v>
      </c>
      <c r="E1275" s="96">
        <f t="shared" si="260"/>
        <v>11.49</v>
      </c>
      <c r="F1275" s="96">
        <f t="shared" si="261"/>
        <v>1.58</v>
      </c>
      <c r="G1275" s="183">
        <f t="shared" si="262"/>
        <v>180.33201340795443</v>
      </c>
      <c r="H1275" s="215">
        <f t="shared" si="264"/>
        <v>0.83488843813387426</v>
      </c>
      <c r="I1275" s="279">
        <f t="shared" si="263"/>
        <v>20720.148340573964</v>
      </c>
      <c r="J1275" s="366"/>
      <c r="K1275" s="366" t="s">
        <v>1250</v>
      </c>
      <c r="L1275" s="366"/>
      <c r="M1275" s="373"/>
      <c r="N1275" s="191">
        <v>41778</v>
      </c>
      <c r="O1275" s="366">
        <v>471</v>
      </c>
      <c r="P1275" s="366" t="s">
        <v>187</v>
      </c>
      <c r="Q1275" s="366">
        <v>172</v>
      </c>
      <c r="R1275" s="366">
        <v>3</v>
      </c>
      <c r="S1275" s="366">
        <v>800</v>
      </c>
      <c r="T1275" s="366">
        <v>84</v>
      </c>
      <c r="U1275" s="366">
        <v>400</v>
      </c>
      <c r="V1275" s="366">
        <v>8</v>
      </c>
      <c r="W1275" s="366">
        <v>26.5</v>
      </c>
      <c r="X1275" s="366">
        <v>2.5</v>
      </c>
      <c r="Y1275" s="366">
        <v>40</v>
      </c>
      <c r="Z1275" s="366"/>
      <c r="AA1275" s="117"/>
      <c r="AB1275" s="51"/>
      <c r="AC1275" s="366"/>
      <c r="AD1275" s="366"/>
      <c r="AE1275" s="366"/>
      <c r="AF1275" s="366"/>
      <c r="AG1275" s="349">
        <v>3.83</v>
      </c>
      <c r="AH1275" s="113">
        <v>470.84076607820998</v>
      </c>
      <c r="AI1275" s="53"/>
      <c r="AJ1275" s="53">
        <v>11.49</v>
      </c>
      <c r="AK1275" s="53">
        <v>1.58</v>
      </c>
      <c r="AL1275" s="53">
        <f>205.8/246.5</f>
        <v>0.83488843813387426</v>
      </c>
      <c r="AM1275" s="366"/>
      <c r="AN1275" s="24">
        <f t="shared" si="254"/>
        <v>180.33201340795443</v>
      </c>
      <c r="AO1275" s="118">
        <f t="shared" si="255"/>
        <v>20720.148340573964</v>
      </c>
      <c r="AP1275" s="187">
        <f t="shared" si="256"/>
        <v>2.7357142857142858</v>
      </c>
      <c r="AQ1275" s="373"/>
      <c r="AR1275" s="44"/>
      <c r="AS1275" s="366"/>
      <c r="AT1275" s="366"/>
    </row>
    <row r="1276" spans="1:46" ht="12">
      <c r="A1276" s="257" t="s">
        <v>1648</v>
      </c>
      <c r="B1276" s="257" t="str">
        <f t="shared" si="257"/>
        <v>SiNx</v>
      </c>
      <c r="C1276" s="280">
        <f t="shared" si="258"/>
        <v>0</v>
      </c>
      <c r="D1276" s="183">
        <f t="shared" si="259"/>
        <v>479.226334856412</v>
      </c>
      <c r="E1276" s="96">
        <f t="shared" si="260"/>
        <v>11.44</v>
      </c>
      <c r="F1276" s="96">
        <f t="shared" si="261"/>
        <v>1.6</v>
      </c>
      <c r="G1276" s="183">
        <f t="shared" si="262"/>
        <v>181.14755457572375</v>
      </c>
      <c r="H1276" s="215">
        <f t="shared" si="264"/>
        <v>0.82920989624900243</v>
      </c>
      <c r="I1276" s="279">
        <f t="shared" si="263"/>
        <v>20723.280243462796</v>
      </c>
      <c r="J1276" s="366"/>
      <c r="K1276" s="366" t="s">
        <v>1250</v>
      </c>
      <c r="L1276" s="366"/>
      <c r="M1276" s="373"/>
      <c r="N1276" s="191">
        <v>41778</v>
      </c>
      <c r="O1276" s="366">
        <v>471</v>
      </c>
      <c r="P1276" s="366" t="s">
        <v>187</v>
      </c>
      <c r="Q1276" s="366">
        <v>172</v>
      </c>
      <c r="R1276" s="366">
        <v>6</v>
      </c>
      <c r="S1276" s="366">
        <v>800</v>
      </c>
      <c r="T1276" s="366">
        <v>84</v>
      </c>
      <c r="U1276" s="366">
        <v>400</v>
      </c>
      <c r="V1276" s="366">
        <v>8</v>
      </c>
      <c r="W1276" s="366">
        <v>26.5</v>
      </c>
      <c r="X1276" s="366">
        <v>2.5</v>
      </c>
      <c r="Y1276" s="366">
        <v>40</v>
      </c>
      <c r="Z1276" s="366"/>
      <c r="AA1276" s="117"/>
      <c r="AB1276" s="51"/>
      <c r="AC1276" s="366"/>
      <c r="AD1276" s="366"/>
      <c r="AE1276" s="366"/>
      <c r="AF1276" s="366"/>
      <c r="AG1276" s="349">
        <v>3.78</v>
      </c>
      <c r="AH1276" s="113">
        <v>479.226334856412</v>
      </c>
      <c r="AI1276" s="53"/>
      <c r="AJ1276" s="53">
        <v>11.44</v>
      </c>
      <c r="AK1276" s="53">
        <v>1.6</v>
      </c>
      <c r="AL1276" s="53">
        <f>207.8/250.6</f>
        <v>0.82920989624900243</v>
      </c>
      <c r="AM1276" s="366"/>
      <c r="AN1276" s="24">
        <f t="shared" si="254"/>
        <v>181.14755457572375</v>
      </c>
      <c r="AO1276" s="118">
        <f t="shared" si="255"/>
        <v>20723.280243462796</v>
      </c>
      <c r="AP1276" s="187">
        <f t="shared" si="256"/>
        <v>2.6999999999999997</v>
      </c>
      <c r="AQ1276" s="373"/>
      <c r="AR1276" s="44"/>
      <c r="AS1276" s="366"/>
      <c r="AT1276" s="366"/>
    </row>
    <row r="1277" spans="1:46" ht="12">
      <c r="A1277" s="354" t="s">
        <v>1649</v>
      </c>
      <c r="B1277" s="354">
        <f t="shared" si="257"/>
        <v>0</v>
      </c>
      <c r="C1277" s="386">
        <f t="shared" si="258"/>
        <v>0</v>
      </c>
      <c r="D1277" s="98">
        <f t="shared" si="259"/>
        <v>0</v>
      </c>
      <c r="E1277" s="235">
        <f t="shared" si="260"/>
        <v>0</v>
      </c>
      <c r="F1277" s="235">
        <f t="shared" si="261"/>
        <v>0</v>
      </c>
      <c r="G1277" s="98">
        <f t="shared" si="262"/>
        <v>0</v>
      </c>
      <c r="H1277" s="79">
        <f t="shared" si="264"/>
        <v>0</v>
      </c>
      <c r="I1277" s="279">
        <f t="shared" si="263"/>
        <v>0</v>
      </c>
      <c r="J1277" s="180"/>
      <c r="K1277" s="180"/>
      <c r="L1277" s="180"/>
      <c r="M1277" s="214"/>
      <c r="N1277" s="125"/>
      <c r="O1277" s="180"/>
      <c r="P1277" s="180"/>
      <c r="Q1277" s="180"/>
      <c r="R1277" s="180"/>
      <c r="S1277" s="180"/>
      <c r="T1277" s="180"/>
      <c r="U1277" s="180"/>
      <c r="V1277" s="180"/>
      <c r="W1277" s="180"/>
      <c r="X1277" s="180"/>
      <c r="Y1277" s="180"/>
      <c r="Z1277" s="180"/>
      <c r="AA1277" s="334"/>
      <c r="AB1277" s="308"/>
      <c r="AC1277" s="180"/>
      <c r="AD1277" s="180"/>
      <c r="AE1277" s="180"/>
      <c r="AF1277" s="180"/>
      <c r="AG1277" s="391"/>
      <c r="AH1277" s="402"/>
      <c r="AI1277" s="147"/>
      <c r="AJ1277" s="147"/>
      <c r="AK1277" s="147"/>
      <c r="AL1277" s="147"/>
      <c r="AM1277" s="180"/>
      <c r="AN1277" s="24">
        <f t="shared" si="254"/>
        <v>0</v>
      </c>
      <c r="AO1277" s="118">
        <f t="shared" si="255"/>
        <v>0</v>
      </c>
      <c r="AP1277" s="187" t="e">
        <f t="shared" si="256"/>
        <v>#DIV/0!</v>
      </c>
      <c r="AQ1277" s="214"/>
      <c r="AR1277" s="125"/>
      <c r="AS1277" s="180"/>
      <c r="AT1277" s="180"/>
    </row>
    <row r="1278" spans="1:46" ht="12">
      <c r="A1278" s="257" t="s">
        <v>1650</v>
      </c>
      <c r="B1278" s="257" t="str">
        <f t="shared" si="257"/>
        <v>SiNx</v>
      </c>
      <c r="C1278" s="280">
        <f t="shared" si="258"/>
        <v>0</v>
      </c>
      <c r="D1278" s="183">
        <f t="shared" si="259"/>
        <v>527.93400031277804</v>
      </c>
      <c r="E1278" s="96">
        <f t="shared" si="260"/>
        <v>10.6</v>
      </c>
      <c r="F1278" s="96">
        <f t="shared" si="261"/>
        <v>1.81</v>
      </c>
      <c r="G1278" s="183">
        <f t="shared" si="262"/>
        <v>186.36070211041064</v>
      </c>
      <c r="H1278" s="215">
        <f t="shared" si="264"/>
        <v>0.83926788685524123</v>
      </c>
      <c r="I1278" s="279">
        <f t="shared" si="263"/>
        <v>19754.234423703529</v>
      </c>
      <c r="J1278" s="366"/>
      <c r="K1278" s="366" t="s">
        <v>1250</v>
      </c>
      <c r="L1278" s="366"/>
      <c r="M1278" s="373"/>
      <c r="N1278" s="191">
        <v>41789</v>
      </c>
      <c r="O1278" s="366">
        <v>478</v>
      </c>
      <c r="P1278" s="366" t="s">
        <v>187</v>
      </c>
      <c r="Q1278" s="366">
        <v>172</v>
      </c>
      <c r="R1278" s="366">
        <v>3</v>
      </c>
      <c r="S1278" s="366">
        <v>800</v>
      </c>
      <c r="T1278" s="366">
        <v>78</v>
      </c>
      <c r="U1278" s="366">
        <v>400</v>
      </c>
      <c r="V1278" s="366">
        <v>8</v>
      </c>
      <c r="W1278" s="366">
        <v>26.5</v>
      </c>
      <c r="X1278" s="366">
        <v>2.5</v>
      </c>
      <c r="Y1278" s="366">
        <v>40</v>
      </c>
      <c r="Z1278" s="366"/>
      <c r="AA1278" s="117"/>
      <c r="AB1278" s="51"/>
      <c r="AC1278" s="366"/>
      <c r="AD1278" s="366"/>
      <c r="AE1278" s="366"/>
      <c r="AF1278" s="366"/>
      <c r="AG1278" s="349">
        <v>3.53</v>
      </c>
      <c r="AH1278" s="113">
        <v>527.93400031277804</v>
      </c>
      <c r="AI1278" s="53"/>
      <c r="AJ1278" s="53">
        <v>10.6</v>
      </c>
      <c r="AK1278" s="53">
        <v>1.81</v>
      </c>
      <c r="AL1278" s="53">
        <f>252.2/300.5</f>
        <v>0.83926788685524123</v>
      </c>
      <c r="AM1278" s="366"/>
      <c r="AN1278" s="24">
        <f t="shared" si="254"/>
        <v>186.36070211041064</v>
      </c>
      <c r="AO1278" s="198">
        <f t="shared" si="255"/>
        <v>19754.234423703529</v>
      </c>
      <c r="AP1278" s="187">
        <f t="shared" si="256"/>
        <v>2.7153846153846151</v>
      </c>
      <c r="AQ1278" s="373"/>
      <c r="AR1278" s="44"/>
      <c r="AS1278" s="366"/>
      <c r="AT1278" s="366"/>
    </row>
    <row r="1279" spans="1:46" ht="12">
      <c r="A1279" s="257" t="s">
        <v>1651</v>
      </c>
      <c r="B1279" s="257" t="str">
        <f t="shared" si="257"/>
        <v>SiNx</v>
      </c>
      <c r="C1279" s="280">
        <f t="shared" si="258"/>
        <v>0</v>
      </c>
      <c r="D1279" s="183">
        <f t="shared" si="259"/>
        <v>532.57282559433702</v>
      </c>
      <c r="E1279" s="96">
        <f t="shared" si="260"/>
        <v>10.5</v>
      </c>
      <c r="F1279" s="96">
        <f t="shared" si="261"/>
        <v>1.82</v>
      </c>
      <c r="G1279" s="183">
        <f t="shared" si="262"/>
        <v>184.2701976556406</v>
      </c>
      <c r="H1279" s="215">
        <f t="shared" si="264"/>
        <v>0.83311125916055961</v>
      </c>
      <c r="I1279" s="279">
        <f t="shared" si="263"/>
        <v>19348.370753842264</v>
      </c>
      <c r="J1279" s="366"/>
      <c r="K1279" s="366" t="s">
        <v>1250</v>
      </c>
      <c r="L1279" s="366"/>
      <c r="M1279" s="373"/>
      <c r="N1279" s="191">
        <v>41789</v>
      </c>
      <c r="O1279" s="366">
        <v>478</v>
      </c>
      <c r="P1279" s="366" t="s">
        <v>187</v>
      </c>
      <c r="Q1279" s="366">
        <v>172</v>
      </c>
      <c r="R1279" s="366">
        <v>6</v>
      </c>
      <c r="S1279" s="366">
        <v>800</v>
      </c>
      <c r="T1279" s="366">
        <v>78</v>
      </c>
      <c r="U1279" s="366">
        <v>400</v>
      </c>
      <c r="V1279" s="366">
        <v>8</v>
      </c>
      <c r="W1279" s="366">
        <v>26.5</v>
      </c>
      <c r="X1279" s="366">
        <v>2.5</v>
      </c>
      <c r="Y1279" s="366">
        <v>40</v>
      </c>
      <c r="Z1279" s="366"/>
      <c r="AA1279" s="117"/>
      <c r="AB1279" s="51"/>
      <c r="AC1279" s="366"/>
      <c r="AD1279" s="366"/>
      <c r="AE1279" s="366"/>
      <c r="AF1279" s="366"/>
      <c r="AG1279" s="349">
        <v>3.46</v>
      </c>
      <c r="AH1279" s="113">
        <v>532.57282559433702</v>
      </c>
      <c r="AI1279" s="53"/>
      <c r="AJ1279" s="53">
        <v>10.5</v>
      </c>
      <c r="AK1279" s="53">
        <v>1.82</v>
      </c>
      <c r="AL1279" s="53">
        <f>250.1/300.2</f>
        <v>0.83311125916055961</v>
      </c>
      <c r="AM1279" s="366"/>
      <c r="AN1279" s="24">
        <f t="shared" si="254"/>
        <v>184.2701976556406</v>
      </c>
      <c r="AO1279" s="198">
        <f t="shared" si="255"/>
        <v>19348.370753842264</v>
      </c>
      <c r="AP1279" s="187">
        <f t="shared" si="256"/>
        <v>2.6615384615384614</v>
      </c>
      <c r="AQ1279" s="373"/>
      <c r="AR1279" s="44"/>
      <c r="AS1279" s="366"/>
      <c r="AT1279" s="366"/>
    </row>
    <row r="1280" spans="1:46" ht="12">
      <c r="A1280" s="257" t="s">
        <v>1652</v>
      </c>
      <c r="B1280" s="257" t="str">
        <f t="shared" si="257"/>
        <v>SiNx</v>
      </c>
      <c r="C1280" s="280">
        <f t="shared" si="258"/>
        <v>0</v>
      </c>
      <c r="D1280" s="183">
        <f t="shared" si="259"/>
        <v>476.83555567283901</v>
      </c>
      <c r="E1280" s="96">
        <f t="shared" si="260"/>
        <v>11.1</v>
      </c>
      <c r="F1280" s="96">
        <f t="shared" si="261"/>
        <v>1.7</v>
      </c>
      <c r="G1280" s="183">
        <f t="shared" si="262"/>
        <v>180.72067560000599</v>
      </c>
      <c r="H1280" s="215">
        <f t="shared" si="264"/>
        <v>0.82694454782285076</v>
      </c>
      <c r="I1280" s="279">
        <f t="shared" si="263"/>
        <v>20059.994991600663</v>
      </c>
      <c r="J1280" s="366"/>
      <c r="K1280" s="366" t="s">
        <v>1250</v>
      </c>
      <c r="L1280" s="366"/>
      <c r="M1280" s="373"/>
      <c r="N1280" s="191">
        <v>41793</v>
      </c>
      <c r="O1280" s="366">
        <v>481</v>
      </c>
      <c r="P1280" s="366" t="s">
        <v>187</v>
      </c>
      <c r="Q1280" s="366">
        <v>172</v>
      </c>
      <c r="R1280" s="366">
        <v>3</v>
      </c>
      <c r="S1280" s="366">
        <v>800</v>
      </c>
      <c r="T1280" s="366">
        <v>81</v>
      </c>
      <c r="U1280" s="366">
        <v>400</v>
      </c>
      <c r="V1280" s="366">
        <v>8</v>
      </c>
      <c r="W1280" s="366">
        <v>26.5</v>
      </c>
      <c r="X1280" s="366">
        <v>2.5</v>
      </c>
      <c r="Y1280" s="366">
        <v>40</v>
      </c>
      <c r="Z1280" s="366"/>
      <c r="AA1280" s="117"/>
      <c r="AB1280" s="51"/>
      <c r="AC1280" s="366"/>
      <c r="AD1280" s="366"/>
      <c r="AE1280" s="366"/>
      <c r="AF1280" s="366"/>
      <c r="AG1280" s="349">
        <v>3.79</v>
      </c>
      <c r="AH1280" s="113">
        <v>476.83555567283901</v>
      </c>
      <c r="AI1280" s="53"/>
      <c r="AJ1280" s="53">
        <v>11.1</v>
      </c>
      <c r="AK1280" s="53">
        <v>1.7</v>
      </c>
      <c r="AL1280" s="53">
        <f>222.2/268.7</f>
        <v>0.82694454782285076</v>
      </c>
      <c r="AM1280" s="366"/>
      <c r="AN1280" s="24">
        <f t="shared" si="254"/>
        <v>180.72067560000599</v>
      </c>
      <c r="AO1280" s="198">
        <f t="shared" si="255"/>
        <v>20059.994991600663</v>
      </c>
      <c r="AP1280" s="187">
        <f t="shared" si="256"/>
        <v>2.8074074074074074</v>
      </c>
      <c r="AQ1280" s="373"/>
      <c r="AR1280" s="44"/>
      <c r="AS1280" s="366"/>
      <c r="AT1280" s="366"/>
    </row>
    <row r="1281" spans="1:46" ht="12">
      <c r="A1281" s="257" t="s">
        <v>1653</v>
      </c>
      <c r="B1281" s="257" t="str">
        <f t="shared" si="257"/>
        <v>SiNx</v>
      </c>
      <c r="C1281" s="280">
        <f t="shared" si="258"/>
        <v>0</v>
      </c>
      <c r="D1281" s="183">
        <f t="shared" si="259"/>
        <v>483.50832742400399</v>
      </c>
      <c r="E1281" s="96">
        <f t="shared" si="260"/>
        <v>11</v>
      </c>
      <c r="F1281" s="96">
        <f t="shared" si="261"/>
        <v>1.7</v>
      </c>
      <c r="G1281" s="183">
        <f t="shared" si="262"/>
        <v>181.3156227840015</v>
      </c>
      <c r="H1281" s="215">
        <f t="shared" si="264"/>
        <v>0.82342342342342345</v>
      </c>
      <c r="I1281" s="279">
        <f t="shared" si="263"/>
        <v>19944.718506240166</v>
      </c>
      <c r="J1281" s="366"/>
      <c r="K1281" s="366" t="s">
        <v>1250</v>
      </c>
      <c r="L1281" s="366"/>
      <c r="M1281" s="373"/>
      <c r="N1281" s="191">
        <v>41793</v>
      </c>
      <c r="O1281" s="366">
        <v>481</v>
      </c>
      <c r="P1281" s="366" t="s">
        <v>187</v>
      </c>
      <c r="Q1281" s="366">
        <v>172</v>
      </c>
      <c r="R1281" s="366">
        <v>6</v>
      </c>
      <c r="S1281" s="366">
        <v>800</v>
      </c>
      <c r="T1281" s="366">
        <v>81</v>
      </c>
      <c r="U1281" s="366">
        <v>400</v>
      </c>
      <c r="V1281" s="366">
        <v>8</v>
      </c>
      <c r="W1281" s="366">
        <v>26.5</v>
      </c>
      <c r="X1281" s="366">
        <v>2.5</v>
      </c>
      <c r="Y1281" s="366">
        <v>40</v>
      </c>
      <c r="Z1281" s="366"/>
      <c r="AA1281" s="117"/>
      <c r="AB1281" s="51"/>
      <c r="AC1281" s="366"/>
      <c r="AD1281" s="366"/>
      <c r="AE1281" s="366"/>
      <c r="AF1281" s="366"/>
      <c r="AG1281" s="349">
        <v>3.75</v>
      </c>
      <c r="AH1281" s="113">
        <v>483.50832742400399</v>
      </c>
      <c r="AI1281" s="53"/>
      <c r="AJ1281" s="53">
        <v>11</v>
      </c>
      <c r="AK1281" s="53">
        <v>1.7</v>
      </c>
      <c r="AL1281" s="53">
        <f>228.5/277.5</f>
        <v>0.82342342342342345</v>
      </c>
      <c r="AM1281" s="366"/>
      <c r="AN1281" s="24">
        <f t="shared" ref="AN1281:AN1312" si="265">((AH1281*AG1281)/10)</f>
        <v>181.3156227840015</v>
      </c>
      <c r="AO1281" s="198">
        <f t="shared" ref="AO1281:AO1312" si="266">(AG1281*AH1281)*AJ1281</f>
        <v>19944.718506240166</v>
      </c>
      <c r="AP1281" s="187">
        <f t="shared" ref="AP1281:AP1312" si="267">(AG1281/T1281)*60</f>
        <v>2.7777777777777777</v>
      </c>
      <c r="AQ1281" s="373"/>
      <c r="AR1281" s="44"/>
      <c r="AS1281" s="366"/>
      <c r="AT1281" s="366"/>
    </row>
    <row r="1282" spans="1:46" ht="12">
      <c r="A1282" s="256" t="s">
        <v>1654</v>
      </c>
      <c r="B1282" s="256" t="str">
        <f t="shared" si="257"/>
        <v>Al2O3</v>
      </c>
      <c r="C1282" s="32">
        <f t="shared" si="258"/>
        <v>0</v>
      </c>
      <c r="D1282" s="279">
        <f t="shared" si="259"/>
        <v>438.05260770759799</v>
      </c>
      <c r="E1282" s="78">
        <f t="shared" si="260"/>
        <v>0</v>
      </c>
      <c r="F1282" s="78">
        <f t="shared" si="261"/>
        <v>0</v>
      </c>
      <c r="G1282" s="279">
        <f t="shared" si="262"/>
        <v>158.13699138244289</v>
      </c>
      <c r="H1282" s="190">
        <f t="shared" si="264"/>
        <v>0</v>
      </c>
      <c r="I1282" s="279">
        <f t="shared" si="263"/>
        <v>0</v>
      </c>
      <c r="J1282" s="67"/>
      <c r="K1282" s="67" t="s">
        <v>1655</v>
      </c>
      <c r="L1282" s="67"/>
      <c r="M1282" s="371"/>
      <c r="N1282" s="309">
        <v>41799</v>
      </c>
      <c r="O1282" s="67">
        <v>482</v>
      </c>
      <c r="P1282" s="67" t="s">
        <v>622</v>
      </c>
      <c r="Q1282" s="67"/>
      <c r="R1282" s="67" t="s">
        <v>1511</v>
      </c>
      <c r="S1282" s="67">
        <v>800</v>
      </c>
      <c r="T1282" s="67">
        <v>75</v>
      </c>
      <c r="U1282" s="67">
        <v>400</v>
      </c>
      <c r="V1282" s="67">
        <v>8</v>
      </c>
      <c r="W1282" s="67">
        <v>26.5</v>
      </c>
      <c r="X1282" s="67">
        <v>2.5</v>
      </c>
      <c r="Y1282" s="67">
        <v>40</v>
      </c>
      <c r="Z1282" s="67"/>
      <c r="AA1282" s="159"/>
      <c r="AB1282" s="182"/>
      <c r="AC1282" s="67"/>
      <c r="AD1282" s="67"/>
      <c r="AE1282" s="67"/>
      <c r="AF1282" s="67"/>
      <c r="AG1282" s="315">
        <v>3.61</v>
      </c>
      <c r="AH1282" s="66">
        <v>438.05260770759799</v>
      </c>
      <c r="AI1282" s="216"/>
      <c r="AJ1282" s="216"/>
      <c r="AK1282" s="216"/>
      <c r="AL1282" s="216"/>
      <c r="AM1282" s="67"/>
      <c r="AN1282" s="24">
        <f t="shared" si="265"/>
        <v>158.13699138244289</v>
      </c>
      <c r="AO1282" s="389">
        <f t="shared" si="266"/>
        <v>0</v>
      </c>
      <c r="AP1282" s="187">
        <f t="shared" si="267"/>
        <v>2.8879999999999999</v>
      </c>
      <c r="AQ1282" s="371"/>
      <c r="AR1282" s="41"/>
      <c r="AS1282" s="67"/>
      <c r="AT1282" s="67"/>
    </row>
    <row r="1283" spans="1:46" ht="12">
      <c r="A1283" s="257" t="s">
        <v>1656</v>
      </c>
      <c r="B1283" s="257" t="str">
        <f t="shared" si="257"/>
        <v>SiNx</v>
      </c>
      <c r="C1283" s="280">
        <f t="shared" si="258"/>
        <v>0</v>
      </c>
      <c r="D1283" s="183">
        <f t="shared" si="259"/>
        <v>102.428830543956</v>
      </c>
      <c r="E1283" s="96">
        <f t="shared" si="260"/>
        <v>4.3</v>
      </c>
      <c r="F1283" s="96">
        <f t="shared" si="261"/>
        <v>0</v>
      </c>
      <c r="G1283" s="183">
        <f t="shared" si="262"/>
        <v>68.934602956082387</v>
      </c>
      <c r="H1283" s="215">
        <f t="shared" si="264"/>
        <v>0</v>
      </c>
      <c r="I1283" s="279">
        <f t="shared" si="263"/>
        <v>2964.1879271115426</v>
      </c>
      <c r="J1283" s="366"/>
      <c r="K1283" s="366" t="s">
        <v>1657</v>
      </c>
      <c r="L1283" s="366"/>
      <c r="M1283" s="373"/>
      <c r="N1283" s="191">
        <v>41852</v>
      </c>
      <c r="O1283" s="366">
        <v>490</v>
      </c>
      <c r="P1283" s="366" t="s">
        <v>187</v>
      </c>
      <c r="Q1283" s="366">
        <v>172</v>
      </c>
      <c r="R1283" s="366">
        <v>1</v>
      </c>
      <c r="S1283" s="366">
        <v>800</v>
      </c>
      <c r="T1283" s="366">
        <v>78</v>
      </c>
      <c r="U1283" s="366">
        <v>400</v>
      </c>
      <c r="V1283" s="366">
        <v>0</v>
      </c>
      <c r="W1283" s="366">
        <v>26.5</v>
      </c>
      <c r="X1283" s="366">
        <v>2.5</v>
      </c>
      <c r="Y1283" s="366">
        <v>40</v>
      </c>
      <c r="Z1283" s="366"/>
      <c r="AA1283" s="117"/>
      <c r="AB1283" s="51"/>
      <c r="AC1283" s="366"/>
      <c r="AD1283" s="366"/>
      <c r="AE1283" s="366"/>
      <c r="AF1283" s="366"/>
      <c r="AG1283" s="349">
        <v>6.73</v>
      </c>
      <c r="AH1283" s="113">
        <v>102.428830543956</v>
      </c>
      <c r="AI1283" s="53"/>
      <c r="AJ1283" s="53">
        <v>4.3</v>
      </c>
      <c r="AK1283" s="53"/>
      <c r="AL1283" s="53"/>
      <c r="AM1283" s="366"/>
      <c r="AN1283" s="24">
        <f t="shared" si="265"/>
        <v>68.934602956082387</v>
      </c>
      <c r="AO1283" s="198">
        <f t="shared" si="266"/>
        <v>2964.1879271115426</v>
      </c>
      <c r="AP1283" s="399">
        <f t="shared" si="267"/>
        <v>5.1769230769230772</v>
      </c>
      <c r="AQ1283" s="373"/>
      <c r="AR1283" s="44"/>
      <c r="AS1283" s="366"/>
      <c r="AT1283" s="366"/>
    </row>
    <row r="1284" spans="1:46" ht="24">
      <c r="A1284" s="257" t="s">
        <v>1658</v>
      </c>
      <c r="B1284" s="257" t="str">
        <f t="shared" si="257"/>
        <v>SiNx</v>
      </c>
      <c r="C1284" s="280">
        <f t="shared" si="258"/>
        <v>0</v>
      </c>
      <c r="D1284" s="183">
        <f t="shared" si="259"/>
        <v>212.31546480980299</v>
      </c>
      <c r="E1284" s="96" t="str">
        <f t="shared" si="260"/>
        <v>&lt;4</v>
      </c>
      <c r="F1284" s="96">
        <f t="shared" si="261"/>
        <v>0</v>
      </c>
      <c r="G1284" s="183">
        <f t="shared" si="262"/>
        <v>134.39568922460529</v>
      </c>
      <c r="H1284" s="215">
        <f t="shared" si="264"/>
        <v>0</v>
      </c>
      <c r="I1284" s="279" t="e">
        <f t="shared" si="263"/>
        <v>#VALUE!</v>
      </c>
      <c r="J1284" s="366"/>
      <c r="K1284" s="366" t="s">
        <v>1657</v>
      </c>
      <c r="L1284" s="366"/>
      <c r="M1284" s="373"/>
      <c r="N1284" s="191">
        <v>41852</v>
      </c>
      <c r="O1284" s="366">
        <v>490</v>
      </c>
      <c r="P1284" s="366" t="s">
        <v>187</v>
      </c>
      <c r="Q1284" s="366">
        <v>172</v>
      </c>
      <c r="R1284" s="366">
        <v>3</v>
      </c>
      <c r="S1284" s="366">
        <v>800</v>
      </c>
      <c r="T1284" s="366">
        <v>78</v>
      </c>
      <c r="U1284" s="366">
        <v>400</v>
      </c>
      <c r="V1284" s="366">
        <v>0</v>
      </c>
      <c r="W1284" s="366">
        <v>26.5</v>
      </c>
      <c r="X1284" s="366">
        <v>2.5</v>
      </c>
      <c r="Y1284" s="366">
        <v>40</v>
      </c>
      <c r="Z1284" s="366"/>
      <c r="AA1284" s="117"/>
      <c r="AB1284" s="51"/>
      <c r="AC1284" s="366"/>
      <c r="AD1284" s="366"/>
      <c r="AE1284" s="366"/>
      <c r="AF1284" s="366"/>
      <c r="AG1284" s="349">
        <v>6.33</v>
      </c>
      <c r="AH1284" s="113">
        <v>212.31546480980299</v>
      </c>
      <c r="AI1284" s="53"/>
      <c r="AJ1284" s="53" t="s">
        <v>1659</v>
      </c>
      <c r="AK1284" s="53"/>
      <c r="AL1284" s="53"/>
      <c r="AM1284" s="366"/>
      <c r="AN1284" s="24">
        <f t="shared" si="265"/>
        <v>134.39568922460529</v>
      </c>
      <c r="AO1284" s="198" t="e">
        <f t="shared" si="266"/>
        <v>#VALUE!</v>
      </c>
      <c r="AP1284" s="399">
        <f t="shared" si="267"/>
        <v>4.8692307692307697</v>
      </c>
      <c r="AQ1284" s="373"/>
      <c r="AR1284" s="44"/>
      <c r="AS1284" s="366"/>
      <c r="AT1284" s="366"/>
    </row>
    <row r="1285" spans="1:46" ht="24">
      <c r="A1285" s="257" t="s">
        <v>1660</v>
      </c>
      <c r="B1285" s="257" t="str">
        <f t="shared" ref="B1285:B1316" si="268">P1285</f>
        <v>SiNx</v>
      </c>
      <c r="C1285" s="280">
        <f t="shared" ref="C1285:C1316" si="269">AF1285</f>
        <v>0</v>
      </c>
      <c r="D1285" s="183">
        <f t="shared" ref="D1285:D1316" si="270">AH1285</f>
        <v>187.515591189162</v>
      </c>
      <c r="E1285" s="96" t="str">
        <f t="shared" ref="E1285:E1316" si="271">AJ1285</f>
        <v>&lt;4</v>
      </c>
      <c r="F1285" s="96">
        <f t="shared" ref="F1285:F1316" si="272">AK1285</f>
        <v>0</v>
      </c>
      <c r="G1285" s="183">
        <f t="shared" ref="G1285:G1316" si="273">AN1285</f>
        <v>121.69761868176613</v>
      </c>
      <c r="H1285" s="215">
        <f t="shared" si="264"/>
        <v>0</v>
      </c>
      <c r="I1285" s="279" t="e">
        <f t="shared" ref="I1285:I1316" si="274">AO1285</f>
        <v>#VALUE!</v>
      </c>
      <c r="J1285" s="366"/>
      <c r="K1285" s="366" t="s">
        <v>1657</v>
      </c>
      <c r="L1285" s="366"/>
      <c r="M1285" s="373"/>
      <c r="N1285" s="191">
        <v>41852</v>
      </c>
      <c r="O1285" s="366">
        <v>490</v>
      </c>
      <c r="P1285" s="366" t="s">
        <v>187</v>
      </c>
      <c r="Q1285" s="366">
        <v>172</v>
      </c>
      <c r="R1285" s="366">
        <v>6</v>
      </c>
      <c r="S1285" s="366">
        <v>800</v>
      </c>
      <c r="T1285" s="366">
        <v>78</v>
      </c>
      <c r="U1285" s="366">
        <v>400</v>
      </c>
      <c r="V1285" s="366">
        <v>0</v>
      </c>
      <c r="W1285" s="366">
        <v>26.5</v>
      </c>
      <c r="X1285" s="366">
        <v>2.5</v>
      </c>
      <c r="Y1285" s="366">
        <v>40</v>
      </c>
      <c r="Z1285" s="366"/>
      <c r="AA1285" s="117"/>
      <c r="AB1285" s="51"/>
      <c r="AC1285" s="366"/>
      <c r="AD1285" s="366"/>
      <c r="AE1285" s="366"/>
      <c r="AF1285" s="366"/>
      <c r="AG1285" s="349">
        <v>6.49</v>
      </c>
      <c r="AH1285" s="113">
        <v>187.515591189162</v>
      </c>
      <c r="AI1285" s="53"/>
      <c r="AJ1285" s="53" t="s">
        <v>1659</v>
      </c>
      <c r="AK1285" s="53"/>
      <c r="AL1285" s="53"/>
      <c r="AM1285" s="366"/>
      <c r="AN1285" s="24">
        <f t="shared" si="265"/>
        <v>121.69761868176613</v>
      </c>
      <c r="AO1285" s="198" t="e">
        <f t="shared" si="266"/>
        <v>#VALUE!</v>
      </c>
      <c r="AP1285" s="399">
        <f t="shared" si="267"/>
        <v>4.9923076923076923</v>
      </c>
      <c r="AQ1285" s="373"/>
      <c r="AR1285" s="44"/>
      <c r="AS1285" s="366"/>
      <c r="AT1285" s="366"/>
    </row>
    <row r="1286" spans="1:46" ht="12">
      <c r="A1286" s="257" t="s">
        <v>1661</v>
      </c>
      <c r="B1286" s="257" t="str">
        <f t="shared" si="268"/>
        <v>SiNx</v>
      </c>
      <c r="C1286" s="280">
        <f t="shared" si="269"/>
        <v>0</v>
      </c>
      <c r="D1286" s="183">
        <f t="shared" si="270"/>
        <v>576.820082126128</v>
      </c>
      <c r="E1286" s="96">
        <f t="shared" si="271"/>
        <v>10</v>
      </c>
      <c r="F1286" s="96">
        <f t="shared" si="272"/>
        <v>1.88</v>
      </c>
      <c r="G1286" s="183">
        <f t="shared" si="273"/>
        <v>208.23204964753222</v>
      </c>
      <c r="H1286" s="215">
        <f t="shared" si="264"/>
        <v>0.76039783001808314</v>
      </c>
      <c r="I1286" s="279">
        <f t="shared" si="274"/>
        <v>20823.204964753222</v>
      </c>
      <c r="J1286" s="366"/>
      <c r="K1286" s="366"/>
      <c r="L1286" s="366"/>
      <c r="M1286" s="373"/>
      <c r="N1286" s="191">
        <v>41855</v>
      </c>
      <c r="O1286" s="366">
        <v>491</v>
      </c>
      <c r="P1286" s="366" t="s">
        <v>187</v>
      </c>
      <c r="Q1286" s="366">
        <v>172</v>
      </c>
      <c r="R1286" s="366">
        <v>1</v>
      </c>
      <c r="S1286" s="366">
        <v>800</v>
      </c>
      <c r="T1286" s="366">
        <v>78</v>
      </c>
      <c r="U1286" s="366">
        <v>400</v>
      </c>
      <c r="V1286" s="366">
        <v>8</v>
      </c>
      <c r="W1286" s="366">
        <v>26.5</v>
      </c>
      <c r="X1286" s="366">
        <v>2.5</v>
      </c>
      <c r="Y1286" s="366">
        <v>40</v>
      </c>
      <c r="Z1286" s="366"/>
      <c r="AA1286" s="117"/>
      <c r="AB1286" s="51"/>
      <c r="AC1286" s="366"/>
      <c r="AD1286" s="366"/>
      <c r="AE1286" s="366"/>
      <c r="AF1286" s="366"/>
      <c r="AG1286" s="349">
        <v>3.61</v>
      </c>
      <c r="AH1286" s="113">
        <v>576.820082126128</v>
      </c>
      <c r="AI1286" s="53"/>
      <c r="AJ1286" s="53">
        <v>10</v>
      </c>
      <c r="AK1286" s="53">
        <v>1.88</v>
      </c>
      <c r="AL1286" s="53">
        <f>252.3/331.8</f>
        <v>0.76039783001808314</v>
      </c>
      <c r="AM1286" s="366"/>
      <c r="AN1286" s="24">
        <f t="shared" si="265"/>
        <v>208.23204964753222</v>
      </c>
      <c r="AO1286" s="198">
        <f t="shared" si="266"/>
        <v>20823.204964753222</v>
      </c>
      <c r="AP1286" s="399">
        <f t="shared" si="267"/>
        <v>2.7769230769230768</v>
      </c>
      <c r="AQ1286" s="373"/>
      <c r="AR1286" s="44"/>
      <c r="AS1286" s="366"/>
      <c r="AT1286" s="366"/>
    </row>
    <row r="1287" spans="1:46" ht="12">
      <c r="A1287" s="257" t="s">
        <v>1662</v>
      </c>
      <c r="B1287" s="257" t="str">
        <f t="shared" si="268"/>
        <v>SiNx</v>
      </c>
      <c r="C1287" s="280">
        <f t="shared" si="269"/>
        <v>0</v>
      </c>
      <c r="D1287" s="183">
        <f t="shared" si="270"/>
        <v>468.87818615139599</v>
      </c>
      <c r="E1287" s="96">
        <f t="shared" si="271"/>
        <v>11.4</v>
      </c>
      <c r="F1287" s="96">
        <f t="shared" si="272"/>
        <v>1.59</v>
      </c>
      <c r="G1287" s="183">
        <f t="shared" si="273"/>
        <v>180.04922348213606</v>
      </c>
      <c r="H1287" s="215">
        <f t="shared" si="264"/>
        <v>0.83703106091165791</v>
      </c>
      <c r="I1287" s="279">
        <f t="shared" si="274"/>
        <v>20525.611476963513</v>
      </c>
      <c r="J1287" s="366"/>
      <c r="K1287" s="366"/>
      <c r="L1287" s="366"/>
      <c r="M1287" s="373"/>
      <c r="N1287" s="191">
        <v>41855</v>
      </c>
      <c r="O1287" s="366">
        <v>491</v>
      </c>
      <c r="P1287" s="366" t="s">
        <v>187</v>
      </c>
      <c r="Q1287" s="366">
        <v>172</v>
      </c>
      <c r="R1287" s="366">
        <v>3</v>
      </c>
      <c r="S1287" s="366">
        <v>800</v>
      </c>
      <c r="T1287" s="366">
        <v>78</v>
      </c>
      <c r="U1287" s="366">
        <v>400</v>
      </c>
      <c r="V1287" s="366">
        <v>8</v>
      </c>
      <c r="W1287" s="366">
        <v>26.5</v>
      </c>
      <c r="X1287" s="366">
        <v>2.5</v>
      </c>
      <c r="Y1287" s="366">
        <v>40</v>
      </c>
      <c r="Z1287" s="366"/>
      <c r="AA1287" s="117"/>
      <c r="AB1287" s="51"/>
      <c r="AC1287" s="366"/>
      <c r="AD1287" s="366"/>
      <c r="AE1287" s="366"/>
      <c r="AF1287" s="366"/>
      <c r="AG1287" s="349">
        <v>3.84</v>
      </c>
      <c r="AH1287" s="113">
        <v>468.87818615139599</v>
      </c>
      <c r="AI1287" s="53"/>
      <c r="AJ1287" s="53">
        <v>11.4</v>
      </c>
      <c r="AK1287" s="53">
        <v>1.59</v>
      </c>
      <c r="AL1287" s="53">
        <f>207.5/247.9</f>
        <v>0.83703106091165791</v>
      </c>
      <c r="AM1287" s="366"/>
      <c r="AN1287" s="24">
        <f t="shared" si="265"/>
        <v>180.04922348213606</v>
      </c>
      <c r="AO1287" s="198">
        <f t="shared" si="266"/>
        <v>20525.611476963513</v>
      </c>
      <c r="AP1287" s="399">
        <f t="shared" si="267"/>
        <v>2.953846153846154</v>
      </c>
      <c r="AQ1287" s="373"/>
      <c r="AR1287" s="44"/>
      <c r="AS1287" s="366"/>
      <c r="AT1287" s="366"/>
    </row>
    <row r="1288" spans="1:46" ht="12">
      <c r="A1288" s="257" t="s">
        <v>1663</v>
      </c>
      <c r="B1288" s="257" t="str">
        <f t="shared" si="268"/>
        <v>SiNx</v>
      </c>
      <c r="C1288" s="280">
        <f t="shared" si="269"/>
        <v>0</v>
      </c>
      <c r="D1288" s="183">
        <f t="shared" si="270"/>
        <v>461.91994822905798</v>
      </c>
      <c r="E1288" s="96">
        <f t="shared" si="271"/>
        <v>11.4</v>
      </c>
      <c r="F1288" s="96">
        <f t="shared" si="272"/>
        <v>1.57</v>
      </c>
      <c r="G1288" s="183">
        <f t="shared" si="273"/>
        <v>180.14877980933261</v>
      </c>
      <c r="H1288" s="215">
        <f t="shared" si="264"/>
        <v>0.83778234086242298</v>
      </c>
      <c r="I1288" s="279">
        <f t="shared" si="274"/>
        <v>20536.960898263918</v>
      </c>
      <c r="J1288" s="366"/>
      <c r="K1288" s="366"/>
      <c r="L1288" s="366"/>
      <c r="M1288" s="373"/>
      <c r="N1288" s="191">
        <v>41855</v>
      </c>
      <c r="O1288" s="366">
        <v>491</v>
      </c>
      <c r="P1288" s="366" t="s">
        <v>187</v>
      </c>
      <c r="Q1288" s="366">
        <v>172</v>
      </c>
      <c r="R1288" s="366">
        <v>6</v>
      </c>
      <c r="S1288" s="366">
        <v>800</v>
      </c>
      <c r="T1288" s="366">
        <v>78</v>
      </c>
      <c r="U1288" s="366">
        <v>400</v>
      </c>
      <c r="V1288" s="366">
        <v>8</v>
      </c>
      <c r="W1288" s="366">
        <v>26.5</v>
      </c>
      <c r="X1288" s="366">
        <v>2.5</v>
      </c>
      <c r="Y1288" s="366">
        <v>40</v>
      </c>
      <c r="Z1288" s="366"/>
      <c r="AA1288" s="117"/>
      <c r="AB1288" s="51"/>
      <c r="AC1288" s="366"/>
      <c r="AD1288" s="366"/>
      <c r="AE1288" s="366"/>
      <c r="AF1288" s="366"/>
      <c r="AG1288" s="349">
        <v>3.9</v>
      </c>
      <c r="AH1288" s="113">
        <v>461.91994822905798</v>
      </c>
      <c r="AI1288" s="53"/>
      <c r="AJ1288" s="53">
        <v>11.4</v>
      </c>
      <c r="AK1288" s="53">
        <v>1.57</v>
      </c>
      <c r="AL1288" s="53">
        <f>204/243.5</f>
        <v>0.83778234086242298</v>
      </c>
      <c r="AM1288" s="366"/>
      <c r="AN1288" s="24">
        <f t="shared" si="265"/>
        <v>180.14877980933261</v>
      </c>
      <c r="AO1288" s="198">
        <f t="shared" si="266"/>
        <v>20536.960898263918</v>
      </c>
      <c r="AP1288" s="399">
        <f t="shared" si="267"/>
        <v>2.9999999999999996</v>
      </c>
      <c r="AQ1288" s="373"/>
      <c r="AR1288" s="44"/>
      <c r="AS1288" s="366"/>
      <c r="AT1288" s="366"/>
    </row>
    <row r="1289" spans="1:46" ht="12">
      <c r="A1289" s="83" t="s">
        <v>1664</v>
      </c>
      <c r="B1289" s="83" t="str">
        <f t="shared" si="268"/>
        <v>SiO2</v>
      </c>
      <c r="C1289" s="329">
        <f t="shared" si="269"/>
        <v>0</v>
      </c>
      <c r="D1289" s="168">
        <f t="shared" si="270"/>
        <v>17.1279702703706</v>
      </c>
      <c r="E1289" s="139">
        <f t="shared" si="271"/>
        <v>0</v>
      </c>
      <c r="F1289" s="139">
        <f t="shared" si="272"/>
        <v>0</v>
      </c>
      <c r="G1289" s="168">
        <f t="shared" si="273"/>
        <v>10.413805924385326</v>
      </c>
      <c r="H1289" s="150">
        <f t="shared" si="264"/>
        <v>0</v>
      </c>
      <c r="I1289" s="279">
        <f t="shared" si="274"/>
        <v>0</v>
      </c>
      <c r="J1289" s="138"/>
      <c r="K1289" s="138"/>
      <c r="L1289" s="138"/>
      <c r="M1289" s="316"/>
      <c r="N1289" s="135">
        <v>41856</v>
      </c>
      <c r="O1289" s="138">
        <v>493</v>
      </c>
      <c r="P1289" s="138" t="s">
        <v>1182</v>
      </c>
      <c r="Q1289" s="138" t="s">
        <v>1565</v>
      </c>
      <c r="R1289" s="138">
        <v>3</v>
      </c>
      <c r="S1289" s="138">
        <v>800</v>
      </c>
      <c r="T1289" s="138">
        <v>600</v>
      </c>
      <c r="U1289" s="138">
        <v>400</v>
      </c>
      <c r="V1289" s="138">
        <v>8</v>
      </c>
      <c r="W1289" s="138">
        <v>26.5</v>
      </c>
      <c r="X1289" s="138">
        <v>2.5</v>
      </c>
      <c r="Y1289" s="138">
        <v>40</v>
      </c>
      <c r="Z1289" s="138"/>
      <c r="AA1289" s="6"/>
      <c r="AB1289" s="300"/>
      <c r="AC1289" s="138"/>
      <c r="AD1289" s="138"/>
      <c r="AE1289" s="138"/>
      <c r="AF1289" s="138"/>
      <c r="AG1289" s="63">
        <v>6.08</v>
      </c>
      <c r="AH1289" s="70">
        <v>17.1279702703706</v>
      </c>
      <c r="AI1289" s="121"/>
      <c r="AJ1289" s="121"/>
      <c r="AK1289" s="121"/>
      <c r="AL1289" s="121"/>
      <c r="AM1289" s="138"/>
      <c r="AN1289" s="24">
        <f t="shared" si="265"/>
        <v>10.413805924385326</v>
      </c>
      <c r="AO1289" s="353">
        <f t="shared" si="266"/>
        <v>0</v>
      </c>
      <c r="AP1289" s="36">
        <f t="shared" si="267"/>
        <v>0.60799999999999998</v>
      </c>
      <c r="AQ1289" s="316"/>
      <c r="AR1289" s="258"/>
      <c r="AS1289" s="138"/>
      <c r="AT1289" s="138"/>
    </row>
    <row r="1290" spans="1:46" ht="12">
      <c r="A1290" s="257" t="s">
        <v>1665</v>
      </c>
      <c r="B1290" s="257" t="str">
        <f t="shared" si="268"/>
        <v>SiNx</v>
      </c>
      <c r="C1290" s="280">
        <f t="shared" si="269"/>
        <v>0</v>
      </c>
      <c r="D1290" s="183">
        <f t="shared" si="270"/>
        <v>17.788110791207799</v>
      </c>
      <c r="E1290" s="96">
        <f t="shared" si="271"/>
        <v>11.95</v>
      </c>
      <c r="F1290" s="96">
        <f t="shared" si="272"/>
        <v>0.4</v>
      </c>
      <c r="G1290" s="183">
        <f t="shared" si="273"/>
        <v>9.4276987193401336</v>
      </c>
      <c r="H1290" s="215">
        <f t="shared" si="264"/>
        <v>2.09375</v>
      </c>
      <c r="I1290" s="279">
        <f t="shared" si="274"/>
        <v>1126.609996961146</v>
      </c>
      <c r="J1290" s="366"/>
      <c r="K1290" s="366"/>
      <c r="L1290" s="366"/>
      <c r="M1290" s="373"/>
      <c r="N1290" s="191">
        <v>41856</v>
      </c>
      <c r="O1290" s="366">
        <v>493</v>
      </c>
      <c r="P1290" s="366" t="s">
        <v>187</v>
      </c>
      <c r="Q1290" s="366">
        <v>172</v>
      </c>
      <c r="R1290" s="366">
        <v>6</v>
      </c>
      <c r="S1290" s="366">
        <v>800</v>
      </c>
      <c r="T1290" s="366">
        <v>600</v>
      </c>
      <c r="U1290" s="366">
        <v>400</v>
      </c>
      <c r="V1290" s="366">
        <v>8</v>
      </c>
      <c r="W1290" s="366">
        <v>26.5</v>
      </c>
      <c r="X1290" s="366">
        <v>2.5</v>
      </c>
      <c r="Y1290" s="366">
        <v>40</v>
      </c>
      <c r="Z1290" s="366"/>
      <c r="AA1290" s="117"/>
      <c r="AB1290" s="51"/>
      <c r="AC1290" s="366"/>
      <c r="AD1290" s="366"/>
      <c r="AE1290" s="366"/>
      <c r="AF1290" s="366"/>
      <c r="AG1290" s="349">
        <v>5.3</v>
      </c>
      <c r="AH1290" s="113">
        <v>17.788110791207799</v>
      </c>
      <c r="AI1290" s="53"/>
      <c r="AJ1290" s="53">
        <v>11.95</v>
      </c>
      <c r="AK1290" s="53">
        <v>0.4</v>
      </c>
      <c r="AL1290" s="53">
        <f>6.7/3.2</f>
        <v>2.09375</v>
      </c>
      <c r="AM1290" s="366"/>
      <c r="AN1290" s="24">
        <f t="shared" si="265"/>
        <v>9.4276987193401336</v>
      </c>
      <c r="AO1290" s="198">
        <f t="shared" si="266"/>
        <v>1126.609996961146</v>
      </c>
      <c r="AP1290" s="399">
        <f t="shared" si="267"/>
        <v>0.53</v>
      </c>
      <c r="AQ1290" s="373"/>
      <c r="AR1290" s="44"/>
      <c r="AS1290" s="366"/>
      <c r="AT1290" s="366"/>
    </row>
    <row r="1291" spans="1:46" ht="12">
      <c r="A1291" s="257" t="s">
        <v>1666</v>
      </c>
      <c r="B1291" s="257" t="str">
        <f t="shared" si="268"/>
        <v>SiNx</v>
      </c>
      <c r="C1291" s="280">
        <f t="shared" si="269"/>
        <v>0</v>
      </c>
      <c r="D1291" s="183">
        <f t="shared" si="270"/>
        <v>249.961316133222</v>
      </c>
      <c r="E1291" s="96">
        <f t="shared" si="271"/>
        <v>9.6</v>
      </c>
      <c r="F1291" s="96">
        <f t="shared" si="272"/>
        <v>0.7</v>
      </c>
      <c r="G1291" s="183">
        <f t="shared" si="273"/>
        <v>165.47439128019295</v>
      </c>
      <c r="H1291" s="215">
        <f t="shared" si="264"/>
        <v>0.62145748987854255</v>
      </c>
      <c r="I1291" s="279">
        <f t="shared" si="274"/>
        <v>15885.541562898523</v>
      </c>
      <c r="J1291" s="366"/>
      <c r="K1291" s="366"/>
      <c r="L1291" s="366"/>
      <c r="M1291" s="373"/>
      <c r="N1291" s="191">
        <v>41857</v>
      </c>
      <c r="O1291" s="366">
        <v>494</v>
      </c>
      <c r="P1291" s="366" t="s">
        <v>187</v>
      </c>
      <c r="Q1291" s="366">
        <v>172</v>
      </c>
      <c r="R1291" s="366">
        <v>6</v>
      </c>
      <c r="S1291" s="366">
        <v>800</v>
      </c>
      <c r="T1291" s="366">
        <v>135</v>
      </c>
      <c r="U1291" s="366">
        <v>400</v>
      </c>
      <c r="V1291" s="366">
        <v>8</v>
      </c>
      <c r="W1291" s="366">
        <v>26.5</v>
      </c>
      <c r="X1291" s="366">
        <v>2.5</v>
      </c>
      <c r="Y1291" s="366">
        <v>40</v>
      </c>
      <c r="Z1291" s="366"/>
      <c r="AA1291" s="117"/>
      <c r="AB1291" s="51"/>
      <c r="AC1291" s="366"/>
      <c r="AD1291" s="366"/>
      <c r="AE1291" s="366"/>
      <c r="AF1291" s="366"/>
      <c r="AG1291" s="349">
        <v>6.62</v>
      </c>
      <c r="AH1291" s="113">
        <v>249.961316133222</v>
      </c>
      <c r="AI1291" s="53"/>
      <c r="AJ1291" s="53">
        <v>9.6</v>
      </c>
      <c r="AK1291" s="53">
        <v>0.7</v>
      </c>
      <c r="AL1291" s="53">
        <f>122.8/197.6</f>
        <v>0.62145748987854255</v>
      </c>
      <c r="AM1291" s="366"/>
      <c r="AN1291" s="24">
        <f t="shared" si="265"/>
        <v>165.47439128019295</v>
      </c>
      <c r="AO1291" s="198">
        <f t="shared" si="266"/>
        <v>15885.541562898523</v>
      </c>
      <c r="AP1291" s="399">
        <f t="shared" si="267"/>
        <v>2.9422222222222225</v>
      </c>
      <c r="AQ1291" s="373"/>
      <c r="AR1291" s="44"/>
      <c r="AS1291" s="366"/>
      <c r="AT1291" s="366"/>
    </row>
    <row r="1292" spans="1:46" ht="12">
      <c r="A1292" s="354" t="s">
        <v>1667</v>
      </c>
      <c r="B1292" s="354">
        <f t="shared" si="268"/>
        <v>0</v>
      </c>
      <c r="C1292" s="386">
        <f t="shared" si="269"/>
        <v>0</v>
      </c>
      <c r="D1292" s="98">
        <f t="shared" si="270"/>
        <v>0</v>
      </c>
      <c r="E1292" s="235">
        <f t="shared" si="271"/>
        <v>0</v>
      </c>
      <c r="F1292" s="235">
        <f t="shared" si="272"/>
        <v>0</v>
      </c>
      <c r="G1292" s="98">
        <f t="shared" si="273"/>
        <v>0</v>
      </c>
      <c r="H1292" s="79">
        <f t="shared" si="264"/>
        <v>0</v>
      </c>
      <c r="I1292" s="279">
        <f t="shared" si="274"/>
        <v>0</v>
      </c>
      <c r="J1292" s="180"/>
      <c r="K1292" s="180"/>
      <c r="L1292" s="180"/>
      <c r="M1292" s="214"/>
      <c r="N1292" s="125"/>
      <c r="O1292" s="180"/>
      <c r="P1292" s="180"/>
      <c r="Q1292" s="180"/>
      <c r="R1292" s="180"/>
      <c r="S1292" s="180"/>
      <c r="T1292" s="180"/>
      <c r="U1292" s="180"/>
      <c r="V1292" s="180"/>
      <c r="W1292" s="180"/>
      <c r="X1292" s="180"/>
      <c r="Y1292" s="180"/>
      <c r="Z1292" s="180"/>
      <c r="AA1292" s="334"/>
      <c r="AB1292" s="308"/>
      <c r="AC1292" s="180"/>
      <c r="AD1292" s="180"/>
      <c r="AE1292" s="180"/>
      <c r="AF1292" s="180"/>
      <c r="AG1292" s="391"/>
      <c r="AH1292" s="402"/>
      <c r="AI1292" s="147"/>
      <c r="AJ1292" s="147"/>
      <c r="AK1292" s="147"/>
      <c r="AL1292" s="147"/>
      <c r="AM1292" s="180"/>
      <c r="AN1292" s="24">
        <f t="shared" si="265"/>
        <v>0</v>
      </c>
      <c r="AO1292" s="118">
        <f t="shared" si="266"/>
        <v>0</v>
      </c>
      <c r="AP1292" s="197" t="e">
        <f t="shared" si="267"/>
        <v>#DIV/0!</v>
      </c>
      <c r="AQ1292" s="214"/>
      <c r="AR1292" s="125"/>
      <c r="AS1292" s="180"/>
      <c r="AT1292" s="180"/>
    </row>
    <row r="1293" spans="1:46" ht="12">
      <c r="A1293" s="83" t="s">
        <v>1668</v>
      </c>
      <c r="B1293" s="83" t="str">
        <f t="shared" si="268"/>
        <v>SiO2</v>
      </c>
      <c r="C1293" s="329">
        <f t="shared" si="269"/>
        <v>0</v>
      </c>
      <c r="D1293" s="168">
        <f t="shared" si="270"/>
        <v>495.10539062790099</v>
      </c>
      <c r="E1293" s="139">
        <f t="shared" si="271"/>
        <v>10.3</v>
      </c>
      <c r="F1293" s="139">
        <f t="shared" si="272"/>
        <v>1.71</v>
      </c>
      <c r="G1293" s="168">
        <f t="shared" si="273"/>
        <v>211.41000179811371</v>
      </c>
      <c r="H1293" s="150">
        <f t="shared" si="264"/>
        <v>0.77223498523137524</v>
      </c>
      <c r="I1293" s="279">
        <f t="shared" si="274"/>
        <v>21775.230185205713</v>
      </c>
      <c r="J1293" s="138"/>
      <c r="K1293" s="138" t="s">
        <v>1570</v>
      </c>
      <c r="L1293" s="138"/>
      <c r="M1293" s="316"/>
      <c r="N1293" s="135">
        <v>41884</v>
      </c>
      <c r="O1293" s="138">
        <v>511</v>
      </c>
      <c r="P1293" s="138" t="s">
        <v>1182</v>
      </c>
      <c r="Q1293" s="138" t="s">
        <v>1565</v>
      </c>
      <c r="R1293" s="138">
        <v>1</v>
      </c>
      <c r="S1293" s="138">
        <v>800</v>
      </c>
      <c r="T1293" s="138">
        <v>84</v>
      </c>
      <c r="U1293" s="138">
        <v>400</v>
      </c>
      <c r="V1293" s="138">
        <v>8</v>
      </c>
      <c r="W1293" s="138">
        <v>26.5</v>
      </c>
      <c r="X1293" s="138">
        <v>2.5</v>
      </c>
      <c r="Y1293" s="138">
        <v>40</v>
      </c>
      <c r="Z1293" s="138">
        <v>90</v>
      </c>
      <c r="AA1293" s="6">
        <v>170</v>
      </c>
      <c r="AB1293" s="300"/>
      <c r="AC1293" s="138"/>
      <c r="AD1293" s="138"/>
      <c r="AE1293" s="138"/>
      <c r="AF1293" s="138"/>
      <c r="AG1293" s="63">
        <v>4.2699999999999996</v>
      </c>
      <c r="AH1293" s="70">
        <v>495.10539062790099</v>
      </c>
      <c r="AI1293" s="121"/>
      <c r="AJ1293" s="121">
        <v>10.3</v>
      </c>
      <c r="AK1293" s="121">
        <v>1.71</v>
      </c>
      <c r="AL1293" s="121">
        <f>235.3/304.7</f>
        <v>0.77223498523137524</v>
      </c>
      <c r="AM1293" s="138"/>
      <c r="AN1293" s="24">
        <f t="shared" si="265"/>
        <v>211.41000179811371</v>
      </c>
      <c r="AO1293" s="353">
        <f t="shared" si="266"/>
        <v>21775.230185205713</v>
      </c>
      <c r="AP1293" s="36">
        <f t="shared" si="267"/>
        <v>3.05</v>
      </c>
      <c r="AQ1293" s="316"/>
      <c r="AR1293" s="258"/>
      <c r="AS1293" s="138"/>
      <c r="AT1293" s="138"/>
    </row>
    <row r="1294" spans="1:46" ht="12">
      <c r="A1294" s="83" t="s">
        <v>1669</v>
      </c>
      <c r="B1294" s="83" t="str">
        <f t="shared" si="268"/>
        <v>SiO2</v>
      </c>
      <c r="C1294" s="329">
        <f t="shared" si="269"/>
        <v>0</v>
      </c>
      <c r="D1294" s="168">
        <f t="shared" si="270"/>
        <v>503.66937576308698</v>
      </c>
      <c r="E1294" s="139">
        <f t="shared" si="271"/>
        <v>10.3</v>
      </c>
      <c r="F1294" s="139">
        <f t="shared" si="272"/>
        <v>1.72</v>
      </c>
      <c r="G1294" s="168">
        <f t="shared" si="273"/>
        <v>214.05948469931195</v>
      </c>
      <c r="H1294" s="150">
        <f t="shared" si="264"/>
        <v>0.76163182737693857</v>
      </c>
      <c r="I1294" s="279">
        <f t="shared" si="274"/>
        <v>22048.126924029133</v>
      </c>
      <c r="J1294" s="138"/>
      <c r="K1294" s="138" t="s">
        <v>1570</v>
      </c>
      <c r="L1294" s="138"/>
      <c r="M1294" s="316"/>
      <c r="N1294" s="135">
        <v>41884</v>
      </c>
      <c r="O1294" s="138">
        <v>511</v>
      </c>
      <c r="P1294" s="138" t="s">
        <v>1182</v>
      </c>
      <c r="Q1294" s="138" t="s">
        <v>1565</v>
      </c>
      <c r="R1294" s="138">
        <v>2</v>
      </c>
      <c r="S1294" s="138">
        <v>800</v>
      </c>
      <c r="T1294" s="138">
        <v>84</v>
      </c>
      <c r="U1294" s="138">
        <v>400</v>
      </c>
      <c r="V1294" s="138">
        <v>8</v>
      </c>
      <c r="W1294" s="138">
        <v>26.5</v>
      </c>
      <c r="X1294" s="138">
        <v>2.5</v>
      </c>
      <c r="Y1294" s="138">
        <v>40</v>
      </c>
      <c r="Z1294" s="138">
        <v>90</v>
      </c>
      <c r="AA1294" s="6">
        <v>170</v>
      </c>
      <c r="AB1294" s="300"/>
      <c r="AC1294" s="138"/>
      <c r="AD1294" s="138"/>
      <c r="AE1294" s="138"/>
      <c r="AF1294" s="138"/>
      <c r="AG1294" s="63">
        <v>4.25</v>
      </c>
      <c r="AH1294" s="70">
        <v>503.66937576308698</v>
      </c>
      <c r="AI1294" s="121"/>
      <c r="AJ1294" s="121">
        <v>10.3</v>
      </c>
      <c r="AK1294" s="121">
        <v>1.72</v>
      </c>
      <c r="AL1294" s="121">
        <f>225.9/296.6</f>
        <v>0.76163182737693857</v>
      </c>
      <c r="AM1294" s="138"/>
      <c r="AN1294" s="24">
        <f t="shared" si="265"/>
        <v>214.05948469931195</v>
      </c>
      <c r="AO1294" s="353">
        <f t="shared" si="266"/>
        <v>22048.126924029133</v>
      </c>
      <c r="AP1294" s="36">
        <f t="shared" si="267"/>
        <v>3.0357142857142856</v>
      </c>
      <c r="AQ1294" s="316"/>
      <c r="AR1294" s="258"/>
      <c r="AS1294" s="138"/>
      <c r="AT1294" s="138"/>
    </row>
    <row r="1295" spans="1:46" ht="12">
      <c r="A1295" s="256" t="s">
        <v>1670</v>
      </c>
      <c r="B1295" s="256" t="str">
        <f t="shared" si="268"/>
        <v>Al2O3</v>
      </c>
      <c r="C1295" s="32">
        <f t="shared" si="269"/>
        <v>0</v>
      </c>
      <c r="D1295" s="279">
        <f t="shared" si="270"/>
        <v>372.71176973754399</v>
      </c>
      <c r="E1295" s="78">
        <f t="shared" si="271"/>
        <v>12.6</v>
      </c>
      <c r="F1295" s="78">
        <f t="shared" si="272"/>
        <v>1.06</v>
      </c>
      <c r="G1295" s="279">
        <f t="shared" si="273"/>
        <v>163.62046691478182</v>
      </c>
      <c r="H1295" s="190">
        <f t="shared" si="264"/>
        <v>0.8547854785478548</v>
      </c>
      <c r="I1295" s="279">
        <f t="shared" si="274"/>
        <v>20616.178831262507</v>
      </c>
      <c r="J1295" s="67"/>
      <c r="K1295" s="67" t="s">
        <v>1570</v>
      </c>
      <c r="L1295" s="67"/>
      <c r="M1295" s="371"/>
      <c r="N1295" s="309">
        <v>41884</v>
      </c>
      <c r="O1295" s="67">
        <v>511</v>
      </c>
      <c r="P1295" s="67" t="s">
        <v>622</v>
      </c>
      <c r="Q1295" s="67"/>
      <c r="R1295" s="67">
        <v>3</v>
      </c>
      <c r="S1295" s="67">
        <v>800</v>
      </c>
      <c r="T1295" s="67">
        <v>84</v>
      </c>
      <c r="U1295" s="67">
        <v>400</v>
      </c>
      <c r="V1295" s="67">
        <v>8</v>
      </c>
      <c r="W1295" s="67">
        <v>26.5</v>
      </c>
      <c r="X1295" s="67">
        <v>2.5</v>
      </c>
      <c r="Y1295" s="67">
        <v>40</v>
      </c>
      <c r="Z1295" s="67">
        <v>90</v>
      </c>
      <c r="AA1295" s="159">
        <v>170</v>
      </c>
      <c r="AB1295" s="182"/>
      <c r="AC1295" s="67"/>
      <c r="AD1295" s="67"/>
      <c r="AE1295" s="67"/>
      <c r="AF1295" s="67"/>
      <c r="AG1295" s="315">
        <v>4.3899999999999997</v>
      </c>
      <c r="AH1295" s="66">
        <v>372.71176973754399</v>
      </c>
      <c r="AI1295" s="216"/>
      <c r="AJ1295" s="216">
        <v>12.6</v>
      </c>
      <c r="AK1295" s="216">
        <v>1.06</v>
      </c>
      <c r="AL1295" s="216">
        <f>155.4/181.8</f>
        <v>0.8547854785478548</v>
      </c>
      <c r="AM1295" s="67"/>
      <c r="AN1295" s="24">
        <f t="shared" si="265"/>
        <v>163.62046691478182</v>
      </c>
      <c r="AO1295" s="389">
        <f t="shared" si="266"/>
        <v>20616.178831262507</v>
      </c>
      <c r="AP1295" s="187">
        <f t="shared" si="267"/>
        <v>3.1357142857142857</v>
      </c>
      <c r="AQ1295" s="371"/>
      <c r="AR1295" s="41"/>
      <c r="AS1295" s="67"/>
      <c r="AT1295" s="67"/>
    </row>
    <row r="1296" spans="1:46" ht="12">
      <c r="A1296" s="256" t="s">
        <v>1671</v>
      </c>
      <c r="B1296" s="256" t="str">
        <f t="shared" si="268"/>
        <v>Al2O3</v>
      </c>
      <c r="C1296" s="32">
        <f t="shared" si="269"/>
        <v>0</v>
      </c>
      <c r="D1296" s="279">
        <f t="shared" si="270"/>
        <v>331.31917491748197</v>
      </c>
      <c r="E1296" s="78">
        <f t="shared" si="271"/>
        <v>12.85</v>
      </c>
      <c r="F1296" s="78">
        <f t="shared" si="272"/>
        <v>1.1399999999999999</v>
      </c>
      <c r="G1296" s="279">
        <f t="shared" si="273"/>
        <v>153.06945881187667</v>
      </c>
      <c r="H1296" s="190">
        <f t="shared" si="264"/>
        <v>0.88366179275270174</v>
      </c>
      <c r="I1296" s="279">
        <f t="shared" si="274"/>
        <v>19669.42545732615</v>
      </c>
      <c r="J1296" s="67"/>
      <c r="K1296" s="67" t="s">
        <v>1570</v>
      </c>
      <c r="L1296" s="67"/>
      <c r="M1296" s="371"/>
      <c r="N1296" s="309">
        <v>41884</v>
      </c>
      <c r="O1296" s="67">
        <v>511</v>
      </c>
      <c r="P1296" s="67" t="s">
        <v>622</v>
      </c>
      <c r="Q1296" s="67"/>
      <c r="R1296" s="67">
        <v>6</v>
      </c>
      <c r="S1296" s="67">
        <v>800</v>
      </c>
      <c r="T1296" s="67">
        <v>84</v>
      </c>
      <c r="U1296" s="67">
        <v>400</v>
      </c>
      <c r="V1296" s="67">
        <v>8</v>
      </c>
      <c r="W1296" s="67">
        <v>26.5</v>
      </c>
      <c r="X1296" s="67">
        <v>2.5</v>
      </c>
      <c r="Y1296" s="67">
        <v>40</v>
      </c>
      <c r="Z1296" s="67">
        <v>90</v>
      </c>
      <c r="AA1296" s="159">
        <v>170</v>
      </c>
      <c r="AB1296" s="182"/>
      <c r="AC1296" s="67"/>
      <c r="AD1296" s="67"/>
      <c r="AE1296" s="67"/>
      <c r="AF1296" s="67"/>
      <c r="AG1296" s="315">
        <v>4.62</v>
      </c>
      <c r="AH1296" s="66">
        <v>331.31917491748197</v>
      </c>
      <c r="AI1296" s="216"/>
      <c r="AJ1296" s="216">
        <v>12.85</v>
      </c>
      <c r="AK1296" s="216">
        <v>1.1399999999999999</v>
      </c>
      <c r="AL1296" s="216">
        <f>139/157.3</f>
        <v>0.88366179275270174</v>
      </c>
      <c r="AM1296" s="67"/>
      <c r="AN1296" s="24">
        <f t="shared" si="265"/>
        <v>153.06945881187667</v>
      </c>
      <c r="AO1296" s="389">
        <f t="shared" si="266"/>
        <v>19669.42545732615</v>
      </c>
      <c r="AP1296" s="187">
        <f t="shared" si="267"/>
        <v>3.3</v>
      </c>
      <c r="AQ1296" s="371"/>
      <c r="AR1296" s="41"/>
      <c r="AS1296" s="67"/>
      <c r="AT1296" s="67"/>
    </row>
    <row r="1297" spans="1:46" ht="12">
      <c r="A1297" s="83" t="s">
        <v>1672</v>
      </c>
      <c r="B1297" s="83" t="str">
        <f t="shared" si="268"/>
        <v>SiO2</v>
      </c>
      <c r="C1297" s="329">
        <f t="shared" si="269"/>
        <v>0</v>
      </c>
      <c r="D1297" s="168">
        <f t="shared" si="270"/>
        <v>451.92863223800902</v>
      </c>
      <c r="E1297" s="139">
        <f t="shared" si="271"/>
        <v>10.6</v>
      </c>
      <c r="F1297" s="139">
        <f t="shared" si="272"/>
        <v>1.5</v>
      </c>
      <c r="G1297" s="168">
        <f t="shared" si="273"/>
        <v>216.0218862097683</v>
      </c>
      <c r="H1297" s="150">
        <f t="shared" si="264"/>
        <v>0.80840000000000001</v>
      </c>
      <c r="I1297" s="279">
        <f t="shared" si="274"/>
        <v>22898.31993823544</v>
      </c>
      <c r="J1297" s="138"/>
      <c r="K1297" s="138" t="s">
        <v>1570</v>
      </c>
      <c r="L1297" s="138"/>
      <c r="M1297" s="316"/>
      <c r="N1297" s="135">
        <v>41884</v>
      </c>
      <c r="O1297" s="138">
        <v>512</v>
      </c>
      <c r="P1297" s="138" t="s">
        <v>1182</v>
      </c>
      <c r="Q1297" s="138" t="s">
        <v>1565</v>
      </c>
      <c r="R1297" s="138">
        <v>1</v>
      </c>
      <c r="S1297" s="138">
        <v>800</v>
      </c>
      <c r="T1297" s="138">
        <v>90</v>
      </c>
      <c r="U1297" s="138">
        <v>400</v>
      </c>
      <c r="V1297" s="138">
        <v>8</v>
      </c>
      <c r="W1297" s="138">
        <v>26.5</v>
      </c>
      <c r="X1297" s="138">
        <v>2.5</v>
      </c>
      <c r="Y1297" s="138">
        <v>40</v>
      </c>
      <c r="Z1297" s="138">
        <v>90</v>
      </c>
      <c r="AA1297" s="6"/>
      <c r="AB1297" s="300"/>
      <c r="AC1297" s="138"/>
      <c r="AD1297" s="138"/>
      <c r="AE1297" s="138"/>
      <c r="AF1297" s="138"/>
      <c r="AG1297" s="63">
        <v>4.78</v>
      </c>
      <c r="AH1297" s="70">
        <v>451.92863223800902</v>
      </c>
      <c r="AI1297" s="121"/>
      <c r="AJ1297" s="121">
        <v>10.6</v>
      </c>
      <c r="AK1297" s="121">
        <v>1.5</v>
      </c>
      <c r="AL1297" s="121">
        <f>202.1/250</f>
        <v>0.80840000000000001</v>
      </c>
      <c r="AM1297" s="138"/>
      <c r="AN1297" s="24">
        <f t="shared" si="265"/>
        <v>216.0218862097683</v>
      </c>
      <c r="AO1297" s="353">
        <f t="shared" si="266"/>
        <v>22898.31993823544</v>
      </c>
      <c r="AP1297" s="36">
        <f t="shared" si="267"/>
        <v>3.186666666666667</v>
      </c>
      <c r="AQ1297" s="316"/>
      <c r="AR1297" s="258"/>
      <c r="AS1297" s="138"/>
      <c r="AT1297" s="138"/>
    </row>
    <row r="1298" spans="1:46" ht="12">
      <c r="A1298" s="83" t="s">
        <v>1673</v>
      </c>
      <c r="B1298" s="83" t="str">
        <f t="shared" si="268"/>
        <v>SiO2</v>
      </c>
      <c r="C1298" s="329">
        <f t="shared" si="269"/>
        <v>0</v>
      </c>
      <c r="D1298" s="168">
        <f t="shared" si="270"/>
        <v>461.56311551509202</v>
      </c>
      <c r="E1298" s="139">
        <f t="shared" si="271"/>
        <v>10.45</v>
      </c>
      <c r="F1298" s="139">
        <f t="shared" si="272"/>
        <v>1.41</v>
      </c>
      <c r="G1298" s="168">
        <f t="shared" si="273"/>
        <v>219.2424798696687</v>
      </c>
      <c r="H1298" s="150">
        <f t="shared" si="264"/>
        <v>0.79148428173497809</v>
      </c>
      <c r="I1298" s="279">
        <f t="shared" si="274"/>
        <v>22910.839146380378</v>
      </c>
      <c r="J1298" s="138"/>
      <c r="K1298" s="138" t="s">
        <v>1570</v>
      </c>
      <c r="L1298" s="138"/>
      <c r="M1298" s="316"/>
      <c r="N1298" s="135">
        <v>41884</v>
      </c>
      <c r="O1298" s="138">
        <v>512</v>
      </c>
      <c r="P1298" s="138" t="s">
        <v>1182</v>
      </c>
      <c r="Q1298" s="138" t="s">
        <v>1565</v>
      </c>
      <c r="R1298" s="138">
        <v>2</v>
      </c>
      <c r="S1298" s="138">
        <v>800</v>
      </c>
      <c r="T1298" s="138">
        <v>90</v>
      </c>
      <c r="U1298" s="138">
        <v>400</v>
      </c>
      <c r="V1298" s="138">
        <v>8</v>
      </c>
      <c r="W1298" s="138">
        <v>26.5</v>
      </c>
      <c r="X1298" s="138">
        <v>2.5</v>
      </c>
      <c r="Y1298" s="138">
        <v>40</v>
      </c>
      <c r="Z1298" s="138">
        <v>90</v>
      </c>
      <c r="AA1298" s="6"/>
      <c r="AB1298" s="300"/>
      <c r="AC1298" s="138"/>
      <c r="AD1298" s="138"/>
      <c r="AE1298" s="138"/>
      <c r="AF1298" s="138"/>
      <c r="AG1298" s="63">
        <v>4.75</v>
      </c>
      <c r="AH1298" s="70">
        <v>461.56311551509202</v>
      </c>
      <c r="AI1298" s="121"/>
      <c r="AJ1298" s="121">
        <f>0.5*(10.7+10.2)</f>
        <v>10.45</v>
      </c>
      <c r="AK1298" s="121">
        <v>1.41</v>
      </c>
      <c r="AL1298" s="121">
        <f>198.9/251.3</f>
        <v>0.79148428173497809</v>
      </c>
      <c r="AM1298" s="138"/>
      <c r="AN1298" s="24">
        <f t="shared" si="265"/>
        <v>219.2424798696687</v>
      </c>
      <c r="AO1298" s="353">
        <f t="shared" si="266"/>
        <v>22910.839146380378</v>
      </c>
      <c r="AP1298" s="36">
        <f t="shared" si="267"/>
        <v>3.1666666666666665</v>
      </c>
      <c r="AQ1298" s="316"/>
      <c r="AR1298" s="258"/>
      <c r="AS1298" s="138"/>
      <c r="AT1298" s="138"/>
    </row>
    <row r="1299" spans="1:46" ht="12">
      <c r="A1299" s="83" t="s">
        <v>1674</v>
      </c>
      <c r="B1299" s="83" t="str">
        <f t="shared" si="268"/>
        <v>SiO2</v>
      </c>
      <c r="C1299" s="329">
        <f t="shared" si="269"/>
        <v>0</v>
      </c>
      <c r="D1299" s="168">
        <f t="shared" si="270"/>
        <v>380.20525673083199</v>
      </c>
      <c r="E1299" s="139">
        <f t="shared" si="271"/>
        <v>11.4</v>
      </c>
      <c r="F1299" s="139">
        <f t="shared" si="272"/>
        <v>1.19</v>
      </c>
      <c r="G1299" s="168">
        <f t="shared" si="273"/>
        <v>190.48283362214681</v>
      </c>
      <c r="H1299" s="150">
        <f t="shared" si="264"/>
        <v>0.85139318885448911</v>
      </c>
      <c r="I1299" s="279">
        <f t="shared" si="274"/>
        <v>21715.043032924736</v>
      </c>
      <c r="J1299" s="138"/>
      <c r="K1299" s="138" t="s">
        <v>1570</v>
      </c>
      <c r="L1299" s="138"/>
      <c r="M1299" s="316"/>
      <c r="N1299" s="135">
        <v>41884</v>
      </c>
      <c r="O1299" s="138">
        <v>512</v>
      </c>
      <c r="P1299" s="138" t="s">
        <v>1182</v>
      </c>
      <c r="Q1299" s="138" t="s">
        <v>1565</v>
      </c>
      <c r="R1299" s="138">
        <v>3</v>
      </c>
      <c r="S1299" s="138">
        <v>800</v>
      </c>
      <c r="T1299" s="138">
        <v>90</v>
      </c>
      <c r="U1299" s="138">
        <v>400</v>
      </c>
      <c r="V1299" s="138">
        <v>8</v>
      </c>
      <c r="W1299" s="138">
        <v>26.5</v>
      </c>
      <c r="X1299" s="138">
        <v>2.5</v>
      </c>
      <c r="Y1299" s="138">
        <v>40</v>
      </c>
      <c r="Z1299" s="138">
        <v>90</v>
      </c>
      <c r="AA1299" s="6"/>
      <c r="AB1299" s="300"/>
      <c r="AC1299" s="138"/>
      <c r="AD1299" s="138"/>
      <c r="AE1299" s="138"/>
      <c r="AF1299" s="138"/>
      <c r="AG1299" s="63">
        <v>5.01</v>
      </c>
      <c r="AH1299" s="70">
        <v>380.20525673083199</v>
      </c>
      <c r="AI1299" s="121"/>
      <c r="AJ1299" s="121">
        <v>11.4</v>
      </c>
      <c r="AK1299" s="121">
        <v>1.19</v>
      </c>
      <c r="AL1299" s="121">
        <f>165/193.8</f>
        <v>0.85139318885448911</v>
      </c>
      <c r="AM1299" s="138"/>
      <c r="AN1299" s="24">
        <f t="shared" si="265"/>
        <v>190.48283362214681</v>
      </c>
      <c r="AO1299" s="353">
        <f t="shared" si="266"/>
        <v>21715.043032924736</v>
      </c>
      <c r="AP1299" s="36">
        <f t="shared" si="267"/>
        <v>3.34</v>
      </c>
      <c r="AQ1299" s="316"/>
      <c r="AR1299" s="258"/>
      <c r="AS1299" s="138"/>
      <c r="AT1299" s="138"/>
    </row>
    <row r="1300" spans="1:46" ht="12">
      <c r="A1300" s="256" t="s">
        <v>1675</v>
      </c>
      <c r="B1300" s="256" t="str">
        <f t="shared" si="268"/>
        <v>Al2O3</v>
      </c>
      <c r="C1300" s="32">
        <f t="shared" si="269"/>
        <v>0</v>
      </c>
      <c r="D1300" s="279">
        <f t="shared" si="270"/>
        <v>332.032840345414</v>
      </c>
      <c r="E1300" s="78">
        <f t="shared" si="271"/>
        <v>12.54</v>
      </c>
      <c r="F1300" s="78">
        <f t="shared" si="272"/>
        <v>0.99</v>
      </c>
      <c r="G1300" s="279">
        <f t="shared" si="273"/>
        <v>161.36796040787121</v>
      </c>
      <c r="H1300" s="190">
        <f t="shared" ref="H1300:H1331" si="275">AL1300</f>
        <v>0.8739644970414201</v>
      </c>
      <c r="I1300" s="279">
        <f t="shared" si="274"/>
        <v>20235.542235147048</v>
      </c>
      <c r="J1300" s="67"/>
      <c r="K1300" s="67" t="s">
        <v>1570</v>
      </c>
      <c r="L1300" s="67"/>
      <c r="M1300" s="371"/>
      <c r="N1300" s="309">
        <v>41884</v>
      </c>
      <c r="O1300" s="67">
        <v>512</v>
      </c>
      <c r="P1300" s="67" t="s">
        <v>622</v>
      </c>
      <c r="Q1300" s="67"/>
      <c r="R1300" s="67">
        <v>6</v>
      </c>
      <c r="S1300" s="67">
        <v>800</v>
      </c>
      <c r="T1300" s="67">
        <v>90</v>
      </c>
      <c r="U1300" s="67">
        <v>400</v>
      </c>
      <c r="V1300" s="67">
        <v>8</v>
      </c>
      <c r="W1300" s="67">
        <v>26.5</v>
      </c>
      <c r="X1300" s="67">
        <v>2.5</v>
      </c>
      <c r="Y1300" s="67">
        <v>40</v>
      </c>
      <c r="Z1300" s="67">
        <v>90</v>
      </c>
      <c r="AA1300" s="159"/>
      <c r="AB1300" s="182"/>
      <c r="AC1300" s="67"/>
      <c r="AD1300" s="67"/>
      <c r="AE1300" s="67"/>
      <c r="AF1300" s="67"/>
      <c r="AG1300" s="315">
        <v>4.8600000000000003</v>
      </c>
      <c r="AH1300" s="66">
        <v>332.032840345414</v>
      </c>
      <c r="AI1300" s="216"/>
      <c r="AJ1300" s="216">
        <v>12.54</v>
      </c>
      <c r="AK1300" s="216">
        <v>0.99</v>
      </c>
      <c r="AL1300" s="216">
        <f>147.7/169</f>
        <v>0.8739644970414201</v>
      </c>
      <c r="AM1300" s="67"/>
      <c r="AN1300" s="24">
        <f t="shared" si="265"/>
        <v>161.36796040787121</v>
      </c>
      <c r="AO1300" s="389">
        <f t="shared" si="266"/>
        <v>20235.542235147048</v>
      </c>
      <c r="AP1300" s="187">
        <f t="shared" si="267"/>
        <v>3.24</v>
      </c>
      <c r="AQ1300" s="371"/>
      <c r="AR1300" s="41"/>
      <c r="AS1300" s="67"/>
      <c r="AT1300" s="67"/>
    </row>
    <row r="1301" spans="1:46" ht="12">
      <c r="A1301" s="83" t="s">
        <v>1676</v>
      </c>
      <c r="B1301" s="83" t="str">
        <f t="shared" si="268"/>
        <v>SiO2</v>
      </c>
      <c r="C1301" s="329">
        <f t="shared" si="269"/>
        <v>0</v>
      </c>
      <c r="D1301" s="168">
        <f t="shared" si="270"/>
        <v>450.32288502516099</v>
      </c>
      <c r="E1301" s="139">
        <f t="shared" si="271"/>
        <v>10.62</v>
      </c>
      <c r="F1301" s="139">
        <f t="shared" si="272"/>
        <v>1.7</v>
      </c>
      <c r="G1301" s="168">
        <f t="shared" si="273"/>
        <v>213.90337038695148</v>
      </c>
      <c r="H1301" s="150">
        <f t="shared" si="275"/>
        <v>0.80314960629921262</v>
      </c>
      <c r="I1301" s="279">
        <f t="shared" si="274"/>
        <v>22716.537935094246</v>
      </c>
      <c r="J1301" s="138"/>
      <c r="K1301" s="138" t="s">
        <v>1570</v>
      </c>
      <c r="L1301" s="138"/>
      <c r="M1301" s="316"/>
      <c r="N1301" s="135">
        <v>41885</v>
      </c>
      <c r="O1301" s="138">
        <v>513</v>
      </c>
      <c r="P1301" s="138" t="s">
        <v>1182</v>
      </c>
      <c r="Q1301" s="138" t="s">
        <v>1565</v>
      </c>
      <c r="R1301" s="138">
        <v>1</v>
      </c>
      <c r="S1301" s="138">
        <v>800</v>
      </c>
      <c r="T1301" s="138">
        <v>90</v>
      </c>
      <c r="U1301" s="138">
        <v>400</v>
      </c>
      <c r="V1301" s="138">
        <v>8</v>
      </c>
      <c r="W1301" s="138">
        <v>26.5</v>
      </c>
      <c r="X1301" s="138">
        <v>2.5</v>
      </c>
      <c r="Y1301" s="138">
        <v>40</v>
      </c>
      <c r="Z1301" s="138">
        <v>90</v>
      </c>
      <c r="AA1301" s="6">
        <v>169</v>
      </c>
      <c r="AB1301" s="300"/>
      <c r="AC1301" s="138"/>
      <c r="AD1301" s="138"/>
      <c r="AE1301" s="138"/>
      <c r="AF1301" s="138"/>
      <c r="AG1301" s="63">
        <v>4.75</v>
      </c>
      <c r="AH1301" s="70">
        <v>450.32288502516099</v>
      </c>
      <c r="AI1301" s="121"/>
      <c r="AJ1301" s="121">
        <v>10.62</v>
      </c>
      <c r="AK1301" s="121">
        <v>1.7</v>
      </c>
      <c r="AL1301" s="121">
        <f>204/254</f>
        <v>0.80314960629921262</v>
      </c>
      <c r="AM1301" s="138"/>
      <c r="AN1301" s="24">
        <f t="shared" si="265"/>
        <v>213.90337038695148</v>
      </c>
      <c r="AO1301" s="353">
        <f t="shared" si="266"/>
        <v>22716.537935094246</v>
      </c>
      <c r="AP1301" s="36">
        <f t="shared" si="267"/>
        <v>3.1666666666666665</v>
      </c>
      <c r="AQ1301" s="316"/>
      <c r="AR1301" s="258"/>
      <c r="AS1301" s="138"/>
      <c r="AT1301" s="138"/>
    </row>
    <row r="1302" spans="1:46" ht="12">
      <c r="A1302" s="83" t="s">
        <v>1677</v>
      </c>
      <c r="B1302" s="83" t="str">
        <f t="shared" si="268"/>
        <v>SiO2</v>
      </c>
      <c r="C1302" s="329">
        <f t="shared" si="269"/>
        <v>0</v>
      </c>
      <c r="D1302" s="168">
        <f t="shared" si="270"/>
        <v>444.078312530755</v>
      </c>
      <c r="E1302" s="139">
        <f t="shared" si="271"/>
        <v>10.66</v>
      </c>
      <c r="F1302" s="139">
        <f t="shared" si="272"/>
        <v>1.57</v>
      </c>
      <c r="G1302" s="168">
        <f t="shared" si="273"/>
        <v>210.04904182704712</v>
      </c>
      <c r="H1302" s="150">
        <f t="shared" si="275"/>
        <v>0.80513833992094852</v>
      </c>
      <c r="I1302" s="279">
        <f t="shared" si="274"/>
        <v>22391.227858763225</v>
      </c>
      <c r="J1302" s="138"/>
      <c r="K1302" s="138" t="s">
        <v>1570</v>
      </c>
      <c r="L1302" s="138"/>
      <c r="M1302" s="316"/>
      <c r="N1302" s="135">
        <v>41885</v>
      </c>
      <c r="O1302" s="138">
        <v>513</v>
      </c>
      <c r="P1302" s="138" t="s">
        <v>1182</v>
      </c>
      <c r="Q1302" s="138" t="s">
        <v>1565</v>
      </c>
      <c r="R1302" s="138">
        <v>2</v>
      </c>
      <c r="S1302" s="138">
        <v>800</v>
      </c>
      <c r="T1302" s="138">
        <v>90</v>
      </c>
      <c r="U1302" s="138">
        <v>400</v>
      </c>
      <c r="V1302" s="138">
        <v>8</v>
      </c>
      <c r="W1302" s="138">
        <v>26.5</v>
      </c>
      <c r="X1302" s="138">
        <v>2.5</v>
      </c>
      <c r="Y1302" s="138">
        <v>40</v>
      </c>
      <c r="Z1302" s="138">
        <v>90</v>
      </c>
      <c r="AA1302" s="6">
        <v>169</v>
      </c>
      <c r="AB1302" s="300"/>
      <c r="AC1302" s="138"/>
      <c r="AD1302" s="138"/>
      <c r="AE1302" s="138"/>
      <c r="AF1302" s="138"/>
      <c r="AG1302" s="63">
        <v>4.7300000000000004</v>
      </c>
      <c r="AH1302" s="70">
        <v>444.078312530755</v>
      </c>
      <c r="AI1302" s="121"/>
      <c r="AJ1302" s="121">
        <v>10.66</v>
      </c>
      <c r="AK1302" s="121">
        <v>1.57</v>
      </c>
      <c r="AL1302" s="121">
        <f>203.7/253</f>
        <v>0.80513833992094852</v>
      </c>
      <c r="AM1302" s="138"/>
      <c r="AN1302" s="24">
        <f t="shared" si="265"/>
        <v>210.04904182704712</v>
      </c>
      <c r="AO1302" s="353">
        <f t="shared" si="266"/>
        <v>22391.227858763225</v>
      </c>
      <c r="AP1302" s="36">
        <f t="shared" si="267"/>
        <v>3.1533333333333338</v>
      </c>
      <c r="AQ1302" s="316"/>
      <c r="AR1302" s="258"/>
      <c r="AS1302" s="138"/>
      <c r="AT1302" s="138"/>
    </row>
    <row r="1303" spans="1:46" ht="12">
      <c r="A1303" s="256" t="s">
        <v>1678</v>
      </c>
      <c r="B1303" s="256" t="str">
        <f t="shared" si="268"/>
        <v>MgO</v>
      </c>
      <c r="C1303" s="32">
        <f t="shared" si="269"/>
        <v>0</v>
      </c>
      <c r="D1303" s="279">
        <f t="shared" si="270"/>
        <v>297.95531616165601</v>
      </c>
      <c r="E1303" s="78">
        <f t="shared" si="271"/>
        <v>11.53</v>
      </c>
      <c r="F1303" s="78">
        <f t="shared" si="272"/>
        <v>1.17</v>
      </c>
      <c r="G1303" s="279">
        <f t="shared" si="273"/>
        <v>183.54047475558011</v>
      </c>
      <c r="H1303" s="190">
        <f t="shared" si="275"/>
        <v>0.76570458404074715</v>
      </c>
      <c r="I1303" s="279">
        <f t="shared" si="274"/>
        <v>21162.216739318384</v>
      </c>
      <c r="J1303" s="67"/>
      <c r="K1303" s="67" t="s">
        <v>1570</v>
      </c>
      <c r="L1303" s="67"/>
      <c r="M1303" s="371"/>
      <c r="N1303" s="309">
        <v>41885</v>
      </c>
      <c r="O1303" s="67">
        <v>513</v>
      </c>
      <c r="P1303" s="67" t="s">
        <v>46</v>
      </c>
      <c r="Q1303" s="67"/>
      <c r="R1303" s="67">
        <v>3</v>
      </c>
      <c r="S1303" s="67">
        <v>800</v>
      </c>
      <c r="T1303" s="67">
        <v>90</v>
      </c>
      <c r="U1303" s="67">
        <v>400</v>
      </c>
      <c r="V1303" s="67">
        <v>8</v>
      </c>
      <c r="W1303" s="67">
        <v>26.5</v>
      </c>
      <c r="X1303" s="67">
        <v>2.5</v>
      </c>
      <c r="Y1303" s="67">
        <v>40</v>
      </c>
      <c r="Z1303" s="67">
        <v>90</v>
      </c>
      <c r="AA1303" s="159">
        <v>169</v>
      </c>
      <c r="AB1303" s="182"/>
      <c r="AC1303" s="67"/>
      <c r="AD1303" s="67"/>
      <c r="AE1303" s="67"/>
      <c r="AF1303" s="67"/>
      <c r="AG1303" s="315">
        <v>6.16</v>
      </c>
      <c r="AH1303" s="66">
        <v>297.95531616165601</v>
      </c>
      <c r="AI1303" s="216"/>
      <c r="AJ1303" s="216">
        <v>11.53</v>
      </c>
      <c r="AK1303" s="216">
        <v>1.17</v>
      </c>
      <c r="AL1303" s="216">
        <f>135.3/176.7</f>
        <v>0.76570458404074715</v>
      </c>
      <c r="AM1303" s="67"/>
      <c r="AN1303" s="24">
        <f t="shared" si="265"/>
        <v>183.54047475558011</v>
      </c>
      <c r="AO1303" s="389">
        <f t="shared" si="266"/>
        <v>21162.216739318384</v>
      </c>
      <c r="AP1303" s="187">
        <f t="shared" si="267"/>
        <v>4.1066666666666665</v>
      </c>
      <c r="AQ1303" s="371"/>
      <c r="AR1303" s="41"/>
      <c r="AS1303" s="67"/>
      <c r="AT1303" s="67"/>
    </row>
    <row r="1304" spans="1:46" ht="12">
      <c r="A1304" s="256" t="s">
        <v>1679</v>
      </c>
      <c r="B1304" s="256" t="str">
        <f t="shared" si="268"/>
        <v>MgO</v>
      </c>
      <c r="C1304" s="32">
        <f t="shared" si="269"/>
        <v>0</v>
      </c>
      <c r="D1304" s="279">
        <f t="shared" si="270"/>
        <v>300.27472880243499</v>
      </c>
      <c r="E1304" s="78">
        <f t="shared" si="271"/>
        <v>11.69</v>
      </c>
      <c r="F1304" s="78">
        <f t="shared" si="272"/>
        <v>1.29</v>
      </c>
      <c r="G1304" s="279">
        <f t="shared" si="273"/>
        <v>184.66895821349755</v>
      </c>
      <c r="H1304" s="190">
        <f t="shared" si="275"/>
        <v>0.76844494892168003</v>
      </c>
      <c r="I1304" s="279">
        <f t="shared" si="274"/>
        <v>21587.801215157862</v>
      </c>
      <c r="J1304" s="67"/>
      <c r="K1304" s="67" t="s">
        <v>1570</v>
      </c>
      <c r="L1304" s="67"/>
      <c r="M1304" s="371"/>
      <c r="N1304" s="309">
        <v>41885</v>
      </c>
      <c r="O1304" s="67">
        <v>513</v>
      </c>
      <c r="P1304" s="67" t="s">
        <v>46</v>
      </c>
      <c r="Q1304" s="67"/>
      <c r="R1304" s="67">
        <v>6</v>
      </c>
      <c r="S1304" s="67">
        <v>800</v>
      </c>
      <c r="T1304" s="67">
        <v>90</v>
      </c>
      <c r="U1304" s="67">
        <v>400</v>
      </c>
      <c r="V1304" s="67">
        <v>8</v>
      </c>
      <c r="W1304" s="67">
        <v>26.5</v>
      </c>
      <c r="X1304" s="67">
        <v>2.5</v>
      </c>
      <c r="Y1304" s="67">
        <v>40</v>
      </c>
      <c r="Z1304" s="67">
        <v>90</v>
      </c>
      <c r="AA1304" s="159">
        <v>169</v>
      </c>
      <c r="AB1304" s="182"/>
      <c r="AC1304" s="67"/>
      <c r="AD1304" s="67"/>
      <c r="AE1304" s="67"/>
      <c r="AF1304" s="67"/>
      <c r="AG1304" s="315">
        <v>6.15</v>
      </c>
      <c r="AH1304" s="66">
        <v>300.27472880243499</v>
      </c>
      <c r="AI1304" s="216"/>
      <c r="AJ1304" s="216">
        <v>11.69</v>
      </c>
      <c r="AK1304" s="216">
        <v>1.29</v>
      </c>
      <c r="AL1304" s="216">
        <f>135.4/176.2</f>
        <v>0.76844494892168003</v>
      </c>
      <c r="AM1304" s="67"/>
      <c r="AN1304" s="24">
        <f t="shared" si="265"/>
        <v>184.66895821349755</v>
      </c>
      <c r="AO1304" s="389">
        <f t="shared" si="266"/>
        <v>21587.801215157862</v>
      </c>
      <c r="AP1304" s="187">
        <f t="shared" si="267"/>
        <v>4.1000000000000005</v>
      </c>
      <c r="AQ1304" s="371"/>
      <c r="AR1304" s="41"/>
      <c r="AS1304" s="67"/>
      <c r="AT1304" s="67"/>
    </row>
    <row r="1305" spans="1:46" ht="12">
      <c r="A1305" s="83" t="s">
        <v>1680</v>
      </c>
      <c r="B1305" s="83" t="str">
        <f t="shared" si="268"/>
        <v>SiO2</v>
      </c>
      <c r="C1305" s="329">
        <f t="shared" si="269"/>
        <v>0</v>
      </c>
      <c r="D1305" s="168">
        <f t="shared" si="270"/>
        <v>424.274096905639</v>
      </c>
      <c r="E1305" s="139">
        <f t="shared" si="271"/>
        <v>11.15</v>
      </c>
      <c r="F1305" s="139">
        <f t="shared" si="272"/>
        <v>1.48</v>
      </c>
      <c r="G1305" s="168">
        <f t="shared" si="273"/>
        <v>204.92438880542363</v>
      </c>
      <c r="H1305" s="150">
        <f t="shared" si="275"/>
        <v>0.81695487136229439</v>
      </c>
      <c r="I1305" s="168">
        <f t="shared" si="274"/>
        <v>22849.069351804737</v>
      </c>
      <c r="J1305" s="138"/>
      <c r="K1305" s="138" t="s">
        <v>1681</v>
      </c>
      <c r="L1305" s="138"/>
      <c r="M1305" s="316"/>
      <c r="N1305" s="135">
        <v>41885</v>
      </c>
      <c r="O1305" s="138">
        <v>514</v>
      </c>
      <c r="P1305" s="138" t="s">
        <v>1182</v>
      </c>
      <c r="Q1305" s="138" t="s">
        <v>1565</v>
      </c>
      <c r="R1305" s="138">
        <v>1</v>
      </c>
      <c r="S1305" s="138">
        <v>800</v>
      </c>
      <c r="T1305" s="138">
        <v>90</v>
      </c>
      <c r="U1305" s="138">
        <v>400</v>
      </c>
      <c r="V1305" s="138">
        <v>8</v>
      </c>
      <c r="W1305" s="138">
        <v>26.5</v>
      </c>
      <c r="X1305" s="138">
        <v>2.5</v>
      </c>
      <c r="Y1305" s="138">
        <v>40</v>
      </c>
      <c r="Z1305" s="138">
        <v>90</v>
      </c>
      <c r="AA1305" s="6">
        <v>169</v>
      </c>
      <c r="AB1305" s="300"/>
      <c r="AC1305" s="138"/>
      <c r="AD1305" s="138"/>
      <c r="AE1305" s="138"/>
      <c r="AF1305" s="138"/>
      <c r="AG1305" s="63">
        <v>4.83</v>
      </c>
      <c r="AH1305" s="70">
        <v>424.274096905639</v>
      </c>
      <c r="AI1305" s="121"/>
      <c r="AJ1305" s="121">
        <v>11.15</v>
      </c>
      <c r="AK1305" s="121">
        <v>1.48</v>
      </c>
      <c r="AL1305" s="121">
        <f>193.7/237.1</f>
        <v>0.81695487136229439</v>
      </c>
      <c r="AM1305" s="138"/>
      <c r="AN1305" s="24">
        <f t="shared" si="265"/>
        <v>204.92438880542363</v>
      </c>
      <c r="AO1305" s="353">
        <f t="shared" si="266"/>
        <v>22849.069351804737</v>
      </c>
      <c r="AP1305" s="36">
        <f t="shared" si="267"/>
        <v>3.22</v>
      </c>
      <c r="AQ1305" s="316"/>
      <c r="AR1305" s="258"/>
      <c r="AS1305" s="138"/>
      <c r="AT1305" s="138"/>
    </row>
    <row r="1306" spans="1:46" ht="12">
      <c r="A1306" s="83" t="s">
        <v>1682</v>
      </c>
      <c r="B1306" s="83" t="str">
        <f t="shared" si="268"/>
        <v>SiO2</v>
      </c>
      <c r="C1306" s="329">
        <f t="shared" si="269"/>
        <v>0</v>
      </c>
      <c r="D1306" s="168">
        <f t="shared" si="270"/>
        <v>421.24101883692799</v>
      </c>
      <c r="E1306" s="139">
        <f t="shared" si="271"/>
        <v>11.21</v>
      </c>
      <c r="F1306" s="139">
        <f t="shared" si="272"/>
        <v>1.51</v>
      </c>
      <c r="G1306" s="168">
        <f t="shared" si="273"/>
        <v>203.45941209823621</v>
      </c>
      <c r="H1306" s="150">
        <f t="shared" si="275"/>
        <v>0.8175529615218331</v>
      </c>
      <c r="I1306" s="168">
        <f t="shared" si="274"/>
        <v>22807.800096212282</v>
      </c>
      <c r="J1306" s="138"/>
      <c r="K1306" s="138" t="s">
        <v>1681</v>
      </c>
      <c r="L1306" s="138"/>
      <c r="M1306" s="316"/>
      <c r="N1306" s="135">
        <v>41885</v>
      </c>
      <c r="O1306" s="138">
        <v>514</v>
      </c>
      <c r="P1306" s="138" t="s">
        <v>1182</v>
      </c>
      <c r="Q1306" s="138" t="s">
        <v>1565</v>
      </c>
      <c r="R1306" s="138">
        <v>2</v>
      </c>
      <c r="S1306" s="138">
        <v>800</v>
      </c>
      <c r="T1306" s="138">
        <v>90</v>
      </c>
      <c r="U1306" s="138">
        <v>400</v>
      </c>
      <c r="V1306" s="138">
        <v>8</v>
      </c>
      <c r="W1306" s="138">
        <v>26.5</v>
      </c>
      <c r="X1306" s="138">
        <v>2.5</v>
      </c>
      <c r="Y1306" s="138">
        <v>40</v>
      </c>
      <c r="Z1306" s="138">
        <v>90</v>
      </c>
      <c r="AA1306" s="6">
        <v>169</v>
      </c>
      <c r="AB1306" s="300"/>
      <c r="AC1306" s="138"/>
      <c r="AD1306" s="138"/>
      <c r="AE1306" s="138"/>
      <c r="AF1306" s="138"/>
      <c r="AG1306" s="63">
        <v>4.83</v>
      </c>
      <c r="AH1306" s="70">
        <v>421.24101883692799</v>
      </c>
      <c r="AI1306" s="121"/>
      <c r="AJ1306" s="121">
        <v>11.21</v>
      </c>
      <c r="AK1306" s="121">
        <v>1.51</v>
      </c>
      <c r="AL1306" s="121">
        <f>189.1/231.3</f>
        <v>0.8175529615218331</v>
      </c>
      <c r="AM1306" s="138"/>
      <c r="AN1306" s="24">
        <f t="shared" si="265"/>
        <v>203.45941209823621</v>
      </c>
      <c r="AO1306" s="353">
        <f t="shared" si="266"/>
        <v>22807.800096212282</v>
      </c>
      <c r="AP1306" s="36">
        <f t="shared" si="267"/>
        <v>3.22</v>
      </c>
      <c r="AQ1306" s="316"/>
      <c r="AR1306" s="258"/>
      <c r="AS1306" s="138"/>
      <c r="AT1306" s="138"/>
    </row>
    <row r="1307" spans="1:46" ht="12">
      <c r="A1307" s="83" t="s">
        <v>1683</v>
      </c>
      <c r="B1307" s="83" t="str">
        <f t="shared" si="268"/>
        <v>SiO2</v>
      </c>
      <c r="C1307" s="329">
        <f t="shared" si="269"/>
        <v>0</v>
      </c>
      <c r="D1307" s="168">
        <f t="shared" si="270"/>
        <v>366.82402995710402</v>
      </c>
      <c r="E1307" s="139">
        <f t="shared" si="271"/>
        <v>11.86</v>
      </c>
      <c r="F1307" s="139">
        <f t="shared" si="272"/>
        <v>1.32</v>
      </c>
      <c r="G1307" s="168">
        <f t="shared" si="273"/>
        <v>182.31154288868069</v>
      </c>
      <c r="H1307" s="150">
        <f t="shared" si="275"/>
        <v>0.87048832271762211</v>
      </c>
      <c r="I1307" s="168">
        <f t="shared" si="274"/>
        <v>21622.148986597531</v>
      </c>
      <c r="J1307" s="138"/>
      <c r="K1307" s="138" t="s">
        <v>1681</v>
      </c>
      <c r="L1307" s="138"/>
      <c r="M1307" s="316"/>
      <c r="N1307" s="135">
        <v>41885</v>
      </c>
      <c r="O1307" s="138">
        <v>514</v>
      </c>
      <c r="P1307" s="138" t="s">
        <v>1182</v>
      </c>
      <c r="Q1307" s="138" t="s">
        <v>1565</v>
      </c>
      <c r="R1307" s="138">
        <v>3</v>
      </c>
      <c r="S1307" s="138">
        <v>800</v>
      </c>
      <c r="T1307" s="138">
        <v>90</v>
      </c>
      <c r="U1307" s="138">
        <v>400</v>
      </c>
      <c r="V1307" s="138">
        <v>8</v>
      </c>
      <c r="W1307" s="138">
        <v>26.5</v>
      </c>
      <c r="X1307" s="138">
        <v>2.5</v>
      </c>
      <c r="Y1307" s="138">
        <v>40</v>
      </c>
      <c r="Z1307" s="138">
        <v>90</v>
      </c>
      <c r="AA1307" s="6">
        <v>169</v>
      </c>
      <c r="AB1307" s="300"/>
      <c r="AC1307" s="138"/>
      <c r="AD1307" s="138"/>
      <c r="AE1307" s="138"/>
      <c r="AF1307" s="138"/>
      <c r="AG1307" s="63">
        <v>4.97</v>
      </c>
      <c r="AH1307" s="70">
        <v>366.82402995710402</v>
      </c>
      <c r="AI1307" s="121"/>
      <c r="AJ1307" s="121">
        <v>11.86</v>
      </c>
      <c r="AK1307" s="121">
        <v>1.32</v>
      </c>
      <c r="AL1307" s="121">
        <f>164/188.4</f>
        <v>0.87048832271762211</v>
      </c>
      <c r="AM1307" s="138"/>
      <c r="AN1307" s="24">
        <f t="shared" si="265"/>
        <v>182.31154288868069</v>
      </c>
      <c r="AO1307" s="353">
        <f t="shared" si="266"/>
        <v>21622.148986597531</v>
      </c>
      <c r="AP1307" s="36">
        <f t="shared" si="267"/>
        <v>3.3133333333333335</v>
      </c>
      <c r="AQ1307" s="316"/>
      <c r="AR1307" s="258"/>
      <c r="AS1307" s="138"/>
      <c r="AT1307" s="138"/>
    </row>
    <row r="1308" spans="1:46" ht="12">
      <c r="A1308" s="256" t="s">
        <v>1684</v>
      </c>
      <c r="B1308" s="256" t="str">
        <f t="shared" si="268"/>
        <v>MgO</v>
      </c>
      <c r="C1308" s="32">
        <f t="shared" si="269"/>
        <v>0</v>
      </c>
      <c r="D1308" s="279">
        <f t="shared" si="270"/>
        <v>284.57408938792901</v>
      </c>
      <c r="E1308" s="78">
        <f t="shared" si="271"/>
        <v>0</v>
      </c>
      <c r="F1308" s="78">
        <f t="shared" si="272"/>
        <v>0</v>
      </c>
      <c r="G1308" s="279">
        <f t="shared" si="273"/>
        <v>179.56625040378319</v>
      </c>
      <c r="H1308" s="190">
        <f t="shared" si="275"/>
        <v>0</v>
      </c>
      <c r="I1308" s="279">
        <f t="shared" si="274"/>
        <v>0</v>
      </c>
      <c r="J1308" s="67"/>
      <c r="K1308" s="67" t="s">
        <v>1681</v>
      </c>
      <c r="L1308" s="67"/>
      <c r="M1308" s="371"/>
      <c r="N1308" s="309">
        <v>41885</v>
      </c>
      <c r="O1308" s="67">
        <v>514</v>
      </c>
      <c r="P1308" s="67" t="s">
        <v>46</v>
      </c>
      <c r="Q1308" s="67"/>
      <c r="R1308" s="67">
        <v>6</v>
      </c>
      <c r="S1308" s="67">
        <v>800</v>
      </c>
      <c r="T1308" s="67">
        <v>90</v>
      </c>
      <c r="U1308" s="67">
        <v>400</v>
      </c>
      <c r="V1308" s="67">
        <v>8</v>
      </c>
      <c r="W1308" s="67">
        <v>26.5</v>
      </c>
      <c r="X1308" s="67">
        <v>2.5</v>
      </c>
      <c r="Y1308" s="67">
        <v>40</v>
      </c>
      <c r="Z1308" s="67">
        <v>90</v>
      </c>
      <c r="AA1308" s="159">
        <v>169</v>
      </c>
      <c r="AB1308" s="182"/>
      <c r="AC1308" s="67"/>
      <c r="AD1308" s="67"/>
      <c r="AE1308" s="67"/>
      <c r="AF1308" s="67"/>
      <c r="AG1308" s="315">
        <v>6.31</v>
      </c>
      <c r="AH1308" s="66">
        <v>284.57408938792901</v>
      </c>
      <c r="AI1308" s="216"/>
      <c r="AJ1308" s="216"/>
      <c r="AK1308" s="216"/>
      <c r="AL1308" s="216"/>
      <c r="AM1308" s="67"/>
      <c r="AN1308" s="24">
        <f t="shared" si="265"/>
        <v>179.56625040378319</v>
      </c>
      <c r="AO1308" s="389">
        <f t="shared" si="266"/>
        <v>0</v>
      </c>
      <c r="AP1308" s="187">
        <f t="shared" si="267"/>
        <v>4.206666666666667</v>
      </c>
      <c r="AQ1308" s="371"/>
      <c r="AR1308" s="41"/>
      <c r="AS1308" s="67"/>
      <c r="AT1308" s="67"/>
    </row>
    <row r="1309" spans="1:46" ht="24">
      <c r="A1309" s="83" t="s">
        <v>1685</v>
      </c>
      <c r="B1309" s="83" t="str">
        <f t="shared" si="268"/>
        <v>SiO2</v>
      </c>
      <c r="C1309" s="329">
        <f t="shared" si="269"/>
        <v>0</v>
      </c>
      <c r="D1309" s="168">
        <f t="shared" si="270"/>
        <v>39.608431250232101</v>
      </c>
      <c r="E1309" s="139" t="str">
        <f t="shared" si="271"/>
        <v>&lt;4</v>
      </c>
      <c r="F1309" s="139" t="str">
        <f t="shared" si="272"/>
        <v>n/a</v>
      </c>
      <c r="G1309" s="168">
        <f t="shared" si="273"/>
        <v>0</v>
      </c>
      <c r="H1309" s="150">
        <f t="shared" si="275"/>
        <v>2.3150684931506849</v>
      </c>
      <c r="I1309" s="168" t="e">
        <f t="shared" si="274"/>
        <v>#VALUE!</v>
      </c>
      <c r="J1309" s="138"/>
      <c r="K1309" s="138" t="s">
        <v>1686</v>
      </c>
      <c r="L1309" s="138"/>
      <c r="M1309" s="316"/>
      <c r="N1309" s="135">
        <v>41886</v>
      </c>
      <c r="O1309" s="138">
        <v>515</v>
      </c>
      <c r="P1309" s="138" t="s">
        <v>1182</v>
      </c>
      <c r="Q1309" s="138" t="s">
        <v>1565</v>
      </c>
      <c r="R1309" s="138">
        <v>1</v>
      </c>
      <c r="S1309" s="138">
        <v>800</v>
      </c>
      <c r="T1309" s="138">
        <v>90</v>
      </c>
      <c r="U1309" s="138">
        <v>400</v>
      </c>
      <c r="V1309" s="138">
        <v>8</v>
      </c>
      <c r="W1309" s="138">
        <v>26.5</v>
      </c>
      <c r="X1309" s="138">
        <v>2.5</v>
      </c>
      <c r="Y1309" s="138">
        <v>40</v>
      </c>
      <c r="Z1309" s="138">
        <v>90</v>
      </c>
      <c r="AA1309" s="6">
        <v>169</v>
      </c>
      <c r="AB1309" s="300"/>
      <c r="AC1309" s="138"/>
      <c r="AD1309" s="138"/>
      <c r="AE1309" s="138"/>
      <c r="AF1309" s="138"/>
      <c r="AG1309" s="63"/>
      <c r="AH1309" s="70">
        <v>39.608431250232101</v>
      </c>
      <c r="AI1309" s="121"/>
      <c r="AJ1309" s="121" t="s">
        <v>1659</v>
      </c>
      <c r="AK1309" s="121" t="s">
        <v>1511</v>
      </c>
      <c r="AL1309" s="121">
        <f>16.9/7.3</f>
        <v>2.3150684931506849</v>
      </c>
      <c r="AM1309" s="138"/>
      <c r="AN1309" s="24">
        <f t="shared" si="265"/>
        <v>0</v>
      </c>
      <c r="AO1309" s="353" t="e">
        <f t="shared" si="266"/>
        <v>#VALUE!</v>
      </c>
      <c r="AP1309" s="36">
        <f t="shared" si="267"/>
        <v>0</v>
      </c>
      <c r="AQ1309" s="316"/>
      <c r="AR1309" s="258"/>
      <c r="AS1309" s="138"/>
      <c r="AT1309" s="138"/>
    </row>
    <row r="1310" spans="1:46" ht="24">
      <c r="A1310" s="256" t="s">
        <v>1687</v>
      </c>
      <c r="B1310" s="256" t="str">
        <f t="shared" si="268"/>
        <v>MgO</v>
      </c>
      <c r="C1310" s="32">
        <f t="shared" si="269"/>
        <v>0</v>
      </c>
      <c r="D1310" s="279">
        <f t="shared" si="270"/>
        <v>29.260282545216501</v>
      </c>
      <c r="E1310" s="78">
        <f t="shared" si="271"/>
        <v>0</v>
      </c>
      <c r="F1310" s="78">
        <f t="shared" si="272"/>
        <v>0</v>
      </c>
      <c r="G1310" s="279">
        <f t="shared" si="273"/>
        <v>0</v>
      </c>
      <c r="H1310" s="190">
        <f t="shared" si="275"/>
        <v>0</v>
      </c>
      <c r="I1310" s="279">
        <f t="shared" si="274"/>
        <v>0</v>
      </c>
      <c r="J1310" s="67"/>
      <c r="K1310" s="67" t="s">
        <v>1686</v>
      </c>
      <c r="L1310" s="67"/>
      <c r="M1310" s="371"/>
      <c r="N1310" s="309">
        <v>41886</v>
      </c>
      <c r="O1310" s="67">
        <v>515</v>
      </c>
      <c r="P1310" s="67" t="s">
        <v>46</v>
      </c>
      <c r="Q1310" s="67"/>
      <c r="R1310" s="67">
        <v>2</v>
      </c>
      <c r="S1310" s="67">
        <v>800</v>
      </c>
      <c r="T1310" s="67">
        <v>90</v>
      </c>
      <c r="U1310" s="67">
        <v>400</v>
      </c>
      <c r="V1310" s="67">
        <v>8</v>
      </c>
      <c r="W1310" s="67">
        <v>26.5</v>
      </c>
      <c r="X1310" s="67">
        <v>2.5</v>
      </c>
      <c r="Y1310" s="67">
        <v>40</v>
      </c>
      <c r="Z1310" s="67">
        <v>90</v>
      </c>
      <c r="AA1310" s="159">
        <v>169</v>
      </c>
      <c r="AB1310" s="182"/>
      <c r="AC1310" s="67"/>
      <c r="AD1310" s="67"/>
      <c r="AE1310" s="67"/>
      <c r="AF1310" s="67"/>
      <c r="AG1310" s="315"/>
      <c r="AH1310" s="66">
        <v>29.260282545216501</v>
      </c>
      <c r="AI1310" s="216"/>
      <c r="AJ1310" s="216"/>
      <c r="AK1310" s="216"/>
      <c r="AL1310" s="216"/>
      <c r="AM1310" s="67"/>
      <c r="AN1310" s="24">
        <f t="shared" si="265"/>
        <v>0</v>
      </c>
      <c r="AO1310" s="389">
        <f t="shared" si="266"/>
        <v>0</v>
      </c>
      <c r="AP1310" s="187">
        <f t="shared" si="267"/>
        <v>0</v>
      </c>
      <c r="AQ1310" s="371"/>
      <c r="AR1310" s="41"/>
      <c r="AS1310" s="67"/>
      <c r="AT1310" s="67"/>
    </row>
    <row r="1311" spans="1:46" ht="24">
      <c r="A1311" s="83" t="s">
        <v>1688</v>
      </c>
      <c r="B1311" s="83" t="str">
        <f t="shared" si="268"/>
        <v>SiO2</v>
      </c>
      <c r="C1311" s="329">
        <f t="shared" si="269"/>
        <v>0</v>
      </c>
      <c r="D1311" s="168">
        <f t="shared" si="270"/>
        <v>46.031420101621102</v>
      </c>
      <c r="E1311" s="139" t="str">
        <f t="shared" si="271"/>
        <v>&lt;4</v>
      </c>
      <c r="F1311" s="139" t="str">
        <f t="shared" si="272"/>
        <v>n/a</v>
      </c>
      <c r="G1311" s="168">
        <f t="shared" si="273"/>
        <v>0</v>
      </c>
      <c r="H1311" s="150">
        <f t="shared" si="275"/>
        <v>1.8811881188118813</v>
      </c>
      <c r="I1311" s="168" t="e">
        <f t="shared" si="274"/>
        <v>#VALUE!</v>
      </c>
      <c r="J1311" s="138"/>
      <c r="K1311" s="138" t="s">
        <v>1686</v>
      </c>
      <c r="L1311" s="138"/>
      <c r="M1311" s="316"/>
      <c r="N1311" s="135">
        <v>41886</v>
      </c>
      <c r="O1311" s="138">
        <v>515</v>
      </c>
      <c r="P1311" s="138" t="s">
        <v>1182</v>
      </c>
      <c r="Q1311" s="138" t="s">
        <v>1565</v>
      </c>
      <c r="R1311" s="138">
        <v>3</v>
      </c>
      <c r="S1311" s="138">
        <v>800</v>
      </c>
      <c r="T1311" s="138">
        <v>90</v>
      </c>
      <c r="U1311" s="138">
        <v>400</v>
      </c>
      <c r="V1311" s="138">
        <v>8</v>
      </c>
      <c r="W1311" s="138">
        <v>26.5</v>
      </c>
      <c r="X1311" s="138">
        <v>2.5</v>
      </c>
      <c r="Y1311" s="138">
        <v>40</v>
      </c>
      <c r="Z1311" s="138">
        <v>90</v>
      </c>
      <c r="AA1311" s="6">
        <v>169</v>
      </c>
      <c r="AB1311" s="300"/>
      <c r="AC1311" s="138"/>
      <c r="AD1311" s="138"/>
      <c r="AE1311" s="138"/>
      <c r="AF1311" s="138"/>
      <c r="AG1311" s="63"/>
      <c r="AH1311" s="70">
        <v>46.031420101621102</v>
      </c>
      <c r="AI1311" s="121"/>
      <c r="AJ1311" s="121" t="s">
        <v>1659</v>
      </c>
      <c r="AK1311" s="121" t="s">
        <v>1511</v>
      </c>
      <c r="AL1311" s="121">
        <f>19/10.1</f>
        <v>1.8811881188118813</v>
      </c>
      <c r="AM1311" s="138"/>
      <c r="AN1311" s="24">
        <f t="shared" si="265"/>
        <v>0</v>
      </c>
      <c r="AO1311" s="353" t="e">
        <f t="shared" si="266"/>
        <v>#VALUE!</v>
      </c>
      <c r="AP1311" s="36">
        <f t="shared" si="267"/>
        <v>0</v>
      </c>
      <c r="AQ1311" s="316"/>
      <c r="AR1311" s="258"/>
      <c r="AS1311" s="138"/>
      <c r="AT1311" s="138"/>
    </row>
    <row r="1312" spans="1:46" ht="24">
      <c r="A1312" s="142" t="s">
        <v>1689</v>
      </c>
      <c r="B1312" s="142" t="str">
        <f t="shared" si="268"/>
        <v>MgO</v>
      </c>
      <c r="C1312" s="171">
        <f t="shared" si="269"/>
        <v>0</v>
      </c>
      <c r="D1312" s="345">
        <f t="shared" si="270"/>
        <v>29.795531616165601</v>
      </c>
      <c r="E1312" s="85" t="str">
        <f t="shared" si="271"/>
        <v>&lt;4</v>
      </c>
      <c r="F1312" s="85" t="str">
        <f t="shared" si="272"/>
        <v>n/a</v>
      </c>
      <c r="G1312" s="345">
        <f t="shared" si="273"/>
        <v>0</v>
      </c>
      <c r="H1312" s="151">
        <f t="shared" si="275"/>
        <v>4.1379310344827589</v>
      </c>
      <c r="I1312" s="345" t="e">
        <f t="shared" si="274"/>
        <v>#VALUE!</v>
      </c>
      <c r="J1312" s="297"/>
      <c r="K1312" s="297" t="s">
        <v>1686</v>
      </c>
      <c r="L1312" s="297"/>
      <c r="M1312" s="355"/>
      <c r="N1312" s="337">
        <v>41886</v>
      </c>
      <c r="O1312" s="297">
        <v>515</v>
      </c>
      <c r="P1312" s="297" t="s">
        <v>46</v>
      </c>
      <c r="Q1312" s="297"/>
      <c r="R1312" s="297">
        <v>6</v>
      </c>
      <c r="S1312" s="297">
        <v>800</v>
      </c>
      <c r="T1312" s="297">
        <v>90</v>
      </c>
      <c r="U1312" s="297">
        <v>400</v>
      </c>
      <c r="V1312" s="297">
        <v>8</v>
      </c>
      <c r="W1312" s="297">
        <v>26.5</v>
      </c>
      <c r="X1312" s="297">
        <v>2.5</v>
      </c>
      <c r="Y1312" s="297">
        <v>40</v>
      </c>
      <c r="Z1312" s="297">
        <v>90</v>
      </c>
      <c r="AA1312" s="364">
        <v>169</v>
      </c>
      <c r="AB1312" s="127"/>
      <c r="AC1312" s="297"/>
      <c r="AD1312" s="297"/>
      <c r="AE1312" s="297"/>
      <c r="AF1312" s="297"/>
      <c r="AG1312" s="92"/>
      <c r="AH1312" s="19">
        <v>29.795531616165601</v>
      </c>
      <c r="AI1312" s="155"/>
      <c r="AJ1312" s="155" t="s">
        <v>1659</v>
      </c>
      <c r="AK1312" s="155" t="s">
        <v>1511</v>
      </c>
      <c r="AL1312" s="155">
        <f>12/2.9</f>
        <v>4.1379310344827589</v>
      </c>
      <c r="AM1312" s="297"/>
      <c r="AN1312" s="24">
        <f t="shared" si="265"/>
        <v>0</v>
      </c>
      <c r="AO1312" s="34" t="e">
        <f t="shared" si="266"/>
        <v>#VALUE!</v>
      </c>
      <c r="AP1312" s="392">
        <f t="shared" si="267"/>
        <v>0</v>
      </c>
      <c r="AQ1312" s="355"/>
      <c r="AR1312" s="37"/>
      <c r="AS1312" s="297"/>
      <c r="AT1312" s="297"/>
    </row>
    <row r="1313" spans="1:46" ht="12">
      <c r="A1313" s="165" t="s">
        <v>1690</v>
      </c>
      <c r="B1313" s="165" t="str">
        <f t="shared" si="268"/>
        <v>SiO2</v>
      </c>
      <c r="C1313" s="4">
        <f t="shared" si="269"/>
        <v>0</v>
      </c>
      <c r="D1313" s="237">
        <f t="shared" si="270"/>
        <v>569.32659513284102</v>
      </c>
      <c r="E1313" s="93">
        <f t="shared" si="271"/>
        <v>10.1</v>
      </c>
      <c r="F1313" s="93">
        <f t="shared" si="272"/>
        <v>1.7999999999999989</v>
      </c>
      <c r="G1313" s="237">
        <f t="shared" si="273"/>
        <v>227.7306380531364</v>
      </c>
      <c r="H1313" s="298">
        <f t="shared" si="275"/>
        <v>0.78904282115869007</v>
      </c>
      <c r="I1313" s="237">
        <f t="shared" si="274"/>
        <v>23000.794443366776</v>
      </c>
      <c r="J1313" s="305"/>
      <c r="K1313" s="305" t="s">
        <v>1681</v>
      </c>
      <c r="L1313" s="305"/>
      <c r="M1313" s="74"/>
      <c r="N1313" s="339">
        <v>41890</v>
      </c>
      <c r="O1313" s="305">
        <v>516</v>
      </c>
      <c r="P1313" s="305" t="s">
        <v>1182</v>
      </c>
      <c r="Q1313" s="305" t="s">
        <v>1565</v>
      </c>
      <c r="R1313" s="305">
        <v>1</v>
      </c>
      <c r="S1313" s="305">
        <v>800</v>
      </c>
      <c r="T1313" s="305">
        <v>90</v>
      </c>
      <c r="U1313" s="305">
        <v>400</v>
      </c>
      <c r="V1313" s="305">
        <v>8</v>
      </c>
      <c r="W1313" s="305">
        <v>26.5</v>
      </c>
      <c r="X1313" s="305">
        <v>2.5</v>
      </c>
      <c r="Y1313" s="305">
        <v>40</v>
      </c>
      <c r="Z1313" s="305">
        <v>91</v>
      </c>
      <c r="AA1313" s="304">
        <v>169</v>
      </c>
      <c r="AB1313" s="128"/>
      <c r="AC1313" s="305"/>
      <c r="AD1313" s="305"/>
      <c r="AE1313" s="305"/>
      <c r="AF1313" s="305"/>
      <c r="AG1313" s="192">
        <v>4</v>
      </c>
      <c r="AH1313" s="69">
        <v>569.32659513284102</v>
      </c>
      <c r="AI1313" s="302"/>
      <c r="AJ1313" s="302">
        <v>10.1</v>
      </c>
      <c r="AK1313" s="302">
        <f>11.7-9.9</f>
        <v>1.7999999999999989</v>
      </c>
      <c r="AL1313" s="302">
        <f>250.6/317.6</f>
        <v>0.78904282115869007</v>
      </c>
      <c r="AM1313" s="305"/>
      <c r="AN1313" s="24">
        <f t="shared" ref="AN1313:AN1344" si="276">((AH1313*AG1313)/10)</f>
        <v>227.7306380531364</v>
      </c>
      <c r="AO1313" s="104">
        <f t="shared" ref="AO1313:AO1344" si="277">(AG1313*AH1313)*AJ1313</f>
        <v>23000.794443366776</v>
      </c>
      <c r="AP1313" s="136">
        <f t="shared" ref="AP1313:AP1344" si="278">(AG1313/T1313)*60</f>
        <v>2.666666666666667</v>
      </c>
      <c r="AQ1313" s="74"/>
      <c r="AR1313" s="284"/>
      <c r="AS1313" s="305"/>
      <c r="AT1313" s="305"/>
    </row>
    <row r="1314" spans="1:46" ht="12">
      <c r="A1314" s="83" t="s">
        <v>1691</v>
      </c>
      <c r="B1314" s="83" t="str">
        <f t="shared" si="268"/>
        <v>SiO2</v>
      </c>
      <c r="C1314" s="329">
        <f t="shared" si="269"/>
        <v>0</v>
      </c>
      <c r="D1314" s="168">
        <f t="shared" si="270"/>
        <v>505.98878840386601</v>
      </c>
      <c r="E1314" s="139">
        <f t="shared" si="271"/>
        <v>10.4</v>
      </c>
      <c r="F1314" s="139">
        <f t="shared" si="272"/>
        <v>1.7000000000000011</v>
      </c>
      <c r="G1314" s="168">
        <f t="shared" si="273"/>
        <v>215.55122386004692</v>
      </c>
      <c r="H1314" s="150">
        <f t="shared" si="275"/>
        <v>0.81086005830903796</v>
      </c>
      <c r="I1314" s="168">
        <f t="shared" si="274"/>
        <v>22417.327281444879</v>
      </c>
      <c r="J1314" s="138"/>
      <c r="K1314" s="138" t="s">
        <v>1681</v>
      </c>
      <c r="L1314" s="138"/>
      <c r="M1314" s="316"/>
      <c r="N1314" s="135">
        <v>41890</v>
      </c>
      <c r="O1314" s="138">
        <v>516</v>
      </c>
      <c r="P1314" s="138" t="s">
        <v>1182</v>
      </c>
      <c r="Q1314" s="138" t="s">
        <v>1565</v>
      </c>
      <c r="R1314" s="138">
        <v>2</v>
      </c>
      <c r="S1314" s="138">
        <v>800</v>
      </c>
      <c r="T1314" s="138">
        <v>90</v>
      </c>
      <c r="U1314" s="138">
        <v>400</v>
      </c>
      <c r="V1314" s="138">
        <v>8</v>
      </c>
      <c r="W1314" s="138">
        <v>26.5</v>
      </c>
      <c r="X1314" s="138">
        <v>2.5</v>
      </c>
      <c r="Y1314" s="138">
        <v>40</v>
      </c>
      <c r="Z1314" s="138">
        <v>91</v>
      </c>
      <c r="AA1314" s="6">
        <v>169</v>
      </c>
      <c r="AB1314" s="300"/>
      <c r="AC1314" s="138"/>
      <c r="AD1314" s="138"/>
      <c r="AE1314" s="138"/>
      <c r="AF1314" s="138"/>
      <c r="AG1314" s="63">
        <v>4.26</v>
      </c>
      <c r="AH1314" s="70">
        <v>505.98878840386601</v>
      </c>
      <c r="AI1314" s="121"/>
      <c r="AJ1314" s="121">
        <v>10.4</v>
      </c>
      <c r="AK1314" s="121">
        <f>11.9-10.2</f>
        <v>1.7000000000000011</v>
      </c>
      <c r="AL1314" s="121">
        <f>222.5/274.4</f>
        <v>0.81086005830903796</v>
      </c>
      <c r="AM1314" s="138"/>
      <c r="AN1314" s="24">
        <f t="shared" si="276"/>
        <v>215.55122386004692</v>
      </c>
      <c r="AO1314" s="353">
        <f t="shared" si="277"/>
        <v>22417.327281444879</v>
      </c>
      <c r="AP1314" s="36">
        <f t="shared" si="278"/>
        <v>2.84</v>
      </c>
      <c r="AQ1314" s="316"/>
      <c r="AR1314" s="258"/>
      <c r="AS1314" s="138"/>
      <c r="AT1314" s="138"/>
    </row>
    <row r="1315" spans="1:46" ht="12">
      <c r="A1315" s="83" t="s">
        <v>1692</v>
      </c>
      <c r="B1315" s="83" t="str">
        <f t="shared" si="268"/>
        <v>SiO2</v>
      </c>
      <c r="C1315" s="329">
        <f t="shared" si="269"/>
        <v>0</v>
      </c>
      <c r="D1315" s="168">
        <f t="shared" si="270"/>
        <v>419.81368798106399</v>
      </c>
      <c r="E1315" s="139">
        <f t="shared" si="271"/>
        <v>11.2</v>
      </c>
      <c r="F1315" s="139">
        <f t="shared" si="272"/>
        <v>1.2999999999999989</v>
      </c>
      <c r="G1315" s="168">
        <f t="shared" si="273"/>
        <v>193.95392384725159</v>
      </c>
      <c r="H1315" s="150">
        <f t="shared" si="275"/>
        <v>0.86195752539242843</v>
      </c>
      <c r="I1315" s="168">
        <f t="shared" si="274"/>
        <v>21722.839470892177</v>
      </c>
      <c r="J1315" s="138"/>
      <c r="K1315" s="138" t="s">
        <v>1681</v>
      </c>
      <c r="L1315" s="138"/>
      <c r="M1315" s="316"/>
      <c r="N1315" s="135">
        <v>41890</v>
      </c>
      <c r="O1315" s="138">
        <v>516</v>
      </c>
      <c r="P1315" s="138" t="s">
        <v>1182</v>
      </c>
      <c r="Q1315" s="138" t="s">
        <v>1565</v>
      </c>
      <c r="R1315" s="138">
        <v>3</v>
      </c>
      <c r="S1315" s="138">
        <v>800</v>
      </c>
      <c r="T1315" s="138">
        <v>90</v>
      </c>
      <c r="U1315" s="138">
        <v>400</v>
      </c>
      <c r="V1315" s="138">
        <v>8</v>
      </c>
      <c r="W1315" s="138">
        <v>26.5</v>
      </c>
      <c r="X1315" s="138">
        <v>2.5</v>
      </c>
      <c r="Y1315" s="138">
        <v>40</v>
      </c>
      <c r="Z1315" s="138">
        <v>91</v>
      </c>
      <c r="AA1315" s="6">
        <v>169</v>
      </c>
      <c r="AB1315" s="300"/>
      <c r="AC1315" s="138"/>
      <c r="AD1315" s="138"/>
      <c r="AE1315" s="138"/>
      <c r="AF1315" s="138"/>
      <c r="AG1315" s="63">
        <v>4.62</v>
      </c>
      <c r="AH1315" s="70">
        <v>419.81368798106399</v>
      </c>
      <c r="AI1315" s="121"/>
      <c r="AJ1315" s="121">
        <v>11.2</v>
      </c>
      <c r="AK1315" s="121">
        <f>12.2-10.9</f>
        <v>1.2999999999999989</v>
      </c>
      <c r="AL1315" s="121">
        <f>186.7/216.6</f>
        <v>0.86195752539242843</v>
      </c>
      <c r="AM1315" s="138"/>
      <c r="AN1315" s="24">
        <f t="shared" si="276"/>
        <v>193.95392384725159</v>
      </c>
      <c r="AO1315" s="353">
        <f t="shared" si="277"/>
        <v>21722.839470892177</v>
      </c>
      <c r="AP1315" s="36">
        <f t="shared" si="278"/>
        <v>3.08</v>
      </c>
      <c r="AQ1315" s="316"/>
      <c r="AR1315" s="258"/>
      <c r="AS1315" s="138"/>
      <c r="AT1315" s="138"/>
    </row>
    <row r="1316" spans="1:46" ht="12">
      <c r="A1316" s="256" t="s">
        <v>1693</v>
      </c>
      <c r="B1316" s="256" t="str">
        <f t="shared" si="268"/>
        <v>MgO</v>
      </c>
      <c r="C1316" s="32">
        <f t="shared" si="269"/>
        <v>0</v>
      </c>
      <c r="D1316" s="279">
        <f t="shared" si="270"/>
        <v>269.94394811532101</v>
      </c>
      <c r="E1316" s="78">
        <f t="shared" si="271"/>
        <v>12.3</v>
      </c>
      <c r="F1316" s="78">
        <f t="shared" si="272"/>
        <v>1.1999999999999993</v>
      </c>
      <c r="G1316" s="279">
        <f t="shared" si="273"/>
        <v>166.01552809092243</v>
      </c>
      <c r="H1316" s="190">
        <f t="shared" si="275"/>
        <v>0.87424698795180711</v>
      </c>
      <c r="I1316" s="279">
        <f t="shared" si="274"/>
        <v>20419.909955183459</v>
      </c>
      <c r="J1316" s="67"/>
      <c r="K1316" s="67" t="s">
        <v>1681</v>
      </c>
      <c r="L1316" s="67"/>
      <c r="M1316" s="371"/>
      <c r="N1316" s="309">
        <v>41890</v>
      </c>
      <c r="O1316" s="67">
        <v>516</v>
      </c>
      <c r="P1316" s="67" t="s">
        <v>46</v>
      </c>
      <c r="Q1316" s="67"/>
      <c r="R1316" s="67">
        <v>6</v>
      </c>
      <c r="S1316" s="67">
        <v>800</v>
      </c>
      <c r="T1316" s="67">
        <v>90</v>
      </c>
      <c r="U1316" s="67">
        <v>400</v>
      </c>
      <c r="V1316" s="67">
        <v>8</v>
      </c>
      <c r="W1316" s="67">
        <v>26.5</v>
      </c>
      <c r="X1316" s="67">
        <v>2.5</v>
      </c>
      <c r="Y1316" s="67">
        <v>40</v>
      </c>
      <c r="Z1316" s="67">
        <v>91</v>
      </c>
      <c r="AA1316" s="159">
        <v>169</v>
      </c>
      <c r="AB1316" s="182"/>
      <c r="AC1316" s="67"/>
      <c r="AD1316" s="67"/>
      <c r="AE1316" s="67"/>
      <c r="AF1316" s="67"/>
      <c r="AG1316" s="315">
        <v>6.15</v>
      </c>
      <c r="AH1316" s="66">
        <v>269.94394811532101</v>
      </c>
      <c r="AI1316" s="216"/>
      <c r="AJ1316" s="216">
        <v>12.3</v>
      </c>
      <c r="AK1316" s="216">
        <f>13.2-12</f>
        <v>1.1999999999999993</v>
      </c>
      <c r="AL1316" s="216">
        <f>116.1/132.8</f>
        <v>0.87424698795180711</v>
      </c>
      <c r="AM1316" s="67"/>
      <c r="AN1316" s="24">
        <f t="shared" si="276"/>
        <v>166.01552809092243</v>
      </c>
      <c r="AO1316" s="389">
        <f t="shared" si="277"/>
        <v>20419.909955183459</v>
      </c>
      <c r="AP1316" s="187">
        <f t="shared" si="278"/>
        <v>4.1000000000000005</v>
      </c>
      <c r="AQ1316" s="371"/>
      <c r="AR1316" s="41"/>
      <c r="AS1316" s="67"/>
      <c r="AT1316" s="67"/>
    </row>
    <row r="1317" spans="1:46" ht="12">
      <c r="A1317" s="256" t="s">
        <v>1694</v>
      </c>
      <c r="B1317" s="256" t="str">
        <f t="shared" ref="B1317:B1348" si="279">P1317</f>
        <v>MgO</v>
      </c>
      <c r="C1317" s="32">
        <f t="shared" ref="C1317:C1348" si="280">AF1317</f>
        <v>0</v>
      </c>
      <c r="D1317" s="279">
        <f t="shared" ref="D1317:D1348" si="281">AH1317</f>
        <v>31.401278829012799</v>
      </c>
      <c r="E1317" s="78">
        <f t="shared" ref="E1317:E1348" si="282">AJ1317</f>
        <v>15.4</v>
      </c>
      <c r="F1317" s="78">
        <f t="shared" ref="F1317:F1348" si="283">AK1317</f>
        <v>0.1</v>
      </c>
      <c r="G1317" s="279">
        <f t="shared" ref="G1317:G1348" si="284">AN1317</f>
        <v>140.67772915397734</v>
      </c>
      <c r="H1317" s="190">
        <f t="shared" si="275"/>
        <v>0.86821705426356577</v>
      </c>
      <c r="I1317" s="279">
        <f t="shared" ref="I1317:I1348" si="285">AO1317</f>
        <v>21664.370289712511</v>
      </c>
      <c r="J1317" s="67"/>
      <c r="K1317" s="67" t="s">
        <v>1695</v>
      </c>
      <c r="L1317" s="67"/>
      <c r="M1317" s="371"/>
      <c r="N1317" s="309">
        <v>41892</v>
      </c>
      <c r="O1317" s="67">
        <v>519</v>
      </c>
      <c r="P1317" s="67" t="s">
        <v>46</v>
      </c>
      <c r="Q1317" s="67"/>
      <c r="R1317" s="67">
        <v>1</v>
      </c>
      <c r="S1317" s="67">
        <v>800</v>
      </c>
      <c r="T1317" s="67">
        <v>600</v>
      </c>
      <c r="U1317" s="67">
        <v>400</v>
      </c>
      <c r="V1317" s="67">
        <v>8</v>
      </c>
      <c r="W1317" s="67">
        <v>26.5</v>
      </c>
      <c r="X1317" s="67">
        <v>2.5</v>
      </c>
      <c r="Y1317" s="67">
        <v>40</v>
      </c>
      <c r="Z1317" s="67">
        <v>90</v>
      </c>
      <c r="AA1317" s="159">
        <v>168</v>
      </c>
      <c r="AB1317" s="182"/>
      <c r="AC1317" s="67"/>
      <c r="AD1317" s="67"/>
      <c r="AE1317" s="67"/>
      <c r="AF1317" s="67"/>
      <c r="AG1317" s="315">
        <v>44.8</v>
      </c>
      <c r="AH1317" s="66">
        <v>31.401278829012799</v>
      </c>
      <c r="AI1317" s="216"/>
      <c r="AJ1317" s="216">
        <v>15.4</v>
      </c>
      <c r="AK1317" s="216">
        <v>0.1</v>
      </c>
      <c r="AL1317" s="216">
        <f>11.2/12.9</f>
        <v>0.86821705426356577</v>
      </c>
      <c r="AM1317" s="67"/>
      <c r="AN1317" s="24">
        <f t="shared" si="276"/>
        <v>140.67772915397734</v>
      </c>
      <c r="AO1317" s="389">
        <f t="shared" si="277"/>
        <v>21664.370289712511</v>
      </c>
      <c r="AP1317" s="187">
        <f t="shared" si="278"/>
        <v>4.4799999999999995</v>
      </c>
      <c r="AQ1317" s="371"/>
      <c r="AR1317" s="41"/>
      <c r="AS1317" s="67"/>
      <c r="AT1317" s="67"/>
    </row>
    <row r="1318" spans="1:46" ht="12">
      <c r="A1318" s="256" t="s">
        <v>1696</v>
      </c>
      <c r="B1318" s="256" t="str">
        <f t="shared" si="279"/>
        <v>MgO</v>
      </c>
      <c r="C1318" s="32">
        <f t="shared" si="280"/>
        <v>0</v>
      </c>
      <c r="D1318" s="279">
        <f t="shared" si="281"/>
        <v>31.936527899961899</v>
      </c>
      <c r="E1318" s="78">
        <f t="shared" si="282"/>
        <v>15.4</v>
      </c>
      <c r="F1318" s="78">
        <f t="shared" si="283"/>
        <v>0.17</v>
      </c>
      <c r="G1318" s="279">
        <f t="shared" si="284"/>
        <v>140.20135748083274</v>
      </c>
      <c r="H1318" s="190">
        <f t="shared" si="275"/>
        <v>0.82733812949640284</v>
      </c>
      <c r="I1318" s="279">
        <f t="shared" si="285"/>
        <v>21591.009052048241</v>
      </c>
      <c r="J1318" s="67"/>
      <c r="K1318" s="67" t="s">
        <v>1695</v>
      </c>
      <c r="L1318" s="67"/>
      <c r="M1318" s="371"/>
      <c r="N1318" s="309">
        <v>41892</v>
      </c>
      <c r="O1318" s="67">
        <v>519</v>
      </c>
      <c r="P1318" s="67" t="s">
        <v>46</v>
      </c>
      <c r="Q1318" s="67"/>
      <c r="R1318" s="67">
        <v>2</v>
      </c>
      <c r="S1318" s="67">
        <v>800</v>
      </c>
      <c r="T1318" s="67">
        <v>600</v>
      </c>
      <c r="U1318" s="67">
        <v>400</v>
      </c>
      <c r="V1318" s="67">
        <v>8</v>
      </c>
      <c r="W1318" s="67">
        <v>26.5</v>
      </c>
      <c r="X1318" s="67">
        <v>2.5</v>
      </c>
      <c r="Y1318" s="67">
        <v>40</v>
      </c>
      <c r="Z1318" s="67">
        <v>90</v>
      </c>
      <c r="AA1318" s="159">
        <v>168</v>
      </c>
      <c r="AB1318" s="182"/>
      <c r="AC1318" s="67"/>
      <c r="AD1318" s="67"/>
      <c r="AE1318" s="67"/>
      <c r="AF1318" s="67"/>
      <c r="AG1318" s="315">
        <v>43.9</v>
      </c>
      <c r="AH1318" s="66">
        <v>31.936527899961899</v>
      </c>
      <c r="AI1318" s="216"/>
      <c r="AJ1318" s="216">
        <v>15.4</v>
      </c>
      <c r="AK1318" s="216">
        <v>0.17</v>
      </c>
      <c r="AL1318" s="216">
        <f>11.5/13.9</f>
        <v>0.82733812949640284</v>
      </c>
      <c r="AM1318" s="67"/>
      <c r="AN1318" s="24">
        <f t="shared" si="276"/>
        <v>140.20135748083274</v>
      </c>
      <c r="AO1318" s="389">
        <f t="shared" si="277"/>
        <v>21591.009052048241</v>
      </c>
      <c r="AP1318" s="187">
        <f t="shared" si="278"/>
        <v>4.3899999999999997</v>
      </c>
      <c r="AQ1318" s="371"/>
      <c r="AR1318" s="41"/>
      <c r="AS1318" s="67"/>
      <c r="AT1318" s="67"/>
    </row>
    <row r="1319" spans="1:46" ht="12">
      <c r="A1319" s="256" t="s">
        <v>1697</v>
      </c>
      <c r="B1319" s="256" t="str">
        <f t="shared" si="279"/>
        <v>MgO</v>
      </c>
      <c r="C1319" s="32">
        <f t="shared" si="280"/>
        <v>0</v>
      </c>
      <c r="D1319" s="279">
        <f t="shared" si="281"/>
        <v>27.1192862614202</v>
      </c>
      <c r="E1319" s="78">
        <f t="shared" si="282"/>
        <v>15.7</v>
      </c>
      <c r="F1319" s="78">
        <f t="shared" si="283"/>
        <v>0.17</v>
      </c>
      <c r="G1319" s="279">
        <f t="shared" si="284"/>
        <v>95.731080502813299</v>
      </c>
      <c r="H1319" s="190">
        <f t="shared" si="275"/>
        <v>0.86274509803921584</v>
      </c>
      <c r="I1319" s="279">
        <f t="shared" si="285"/>
        <v>15029.779638941687</v>
      </c>
      <c r="J1319" s="67"/>
      <c r="K1319" s="67" t="s">
        <v>1695</v>
      </c>
      <c r="L1319" s="67"/>
      <c r="M1319" s="371"/>
      <c r="N1319" s="309">
        <v>41892</v>
      </c>
      <c r="O1319" s="67">
        <v>519</v>
      </c>
      <c r="P1319" s="67" t="s">
        <v>46</v>
      </c>
      <c r="Q1319" s="67"/>
      <c r="R1319" s="67">
        <v>3</v>
      </c>
      <c r="S1319" s="67">
        <v>800</v>
      </c>
      <c r="T1319" s="67">
        <v>600</v>
      </c>
      <c r="U1319" s="67">
        <v>400</v>
      </c>
      <c r="V1319" s="67">
        <v>8</v>
      </c>
      <c r="W1319" s="67">
        <v>26.5</v>
      </c>
      <c r="X1319" s="67">
        <v>2.5</v>
      </c>
      <c r="Y1319" s="67">
        <v>40</v>
      </c>
      <c r="Z1319" s="67">
        <v>90</v>
      </c>
      <c r="AA1319" s="159">
        <v>168</v>
      </c>
      <c r="AB1319" s="182"/>
      <c r="AC1319" s="67"/>
      <c r="AD1319" s="67"/>
      <c r="AE1319" s="67"/>
      <c r="AF1319" s="67"/>
      <c r="AG1319" s="315">
        <v>35.299999999999997</v>
      </c>
      <c r="AH1319" s="66">
        <v>27.1192862614202</v>
      </c>
      <c r="AI1319" s="216"/>
      <c r="AJ1319" s="216">
        <v>15.7</v>
      </c>
      <c r="AK1319" s="216">
        <v>0.17</v>
      </c>
      <c r="AL1319" s="216">
        <f>8.8/10.2</f>
        <v>0.86274509803921584</v>
      </c>
      <c r="AM1319" s="67"/>
      <c r="AN1319" s="24">
        <f t="shared" si="276"/>
        <v>95.731080502813299</v>
      </c>
      <c r="AO1319" s="389">
        <f t="shared" si="277"/>
        <v>15029.779638941687</v>
      </c>
      <c r="AP1319" s="187">
        <f t="shared" si="278"/>
        <v>3.53</v>
      </c>
      <c r="AQ1319" s="371"/>
      <c r="AR1319" s="41"/>
      <c r="AS1319" s="67"/>
      <c r="AT1319" s="67"/>
    </row>
    <row r="1320" spans="1:46" ht="12">
      <c r="A1320" s="256" t="s">
        <v>1698</v>
      </c>
      <c r="B1320" s="256" t="str">
        <f t="shared" si="279"/>
        <v>MgO</v>
      </c>
      <c r="C1320" s="32">
        <f t="shared" si="280"/>
        <v>0</v>
      </c>
      <c r="D1320" s="279">
        <f t="shared" si="281"/>
        <v>32.293360613928002</v>
      </c>
      <c r="E1320" s="78">
        <f t="shared" si="282"/>
        <v>15.3</v>
      </c>
      <c r="F1320" s="78">
        <f t="shared" si="283"/>
        <v>0</v>
      </c>
      <c r="G1320" s="279">
        <f t="shared" si="284"/>
        <v>0</v>
      </c>
      <c r="H1320" s="190">
        <f t="shared" si="275"/>
        <v>0</v>
      </c>
      <c r="I1320" s="279">
        <f t="shared" si="285"/>
        <v>0</v>
      </c>
      <c r="J1320" s="67"/>
      <c r="K1320" s="67" t="s">
        <v>1695</v>
      </c>
      <c r="L1320" s="67"/>
      <c r="M1320" s="371"/>
      <c r="N1320" s="309">
        <v>41892</v>
      </c>
      <c r="O1320" s="67">
        <v>519</v>
      </c>
      <c r="P1320" s="67" t="s">
        <v>46</v>
      </c>
      <c r="Q1320" s="67"/>
      <c r="R1320" s="67">
        <v>4</v>
      </c>
      <c r="S1320" s="67">
        <v>800</v>
      </c>
      <c r="T1320" s="67">
        <v>600</v>
      </c>
      <c r="U1320" s="67">
        <v>400</v>
      </c>
      <c r="V1320" s="67">
        <v>8</v>
      </c>
      <c r="W1320" s="67">
        <v>26.5</v>
      </c>
      <c r="X1320" s="67">
        <v>2.5</v>
      </c>
      <c r="Y1320" s="67">
        <v>40</v>
      </c>
      <c r="Z1320" s="67">
        <v>90</v>
      </c>
      <c r="AA1320" s="159">
        <v>168</v>
      </c>
      <c r="AB1320" s="182"/>
      <c r="AC1320" s="67"/>
      <c r="AD1320" s="67"/>
      <c r="AE1320" s="67"/>
      <c r="AF1320" s="67"/>
      <c r="AG1320" s="315"/>
      <c r="AH1320" s="66">
        <v>32.293360613928002</v>
      </c>
      <c r="AI1320" s="216"/>
      <c r="AJ1320" s="216">
        <v>15.3</v>
      </c>
      <c r="AK1320" s="216"/>
      <c r="AL1320" s="216"/>
      <c r="AM1320" s="67"/>
      <c r="AN1320" s="24">
        <f t="shared" si="276"/>
        <v>0</v>
      </c>
      <c r="AO1320" s="389">
        <f t="shared" si="277"/>
        <v>0</v>
      </c>
      <c r="AP1320" s="187">
        <f t="shared" si="278"/>
        <v>0</v>
      </c>
      <c r="AQ1320" s="371"/>
      <c r="AR1320" s="41"/>
      <c r="AS1320" s="67"/>
      <c r="AT1320" s="67"/>
    </row>
    <row r="1321" spans="1:46" ht="12">
      <c r="A1321" s="256" t="s">
        <v>1699</v>
      </c>
      <c r="B1321" s="256" t="str">
        <f t="shared" si="279"/>
        <v>MgO</v>
      </c>
      <c r="C1321" s="32">
        <f t="shared" si="280"/>
        <v>0</v>
      </c>
      <c r="D1321" s="279">
        <f t="shared" si="281"/>
        <v>32.293360613928002</v>
      </c>
      <c r="E1321" s="78">
        <f t="shared" si="282"/>
        <v>15.4</v>
      </c>
      <c r="F1321" s="78">
        <f t="shared" si="283"/>
        <v>0.44</v>
      </c>
      <c r="G1321" s="279">
        <f t="shared" si="284"/>
        <v>0</v>
      </c>
      <c r="H1321" s="190">
        <f t="shared" si="275"/>
        <v>0.82014388489208634</v>
      </c>
      <c r="I1321" s="279">
        <f t="shared" si="285"/>
        <v>0</v>
      </c>
      <c r="J1321" s="67"/>
      <c r="K1321" s="67" t="s">
        <v>1695</v>
      </c>
      <c r="L1321" s="67"/>
      <c r="M1321" s="371"/>
      <c r="N1321" s="309">
        <v>41892</v>
      </c>
      <c r="O1321" s="67">
        <v>519</v>
      </c>
      <c r="P1321" s="67" t="s">
        <v>46</v>
      </c>
      <c r="Q1321" s="67"/>
      <c r="R1321" s="67">
        <v>5</v>
      </c>
      <c r="S1321" s="67">
        <v>800</v>
      </c>
      <c r="T1321" s="67">
        <v>600</v>
      </c>
      <c r="U1321" s="67">
        <v>400</v>
      </c>
      <c r="V1321" s="67">
        <v>8</v>
      </c>
      <c r="W1321" s="67">
        <v>26.5</v>
      </c>
      <c r="X1321" s="67">
        <v>2.5</v>
      </c>
      <c r="Y1321" s="67">
        <v>40</v>
      </c>
      <c r="Z1321" s="67">
        <v>90</v>
      </c>
      <c r="AA1321" s="159">
        <v>168</v>
      </c>
      <c r="AB1321" s="182"/>
      <c r="AC1321" s="67"/>
      <c r="AD1321" s="67"/>
      <c r="AE1321" s="67"/>
      <c r="AF1321" s="67"/>
      <c r="AG1321" s="315"/>
      <c r="AH1321" s="66">
        <v>32.293360613928002</v>
      </c>
      <c r="AI1321" s="216"/>
      <c r="AJ1321" s="216">
        <v>15.4</v>
      </c>
      <c r="AK1321" s="216">
        <v>0.44</v>
      </c>
      <c r="AL1321" s="216">
        <f>11.4/13.9</f>
        <v>0.82014388489208634</v>
      </c>
      <c r="AM1321" s="67"/>
      <c r="AN1321" s="24">
        <f t="shared" si="276"/>
        <v>0</v>
      </c>
      <c r="AO1321" s="389">
        <f t="shared" si="277"/>
        <v>0</v>
      </c>
      <c r="AP1321" s="187">
        <f t="shared" si="278"/>
        <v>0</v>
      </c>
      <c r="AQ1321" s="371"/>
      <c r="AR1321" s="41"/>
      <c r="AS1321" s="67"/>
      <c r="AT1321" s="67"/>
    </row>
    <row r="1322" spans="1:46" ht="12">
      <c r="A1322" s="256" t="s">
        <v>1700</v>
      </c>
      <c r="B1322" s="256" t="str">
        <f t="shared" si="279"/>
        <v>MgO</v>
      </c>
      <c r="C1322" s="32">
        <f t="shared" si="280"/>
        <v>0</v>
      </c>
      <c r="D1322" s="279">
        <f t="shared" si="281"/>
        <v>27.1192862614202</v>
      </c>
      <c r="E1322" s="78">
        <f t="shared" si="282"/>
        <v>15.7</v>
      </c>
      <c r="F1322" s="78">
        <f t="shared" si="283"/>
        <v>0</v>
      </c>
      <c r="G1322" s="279">
        <f t="shared" si="284"/>
        <v>0</v>
      </c>
      <c r="H1322" s="190">
        <f t="shared" si="275"/>
        <v>0.60248447204968936</v>
      </c>
      <c r="I1322" s="279">
        <f t="shared" si="285"/>
        <v>0</v>
      </c>
      <c r="J1322" s="67"/>
      <c r="K1322" s="67" t="s">
        <v>1695</v>
      </c>
      <c r="L1322" s="67"/>
      <c r="M1322" s="371"/>
      <c r="N1322" s="309">
        <v>41892</v>
      </c>
      <c r="O1322" s="67">
        <v>519</v>
      </c>
      <c r="P1322" s="67" t="s">
        <v>46</v>
      </c>
      <c r="Q1322" s="67"/>
      <c r="R1322" s="67">
        <v>6</v>
      </c>
      <c r="S1322" s="67">
        <v>800</v>
      </c>
      <c r="T1322" s="67">
        <v>600</v>
      </c>
      <c r="U1322" s="67">
        <v>400</v>
      </c>
      <c r="V1322" s="67">
        <v>8</v>
      </c>
      <c r="W1322" s="67">
        <v>26.5</v>
      </c>
      <c r="X1322" s="67">
        <v>2.5</v>
      </c>
      <c r="Y1322" s="67">
        <v>40</v>
      </c>
      <c r="Z1322" s="67">
        <v>90</v>
      </c>
      <c r="AA1322" s="159">
        <v>168</v>
      </c>
      <c r="AB1322" s="182"/>
      <c r="AC1322" s="67"/>
      <c r="AD1322" s="67"/>
      <c r="AE1322" s="67"/>
      <c r="AF1322" s="67"/>
      <c r="AG1322" s="315"/>
      <c r="AH1322" s="66">
        <v>27.1192862614202</v>
      </c>
      <c r="AI1322" s="216"/>
      <c r="AJ1322" s="216">
        <v>15.7</v>
      </c>
      <c r="AK1322" s="216"/>
      <c r="AL1322" s="216">
        <f>9.7/16.1</f>
        <v>0.60248447204968936</v>
      </c>
      <c r="AM1322" s="67"/>
      <c r="AN1322" s="24">
        <f t="shared" si="276"/>
        <v>0</v>
      </c>
      <c r="AO1322" s="389">
        <f t="shared" si="277"/>
        <v>0</v>
      </c>
      <c r="AP1322" s="187">
        <f t="shared" si="278"/>
        <v>0</v>
      </c>
      <c r="AQ1322" s="371"/>
      <c r="AR1322" s="41"/>
      <c r="AS1322" s="67"/>
      <c r="AT1322" s="67"/>
    </row>
    <row r="1323" spans="1:46" ht="24">
      <c r="A1323" s="256" t="s">
        <v>1701</v>
      </c>
      <c r="B1323" s="256" t="str">
        <f t="shared" si="279"/>
        <v>MgO</v>
      </c>
      <c r="C1323" s="32">
        <f t="shared" si="280"/>
        <v>0</v>
      </c>
      <c r="D1323" s="279">
        <f t="shared" si="281"/>
        <v>0</v>
      </c>
      <c r="E1323" s="78" t="str">
        <f t="shared" si="282"/>
        <v>&lt;4</v>
      </c>
      <c r="F1323" s="78">
        <f t="shared" si="283"/>
        <v>0</v>
      </c>
      <c r="G1323" s="279">
        <f t="shared" si="284"/>
        <v>0</v>
      </c>
      <c r="H1323" s="190">
        <f t="shared" si="275"/>
        <v>0</v>
      </c>
      <c r="I1323" s="279" t="e">
        <f t="shared" si="285"/>
        <v>#VALUE!</v>
      </c>
      <c r="J1323" s="359"/>
      <c r="K1323" s="359"/>
      <c r="L1323" s="359"/>
      <c r="M1323" s="338"/>
      <c r="N1323" s="89">
        <v>41898</v>
      </c>
      <c r="O1323" s="359">
        <v>520</v>
      </c>
      <c r="P1323" s="359" t="s">
        <v>46</v>
      </c>
      <c r="Q1323" s="359"/>
      <c r="R1323" s="359">
        <v>3</v>
      </c>
      <c r="S1323" s="67">
        <v>800</v>
      </c>
      <c r="T1323" s="67">
        <v>600</v>
      </c>
      <c r="U1323" s="67">
        <v>400</v>
      </c>
      <c r="V1323" s="67">
        <v>0</v>
      </c>
      <c r="W1323" s="67">
        <v>26.5</v>
      </c>
      <c r="X1323" s="67">
        <v>2.5</v>
      </c>
      <c r="Y1323" s="67">
        <v>40</v>
      </c>
      <c r="Z1323" s="359">
        <v>90</v>
      </c>
      <c r="AA1323" s="210">
        <v>149</v>
      </c>
      <c r="AB1323" s="248"/>
      <c r="AC1323" s="359"/>
      <c r="AD1323" s="359"/>
      <c r="AE1323" s="359"/>
      <c r="AF1323" s="359"/>
      <c r="AG1323" s="153"/>
      <c r="AH1323" s="346"/>
      <c r="AI1323" s="24"/>
      <c r="AJ1323" s="24" t="s">
        <v>1659</v>
      </c>
      <c r="AK1323" s="24"/>
      <c r="AL1323" s="24"/>
      <c r="AM1323" s="359"/>
      <c r="AN1323" s="24">
        <f t="shared" si="276"/>
        <v>0</v>
      </c>
      <c r="AO1323" s="389" t="e">
        <f t="shared" si="277"/>
        <v>#VALUE!</v>
      </c>
      <c r="AP1323" s="187">
        <f t="shared" si="278"/>
        <v>0</v>
      </c>
      <c r="AQ1323" s="338"/>
      <c r="AR1323" s="45"/>
      <c r="AS1323" s="359"/>
      <c r="AT1323" s="359"/>
    </row>
    <row r="1324" spans="1:46" ht="12">
      <c r="A1324" s="256" t="s">
        <v>1702</v>
      </c>
      <c r="B1324" s="256" t="str">
        <f t="shared" si="279"/>
        <v>MgO</v>
      </c>
      <c r="C1324" s="32">
        <f t="shared" si="280"/>
        <v>0</v>
      </c>
      <c r="D1324" s="279">
        <f t="shared" si="281"/>
        <v>0</v>
      </c>
      <c r="E1324" s="78">
        <f t="shared" si="282"/>
        <v>0</v>
      </c>
      <c r="F1324" s="78">
        <f t="shared" si="283"/>
        <v>0</v>
      </c>
      <c r="G1324" s="279">
        <f t="shared" si="284"/>
        <v>0</v>
      </c>
      <c r="H1324" s="190">
        <f t="shared" si="275"/>
        <v>0</v>
      </c>
      <c r="I1324" s="279">
        <f t="shared" si="285"/>
        <v>0</v>
      </c>
      <c r="J1324" s="359"/>
      <c r="K1324" s="359"/>
      <c r="L1324" s="359"/>
      <c r="M1324" s="338"/>
      <c r="N1324" s="89">
        <v>41898</v>
      </c>
      <c r="O1324" s="359">
        <v>520</v>
      </c>
      <c r="P1324" s="359" t="s">
        <v>46</v>
      </c>
      <c r="Q1324" s="359"/>
      <c r="R1324" s="359">
        <v>6</v>
      </c>
      <c r="S1324" s="67">
        <v>800</v>
      </c>
      <c r="T1324" s="67">
        <v>600</v>
      </c>
      <c r="U1324" s="67">
        <v>400</v>
      </c>
      <c r="V1324" s="67">
        <v>0</v>
      </c>
      <c r="W1324" s="67">
        <v>26.5</v>
      </c>
      <c r="X1324" s="67">
        <v>2.5</v>
      </c>
      <c r="Y1324" s="67">
        <v>40</v>
      </c>
      <c r="Z1324" s="359">
        <v>90</v>
      </c>
      <c r="AA1324" s="210">
        <v>149</v>
      </c>
      <c r="AB1324" s="248"/>
      <c r="AC1324" s="359"/>
      <c r="AD1324" s="359"/>
      <c r="AE1324" s="359"/>
      <c r="AF1324" s="359"/>
      <c r="AG1324" s="153"/>
      <c r="AH1324" s="346"/>
      <c r="AI1324" s="24"/>
      <c r="AJ1324" s="24"/>
      <c r="AK1324" s="24"/>
      <c r="AL1324" s="24"/>
      <c r="AM1324" s="359"/>
      <c r="AN1324" s="24">
        <f t="shared" si="276"/>
        <v>0</v>
      </c>
      <c r="AO1324" s="389">
        <f t="shared" si="277"/>
        <v>0</v>
      </c>
      <c r="AP1324" s="187">
        <f t="shared" si="278"/>
        <v>0</v>
      </c>
      <c r="AQ1324" s="338"/>
      <c r="AR1324" s="45"/>
      <c r="AS1324" s="359"/>
      <c r="AT1324" s="359"/>
    </row>
    <row r="1325" spans="1:46" ht="12">
      <c r="A1325" s="257" t="s">
        <v>1703</v>
      </c>
      <c r="B1325" s="257" t="str">
        <f t="shared" si="279"/>
        <v>SiNx</v>
      </c>
      <c r="C1325" s="280">
        <f t="shared" si="280"/>
        <v>0</v>
      </c>
      <c r="D1325" s="183">
        <f t="shared" si="281"/>
        <v>586.81139811717696</v>
      </c>
      <c r="E1325" s="96">
        <f t="shared" si="282"/>
        <v>9.1300000000000008</v>
      </c>
      <c r="F1325" s="96">
        <f t="shared" si="283"/>
        <v>1.73</v>
      </c>
      <c r="G1325" s="183">
        <f t="shared" si="284"/>
        <v>200.39609245701592</v>
      </c>
      <c r="H1325" s="215">
        <f t="shared" si="275"/>
        <v>0.80417434008594224</v>
      </c>
      <c r="I1325" s="183">
        <f t="shared" si="285"/>
        <v>18296.163241325554</v>
      </c>
      <c r="J1325" s="366"/>
      <c r="K1325" s="366" t="s">
        <v>1681</v>
      </c>
      <c r="L1325" s="366"/>
      <c r="M1325" s="373"/>
      <c r="N1325" s="191">
        <v>41899</v>
      </c>
      <c r="O1325" s="366">
        <v>522</v>
      </c>
      <c r="P1325" s="366" t="s">
        <v>187</v>
      </c>
      <c r="Q1325" s="366">
        <v>172</v>
      </c>
      <c r="R1325" s="366">
        <v>1</v>
      </c>
      <c r="S1325" s="366">
        <v>800</v>
      </c>
      <c r="T1325" s="366">
        <v>78</v>
      </c>
      <c r="U1325" s="366">
        <v>400</v>
      </c>
      <c r="V1325" s="366">
        <v>8</v>
      </c>
      <c r="W1325" s="366">
        <v>26.5</v>
      </c>
      <c r="X1325" s="366">
        <v>2.5</v>
      </c>
      <c r="Y1325" s="366">
        <v>40</v>
      </c>
      <c r="Z1325" s="366">
        <v>89</v>
      </c>
      <c r="AA1325" s="117">
        <v>167</v>
      </c>
      <c r="AB1325" s="51"/>
      <c r="AC1325" s="366"/>
      <c r="AD1325" s="366"/>
      <c r="AE1325" s="366"/>
      <c r="AF1325" s="366"/>
      <c r="AG1325" s="349">
        <v>3.415</v>
      </c>
      <c r="AH1325" s="113">
        <v>586.81139811717696</v>
      </c>
      <c r="AI1325" s="53"/>
      <c r="AJ1325" s="53">
        <v>9.1300000000000008</v>
      </c>
      <c r="AK1325" s="53">
        <v>1.73</v>
      </c>
      <c r="AL1325" s="53">
        <f>262/325.8</f>
        <v>0.80417434008594224</v>
      </c>
      <c r="AM1325" s="366"/>
      <c r="AN1325" s="53">
        <f t="shared" si="276"/>
        <v>200.39609245701592</v>
      </c>
      <c r="AO1325" s="198">
        <f t="shared" si="277"/>
        <v>18296.163241325554</v>
      </c>
      <c r="AP1325" s="399">
        <f t="shared" si="278"/>
        <v>2.6269230769230769</v>
      </c>
      <c r="AQ1325" s="373"/>
      <c r="AR1325" s="44"/>
      <c r="AS1325" s="366"/>
      <c r="AT1325" s="366"/>
    </row>
    <row r="1326" spans="1:46" ht="12">
      <c r="A1326" s="257" t="s">
        <v>1704</v>
      </c>
      <c r="B1326" s="257" t="str">
        <f t="shared" si="279"/>
        <v>SiNx</v>
      </c>
      <c r="C1326" s="280">
        <f t="shared" si="280"/>
        <v>0</v>
      </c>
      <c r="D1326" s="183">
        <f t="shared" si="281"/>
        <v>532.75124195132003</v>
      </c>
      <c r="E1326" s="96">
        <f t="shared" si="282"/>
        <v>9.4</v>
      </c>
      <c r="F1326" s="96">
        <f t="shared" si="283"/>
        <v>1.7</v>
      </c>
      <c r="G1326" s="183">
        <f t="shared" si="284"/>
        <v>188.06118840881595</v>
      </c>
      <c r="H1326" s="215">
        <f t="shared" si="275"/>
        <v>0.8362221436151398</v>
      </c>
      <c r="I1326" s="183">
        <f t="shared" si="285"/>
        <v>17677.7517104287</v>
      </c>
      <c r="J1326" s="366"/>
      <c r="K1326" s="366" t="s">
        <v>1681</v>
      </c>
      <c r="L1326" s="366"/>
      <c r="M1326" s="373"/>
      <c r="N1326" s="191">
        <v>41899</v>
      </c>
      <c r="O1326" s="366">
        <v>522</v>
      </c>
      <c r="P1326" s="366" t="s">
        <v>187</v>
      </c>
      <c r="Q1326" s="366">
        <v>172</v>
      </c>
      <c r="R1326" s="366">
        <v>3</v>
      </c>
      <c r="S1326" s="366">
        <v>800</v>
      </c>
      <c r="T1326" s="366">
        <v>78</v>
      </c>
      <c r="U1326" s="366">
        <v>400</v>
      </c>
      <c r="V1326" s="366">
        <v>8</v>
      </c>
      <c r="W1326" s="366">
        <v>26.5</v>
      </c>
      <c r="X1326" s="366">
        <v>2.5</v>
      </c>
      <c r="Y1326" s="366">
        <v>40</v>
      </c>
      <c r="Z1326" s="366">
        <v>89</v>
      </c>
      <c r="AA1326" s="117">
        <v>167</v>
      </c>
      <c r="AB1326" s="51"/>
      <c r="AC1326" s="366"/>
      <c r="AD1326" s="366"/>
      <c r="AE1326" s="366"/>
      <c r="AF1326" s="366"/>
      <c r="AG1326" s="349">
        <v>3.53</v>
      </c>
      <c r="AH1326" s="113">
        <v>532.75124195132003</v>
      </c>
      <c r="AI1326" s="53"/>
      <c r="AJ1326" s="53">
        <v>9.4</v>
      </c>
      <c r="AK1326" s="53">
        <v>1.7</v>
      </c>
      <c r="AL1326" s="53">
        <f>236.4/282.7</f>
        <v>0.8362221436151398</v>
      </c>
      <c r="AM1326" s="366"/>
      <c r="AN1326" s="53">
        <f t="shared" si="276"/>
        <v>188.06118840881595</v>
      </c>
      <c r="AO1326" s="198">
        <f t="shared" si="277"/>
        <v>17677.7517104287</v>
      </c>
      <c r="AP1326" s="399">
        <f t="shared" si="278"/>
        <v>2.7153846153846151</v>
      </c>
      <c r="AQ1326" s="373"/>
      <c r="AR1326" s="44"/>
      <c r="AS1326" s="366"/>
      <c r="AT1326" s="366"/>
    </row>
    <row r="1327" spans="1:46" ht="12">
      <c r="A1327" s="257" t="s">
        <v>1705</v>
      </c>
      <c r="B1327" s="257" t="str">
        <f t="shared" si="279"/>
        <v>SiNx</v>
      </c>
      <c r="C1327" s="280">
        <f t="shared" si="280"/>
        <v>0</v>
      </c>
      <c r="D1327" s="183">
        <f t="shared" si="281"/>
        <v>520.61892967647395</v>
      </c>
      <c r="E1327" s="96">
        <f t="shared" si="282"/>
        <v>9.5</v>
      </c>
      <c r="F1327" s="96">
        <f t="shared" si="283"/>
        <v>1.63</v>
      </c>
      <c r="G1327" s="183">
        <f t="shared" si="284"/>
        <v>185.34033896482475</v>
      </c>
      <c r="H1327" s="215">
        <f t="shared" si="275"/>
        <v>0.84189288334556123</v>
      </c>
      <c r="I1327" s="183">
        <f t="shared" si="285"/>
        <v>17607.332201658352</v>
      </c>
      <c r="J1327" s="366"/>
      <c r="K1327" s="366" t="s">
        <v>1681</v>
      </c>
      <c r="L1327" s="366"/>
      <c r="M1327" s="373"/>
      <c r="N1327" s="191">
        <v>41899</v>
      </c>
      <c r="O1327" s="366">
        <v>522</v>
      </c>
      <c r="P1327" s="366" t="s">
        <v>187</v>
      </c>
      <c r="Q1327" s="366">
        <v>172</v>
      </c>
      <c r="R1327" s="366">
        <v>6</v>
      </c>
      <c r="S1327" s="366">
        <v>800</v>
      </c>
      <c r="T1327" s="366">
        <v>78</v>
      </c>
      <c r="U1327" s="366">
        <v>400</v>
      </c>
      <c r="V1327" s="366">
        <v>8</v>
      </c>
      <c r="W1327" s="366">
        <v>26.5</v>
      </c>
      <c r="X1327" s="366">
        <v>2.5</v>
      </c>
      <c r="Y1327" s="366">
        <v>40</v>
      </c>
      <c r="Z1327" s="366">
        <v>89</v>
      </c>
      <c r="AA1327" s="117">
        <v>167</v>
      </c>
      <c r="AB1327" s="51"/>
      <c r="AC1327" s="366"/>
      <c r="AD1327" s="366"/>
      <c r="AE1327" s="366"/>
      <c r="AF1327" s="366"/>
      <c r="AG1327" s="349">
        <v>3.56</v>
      </c>
      <c r="AH1327" s="113">
        <v>520.61892967647395</v>
      </c>
      <c r="AI1327" s="53"/>
      <c r="AJ1327" s="53">
        <v>9.5</v>
      </c>
      <c r="AK1327" s="53">
        <v>1.63</v>
      </c>
      <c r="AL1327" s="53">
        <f>229.5/272.6</f>
        <v>0.84189288334556123</v>
      </c>
      <c r="AM1327" s="366"/>
      <c r="AN1327" s="53">
        <f t="shared" si="276"/>
        <v>185.34033896482475</v>
      </c>
      <c r="AO1327" s="198">
        <f t="shared" si="277"/>
        <v>17607.332201658352</v>
      </c>
      <c r="AP1327" s="399">
        <f t="shared" si="278"/>
        <v>2.7384615384615385</v>
      </c>
      <c r="AQ1327" s="373"/>
      <c r="AR1327" s="44"/>
      <c r="AS1327" s="366"/>
      <c r="AT1327" s="366"/>
    </row>
    <row r="1328" spans="1:46" ht="12">
      <c r="A1328" s="257" t="s">
        <v>1706</v>
      </c>
      <c r="B1328" s="257" t="str">
        <f t="shared" si="279"/>
        <v>SiNx</v>
      </c>
      <c r="C1328" s="280">
        <f t="shared" si="280"/>
        <v>0</v>
      </c>
      <c r="D1328" s="183">
        <f t="shared" si="281"/>
        <v>517.05060253681404</v>
      </c>
      <c r="E1328" s="96">
        <f t="shared" si="282"/>
        <v>9.73</v>
      </c>
      <c r="F1328" s="96">
        <f t="shared" si="283"/>
        <v>1.64</v>
      </c>
      <c r="G1328" s="183">
        <f t="shared" si="284"/>
        <v>197.51333016906295</v>
      </c>
      <c r="H1328" s="215">
        <f t="shared" si="275"/>
        <v>0.79834947972730541</v>
      </c>
      <c r="I1328" s="183">
        <f t="shared" si="285"/>
        <v>19218.047025449829</v>
      </c>
      <c r="J1328" s="366"/>
      <c r="K1328" s="366" t="s">
        <v>1681</v>
      </c>
      <c r="L1328" s="366"/>
      <c r="M1328" s="373"/>
      <c r="N1328" s="191">
        <v>41899</v>
      </c>
      <c r="O1328" s="366">
        <v>523</v>
      </c>
      <c r="P1328" s="366" t="s">
        <v>187</v>
      </c>
      <c r="Q1328" s="366">
        <v>172</v>
      </c>
      <c r="R1328" s="366">
        <v>1</v>
      </c>
      <c r="S1328" s="366">
        <v>800</v>
      </c>
      <c r="T1328" s="366">
        <v>84</v>
      </c>
      <c r="U1328" s="366">
        <v>400</v>
      </c>
      <c r="V1328" s="366">
        <v>8</v>
      </c>
      <c r="W1328" s="366">
        <v>26.5</v>
      </c>
      <c r="X1328" s="366">
        <v>2.5</v>
      </c>
      <c r="Y1328" s="366">
        <v>40</v>
      </c>
      <c r="Z1328" s="366">
        <v>89</v>
      </c>
      <c r="AA1328" s="117">
        <v>167</v>
      </c>
      <c r="AB1328" s="51"/>
      <c r="AC1328" s="366"/>
      <c r="AD1328" s="366"/>
      <c r="AE1328" s="366"/>
      <c r="AF1328" s="366"/>
      <c r="AG1328" s="349">
        <v>3.82</v>
      </c>
      <c r="AH1328" s="113">
        <v>517.05060253681404</v>
      </c>
      <c r="AI1328" s="53"/>
      <c r="AJ1328" s="53">
        <v>9.73</v>
      </c>
      <c r="AK1328" s="53">
        <v>1.64</v>
      </c>
      <c r="AL1328" s="53">
        <f>222.5/278.7</f>
        <v>0.79834947972730541</v>
      </c>
      <c r="AM1328" s="366"/>
      <c r="AN1328" s="53">
        <f t="shared" si="276"/>
        <v>197.51333016906295</v>
      </c>
      <c r="AO1328" s="198">
        <f t="shared" si="277"/>
        <v>19218.047025449829</v>
      </c>
      <c r="AP1328" s="399">
        <f t="shared" si="278"/>
        <v>2.7285714285714286</v>
      </c>
      <c r="AQ1328" s="373"/>
      <c r="AR1328" s="44"/>
      <c r="AS1328" s="366"/>
      <c r="AT1328" s="366"/>
    </row>
    <row r="1329" spans="1:46" ht="12">
      <c r="A1329" s="257" t="s">
        <v>1707</v>
      </c>
      <c r="B1329" s="257" t="str">
        <f t="shared" si="279"/>
        <v>SiNx</v>
      </c>
      <c r="C1329" s="280">
        <f t="shared" si="280"/>
        <v>0</v>
      </c>
      <c r="D1329" s="183">
        <f t="shared" si="281"/>
        <v>452.10704859499202</v>
      </c>
      <c r="E1329" s="96">
        <f t="shared" si="282"/>
        <v>10.1</v>
      </c>
      <c r="F1329" s="96">
        <f t="shared" si="283"/>
        <v>1.45</v>
      </c>
      <c r="G1329" s="183">
        <f t="shared" si="284"/>
        <v>179.93860534080682</v>
      </c>
      <c r="H1329" s="215">
        <f t="shared" si="275"/>
        <v>0.85485961123110155</v>
      </c>
      <c r="I1329" s="183">
        <f t="shared" si="285"/>
        <v>18173.799139421488</v>
      </c>
      <c r="J1329" s="366"/>
      <c r="K1329" s="366" t="s">
        <v>1681</v>
      </c>
      <c r="L1329" s="366"/>
      <c r="M1329" s="373"/>
      <c r="N1329" s="191">
        <v>41899</v>
      </c>
      <c r="O1329" s="366">
        <v>523</v>
      </c>
      <c r="P1329" s="366" t="s">
        <v>187</v>
      </c>
      <c r="Q1329" s="366">
        <v>172</v>
      </c>
      <c r="R1329" s="366">
        <v>3</v>
      </c>
      <c r="S1329" s="366">
        <v>800</v>
      </c>
      <c r="T1329" s="366">
        <v>84</v>
      </c>
      <c r="U1329" s="366">
        <v>400</v>
      </c>
      <c r="V1329" s="366">
        <v>8</v>
      </c>
      <c r="W1329" s="366">
        <v>26.5</v>
      </c>
      <c r="X1329" s="366">
        <v>2.5</v>
      </c>
      <c r="Y1329" s="366">
        <v>40</v>
      </c>
      <c r="Z1329" s="366">
        <v>89</v>
      </c>
      <c r="AA1329" s="117">
        <v>167</v>
      </c>
      <c r="AB1329" s="51"/>
      <c r="AC1329" s="366"/>
      <c r="AD1329" s="366"/>
      <c r="AE1329" s="366"/>
      <c r="AF1329" s="366"/>
      <c r="AG1329" s="349">
        <v>3.98</v>
      </c>
      <c r="AH1329" s="113">
        <v>452.10704859499202</v>
      </c>
      <c r="AI1329" s="53"/>
      <c r="AJ1329" s="53">
        <v>10.1</v>
      </c>
      <c r="AK1329" s="53">
        <v>1.45</v>
      </c>
      <c r="AL1329" s="53">
        <f>197.9/231.5</f>
        <v>0.85485961123110155</v>
      </c>
      <c r="AM1329" s="366"/>
      <c r="AN1329" s="53">
        <f t="shared" si="276"/>
        <v>179.93860534080682</v>
      </c>
      <c r="AO1329" s="198">
        <f t="shared" si="277"/>
        <v>18173.799139421488</v>
      </c>
      <c r="AP1329" s="399">
        <f t="shared" si="278"/>
        <v>2.8428571428571425</v>
      </c>
      <c r="AQ1329" s="373"/>
      <c r="AR1329" s="44"/>
      <c r="AS1329" s="366"/>
      <c r="AT1329" s="366"/>
    </row>
    <row r="1330" spans="1:46" ht="12">
      <c r="A1330" s="257" t="s">
        <v>1708</v>
      </c>
      <c r="B1330" s="257" t="str">
        <f t="shared" si="279"/>
        <v>SiNx</v>
      </c>
      <c r="C1330" s="280">
        <f t="shared" si="280"/>
        <v>0</v>
      </c>
      <c r="D1330" s="183">
        <f t="shared" si="281"/>
        <v>442.650981674891</v>
      </c>
      <c r="E1330" s="96">
        <f t="shared" si="282"/>
        <v>10.199999999999999</v>
      </c>
      <c r="F1330" s="96">
        <f t="shared" si="283"/>
        <v>1.52</v>
      </c>
      <c r="G1330" s="183">
        <f t="shared" si="284"/>
        <v>178.38834561498109</v>
      </c>
      <c r="H1330" s="215">
        <f t="shared" si="275"/>
        <v>0.85556537102473496</v>
      </c>
      <c r="I1330" s="183">
        <f t="shared" si="285"/>
        <v>18195.611252728071</v>
      </c>
      <c r="J1330" s="366"/>
      <c r="K1330" s="366" t="s">
        <v>1681</v>
      </c>
      <c r="L1330" s="366"/>
      <c r="M1330" s="373"/>
      <c r="N1330" s="191">
        <v>41899</v>
      </c>
      <c r="O1330" s="366">
        <v>523</v>
      </c>
      <c r="P1330" s="366" t="s">
        <v>187</v>
      </c>
      <c r="Q1330" s="366">
        <v>172</v>
      </c>
      <c r="R1330" s="366">
        <v>6</v>
      </c>
      <c r="S1330" s="366">
        <v>800</v>
      </c>
      <c r="T1330" s="366">
        <v>84</v>
      </c>
      <c r="U1330" s="366">
        <v>400</v>
      </c>
      <c r="V1330" s="366">
        <v>8</v>
      </c>
      <c r="W1330" s="366">
        <v>26.5</v>
      </c>
      <c r="X1330" s="366">
        <v>2.5</v>
      </c>
      <c r="Y1330" s="366">
        <v>40</v>
      </c>
      <c r="Z1330" s="366">
        <v>89</v>
      </c>
      <c r="AA1330" s="117">
        <v>167</v>
      </c>
      <c r="AB1330" s="51"/>
      <c r="AC1330" s="366"/>
      <c r="AD1330" s="366"/>
      <c r="AE1330" s="366"/>
      <c r="AF1330" s="366"/>
      <c r="AG1330" s="349">
        <v>4.03</v>
      </c>
      <c r="AH1330" s="113">
        <v>442.650981674891</v>
      </c>
      <c r="AI1330" s="53"/>
      <c r="AJ1330" s="53">
        <v>10.199999999999999</v>
      </c>
      <c r="AK1330" s="53">
        <v>1.52</v>
      </c>
      <c r="AL1330" s="53">
        <f>193.7/226.4</f>
        <v>0.85556537102473496</v>
      </c>
      <c r="AM1330" s="366"/>
      <c r="AN1330" s="53">
        <f t="shared" si="276"/>
        <v>178.38834561498109</v>
      </c>
      <c r="AO1330" s="198">
        <f t="shared" si="277"/>
        <v>18195.611252728071</v>
      </c>
      <c r="AP1330" s="399">
        <f t="shared" si="278"/>
        <v>2.8785714285714286</v>
      </c>
      <c r="AQ1330" s="373"/>
      <c r="AR1330" s="44"/>
      <c r="AS1330" s="366"/>
      <c r="AT1330" s="366"/>
    </row>
    <row r="1331" spans="1:46" ht="12">
      <c r="A1331" s="257" t="s">
        <v>1709</v>
      </c>
      <c r="B1331" s="257" t="str">
        <f t="shared" si="279"/>
        <v>SiNx</v>
      </c>
      <c r="C1331" s="280">
        <f t="shared" si="280"/>
        <v>0</v>
      </c>
      <c r="D1331" s="183">
        <f t="shared" si="281"/>
        <v>496.35430512678198</v>
      </c>
      <c r="E1331" s="96">
        <f t="shared" si="282"/>
        <v>0</v>
      </c>
      <c r="F1331" s="96">
        <f t="shared" si="283"/>
        <v>0</v>
      </c>
      <c r="G1331" s="183">
        <f t="shared" si="284"/>
        <v>195.5635962199521</v>
      </c>
      <c r="H1331" s="215">
        <f t="shared" si="275"/>
        <v>0</v>
      </c>
      <c r="I1331" s="183">
        <f t="shared" si="285"/>
        <v>0</v>
      </c>
      <c r="J1331" s="366"/>
      <c r="K1331" s="366" t="s">
        <v>1681</v>
      </c>
      <c r="L1331" s="366"/>
      <c r="M1331" s="373"/>
      <c r="N1331" s="191">
        <v>41900</v>
      </c>
      <c r="O1331" s="366">
        <v>524</v>
      </c>
      <c r="P1331" s="366" t="s">
        <v>187</v>
      </c>
      <c r="Q1331" s="366">
        <v>172</v>
      </c>
      <c r="R1331" s="366">
        <v>1</v>
      </c>
      <c r="S1331" s="366">
        <v>800</v>
      </c>
      <c r="T1331" s="366">
        <v>87</v>
      </c>
      <c r="U1331" s="366">
        <v>400</v>
      </c>
      <c r="V1331" s="366">
        <v>8</v>
      </c>
      <c r="W1331" s="366">
        <v>26.5</v>
      </c>
      <c r="X1331" s="366">
        <v>2.5</v>
      </c>
      <c r="Y1331" s="366">
        <v>40</v>
      </c>
      <c r="Z1331" s="366">
        <v>89</v>
      </c>
      <c r="AA1331" s="117">
        <v>167</v>
      </c>
      <c r="AB1331" s="51"/>
      <c r="AC1331" s="366"/>
      <c r="AD1331" s="366"/>
      <c r="AE1331" s="366"/>
      <c r="AF1331" s="366"/>
      <c r="AG1331" s="349">
        <v>3.94</v>
      </c>
      <c r="AH1331" s="113">
        <v>496.35430512678198</v>
      </c>
      <c r="AI1331" s="53"/>
      <c r="AJ1331" s="53"/>
      <c r="AK1331" s="53"/>
      <c r="AL1331" s="53"/>
      <c r="AM1331" s="366"/>
      <c r="AN1331" s="53">
        <f t="shared" si="276"/>
        <v>195.5635962199521</v>
      </c>
      <c r="AO1331" s="198">
        <f t="shared" si="277"/>
        <v>0</v>
      </c>
      <c r="AP1331" s="399">
        <f t="shared" si="278"/>
        <v>2.7172413793103445</v>
      </c>
      <c r="AQ1331" s="373"/>
      <c r="AR1331" s="44"/>
      <c r="AS1331" s="366"/>
      <c r="AT1331" s="366"/>
    </row>
    <row r="1332" spans="1:46" ht="12">
      <c r="A1332" s="257" t="s">
        <v>1710</v>
      </c>
      <c r="B1332" s="257" t="str">
        <f t="shared" si="279"/>
        <v>SiNx</v>
      </c>
      <c r="C1332" s="280">
        <f t="shared" si="280"/>
        <v>0</v>
      </c>
      <c r="D1332" s="183">
        <f t="shared" si="281"/>
        <v>426.23667683245299</v>
      </c>
      <c r="E1332" s="96">
        <f t="shared" si="282"/>
        <v>0</v>
      </c>
      <c r="F1332" s="96">
        <f t="shared" si="283"/>
        <v>0</v>
      </c>
      <c r="G1332" s="183">
        <f t="shared" si="284"/>
        <v>179.01940426963026</v>
      </c>
      <c r="H1332" s="215">
        <f t="shared" ref="H1332:H1363" si="286">AL1332</f>
        <v>0</v>
      </c>
      <c r="I1332" s="183">
        <f t="shared" si="285"/>
        <v>0</v>
      </c>
      <c r="J1332" s="366"/>
      <c r="K1332" s="366" t="s">
        <v>1681</v>
      </c>
      <c r="L1332" s="366"/>
      <c r="M1332" s="373"/>
      <c r="N1332" s="191">
        <v>41900</v>
      </c>
      <c r="O1332" s="366">
        <v>524</v>
      </c>
      <c r="P1332" s="366" t="s">
        <v>187</v>
      </c>
      <c r="Q1332" s="366">
        <v>172</v>
      </c>
      <c r="R1332" s="366">
        <v>3</v>
      </c>
      <c r="S1332" s="366">
        <v>800</v>
      </c>
      <c r="T1332" s="366">
        <v>87</v>
      </c>
      <c r="U1332" s="366">
        <v>400</v>
      </c>
      <c r="V1332" s="366">
        <v>8</v>
      </c>
      <c r="W1332" s="366">
        <v>26.5</v>
      </c>
      <c r="X1332" s="366">
        <v>2.5</v>
      </c>
      <c r="Y1332" s="366">
        <v>40</v>
      </c>
      <c r="Z1332" s="366">
        <v>89</v>
      </c>
      <c r="AA1332" s="117">
        <v>167</v>
      </c>
      <c r="AB1332" s="51"/>
      <c r="AC1332" s="366"/>
      <c r="AD1332" s="366"/>
      <c r="AE1332" s="366"/>
      <c r="AF1332" s="366"/>
      <c r="AG1332" s="349">
        <v>4.2</v>
      </c>
      <c r="AH1332" s="113">
        <v>426.23667683245299</v>
      </c>
      <c r="AI1332" s="53"/>
      <c r="AJ1332" s="53"/>
      <c r="AK1332" s="53"/>
      <c r="AL1332" s="53"/>
      <c r="AM1332" s="366"/>
      <c r="AN1332" s="53">
        <f t="shared" si="276"/>
        <v>179.01940426963026</v>
      </c>
      <c r="AO1332" s="198">
        <f t="shared" si="277"/>
        <v>0</v>
      </c>
      <c r="AP1332" s="399">
        <f t="shared" si="278"/>
        <v>2.896551724137931</v>
      </c>
      <c r="AQ1332" s="373"/>
      <c r="AR1332" s="44"/>
      <c r="AS1332" s="366"/>
      <c r="AT1332" s="366"/>
    </row>
    <row r="1333" spans="1:46" ht="12">
      <c r="A1333" s="257" t="s">
        <v>1711</v>
      </c>
      <c r="B1333" s="257" t="str">
        <f t="shared" si="279"/>
        <v>SiNx</v>
      </c>
      <c r="C1333" s="280">
        <f t="shared" si="280"/>
        <v>0</v>
      </c>
      <c r="D1333" s="183">
        <f t="shared" si="281"/>
        <v>426.95034226038501</v>
      </c>
      <c r="E1333" s="96">
        <f t="shared" si="282"/>
        <v>0</v>
      </c>
      <c r="F1333" s="96">
        <f t="shared" si="283"/>
        <v>0</v>
      </c>
      <c r="G1333" s="183">
        <f t="shared" si="284"/>
        <v>175.04964032675784</v>
      </c>
      <c r="H1333" s="215">
        <f t="shared" si="286"/>
        <v>0</v>
      </c>
      <c r="I1333" s="183">
        <f t="shared" si="285"/>
        <v>0</v>
      </c>
      <c r="J1333" s="366"/>
      <c r="K1333" s="366" t="s">
        <v>1681</v>
      </c>
      <c r="L1333" s="366"/>
      <c r="M1333" s="373"/>
      <c r="N1333" s="191">
        <v>41900</v>
      </c>
      <c r="O1333" s="366">
        <v>524</v>
      </c>
      <c r="P1333" s="366" t="s">
        <v>187</v>
      </c>
      <c r="Q1333" s="366">
        <v>172</v>
      </c>
      <c r="R1333" s="366">
        <v>6</v>
      </c>
      <c r="S1333" s="366">
        <v>800</v>
      </c>
      <c r="T1333" s="366">
        <v>87</v>
      </c>
      <c r="U1333" s="366">
        <v>400</v>
      </c>
      <c r="V1333" s="366">
        <v>8</v>
      </c>
      <c r="W1333" s="366">
        <v>26.5</v>
      </c>
      <c r="X1333" s="366">
        <v>2.5</v>
      </c>
      <c r="Y1333" s="366">
        <v>40</v>
      </c>
      <c r="Z1333" s="366">
        <v>89</v>
      </c>
      <c r="AA1333" s="117">
        <v>167</v>
      </c>
      <c r="AB1333" s="51"/>
      <c r="AC1333" s="366"/>
      <c r="AD1333" s="366"/>
      <c r="AE1333" s="366"/>
      <c r="AF1333" s="366"/>
      <c r="AG1333" s="349">
        <v>4.0999999999999996</v>
      </c>
      <c r="AH1333" s="113">
        <v>426.95034226038501</v>
      </c>
      <c r="AI1333" s="53"/>
      <c r="AJ1333" s="53"/>
      <c r="AK1333" s="53"/>
      <c r="AL1333" s="53"/>
      <c r="AM1333" s="366"/>
      <c r="AN1333" s="53">
        <f t="shared" si="276"/>
        <v>175.04964032675784</v>
      </c>
      <c r="AO1333" s="198">
        <f t="shared" si="277"/>
        <v>0</v>
      </c>
      <c r="AP1333" s="399">
        <f t="shared" si="278"/>
        <v>2.8275862068965516</v>
      </c>
      <c r="AQ1333" s="373"/>
      <c r="AR1333" s="44"/>
      <c r="AS1333" s="366"/>
      <c r="AT1333" s="366"/>
    </row>
    <row r="1334" spans="1:46" ht="12">
      <c r="A1334" s="354" t="s">
        <v>1712</v>
      </c>
      <c r="B1334" s="354">
        <f t="shared" si="279"/>
        <v>0</v>
      </c>
      <c r="C1334" s="386">
        <f t="shared" si="280"/>
        <v>0</v>
      </c>
      <c r="D1334" s="98">
        <f t="shared" si="281"/>
        <v>0</v>
      </c>
      <c r="E1334" s="235">
        <f t="shared" si="282"/>
        <v>0</v>
      </c>
      <c r="F1334" s="235">
        <f t="shared" si="283"/>
        <v>0</v>
      </c>
      <c r="G1334" s="98">
        <f t="shared" si="284"/>
        <v>0</v>
      </c>
      <c r="H1334" s="79">
        <f t="shared" si="286"/>
        <v>0</v>
      </c>
      <c r="I1334" s="98">
        <f t="shared" si="285"/>
        <v>0</v>
      </c>
      <c r="J1334" s="180"/>
      <c r="K1334" s="180"/>
      <c r="L1334" s="180"/>
      <c r="M1334" s="214"/>
      <c r="N1334" s="125"/>
      <c r="O1334" s="180"/>
      <c r="P1334" s="180"/>
      <c r="Q1334" s="180"/>
      <c r="R1334" s="180"/>
      <c r="S1334" s="180"/>
      <c r="T1334" s="180"/>
      <c r="U1334" s="180"/>
      <c r="V1334" s="180"/>
      <c r="W1334" s="180"/>
      <c r="X1334" s="180"/>
      <c r="Y1334" s="180"/>
      <c r="Z1334" s="180"/>
      <c r="AA1334" s="334"/>
      <c r="AB1334" s="308"/>
      <c r="AC1334" s="180"/>
      <c r="AD1334" s="180"/>
      <c r="AE1334" s="180"/>
      <c r="AF1334" s="180"/>
      <c r="AG1334" s="391"/>
      <c r="AH1334" s="402"/>
      <c r="AI1334" s="147"/>
      <c r="AJ1334" s="147"/>
      <c r="AK1334" s="147"/>
      <c r="AL1334" s="147"/>
      <c r="AM1334" s="180"/>
      <c r="AN1334" s="24">
        <f t="shared" si="276"/>
        <v>0</v>
      </c>
      <c r="AO1334" s="118">
        <f t="shared" si="277"/>
        <v>0</v>
      </c>
      <c r="AP1334" s="197" t="e">
        <f t="shared" si="278"/>
        <v>#DIV/0!</v>
      </c>
      <c r="AQ1334" s="214"/>
      <c r="AR1334" s="125"/>
      <c r="AS1334" s="180"/>
      <c r="AT1334" s="180"/>
    </row>
    <row r="1335" spans="1:46" ht="12">
      <c r="A1335" s="83" t="s">
        <v>1713</v>
      </c>
      <c r="B1335" s="83" t="str">
        <f t="shared" si="279"/>
        <v>SiO2</v>
      </c>
      <c r="C1335" s="329">
        <f t="shared" si="280"/>
        <v>0</v>
      </c>
      <c r="D1335" s="168">
        <f t="shared" si="281"/>
        <v>406.07562849337103</v>
      </c>
      <c r="E1335" s="139">
        <f t="shared" si="282"/>
        <v>0</v>
      </c>
      <c r="F1335" s="139">
        <f t="shared" si="283"/>
        <v>0</v>
      </c>
      <c r="G1335" s="168">
        <f t="shared" si="284"/>
        <v>0</v>
      </c>
      <c r="H1335" s="150">
        <f t="shared" si="286"/>
        <v>0</v>
      </c>
      <c r="I1335" s="168">
        <f t="shared" si="285"/>
        <v>0</v>
      </c>
      <c r="J1335" s="138"/>
      <c r="K1335" s="138" t="s">
        <v>1714</v>
      </c>
      <c r="L1335" s="138"/>
      <c r="M1335" s="316"/>
      <c r="N1335" s="135">
        <v>41907</v>
      </c>
      <c r="O1335" s="138">
        <v>526</v>
      </c>
      <c r="P1335" s="138" t="s">
        <v>1182</v>
      </c>
      <c r="Q1335" s="138">
        <v>225</v>
      </c>
      <c r="R1335" s="138">
        <v>3</v>
      </c>
      <c r="S1335" s="138">
        <v>800</v>
      </c>
      <c r="T1335" s="138">
        <v>90</v>
      </c>
      <c r="U1335" s="138">
        <v>400</v>
      </c>
      <c r="V1335" s="138">
        <v>8</v>
      </c>
      <c r="W1335" s="138">
        <v>26.5</v>
      </c>
      <c r="X1335" s="138">
        <v>2.5</v>
      </c>
      <c r="Y1335" s="138">
        <v>40</v>
      </c>
      <c r="Z1335" s="138">
        <v>89</v>
      </c>
      <c r="AA1335" s="6">
        <v>166</v>
      </c>
      <c r="AB1335" s="300"/>
      <c r="AC1335" s="138"/>
      <c r="AD1335" s="138"/>
      <c r="AE1335" s="138"/>
      <c r="AF1335" s="138"/>
      <c r="AG1335" s="63"/>
      <c r="AH1335" s="70">
        <v>406.07562849337103</v>
      </c>
      <c r="AI1335" s="121"/>
      <c r="AJ1335" s="121"/>
      <c r="AK1335" s="121"/>
      <c r="AL1335" s="121"/>
      <c r="AM1335" s="138"/>
      <c r="AN1335" s="24">
        <f t="shared" si="276"/>
        <v>0</v>
      </c>
      <c r="AO1335" s="353">
        <f t="shared" si="277"/>
        <v>0</v>
      </c>
      <c r="AP1335" s="36">
        <f t="shared" si="278"/>
        <v>0</v>
      </c>
      <c r="AQ1335" s="316"/>
      <c r="AR1335" s="258"/>
      <c r="AS1335" s="138"/>
      <c r="AT1335" s="138"/>
    </row>
    <row r="1336" spans="1:46" ht="12">
      <c r="A1336" s="83" t="s">
        <v>1715</v>
      </c>
      <c r="B1336" s="83" t="str">
        <f t="shared" si="279"/>
        <v>SiO2</v>
      </c>
      <c r="C1336" s="329">
        <f t="shared" si="280"/>
        <v>0</v>
      </c>
      <c r="D1336" s="168">
        <f t="shared" si="281"/>
        <v>400.187888712931</v>
      </c>
      <c r="E1336" s="139">
        <f t="shared" si="282"/>
        <v>0</v>
      </c>
      <c r="F1336" s="139">
        <f t="shared" si="283"/>
        <v>0</v>
      </c>
      <c r="G1336" s="168">
        <f t="shared" si="284"/>
        <v>0</v>
      </c>
      <c r="H1336" s="150">
        <f t="shared" si="286"/>
        <v>0</v>
      </c>
      <c r="I1336" s="168">
        <f t="shared" si="285"/>
        <v>0</v>
      </c>
      <c r="J1336" s="138"/>
      <c r="K1336" s="138" t="s">
        <v>1714</v>
      </c>
      <c r="L1336" s="138"/>
      <c r="M1336" s="316"/>
      <c r="N1336" s="135">
        <v>41907</v>
      </c>
      <c r="O1336" s="138">
        <v>526</v>
      </c>
      <c r="P1336" s="138" t="s">
        <v>1182</v>
      </c>
      <c r="Q1336" s="138">
        <v>225</v>
      </c>
      <c r="R1336" s="138">
        <v>6</v>
      </c>
      <c r="S1336" s="138">
        <v>800</v>
      </c>
      <c r="T1336" s="138">
        <v>90</v>
      </c>
      <c r="U1336" s="138">
        <v>400</v>
      </c>
      <c r="V1336" s="138">
        <v>8</v>
      </c>
      <c r="W1336" s="138">
        <v>26.5</v>
      </c>
      <c r="X1336" s="138">
        <v>2.5</v>
      </c>
      <c r="Y1336" s="138">
        <v>40</v>
      </c>
      <c r="Z1336" s="138">
        <v>89</v>
      </c>
      <c r="AA1336" s="6">
        <v>166</v>
      </c>
      <c r="AB1336" s="300"/>
      <c r="AC1336" s="138"/>
      <c r="AD1336" s="138"/>
      <c r="AE1336" s="138"/>
      <c r="AF1336" s="138"/>
      <c r="AG1336" s="63"/>
      <c r="AH1336" s="70">
        <v>400.187888712931</v>
      </c>
      <c r="AI1336" s="121"/>
      <c r="AJ1336" s="121"/>
      <c r="AK1336" s="121"/>
      <c r="AL1336" s="121"/>
      <c r="AM1336" s="138"/>
      <c r="AN1336" s="24">
        <f t="shared" si="276"/>
        <v>0</v>
      </c>
      <c r="AO1336" s="353">
        <f t="shared" si="277"/>
        <v>0</v>
      </c>
      <c r="AP1336" s="36">
        <f t="shared" si="278"/>
        <v>0</v>
      </c>
      <c r="AQ1336" s="316"/>
      <c r="AR1336" s="258"/>
      <c r="AS1336" s="138"/>
      <c r="AT1336" s="138"/>
    </row>
    <row r="1337" spans="1:46" ht="12">
      <c r="A1337" s="303" t="s">
        <v>1716</v>
      </c>
      <c r="B1337" s="303" t="str">
        <f t="shared" si="279"/>
        <v>SiO2</v>
      </c>
      <c r="C1337" s="369">
        <f t="shared" si="280"/>
        <v>0</v>
      </c>
      <c r="D1337" s="204">
        <f t="shared" si="281"/>
        <v>0</v>
      </c>
      <c r="E1337" s="260">
        <f t="shared" si="282"/>
        <v>0</v>
      </c>
      <c r="F1337" s="260">
        <f t="shared" si="283"/>
        <v>0</v>
      </c>
      <c r="G1337" s="204">
        <f t="shared" si="284"/>
        <v>0</v>
      </c>
      <c r="H1337" s="272">
        <f t="shared" si="286"/>
        <v>0</v>
      </c>
      <c r="I1337" s="204">
        <f t="shared" si="285"/>
        <v>0</v>
      </c>
      <c r="J1337" s="203"/>
      <c r="K1337" s="203" t="s">
        <v>1717</v>
      </c>
      <c r="L1337" s="203"/>
      <c r="M1337" s="352"/>
      <c r="N1337" s="9">
        <v>41907</v>
      </c>
      <c r="O1337" s="203">
        <v>527</v>
      </c>
      <c r="P1337" s="203" t="s">
        <v>1182</v>
      </c>
      <c r="Q1337" s="203">
        <v>225</v>
      </c>
      <c r="R1337" s="203">
        <v>1</v>
      </c>
      <c r="S1337" s="203">
        <v>800</v>
      </c>
      <c r="T1337" s="203">
        <v>90</v>
      </c>
      <c r="U1337" s="203">
        <v>400</v>
      </c>
      <c r="V1337" s="203">
        <v>8</v>
      </c>
      <c r="W1337" s="203">
        <v>26.5</v>
      </c>
      <c r="X1337" s="203">
        <v>2.5</v>
      </c>
      <c r="Y1337" s="203">
        <v>40</v>
      </c>
      <c r="Z1337" s="203">
        <v>89</v>
      </c>
      <c r="AA1337" s="146"/>
      <c r="AB1337" s="143"/>
      <c r="AC1337" s="203"/>
      <c r="AD1337" s="203"/>
      <c r="AE1337" s="203"/>
      <c r="AF1337" s="203"/>
      <c r="AG1337" s="361"/>
      <c r="AH1337" s="278"/>
      <c r="AI1337" s="11"/>
      <c r="AJ1337" s="11"/>
      <c r="AK1337" s="11"/>
      <c r="AL1337" s="11"/>
      <c r="AM1337" s="203"/>
      <c r="AN1337" s="24">
        <f t="shared" si="276"/>
        <v>0</v>
      </c>
      <c r="AO1337" s="333">
        <f t="shared" si="277"/>
        <v>0</v>
      </c>
      <c r="AP1337" s="59">
        <f t="shared" si="278"/>
        <v>0</v>
      </c>
      <c r="AQ1337" s="352"/>
      <c r="AR1337" s="157"/>
      <c r="AS1337" s="203"/>
      <c r="AT1337" s="203"/>
    </row>
    <row r="1338" spans="1:46" ht="12">
      <c r="A1338" s="303" t="s">
        <v>1718</v>
      </c>
      <c r="B1338" s="303" t="str">
        <f t="shared" si="279"/>
        <v>SiO2</v>
      </c>
      <c r="C1338" s="369">
        <f t="shared" si="280"/>
        <v>0</v>
      </c>
      <c r="D1338" s="204">
        <f t="shared" si="281"/>
        <v>0</v>
      </c>
      <c r="E1338" s="260">
        <f t="shared" si="282"/>
        <v>0</v>
      </c>
      <c r="F1338" s="260">
        <f t="shared" si="283"/>
        <v>0</v>
      </c>
      <c r="G1338" s="204">
        <f t="shared" si="284"/>
        <v>0</v>
      </c>
      <c r="H1338" s="272">
        <f t="shared" si="286"/>
        <v>0</v>
      </c>
      <c r="I1338" s="204">
        <f t="shared" si="285"/>
        <v>0</v>
      </c>
      <c r="J1338" s="203"/>
      <c r="K1338" s="203" t="s">
        <v>1717</v>
      </c>
      <c r="L1338" s="203"/>
      <c r="M1338" s="352"/>
      <c r="N1338" s="9">
        <v>41907</v>
      </c>
      <c r="O1338" s="203">
        <v>527</v>
      </c>
      <c r="P1338" s="203" t="s">
        <v>1182</v>
      </c>
      <c r="Q1338" s="203">
        <v>225</v>
      </c>
      <c r="R1338" s="203">
        <v>3</v>
      </c>
      <c r="S1338" s="203">
        <v>800</v>
      </c>
      <c r="T1338" s="203">
        <v>90</v>
      </c>
      <c r="U1338" s="203">
        <v>400</v>
      </c>
      <c r="V1338" s="203">
        <v>8</v>
      </c>
      <c r="W1338" s="203">
        <v>26.5</v>
      </c>
      <c r="X1338" s="203">
        <v>2.5</v>
      </c>
      <c r="Y1338" s="203">
        <v>40</v>
      </c>
      <c r="Z1338" s="203">
        <v>89</v>
      </c>
      <c r="AA1338" s="146"/>
      <c r="AB1338" s="143"/>
      <c r="AC1338" s="203"/>
      <c r="AD1338" s="203"/>
      <c r="AE1338" s="203"/>
      <c r="AF1338" s="203"/>
      <c r="AG1338" s="361"/>
      <c r="AH1338" s="278"/>
      <c r="AI1338" s="11"/>
      <c r="AJ1338" s="11"/>
      <c r="AK1338" s="11"/>
      <c r="AL1338" s="11"/>
      <c r="AM1338" s="203"/>
      <c r="AN1338" s="24">
        <f t="shared" si="276"/>
        <v>0</v>
      </c>
      <c r="AO1338" s="333">
        <f t="shared" si="277"/>
        <v>0</v>
      </c>
      <c r="AP1338" s="59">
        <f t="shared" si="278"/>
        <v>0</v>
      </c>
      <c r="AQ1338" s="352"/>
      <c r="AR1338" s="157"/>
      <c r="AS1338" s="203"/>
      <c r="AT1338" s="203"/>
    </row>
    <row r="1339" spans="1:46" ht="12">
      <c r="A1339" s="303" t="s">
        <v>1719</v>
      </c>
      <c r="B1339" s="303" t="str">
        <f t="shared" si="279"/>
        <v>SiO2</v>
      </c>
      <c r="C1339" s="369">
        <f t="shared" si="280"/>
        <v>0</v>
      </c>
      <c r="D1339" s="204">
        <f t="shared" si="281"/>
        <v>0</v>
      </c>
      <c r="E1339" s="260">
        <f t="shared" si="282"/>
        <v>0</v>
      </c>
      <c r="F1339" s="260">
        <f t="shared" si="283"/>
        <v>0</v>
      </c>
      <c r="G1339" s="204">
        <f t="shared" si="284"/>
        <v>0</v>
      </c>
      <c r="H1339" s="272">
        <f t="shared" si="286"/>
        <v>0</v>
      </c>
      <c r="I1339" s="204">
        <f t="shared" si="285"/>
        <v>0</v>
      </c>
      <c r="J1339" s="203"/>
      <c r="K1339" s="203" t="s">
        <v>1717</v>
      </c>
      <c r="L1339" s="203"/>
      <c r="M1339" s="352"/>
      <c r="N1339" s="9">
        <v>41907</v>
      </c>
      <c r="O1339" s="203">
        <v>527</v>
      </c>
      <c r="P1339" s="203" t="s">
        <v>1182</v>
      </c>
      <c r="Q1339" s="203">
        <v>225</v>
      </c>
      <c r="R1339" s="203">
        <v>6</v>
      </c>
      <c r="S1339" s="203">
        <v>800</v>
      </c>
      <c r="T1339" s="203">
        <v>90</v>
      </c>
      <c r="U1339" s="203">
        <v>400</v>
      </c>
      <c r="V1339" s="203">
        <v>8</v>
      </c>
      <c r="W1339" s="203">
        <v>26.5</v>
      </c>
      <c r="X1339" s="203">
        <v>2.5</v>
      </c>
      <c r="Y1339" s="203">
        <v>40</v>
      </c>
      <c r="Z1339" s="203">
        <v>89</v>
      </c>
      <c r="AA1339" s="146"/>
      <c r="AB1339" s="143"/>
      <c r="AC1339" s="203"/>
      <c r="AD1339" s="203"/>
      <c r="AE1339" s="203"/>
      <c r="AF1339" s="203"/>
      <c r="AG1339" s="361"/>
      <c r="AH1339" s="278"/>
      <c r="AI1339" s="11"/>
      <c r="AJ1339" s="11"/>
      <c r="AK1339" s="11"/>
      <c r="AL1339" s="11"/>
      <c r="AM1339" s="203"/>
      <c r="AN1339" s="24">
        <f t="shared" si="276"/>
        <v>0</v>
      </c>
      <c r="AO1339" s="333">
        <f t="shared" si="277"/>
        <v>0</v>
      </c>
      <c r="AP1339" s="59">
        <f t="shared" si="278"/>
        <v>0</v>
      </c>
      <c r="AQ1339" s="352"/>
      <c r="AR1339" s="157"/>
      <c r="AS1339" s="203"/>
      <c r="AT1339" s="203"/>
    </row>
    <row r="1340" spans="1:46" ht="12">
      <c r="A1340" s="83" t="s">
        <v>1716</v>
      </c>
      <c r="B1340" s="83" t="str">
        <f t="shared" si="279"/>
        <v>SiO2</v>
      </c>
      <c r="C1340" s="329">
        <f t="shared" si="280"/>
        <v>0</v>
      </c>
      <c r="D1340" s="168">
        <f t="shared" si="281"/>
        <v>935.79379237597902</v>
      </c>
      <c r="E1340" s="139">
        <f t="shared" si="282"/>
        <v>4.99</v>
      </c>
      <c r="F1340" s="139">
        <f t="shared" si="283"/>
        <v>1.67</v>
      </c>
      <c r="G1340" s="168">
        <f t="shared" si="284"/>
        <v>287.28869425942554</v>
      </c>
      <c r="H1340" s="150">
        <f t="shared" si="286"/>
        <v>0.67130788485607007</v>
      </c>
      <c r="I1340" s="168">
        <f t="shared" si="285"/>
        <v>14335.705843545335</v>
      </c>
      <c r="J1340" s="138"/>
      <c r="K1340" s="138" t="s">
        <v>1720</v>
      </c>
      <c r="L1340" s="138"/>
      <c r="M1340" s="316"/>
      <c r="N1340" s="135">
        <v>41908</v>
      </c>
      <c r="O1340" s="138">
        <v>528</v>
      </c>
      <c r="P1340" s="138" t="s">
        <v>1182</v>
      </c>
      <c r="Q1340" s="138">
        <v>225</v>
      </c>
      <c r="R1340" s="138">
        <v>1</v>
      </c>
      <c r="S1340" s="138" t="s">
        <v>659</v>
      </c>
      <c r="T1340" s="138">
        <v>90</v>
      </c>
      <c r="U1340" s="138">
        <v>400</v>
      </c>
      <c r="V1340" s="138">
        <v>8</v>
      </c>
      <c r="W1340" s="138">
        <v>26.5</v>
      </c>
      <c r="X1340" s="138">
        <v>2.5</v>
      </c>
      <c r="Y1340" s="138">
        <v>40</v>
      </c>
      <c r="Z1340" s="138">
        <v>90</v>
      </c>
      <c r="AA1340" s="6">
        <v>166</v>
      </c>
      <c r="AB1340" s="300"/>
      <c r="AC1340" s="138"/>
      <c r="AD1340" s="138"/>
      <c r="AE1340" s="138"/>
      <c r="AF1340" s="138"/>
      <c r="AG1340" s="63">
        <v>3.07</v>
      </c>
      <c r="AH1340" s="70">
        <v>935.79379237597902</v>
      </c>
      <c r="AI1340" s="121"/>
      <c r="AJ1340" s="121">
        <v>4.99</v>
      </c>
      <c r="AK1340" s="121">
        <v>1.67</v>
      </c>
      <c r="AL1340" s="121">
        <f>429.1/639.2</f>
        <v>0.67130788485607007</v>
      </c>
      <c r="AM1340" s="138"/>
      <c r="AN1340" s="121">
        <f t="shared" si="276"/>
        <v>287.28869425942554</v>
      </c>
      <c r="AO1340" s="353">
        <f t="shared" si="277"/>
        <v>14335.705843545335</v>
      </c>
      <c r="AP1340" s="36">
        <f t="shared" si="278"/>
        <v>2.0466666666666664</v>
      </c>
      <c r="AQ1340" s="316"/>
      <c r="AR1340" s="258"/>
      <c r="AS1340" s="138"/>
      <c r="AT1340" s="138"/>
    </row>
    <row r="1341" spans="1:46" ht="12">
      <c r="A1341" s="83" t="s">
        <v>1718</v>
      </c>
      <c r="B1341" s="83" t="str">
        <f t="shared" si="279"/>
        <v>SiO2</v>
      </c>
      <c r="C1341" s="329">
        <f t="shared" si="280"/>
        <v>0</v>
      </c>
      <c r="D1341" s="168">
        <f t="shared" si="281"/>
        <v>925.08881095699803</v>
      </c>
      <c r="E1341" s="139">
        <f t="shared" si="282"/>
        <v>4.99</v>
      </c>
      <c r="F1341" s="139">
        <f t="shared" si="283"/>
        <v>1.66</v>
      </c>
      <c r="G1341" s="168">
        <f t="shared" si="284"/>
        <v>284.00226496379838</v>
      </c>
      <c r="H1341" s="150">
        <f t="shared" si="286"/>
        <v>0.66147503435639032</v>
      </c>
      <c r="I1341" s="168">
        <f t="shared" si="285"/>
        <v>14171.713021693538</v>
      </c>
      <c r="J1341" s="138"/>
      <c r="K1341" s="138" t="s">
        <v>1720</v>
      </c>
      <c r="L1341" s="138"/>
      <c r="M1341" s="316"/>
      <c r="N1341" s="135">
        <v>41908</v>
      </c>
      <c r="O1341" s="138">
        <v>528</v>
      </c>
      <c r="P1341" s="138" t="s">
        <v>1182</v>
      </c>
      <c r="Q1341" s="138">
        <v>225</v>
      </c>
      <c r="R1341" s="138">
        <v>6</v>
      </c>
      <c r="S1341" s="138" t="s">
        <v>659</v>
      </c>
      <c r="T1341" s="138">
        <v>90</v>
      </c>
      <c r="U1341" s="138">
        <v>400</v>
      </c>
      <c r="V1341" s="138">
        <v>8</v>
      </c>
      <c r="W1341" s="138">
        <v>26.5</v>
      </c>
      <c r="X1341" s="138">
        <v>2.5</v>
      </c>
      <c r="Y1341" s="138">
        <v>40</v>
      </c>
      <c r="Z1341" s="138">
        <v>90</v>
      </c>
      <c r="AA1341" s="6">
        <v>166</v>
      </c>
      <c r="AB1341" s="300"/>
      <c r="AC1341" s="138"/>
      <c r="AD1341" s="138"/>
      <c r="AE1341" s="138"/>
      <c r="AF1341" s="138"/>
      <c r="AG1341" s="63">
        <v>3.07</v>
      </c>
      <c r="AH1341" s="70">
        <v>925.08881095699803</v>
      </c>
      <c r="AI1341" s="121"/>
      <c r="AJ1341" s="121">
        <v>4.99</v>
      </c>
      <c r="AK1341" s="121">
        <v>1.66</v>
      </c>
      <c r="AL1341" s="121">
        <f>433.2/654.9</f>
        <v>0.66147503435639032</v>
      </c>
      <c r="AM1341" s="138"/>
      <c r="AN1341" s="121">
        <f t="shared" si="276"/>
        <v>284.00226496379838</v>
      </c>
      <c r="AO1341" s="353">
        <f t="shared" si="277"/>
        <v>14171.713021693538</v>
      </c>
      <c r="AP1341" s="36">
        <f t="shared" si="278"/>
        <v>2.0466666666666664</v>
      </c>
      <c r="AQ1341" s="316"/>
      <c r="AR1341" s="258"/>
      <c r="AS1341" s="138"/>
      <c r="AT1341" s="138"/>
    </row>
    <row r="1342" spans="1:46" ht="12">
      <c r="A1342" s="83" t="s">
        <v>1719</v>
      </c>
      <c r="B1342" s="83" t="str">
        <f t="shared" si="279"/>
        <v>SiO2</v>
      </c>
      <c r="C1342" s="329">
        <f t="shared" si="280"/>
        <v>0</v>
      </c>
      <c r="D1342" s="168">
        <f t="shared" si="281"/>
        <v>656.39377734055802</v>
      </c>
      <c r="E1342" s="139">
        <f t="shared" si="282"/>
        <v>7.6</v>
      </c>
      <c r="F1342" s="139">
        <f t="shared" si="283"/>
        <v>1.75</v>
      </c>
      <c r="G1342" s="168">
        <f t="shared" si="284"/>
        <v>237.61454739728202</v>
      </c>
      <c r="H1342" s="150">
        <f t="shared" si="286"/>
        <v>0.75936524453694065</v>
      </c>
      <c r="I1342" s="168">
        <f t="shared" si="285"/>
        <v>18058.705602193433</v>
      </c>
      <c r="J1342" s="138"/>
      <c r="K1342" s="138" t="s">
        <v>1721</v>
      </c>
      <c r="L1342" s="138"/>
      <c r="M1342" s="316"/>
      <c r="N1342" s="135">
        <v>41908</v>
      </c>
      <c r="O1342" s="138">
        <v>529</v>
      </c>
      <c r="P1342" s="138" t="s">
        <v>1182</v>
      </c>
      <c r="Q1342" s="138">
        <v>225</v>
      </c>
      <c r="R1342" s="138">
        <v>1</v>
      </c>
      <c r="S1342" s="138" t="s">
        <v>659</v>
      </c>
      <c r="T1342" s="138">
        <v>90</v>
      </c>
      <c r="U1342" s="138">
        <v>400</v>
      </c>
      <c r="V1342" s="138">
        <v>8</v>
      </c>
      <c r="W1342" s="138">
        <v>26.5</v>
      </c>
      <c r="X1342" s="138">
        <v>2.5</v>
      </c>
      <c r="Y1342" s="138">
        <v>40</v>
      </c>
      <c r="Z1342" s="138">
        <v>90</v>
      </c>
      <c r="AA1342" s="6">
        <v>165</v>
      </c>
      <c r="AB1342" s="300"/>
      <c r="AC1342" s="138"/>
      <c r="AD1342" s="138"/>
      <c r="AE1342" s="138"/>
      <c r="AF1342" s="138"/>
      <c r="AG1342" s="63">
        <v>3.62</v>
      </c>
      <c r="AH1342" s="70">
        <v>656.39377734055802</v>
      </c>
      <c r="AI1342" s="121"/>
      <c r="AJ1342" s="121">
        <v>7.6</v>
      </c>
      <c r="AK1342" s="121">
        <v>1.75</v>
      </c>
      <c r="AL1342" s="121">
        <f>291.9/384.4</f>
        <v>0.75936524453694065</v>
      </c>
      <c r="AM1342" s="138"/>
      <c r="AN1342" s="121">
        <f t="shared" si="276"/>
        <v>237.61454739728202</v>
      </c>
      <c r="AO1342" s="353">
        <f t="shared" si="277"/>
        <v>18058.705602193433</v>
      </c>
      <c r="AP1342" s="36">
        <f t="shared" si="278"/>
        <v>2.4133333333333331</v>
      </c>
      <c r="AQ1342" s="316"/>
      <c r="AR1342" s="258"/>
      <c r="AS1342" s="138"/>
      <c r="AT1342" s="138"/>
    </row>
    <row r="1343" spans="1:46" ht="12">
      <c r="A1343" s="83" t="s">
        <v>1722</v>
      </c>
      <c r="B1343" s="83" t="str">
        <f t="shared" si="279"/>
        <v>SiO2</v>
      </c>
      <c r="C1343" s="329">
        <f t="shared" si="280"/>
        <v>0</v>
      </c>
      <c r="D1343" s="168">
        <f t="shared" si="281"/>
        <v>658.53477362435399</v>
      </c>
      <c r="E1343" s="139">
        <f t="shared" si="282"/>
        <v>7.55</v>
      </c>
      <c r="F1343" s="139">
        <f t="shared" si="283"/>
        <v>1.75</v>
      </c>
      <c r="G1343" s="168">
        <f t="shared" si="284"/>
        <v>236.41398373114308</v>
      </c>
      <c r="H1343" s="150">
        <f t="shared" si="286"/>
        <v>0.75715773034877665</v>
      </c>
      <c r="I1343" s="168">
        <f t="shared" si="285"/>
        <v>17849.255771701301</v>
      </c>
      <c r="J1343" s="138"/>
      <c r="K1343" s="138" t="s">
        <v>1721</v>
      </c>
      <c r="L1343" s="138"/>
      <c r="M1343" s="316"/>
      <c r="N1343" s="135">
        <v>41908</v>
      </c>
      <c r="O1343" s="138">
        <v>529</v>
      </c>
      <c r="P1343" s="138" t="s">
        <v>1182</v>
      </c>
      <c r="Q1343" s="138">
        <v>225</v>
      </c>
      <c r="R1343" s="138">
        <v>6</v>
      </c>
      <c r="S1343" s="138" t="s">
        <v>659</v>
      </c>
      <c r="T1343" s="138">
        <v>90</v>
      </c>
      <c r="U1343" s="138">
        <v>400</v>
      </c>
      <c r="V1343" s="138">
        <v>8</v>
      </c>
      <c r="W1343" s="138">
        <v>26.5</v>
      </c>
      <c r="X1343" s="138">
        <v>2.5</v>
      </c>
      <c r="Y1343" s="138">
        <v>40</v>
      </c>
      <c r="Z1343" s="138">
        <v>90</v>
      </c>
      <c r="AA1343" s="6">
        <v>165</v>
      </c>
      <c r="AB1343" s="300"/>
      <c r="AC1343" s="138"/>
      <c r="AD1343" s="138"/>
      <c r="AE1343" s="138"/>
      <c r="AF1343" s="138"/>
      <c r="AG1343" s="63">
        <v>3.59</v>
      </c>
      <c r="AH1343" s="70">
        <v>658.53477362435399</v>
      </c>
      <c r="AI1343" s="121"/>
      <c r="AJ1343" s="121">
        <v>7.55</v>
      </c>
      <c r="AK1343" s="121">
        <v>1.75</v>
      </c>
      <c r="AL1343" s="121">
        <f>290.9/384.2</f>
        <v>0.75715773034877665</v>
      </c>
      <c r="AM1343" s="138"/>
      <c r="AN1343" s="121">
        <f t="shared" si="276"/>
        <v>236.41398373114308</v>
      </c>
      <c r="AO1343" s="353">
        <f t="shared" si="277"/>
        <v>17849.255771701301</v>
      </c>
      <c r="AP1343" s="36">
        <f t="shared" si="278"/>
        <v>2.3933333333333335</v>
      </c>
      <c r="AQ1343" s="316"/>
      <c r="AR1343" s="258"/>
      <c r="AS1343" s="138"/>
      <c r="AT1343" s="138"/>
    </row>
    <row r="1344" spans="1:46" ht="12">
      <c r="A1344" s="83" t="s">
        <v>1723</v>
      </c>
      <c r="B1344" s="83" t="str">
        <f t="shared" si="279"/>
        <v>SiO2</v>
      </c>
      <c r="C1344" s="329">
        <f t="shared" si="280"/>
        <v>0</v>
      </c>
      <c r="D1344" s="168">
        <f t="shared" si="281"/>
        <v>518.12110067871197</v>
      </c>
      <c r="E1344" s="139">
        <f t="shared" si="282"/>
        <v>8.08</v>
      </c>
      <c r="F1344" s="139">
        <f t="shared" si="283"/>
        <v>1.45</v>
      </c>
      <c r="G1344" s="168">
        <f t="shared" si="284"/>
        <v>215.53837788234418</v>
      </c>
      <c r="H1344" s="150">
        <f t="shared" si="286"/>
        <v>0.81679117751689778</v>
      </c>
      <c r="I1344" s="168">
        <f t="shared" si="285"/>
        <v>17415.50093289341</v>
      </c>
      <c r="J1344" s="138"/>
      <c r="K1344" s="138" t="s">
        <v>1721</v>
      </c>
      <c r="L1344" s="138"/>
      <c r="M1344" s="316"/>
      <c r="N1344" s="135">
        <v>41908</v>
      </c>
      <c r="O1344" s="138">
        <v>530</v>
      </c>
      <c r="P1344" s="138" t="s">
        <v>1182</v>
      </c>
      <c r="Q1344" s="138">
        <v>225</v>
      </c>
      <c r="R1344" s="138">
        <v>1</v>
      </c>
      <c r="S1344" s="138" t="s">
        <v>659</v>
      </c>
      <c r="T1344" s="138">
        <v>90</v>
      </c>
      <c r="U1344" s="138">
        <v>400</v>
      </c>
      <c r="V1344" s="138">
        <v>6</v>
      </c>
      <c r="W1344" s="138">
        <v>26.5</v>
      </c>
      <c r="X1344" s="138">
        <v>2.5</v>
      </c>
      <c r="Y1344" s="138">
        <v>40</v>
      </c>
      <c r="Z1344" s="138">
        <v>90</v>
      </c>
      <c r="AA1344" s="6">
        <v>161</v>
      </c>
      <c r="AB1344" s="300"/>
      <c r="AC1344" s="138"/>
      <c r="AD1344" s="138"/>
      <c r="AE1344" s="138"/>
      <c r="AF1344" s="138"/>
      <c r="AG1344" s="63">
        <v>4.16</v>
      </c>
      <c r="AH1344" s="70">
        <v>518.12110067871197</v>
      </c>
      <c r="AI1344" s="121"/>
      <c r="AJ1344" s="121">
        <v>8.08</v>
      </c>
      <c r="AK1344" s="121">
        <v>1.45</v>
      </c>
      <c r="AL1344" s="121">
        <f>229.6/281.1</f>
        <v>0.81679117751689778</v>
      </c>
      <c r="AM1344" s="138"/>
      <c r="AN1344" s="121">
        <f t="shared" si="276"/>
        <v>215.53837788234418</v>
      </c>
      <c r="AO1344" s="353">
        <f t="shared" si="277"/>
        <v>17415.50093289341</v>
      </c>
      <c r="AP1344" s="36">
        <f t="shared" si="278"/>
        <v>2.7733333333333334</v>
      </c>
      <c r="AQ1344" s="316"/>
      <c r="AR1344" s="258"/>
      <c r="AS1344" s="138"/>
      <c r="AT1344" s="138"/>
    </row>
    <row r="1345" spans="1:46" ht="12">
      <c r="A1345" s="83" t="s">
        <v>1724</v>
      </c>
      <c r="B1345" s="83" t="str">
        <f t="shared" si="279"/>
        <v>SiO2</v>
      </c>
      <c r="C1345" s="329">
        <f t="shared" si="280"/>
        <v>0</v>
      </c>
      <c r="D1345" s="168">
        <f t="shared" si="281"/>
        <v>523.83042410216899</v>
      </c>
      <c r="E1345" s="139">
        <f t="shared" si="282"/>
        <v>8.1199999999999992</v>
      </c>
      <c r="F1345" s="139">
        <f t="shared" si="283"/>
        <v>1.49</v>
      </c>
      <c r="G1345" s="168">
        <f t="shared" si="284"/>
        <v>217.91345642650231</v>
      </c>
      <c r="H1345" s="150">
        <f t="shared" si="286"/>
        <v>0.82207697893972409</v>
      </c>
      <c r="I1345" s="168">
        <f t="shared" si="285"/>
        <v>17694.572661831986</v>
      </c>
      <c r="J1345" s="138"/>
      <c r="K1345" s="138" t="s">
        <v>1721</v>
      </c>
      <c r="L1345" s="138"/>
      <c r="M1345" s="316"/>
      <c r="N1345" s="135">
        <v>41908</v>
      </c>
      <c r="O1345" s="138">
        <v>530</v>
      </c>
      <c r="P1345" s="138" t="s">
        <v>1182</v>
      </c>
      <c r="Q1345" s="138">
        <v>225</v>
      </c>
      <c r="R1345" s="138">
        <v>6</v>
      </c>
      <c r="S1345" s="138" t="s">
        <v>659</v>
      </c>
      <c r="T1345" s="138">
        <v>90</v>
      </c>
      <c r="U1345" s="138">
        <v>400</v>
      </c>
      <c r="V1345" s="138">
        <v>6</v>
      </c>
      <c r="W1345" s="138">
        <v>26.5</v>
      </c>
      <c r="X1345" s="138">
        <v>2.5</v>
      </c>
      <c r="Y1345" s="138">
        <v>40</v>
      </c>
      <c r="Z1345" s="138">
        <v>90</v>
      </c>
      <c r="AA1345" s="6">
        <v>161</v>
      </c>
      <c r="AB1345" s="300"/>
      <c r="AC1345" s="138"/>
      <c r="AD1345" s="138"/>
      <c r="AE1345" s="138"/>
      <c r="AF1345" s="138"/>
      <c r="AG1345" s="63">
        <v>4.16</v>
      </c>
      <c r="AH1345" s="70">
        <v>523.83042410216899</v>
      </c>
      <c r="AI1345" s="121"/>
      <c r="AJ1345" s="121">
        <v>8.1199999999999992</v>
      </c>
      <c r="AK1345" s="121">
        <v>1.49</v>
      </c>
      <c r="AL1345" s="121">
        <f>226.4/275.4</f>
        <v>0.82207697893972409</v>
      </c>
      <c r="AM1345" s="138"/>
      <c r="AN1345" s="121">
        <f t="shared" ref="AN1345:AN1376" si="287">((AH1345*AG1345)/10)</f>
        <v>217.91345642650231</v>
      </c>
      <c r="AO1345" s="353">
        <f t="shared" ref="AO1345:AO1376" si="288">(AG1345*AH1345)*AJ1345</f>
        <v>17694.572661831986</v>
      </c>
      <c r="AP1345" s="36">
        <f t="shared" ref="AP1345:AP1376" si="289">(AG1345/T1345)*60</f>
        <v>2.7733333333333334</v>
      </c>
      <c r="AQ1345" s="316"/>
      <c r="AR1345" s="258"/>
      <c r="AS1345" s="138"/>
      <c r="AT1345" s="138"/>
    </row>
    <row r="1346" spans="1:46" ht="12">
      <c r="A1346" s="83" t="s">
        <v>1725</v>
      </c>
      <c r="B1346" s="83" t="str">
        <f t="shared" si="279"/>
        <v>SiO2</v>
      </c>
      <c r="C1346" s="329">
        <f t="shared" si="280"/>
        <v>0</v>
      </c>
      <c r="D1346" s="168">
        <f t="shared" si="281"/>
        <v>711.70284800529703</v>
      </c>
      <c r="E1346" s="139">
        <f t="shared" si="282"/>
        <v>5.73</v>
      </c>
      <c r="F1346" s="139">
        <f t="shared" si="283"/>
        <v>1.54</v>
      </c>
      <c r="G1346" s="168">
        <f t="shared" si="284"/>
        <v>255.50132243390163</v>
      </c>
      <c r="H1346" s="150">
        <f t="shared" si="286"/>
        <v>0.7592417061611374</v>
      </c>
      <c r="I1346" s="168">
        <f t="shared" si="285"/>
        <v>14640.225775462564</v>
      </c>
      <c r="J1346" s="138"/>
      <c r="K1346" s="138" t="s">
        <v>1720</v>
      </c>
      <c r="L1346" s="138"/>
      <c r="M1346" s="316"/>
      <c r="N1346" s="135">
        <v>41908</v>
      </c>
      <c r="O1346" s="138">
        <v>531</v>
      </c>
      <c r="P1346" s="138" t="s">
        <v>1182</v>
      </c>
      <c r="Q1346" s="138">
        <v>225</v>
      </c>
      <c r="R1346" s="138">
        <v>1</v>
      </c>
      <c r="S1346" s="138" t="s">
        <v>659</v>
      </c>
      <c r="T1346" s="138">
        <v>90</v>
      </c>
      <c r="U1346" s="138">
        <v>400</v>
      </c>
      <c r="V1346" s="138">
        <v>6</v>
      </c>
      <c r="W1346" s="138">
        <v>26.5</v>
      </c>
      <c r="X1346" s="138">
        <v>2.5</v>
      </c>
      <c r="Y1346" s="138">
        <v>40</v>
      </c>
      <c r="Z1346" s="138">
        <v>90</v>
      </c>
      <c r="AA1346" s="6">
        <v>161</v>
      </c>
      <c r="AB1346" s="300"/>
      <c r="AC1346" s="138"/>
      <c r="AD1346" s="138"/>
      <c r="AE1346" s="138"/>
      <c r="AF1346" s="138"/>
      <c r="AG1346" s="63">
        <v>3.59</v>
      </c>
      <c r="AH1346" s="70">
        <v>711.70284800529703</v>
      </c>
      <c r="AI1346" s="121"/>
      <c r="AJ1346" s="121">
        <v>5.73</v>
      </c>
      <c r="AK1346" s="121">
        <v>1.54</v>
      </c>
      <c r="AL1346" s="121">
        <f>320.4/422</f>
        <v>0.7592417061611374</v>
      </c>
      <c r="AM1346" s="138"/>
      <c r="AN1346" s="121">
        <f t="shared" si="287"/>
        <v>255.50132243390163</v>
      </c>
      <c r="AO1346" s="353">
        <f t="shared" si="288"/>
        <v>14640.225775462564</v>
      </c>
      <c r="AP1346" s="36">
        <f t="shared" si="289"/>
        <v>2.3933333333333335</v>
      </c>
      <c r="AQ1346" s="316"/>
      <c r="AR1346" s="258"/>
      <c r="AS1346" s="138"/>
      <c r="AT1346" s="138"/>
    </row>
    <row r="1347" spans="1:46" ht="12">
      <c r="A1347" s="83" t="s">
        <v>1726</v>
      </c>
      <c r="B1347" s="83" t="str">
        <f t="shared" si="279"/>
        <v>SiO2</v>
      </c>
      <c r="C1347" s="329">
        <f t="shared" si="280"/>
        <v>0</v>
      </c>
      <c r="D1347" s="168">
        <f t="shared" si="281"/>
        <v>701.53311565726403</v>
      </c>
      <c r="E1347" s="139">
        <f t="shared" si="282"/>
        <v>5.81</v>
      </c>
      <c r="F1347" s="139">
        <f t="shared" si="283"/>
        <v>1.57</v>
      </c>
      <c r="G1347" s="168">
        <f t="shared" si="284"/>
        <v>251.85038852095778</v>
      </c>
      <c r="H1347" s="150">
        <f t="shared" si="286"/>
        <v>0.75173050299953859</v>
      </c>
      <c r="I1347" s="168">
        <f t="shared" si="285"/>
        <v>14632.507573067645</v>
      </c>
      <c r="J1347" s="138"/>
      <c r="K1347" s="138" t="s">
        <v>1720</v>
      </c>
      <c r="L1347" s="138"/>
      <c r="M1347" s="316"/>
      <c r="N1347" s="135">
        <v>41908</v>
      </c>
      <c r="O1347" s="138">
        <v>531</v>
      </c>
      <c r="P1347" s="138" t="s">
        <v>1182</v>
      </c>
      <c r="Q1347" s="138">
        <v>225</v>
      </c>
      <c r="R1347" s="138">
        <v>6</v>
      </c>
      <c r="S1347" s="138" t="s">
        <v>659</v>
      </c>
      <c r="T1347" s="138">
        <v>90</v>
      </c>
      <c r="U1347" s="138">
        <v>400</v>
      </c>
      <c r="V1347" s="138">
        <v>6</v>
      </c>
      <c r="W1347" s="138">
        <v>26.5</v>
      </c>
      <c r="X1347" s="138">
        <v>2.5</v>
      </c>
      <c r="Y1347" s="138">
        <v>40</v>
      </c>
      <c r="Z1347" s="138">
        <v>90</v>
      </c>
      <c r="AA1347" s="6">
        <v>161</v>
      </c>
      <c r="AB1347" s="300"/>
      <c r="AC1347" s="138"/>
      <c r="AD1347" s="138"/>
      <c r="AE1347" s="138"/>
      <c r="AF1347" s="138"/>
      <c r="AG1347" s="63">
        <v>3.59</v>
      </c>
      <c r="AH1347" s="70">
        <v>701.53311565726403</v>
      </c>
      <c r="AI1347" s="121"/>
      <c r="AJ1347" s="121">
        <v>5.81</v>
      </c>
      <c r="AK1347" s="121">
        <v>1.57</v>
      </c>
      <c r="AL1347" s="121">
        <f>325.8/433.4</f>
        <v>0.75173050299953859</v>
      </c>
      <c r="AM1347" s="138"/>
      <c r="AN1347" s="121">
        <f t="shared" si="287"/>
        <v>251.85038852095778</v>
      </c>
      <c r="AO1347" s="353">
        <f t="shared" si="288"/>
        <v>14632.507573067645</v>
      </c>
      <c r="AP1347" s="36">
        <f t="shared" si="289"/>
        <v>2.3933333333333335</v>
      </c>
      <c r="AQ1347" s="316"/>
      <c r="AR1347" s="258"/>
      <c r="AS1347" s="138"/>
      <c r="AT1347" s="138"/>
    </row>
    <row r="1348" spans="1:46" ht="12">
      <c r="A1348" s="83" t="s">
        <v>1727</v>
      </c>
      <c r="B1348" s="83" t="str">
        <f t="shared" si="279"/>
        <v>SiO2</v>
      </c>
      <c r="C1348" s="329">
        <f t="shared" si="280"/>
        <v>0</v>
      </c>
      <c r="D1348" s="168">
        <f t="shared" si="281"/>
        <v>424.80934597658802</v>
      </c>
      <c r="E1348" s="139">
        <f t="shared" si="282"/>
        <v>7.48</v>
      </c>
      <c r="F1348" s="139">
        <f t="shared" si="283"/>
        <v>1.21</v>
      </c>
      <c r="G1348" s="168">
        <f t="shared" si="284"/>
        <v>201.78443933887931</v>
      </c>
      <c r="H1348" s="150">
        <f t="shared" si="286"/>
        <v>0.87848699763593385</v>
      </c>
      <c r="I1348" s="168">
        <f t="shared" si="285"/>
        <v>15093.476062548174</v>
      </c>
      <c r="J1348" s="138"/>
      <c r="K1348" s="138" t="s">
        <v>1721</v>
      </c>
      <c r="L1348" s="138"/>
      <c r="M1348" s="316"/>
      <c r="N1348" s="135">
        <v>41908</v>
      </c>
      <c r="O1348" s="138">
        <v>532</v>
      </c>
      <c r="P1348" s="138" t="s">
        <v>1182</v>
      </c>
      <c r="Q1348" s="138">
        <v>225</v>
      </c>
      <c r="R1348" s="138">
        <v>1</v>
      </c>
      <c r="S1348" s="138" t="s">
        <v>659</v>
      </c>
      <c r="T1348" s="138">
        <v>90</v>
      </c>
      <c r="U1348" s="138">
        <v>400</v>
      </c>
      <c r="V1348" s="138">
        <v>4</v>
      </c>
      <c r="W1348" s="138">
        <v>26.5</v>
      </c>
      <c r="X1348" s="138">
        <v>2.5</v>
      </c>
      <c r="Y1348" s="138">
        <v>40</v>
      </c>
      <c r="Z1348" s="138">
        <v>90</v>
      </c>
      <c r="AA1348" s="6">
        <v>155</v>
      </c>
      <c r="AB1348" s="300"/>
      <c r="AC1348" s="138"/>
      <c r="AD1348" s="138"/>
      <c r="AE1348" s="138"/>
      <c r="AF1348" s="138"/>
      <c r="AG1348" s="63">
        <v>4.75</v>
      </c>
      <c r="AH1348" s="70">
        <v>424.80934597658802</v>
      </c>
      <c r="AI1348" s="121"/>
      <c r="AJ1348" s="121">
        <v>7.48</v>
      </c>
      <c r="AK1348" s="121">
        <v>1.21</v>
      </c>
      <c r="AL1348" s="121">
        <f>185.8/211.5</f>
        <v>0.87848699763593385</v>
      </c>
      <c r="AM1348" s="138"/>
      <c r="AN1348" s="121">
        <f t="shared" si="287"/>
        <v>201.78443933887931</v>
      </c>
      <c r="AO1348" s="353">
        <f t="shared" si="288"/>
        <v>15093.476062548174</v>
      </c>
      <c r="AP1348" s="36">
        <f t="shared" si="289"/>
        <v>3.1666666666666665</v>
      </c>
      <c r="AQ1348" s="316"/>
      <c r="AR1348" s="258"/>
      <c r="AS1348" s="138"/>
      <c r="AT1348" s="138"/>
    </row>
    <row r="1349" spans="1:46" ht="12">
      <c r="A1349" s="83" t="s">
        <v>1728</v>
      </c>
      <c r="B1349" s="83" t="str">
        <f t="shared" ref="B1349:B1384" si="290">P1349</f>
        <v>SiO2</v>
      </c>
      <c r="C1349" s="329">
        <f t="shared" ref="C1349:C1384" si="291">AF1349</f>
        <v>0</v>
      </c>
      <c r="D1349" s="168">
        <f t="shared" ref="D1349:D1384" si="292">AH1349</f>
        <v>418.56477348218198</v>
      </c>
      <c r="E1349" s="139">
        <f t="shared" ref="E1349:E1384" si="293">AJ1349</f>
        <v>7.51</v>
      </c>
      <c r="F1349" s="139">
        <f t="shared" ref="F1349:F1384" si="294">AK1349</f>
        <v>1.2</v>
      </c>
      <c r="G1349" s="168">
        <f t="shared" ref="G1349:G1384" si="295">AN1349</f>
        <v>201.32965604492952</v>
      </c>
      <c r="H1349" s="150">
        <f t="shared" si="286"/>
        <v>0.87421686746987959</v>
      </c>
      <c r="I1349" s="168">
        <f t="shared" ref="I1349:I1384" si="296">AO1349</f>
        <v>15119.857168974206</v>
      </c>
      <c r="J1349" s="138"/>
      <c r="K1349" s="138" t="s">
        <v>1721</v>
      </c>
      <c r="L1349" s="138"/>
      <c r="M1349" s="316"/>
      <c r="N1349" s="135">
        <v>41908</v>
      </c>
      <c r="O1349" s="138">
        <v>532</v>
      </c>
      <c r="P1349" s="138" t="s">
        <v>1182</v>
      </c>
      <c r="Q1349" s="138">
        <v>225</v>
      </c>
      <c r="R1349" s="138">
        <v>6</v>
      </c>
      <c r="S1349" s="138" t="s">
        <v>659</v>
      </c>
      <c r="T1349" s="138">
        <v>90</v>
      </c>
      <c r="U1349" s="138">
        <v>400</v>
      </c>
      <c r="V1349" s="138">
        <v>4</v>
      </c>
      <c r="W1349" s="138">
        <v>26.5</v>
      </c>
      <c r="X1349" s="138">
        <v>2.5</v>
      </c>
      <c r="Y1349" s="138">
        <v>40</v>
      </c>
      <c r="Z1349" s="138">
        <v>90</v>
      </c>
      <c r="AA1349" s="6">
        <v>155</v>
      </c>
      <c r="AB1349" s="300"/>
      <c r="AC1349" s="138"/>
      <c r="AD1349" s="138"/>
      <c r="AE1349" s="138"/>
      <c r="AF1349" s="138"/>
      <c r="AG1349" s="63">
        <v>4.8099999999999996</v>
      </c>
      <c r="AH1349" s="70">
        <v>418.56477348218198</v>
      </c>
      <c r="AI1349" s="121"/>
      <c r="AJ1349" s="121">
        <v>7.51</v>
      </c>
      <c r="AK1349" s="121">
        <v>1.2</v>
      </c>
      <c r="AL1349" s="121">
        <f>181.4/207.5</f>
        <v>0.87421686746987959</v>
      </c>
      <c r="AM1349" s="138"/>
      <c r="AN1349" s="121">
        <f t="shared" si="287"/>
        <v>201.32965604492952</v>
      </c>
      <c r="AO1349" s="353">
        <f t="shared" si="288"/>
        <v>15119.857168974206</v>
      </c>
      <c r="AP1349" s="36">
        <f t="shared" si="289"/>
        <v>3.2066666666666666</v>
      </c>
      <c r="AQ1349" s="316"/>
      <c r="AR1349" s="258"/>
      <c r="AS1349" s="138"/>
      <c r="AT1349" s="138"/>
    </row>
    <row r="1350" spans="1:46" ht="12">
      <c r="A1350" s="83" t="s">
        <v>1729</v>
      </c>
      <c r="B1350" s="83" t="str">
        <f t="shared" si="290"/>
        <v>SiO2</v>
      </c>
      <c r="C1350" s="329">
        <f t="shared" si="291"/>
        <v>0</v>
      </c>
      <c r="D1350" s="168">
        <f t="shared" si="292"/>
        <v>523.11675867423696</v>
      </c>
      <c r="E1350" s="139">
        <f t="shared" si="293"/>
        <v>5.99</v>
      </c>
      <c r="F1350" s="139">
        <f t="shared" si="294"/>
        <v>1.27</v>
      </c>
      <c r="G1350" s="168">
        <f t="shared" si="295"/>
        <v>224.41708947124766</v>
      </c>
      <c r="H1350" s="150">
        <f t="shared" si="286"/>
        <v>0.83436476155806338</v>
      </c>
      <c r="I1350" s="168">
        <f t="shared" si="296"/>
        <v>13442.583659327736</v>
      </c>
      <c r="J1350" s="138"/>
      <c r="K1350" s="138" t="s">
        <v>1720</v>
      </c>
      <c r="L1350" s="138"/>
      <c r="M1350" s="316"/>
      <c r="N1350" s="135">
        <v>41908</v>
      </c>
      <c r="O1350" s="138">
        <v>533</v>
      </c>
      <c r="P1350" s="138" t="s">
        <v>1182</v>
      </c>
      <c r="Q1350" s="138">
        <v>225</v>
      </c>
      <c r="R1350" s="138">
        <v>1</v>
      </c>
      <c r="S1350" s="138" t="s">
        <v>659</v>
      </c>
      <c r="T1350" s="138">
        <v>90</v>
      </c>
      <c r="U1350" s="138">
        <v>400</v>
      </c>
      <c r="V1350" s="138">
        <v>4</v>
      </c>
      <c r="W1350" s="138">
        <v>26.5</v>
      </c>
      <c r="X1350" s="138">
        <v>2.5</v>
      </c>
      <c r="Y1350" s="138">
        <v>40</v>
      </c>
      <c r="Z1350" s="138">
        <v>90</v>
      </c>
      <c r="AA1350" s="6">
        <v>156</v>
      </c>
      <c r="AB1350" s="300"/>
      <c r="AC1350" s="138"/>
      <c r="AD1350" s="138"/>
      <c r="AE1350" s="138"/>
      <c r="AF1350" s="138"/>
      <c r="AG1350" s="63">
        <v>4.29</v>
      </c>
      <c r="AH1350" s="70">
        <v>523.11675867423696</v>
      </c>
      <c r="AI1350" s="121"/>
      <c r="AJ1350" s="121">
        <v>5.99</v>
      </c>
      <c r="AK1350" s="121">
        <v>1.27</v>
      </c>
      <c r="AL1350" s="121">
        <f>229.2/274.7</f>
        <v>0.83436476155806338</v>
      </c>
      <c r="AM1350" s="138"/>
      <c r="AN1350" s="121">
        <f t="shared" si="287"/>
        <v>224.41708947124766</v>
      </c>
      <c r="AO1350" s="353">
        <f t="shared" si="288"/>
        <v>13442.583659327736</v>
      </c>
      <c r="AP1350" s="36">
        <f t="shared" si="289"/>
        <v>2.8600000000000003</v>
      </c>
      <c r="AQ1350" s="316"/>
      <c r="AR1350" s="258"/>
      <c r="AS1350" s="138"/>
      <c r="AT1350" s="138"/>
    </row>
    <row r="1351" spans="1:46" ht="12">
      <c r="A1351" s="83" t="s">
        <v>1730</v>
      </c>
      <c r="B1351" s="83" t="str">
        <f t="shared" si="290"/>
        <v>SiO2</v>
      </c>
      <c r="C1351" s="329">
        <f t="shared" si="291"/>
        <v>0</v>
      </c>
      <c r="D1351" s="168">
        <f t="shared" si="292"/>
        <v>519.54843153457603</v>
      </c>
      <c r="E1351" s="139">
        <f t="shared" si="293"/>
        <v>6.02</v>
      </c>
      <c r="F1351" s="139">
        <f t="shared" si="294"/>
        <v>1.28</v>
      </c>
      <c r="G1351" s="168">
        <f t="shared" si="295"/>
        <v>223.40582555986765</v>
      </c>
      <c r="H1351" s="150">
        <f t="shared" si="286"/>
        <v>0.83449031786627703</v>
      </c>
      <c r="I1351" s="168">
        <f t="shared" si="296"/>
        <v>13449.030698704033</v>
      </c>
      <c r="J1351" s="138"/>
      <c r="K1351" s="138" t="s">
        <v>1720</v>
      </c>
      <c r="L1351" s="138"/>
      <c r="M1351" s="316"/>
      <c r="N1351" s="135">
        <v>41908</v>
      </c>
      <c r="O1351" s="138">
        <v>533</v>
      </c>
      <c r="P1351" s="138" t="s">
        <v>1182</v>
      </c>
      <c r="Q1351" s="138">
        <v>225</v>
      </c>
      <c r="R1351" s="138">
        <v>6</v>
      </c>
      <c r="S1351" s="138" t="s">
        <v>659</v>
      </c>
      <c r="T1351" s="138">
        <v>90</v>
      </c>
      <c r="U1351" s="138">
        <v>400</v>
      </c>
      <c r="V1351" s="138">
        <v>4</v>
      </c>
      <c r="W1351" s="138">
        <v>26.5</v>
      </c>
      <c r="X1351" s="138">
        <v>2.5</v>
      </c>
      <c r="Y1351" s="138">
        <v>40</v>
      </c>
      <c r="Z1351" s="138">
        <v>90</v>
      </c>
      <c r="AA1351" s="6">
        <v>156</v>
      </c>
      <c r="AB1351" s="300"/>
      <c r="AC1351" s="138"/>
      <c r="AD1351" s="138"/>
      <c r="AE1351" s="138"/>
      <c r="AF1351" s="138"/>
      <c r="AG1351" s="63">
        <v>4.3</v>
      </c>
      <c r="AH1351" s="70">
        <v>519.54843153457603</v>
      </c>
      <c r="AI1351" s="121"/>
      <c r="AJ1351" s="121">
        <v>6.02</v>
      </c>
      <c r="AK1351" s="121">
        <v>1.28</v>
      </c>
      <c r="AL1351" s="121">
        <f>228.4/273.7</f>
        <v>0.83449031786627703</v>
      </c>
      <c r="AM1351" s="138"/>
      <c r="AN1351" s="121">
        <f t="shared" si="287"/>
        <v>223.40582555986765</v>
      </c>
      <c r="AO1351" s="353">
        <f t="shared" si="288"/>
        <v>13449.030698704033</v>
      </c>
      <c r="AP1351" s="36">
        <f t="shared" si="289"/>
        <v>2.8666666666666663</v>
      </c>
      <c r="AQ1351" s="316"/>
      <c r="AR1351" s="258"/>
      <c r="AS1351" s="138"/>
      <c r="AT1351" s="138"/>
    </row>
    <row r="1352" spans="1:46" ht="12">
      <c r="A1352" s="256" t="s">
        <v>1731</v>
      </c>
      <c r="B1352" s="256" t="str">
        <f t="shared" si="290"/>
        <v>MgO</v>
      </c>
      <c r="C1352" s="32">
        <f t="shared" si="291"/>
        <v>0</v>
      </c>
      <c r="D1352" s="279">
        <f t="shared" si="292"/>
        <v>67.7982156535504</v>
      </c>
      <c r="E1352" s="78">
        <f t="shared" si="293"/>
        <v>11.33</v>
      </c>
      <c r="F1352" s="78">
        <f t="shared" si="294"/>
        <v>0.23</v>
      </c>
      <c r="G1352" s="279">
        <f t="shared" si="295"/>
        <v>158.64782462930793</v>
      </c>
      <c r="H1352" s="190">
        <f t="shared" si="286"/>
        <v>0.88704318936877069</v>
      </c>
      <c r="I1352" s="279">
        <f t="shared" si="296"/>
        <v>17974.79853050059</v>
      </c>
      <c r="J1352" s="67"/>
      <c r="K1352" s="67" t="s">
        <v>1732</v>
      </c>
      <c r="L1352" s="67"/>
      <c r="M1352" s="371"/>
      <c r="N1352" s="309">
        <v>41908</v>
      </c>
      <c r="O1352" s="67">
        <v>533</v>
      </c>
      <c r="P1352" s="67" t="s">
        <v>46</v>
      </c>
      <c r="Q1352" s="67"/>
      <c r="R1352" s="67">
        <v>3</v>
      </c>
      <c r="S1352" s="67" t="s">
        <v>659</v>
      </c>
      <c r="T1352" s="67">
        <f>6*90</f>
        <v>540</v>
      </c>
      <c r="U1352" s="67">
        <v>400</v>
      </c>
      <c r="V1352" s="67"/>
      <c r="W1352" s="67">
        <v>26.5</v>
      </c>
      <c r="X1352" s="67">
        <v>2.5</v>
      </c>
      <c r="Y1352" s="67">
        <v>40</v>
      </c>
      <c r="Z1352" s="67">
        <v>90</v>
      </c>
      <c r="AA1352" s="159"/>
      <c r="AB1352" s="182"/>
      <c r="AC1352" s="67"/>
      <c r="AD1352" s="67"/>
      <c r="AE1352" s="67"/>
      <c r="AF1352" s="67"/>
      <c r="AG1352" s="315">
        <v>23.4</v>
      </c>
      <c r="AH1352" s="66">
        <v>67.7982156535504</v>
      </c>
      <c r="AI1352" s="216"/>
      <c r="AJ1352" s="216">
        <v>11.33</v>
      </c>
      <c r="AK1352" s="216">
        <v>0.23</v>
      </c>
      <c r="AL1352" s="216">
        <f>26.7/30.1</f>
        <v>0.88704318936877069</v>
      </c>
      <c r="AM1352" s="67"/>
      <c r="AN1352" s="24">
        <f t="shared" si="287"/>
        <v>158.64782462930793</v>
      </c>
      <c r="AO1352" s="389">
        <f t="shared" si="288"/>
        <v>17974.79853050059</v>
      </c>
      <c r="AP1352" s="187">
        <f t="shared" si="289"/>
        <v>2.5999999999999996</v>
      </c>
      <c r="AQ1352" s="371"/>
      <c r="AR1352" s="41"/>
      <c r="AS1352" s="67"/>
      <c r="AT1352" s="67"/>
    </row>
    <row r="1353" spans="1:46" ht="12">
      <c r="A1353" s="83" t="s">
        <v>1733</v>
      </c>
      <c r="B1353" s="83" t="str">
        <f t="shared" si="290"/>
        <v>SiO2</v>
      </c>
      <c r="C1353" s="329">
        <f t="shared" si="291"/>
        <v>0</v>
      </c>
      <c r="D1353" s="168">
        <f t="shared" si="292"/>
        <v>217.31112280532801</v>
      </c>
      <c r="E1353" s="139">
        <f t="shared" si="293"/>
        <v>9.4499999999999993</v>
      </c>
      <c r="F1353" s="139">
        <f t="shared" si="294"/>
        <v>0.71</v>
      </c>
      <c r="G1353" s="168">
        <f t="shared" si="295"/>
        <v>197.75312175284847</v>
      </c>
      <c r="H1353" s="150">
        <f t="shared" si="286"/>
        <v>0.85545454545454536</v>
      </c>
      <c r="I1353" s="168">
        <f t="shared" si="296"/>
        <v>18687.67000564418</v>
      </c>
      <c r="J1353" s="138"/>
      <c r="K1353" s="138" t="s">
        <v>1721</v>
      </c>
      <c r="L1353" s="138"/>
      <c r="M1353" s="316"/>
      <c r="N1353" s="135">
        <v>41912</v>
      </c>
      <c r="O1353" s="138">
        <v>534</v>
      </c>
      <c r="P1353" s="138" t="s">
        <v>1182</v>
      </c>
      <c r="Q1353" s="138">
        <v>225</v>
      </c>
      <c r="R1353" s="138">
        <v>1</v>
      </c>
      <c r="S1353" s="138" t="s">
        <v>659</v>
      </c>
      <c r="T1353" s="138">
        <v>189</v>
      </c>
      <c r="U1353" s="138">
        <v>400</v>
      </c>
      <c r="V1353" s="138">
        <v>6</v>
      </c>
      <c r="W1353" s="138">
        <v>26.5</v>
      </c>
      <c r="X1353" s="138">
        <v>2.5</v>
      </c>
      <c r="Y1353" s="138">
        <v>40</v>
      </c>
      <c r="Z1353" s="138">
        <v>89</v>
      </c>
      <c r="AA1353" s="6">
        <v>160</v>
      </c>
      <c r="AB1353" s="300"/>
      <c r="AC1353" s="138"/>
      <c r="AD1353" s="138"/>
      <c r="AE1353" s="138"/>
      <c r="AF1353" s="138"/>
      <c r="AG1353" s="63">
        <v>9.1</v>
      </c>
      <c r="AH1353" s="70">
        <v>217.31112280532801</v>
      </c>
      <c r="AI1353" s="121"/>
      <c r="AJ1353" s="121">
        <v>9.4499999999999993</v>
      </c>
      <c r="AK1353" s="121">
        <v>0.71</v>
      </c>
      <c r="AL1353" s="121">
        <f>94.1/110</f>
        <v>0.85545454545454536</v>
      </c>
      <c r="AM1353" s="138"/>
      <c r="AN1353" s="121">
        <f t="shared" si="287"/>
        <v>197.75312175284847</v>
      </c>
      <c r="AO1353" s="353">
        <f t="shared" si="288"/>
        <v>18687.67000564418</v>
      </c>
      <c r="AP1353" s="36">
        <f t="shared" si="289"/>
        <v>2.8888888888888888</v>
      </c>
      <c r="AQ1353" s="316"/>
      <c r="AR1353" s="258"/>
      <c r="AS1353" s="138"/>
      <c r="AT1353" s="138"/>
    </row>
    <row r="1354" spans="1:46" ht="12">
      <c r="A1354" s="83" t="s">
        <v>1734</v>
      </c>
      <c r="B1354" s="83" t="str">
        <f t="shared" si="290"/>
        <v>SiO2</v>
      </c>
      <c r="C1354" s="329">
        <f t="shared" si="291"/>
        <v>0</v>
      </c>
      <c r="D1354" s="168">
        <f t="shared" si="292"/>
        <v>213.02913023773499</v>
      </c>
      <c r="E1354" s="139">
        <f t="shared" si="293"/>
        <v>9.49</v>
      </c>
      <c r="F1354" s="139">
        <f t="shared" si="294"/>
        <v>0.73</v>
      </c>
      <c r="G1354" s="168">
        <f t="shared" si="295"/>
        <v>193.85650851633883</v>
      </c>
      <c r="H1354" s="150">
        <f t="shared" si="286"/>
        <v>0.85449490268767381</v>
      </c>
      <c r="I1354" s="168">
        <f t="shared" si="296"/>
        <v>18396.982658200555</v>
      </c>
      <c r="J1354" s="138"/>
      <c r="K1354" s="138" t="s">
        <v>1721</v>
      </c>
      <c r="L1354" s="138"/>
      <c r="M1354" s="316"/>
      <c r="N1354" s="135">
        <v>41912</v>
      </c>
      <c r="O1354" s="138">
        <v>534</v>
      </c>
      <c r="P1354" s="138" t="s">
        <v>1182</v>
      </c>
      <c r="Q1354" s="138">
        <v>225</v>
      </c>
      <c r="R1354" s="138">
        <v>6</v>
      </c>
      <c r="S1354" s="138" t="s">
        <v>659</v>
      </c>
      <c r="T1354" s="138">
        <v>189</v>
      </c>
      <c r="U1354" s="138">
        <v>400</v>
      </c>
      <c r="V1354" s="138">
        <v>6</v>
      </c>
      <c r="W1354" s="138">
        <v>26.5</v>
      </c>
      <c r="X1354" s="138">
        <v>2.5</v>
      </c>
      <c r="Y1354" s="138">
        <v>40</v>
      </c>
      <c r="Z1354" s="138">
        <v>89</v>
      </c>
      <c r="AA1354" s="6">
        <v>160</v>
      </c>
      <c r="AB1354" s="300"/>
      <c r="AC1354" s="138"/>
      <c r="AD1354" s="138"/>
      <c r="AE1354" s="138"/>
      <c r="AF1354" s="138"/>
      <c r="AG1354" s="63">
        <v>9.1</v>
      </c>
      <c r="AH1354" s="70">
        <v>213.02913023773499</v>
      </c>
      <c r="AI1354" s="121"/>
      <c r="AJ1354" s="121">
        <v>9.49</v>
      </c>
      <c r="AK1354" s="121">
        <v>0.73</v>
      </c>
      <c r="AL1354" s="121">
        <f>92.2/107.9</f>
        <v>0.85449490268767381</v>
      </c>
      <c r="AM1354" s="138"/>
      <c r="AN1354" s="121">
        <f t="shared" si="287"/>
        <v>193.85650851633883</v>
      </c>
      <c r="AO1354" s="353">
        <f t="shared" si="288"/>
        <v>18396.982658200555</v>
      </c>
      <c r="AP1354" s="36">
        <f t="shared" si="289"/>
        <v>2.8888888888888888</v>
      </c>
      <c r="AQ1354" s="316"/>
      <c r="AR1354" s="258"/>
      <c r="AS1354" s="138"/>
      <c r="AT1354" s="138"/>
    </row>
    <row r="1355" spans="1:46" ht="12">
      <c r="A1355" s="83" t="s">
        <v>1735</v>
      </c>
      <c r="B1355" s="83" t="str">
        <f t="shared" si="290"/>
        <v>SiO2</v>
      </c>
      <c r="C1355" s="329">
        <f t="shared" si="291"/>
        <v>0</v>
      </c>
      <c r="D1355" s="168">
        <f t="shared" si="292"/>
        <v>227.302438796377</v>
      </c>
      <c r="E1355" s="139">
        <f t="shared" si="293"/>
        <v>9.23</v>
      </c>
      <c r="F1355" s="139">
        <f t="shared" si="294"/>
        <v>0.77</v>
      </c>
      <c r="G1355" s="168">
        <f t="shared" si="295"/>
        <v>208.66363881507408</v>
      </c>
      <c r="H1355" s="150">
        <f t="shared" si="286"/>
        <v>0.81060606060606055</v>
      </c>
      <c r="I1355" s="168">
        <f t="shared" si="296"/>
        <v>19259.653862631341</v>
      </c>
      <c r="J1355" s="138"/>
      <c r="K1355" s="138" t="s">
        <v>1721</v>
      </c>
      <c r="L1355" s="138"/>
      <c r="M1355" s="316"/>
      <c r="N1355" s="135">
        <v>41912</v>
      </c>
      <c r="O1355" s="138">
        <v>535</v>
      </c>
      <c r="P1355" s="138" t="s">
        <v>1182</v>
      </c>
      <c r="Q1355" s="138">
        <v>225</v>
      </c>
      <c r="R1355" s="138">
        <v>1</v>
      </c>
      <c r="S1355" s="138" t="s">
        <v>659</v>
      </c>
      <c r="T1355" s="138">
        <v>216</v>
      </c>
      <c r="U1355" s="138">
        <v>400</v>
      </c>
      <c r="V1355" s="138">
        <v>8</v>
      </c>
      <c r="W1355" s="138">
        <v>26.5</v>
      </c>
      <c r="X1355" s="138">
        <v>2.5</v>
      </c>
      <c r="Y1355" s="138">
        <v>40</v>
      </c>
      <c r="Z1355" s="138"/>
      <c r="AA1355" s="6"/>
      <c r="AB1355" s="300"/>
      <c r="AC1355" s="138"/>
      <c r="AD1355" s="138"/>
      <c r="AE1355" s="138"/>
      <c r="AF1355" s="138"/>
      <c r="AG1355" s="63">
        <v>9.18</v>
      </c>
      <c r="AH1355" s="70">
        <v>227.302438796377</v>
      </c>
      <c r="AI1355" s="121"/>
      <c r="AJ1355" s="121">
        <v>9.23</v>
      </c>
      <c r="AK1355" s="121">
        <v>0.77</v>
      </c>
      <c r="AL1355" s="121">
        <f>96.3/118.8</f>
        <v>0.81060606060606055</v>
      </c>
      <c r="AM1355" s="138"/>
      <c r="AN1355" s="121">
        <f t="shared" si="287"/>
        <v>208.66363881507408</v>
      </c>
      <c r="AO1355" s="353">
        <f t="shared" si="288"/>
        <v>19259.653862631341</v>
      </c>
      <c r="AP1355" s="36">
        <f t="shared" si="289"/>
        <v>2.5499999999999998</v>
      </c>
      <c r="AQ1355" s="316"/>
      <c r="AR1355" s="258"/>
      <c r="AS1355" s="138"/>
      <c r="AT1355" s="138"/>
    </row>
    <row r="1356" spans="1:46" ht="12">
      <c r="A1356" s="83" t="s">
        <v>1736</v>
      </c>
      <c r="B1356" s="83" t="str">
        <f t="shared" si="290"/>
        <v>SiO2</v>
      </c>
      <c r="C1356" s="329">
        <f t="shared" si="291"/>
        <v>0</v>
      </c>
      <c r="D1356" s="168">
        <f t="shared" si="292"/>
        <v>224.09094437068299</v>
      </c>
      <c r="E1356" s="139">
        <f t="shared" si="293"/>
        <v>9.26</v>
      </c>
      <c r="F1356" s="139">
        <f t="shared" si="294"/>
        <v>0.77</v>
      </c>
      <c r="G1356" s="168">
        <f t="shared" si="295"/>
        <v>205.71548693228698</v>
      </c>
      <c r="H1356" s="150">
        <f t="shared" si="286"/>
        <v>0.80865224625623966</v>
      </c>
      <c r="I1356" s="168">
        <f t="shared" si="296"/>
        <v>19049.254089929771</v>
      </c>
      <c r="J1356" s="138"/>
      <c r="K1356" s="138" t="s">
        <v>1721</v>
      </c>
      <c r="L1356" s="138"/>
      <c r="M1356" s="316"/>
      <c r="N1356" s="135">
        <v>41912</v>
      </c>
      <c r="O1356" s="138">
        <v>535</v>
      </c>
      <c r="P1356" s="138" t="s">
        <v>1182</v>
      </c>
      <c r="Q1356" s="138">
        <v>225</v>
      </c>
      <c r="R1356" s="138">
        <v>6</v>
      </c>
      <c r="S1356" s="138" t="s">
        <v>659</v>
      </c>
      <c r="T1356" s="138">
        <v>216</v>
      </c>
      <c r="U1356" s="138">
        <v>400</v>
      </c>
      <c r="V1356" s="138">
        <v>8</v>
      </c>
      <c r="W1356" s="138">
        <v>26.5</v>
      </c>
      <c r="X1356" s="138">
        <v>2.5</v>
      </c>
      <c r="Y1356" s="138">
        <v>40</v>
      </c>
      <c r="Z1356" s="138"/>
      <c r="AA1356" s="6"/>
      <c r="AB1356" s="300"/>
      <c r="AC1356" s="138"/>
      <c r="AD1356" s="138"/>
      <c r="AE1356" s="138"/>
      <c r="AF1356" s="138"/>
      <c r="AG1356" s="63">
        <v>9.18</v>
      </c>
      <c r="AH1356" s="70">
        <v>224.09094437068299</v>
      </c>
      <c r="AI1356" s="121"/>
      <c r="AJ1356" s="121">
        <v>9.26</v>
      </c>
      <c r="AK1356" s="121">
        <v>0.77</v>
      </c>
      <c r="AL1356" s="121">
        <f>97.2/120.2</f>
        <v>0.80865224625623966</v>
      </c>
      <c r="AM1356" s="138"/>
      <c r="AN1356" s="121">
        <f t="shared" si="287"/>
        <v>205.71548693228698</v>
      </c>
      <c r="AO1356" s="353">
        <f t="shared" si="288"/>
        <v>19049.254089929771</v>
      </c>
      <c r="AP1356" s="36">
        <f t="shared" si="289"/>
        <v>2.5499999999999998</v>
      </c>
      <c r="AQ1356" s="316"/>
      <c r="AR1356" s="258"/>
      <c r="AS1356" s="138"/>
      <c r="AT1356" s="138"/>
    </row>
    <row r="1357" spans="1:46" ht="12">
      <c r="A1357" s="256" t="s">
        <v>1737</v>
      </c>
      <c r="B1357" s="256" t="str">
        <f t="shared" si="290"/>
        <v>MgO</v>
      </c>
      <c r="C1357" s="32">
        <f t="shared" si="291"/>
        <v>0</v>
      </c>
      <c r="D1357" s="279">
        <f t="shared" si="292"/>
        <v>97.058498198766998</v>
      </c>
      <c r="E1357" s="78">
        <f t="shared" si="293"/>
        <v>11.02</v>
      </c>
      <c r="F1357" s="78">
        <f t="shared" si="294"/>
        <v>0.34</v>
      </c>
      <c r="G1357" s="279">
        <f t="shared" si="295"/>
        <v>175.8699987361658</v>
      </c>
      <c r="H1357" s="190">
        <f t="shared" si="286"/>
        <v>0.78113207547169805</v>
      </c>
      <c r="I1357" s="279">
        <f t="shared" si="296"/>
        <v>19380.873860725471</v>
      </c>
      <c r="J1357" s="67"/>
      <c r="K1357" s="67" t="s">
        <v>1721</v>
      </c>
      <c r="L1357" s="67"/>
      <c r="M1357" s="371"/>
      <c r="N1357" s="309">
        <v>41912</v>
      </c>
      <c r="O1357" s="67">
        <v>535</v>
      </c>
      <c r="P1357" s="67" t="s">
        <v>46</v>
      </c>
      <c r="Q1357" s="67"/>
      <c r="R1357" s="67">
        <v>3</v>
      </c>
      <c r="S1357" s="67" t="s">
        <v>659</v>
      </c>
      <c r="T1357" s="67">
        <f>216+189</f>
        <v>405</v>
      </c>
      <c r="U1357" s="67">
        <v>400</v>
      </c>
      <c r="V1357" s="67"/>
      <c r="W1357" s="67">
        <v>26.5</v>
      </c>
      <c r="X1357" s="67">
        <v>2.5</v>
      </c>
      <c r="Y1357" s="67">
        <v>40</v>
      </c>
      <c r="Z1357" s="67"/>
      <c r="AA1357" s="159"/>
      <c r="AB1357" s="182"/>
      <c r="AC1357" s="67"/>
      <c r="AD1357" s="67"/>
      <c r="AE1357" s="67"/>
      <c r="AF1357" s="67"/>
      <c r="AG1357" s="315">
        <v>18.12</v>
      </c>
      <c r="AH1357" s="66">
        <v>97.058498198766998</v>
      </c>
      <c r="AI1357" s="216"/>
      <c r="AJ1357" s="216">
        <v>11.02</v>
      </c>
      <c r="AK1357" s="216">
        <v>0.34</v>
      </c>
      <c r="AL1357" s="216">
        <f>41.4/53</f>
        <v>0.78113207547169805</v>
      </c>
      <c r="AM1357" s="67"/>
      <c r="AN1357" s="24">
        <f t="shared" si="287"/>
        <v>175.8699987361658</v>
      </c>
      <c r="AO1357" s="389">
        <f t="shared" si="288"/>
        <v>19380.873860725471</v>
      </c>
      <c r="AP1357" s="187">
        <f t="shared" si="289"/>
        <v>2.6844444444444444</v>
      </c>
      <c r="AQ1357" s="371"/>
      <c r="AR1357" s="41"/>
      <c r="AS1357" s="67"/>
      <c r="AT1357" s="67"/>
    </row>
    <row r="1358" spans="1:46" ht="12">
      <c r="A1358" s="83" t="s">
        <v>1738</v>
      </c>
      <c r="B1358" s="83" t="str">
        <f t="shared" si="290"/>
        <v>SiO2</v>
      </c>
      <c r="C1358" s="329">
        <f t="shared" si="291"/>
        <v>0</v>
      </c>
      <c r="D1358" s="168">
        <f t="shared" si="292"/>
        <v>202.6</v>
      </c>
      <c r="E1358" s="139">
        <f t="shared" si="293"/>
        <v>0</v>
      </c>
      <c r="F1358" s="139">
        <f t="shared" si="294"/>
        <v>0</v>
      </c>
      <c r="G1358" s="168">
        <f t="shared" si="295"/>
        <v>196.31939999999997</v>
      </c>
      <c r="H1358" s="150">
        <f t="shared" si="286"/>
        <v>0</v>
      </c>
      <c r="I1358" s="168">
        <f t="shared" si="296"/>
        <v>0</v>
      </c>
      <c r="J1358" s="138"/>
      <c r="K1358" s="138" t="s">
        <v>1739</v>
      </c>
      <c r="L1358" s="138"/>
      <c r="M1358" s="316"/>
      <c r="N1358" s="135">
        <v>41913</v>
      </c>
      <c r="O1358" s="138">
        <v>536</v>
      </c>
      <c r="P1358" s="138" t="s">
        <v>1182</v>
      </c>
      <c r="Q1358" s="138">
        <v>255</v>
      </c>
      <c r="R1358" s="138"/>
      <c r="S1358" s="138" t="s">
        <v>659</v>
      </c>
      <c r="T1358" s="138">
        <v>189</v>
      </c>
      <c r="U1358" s="138">
        <v>400</v>
      </c>
      <c r="V1358" s="138">
        <v>6</v>
      </c>
      <c r="W1358" s="138">
        <v>26.5</v>
      </c>
      <c r="X1358" s="138">
        <v>2.5</v>
      </c>
      <c r="Y1358" s="138">
        <v>40</v>
      </c>
      <c r="Z1358" s="138"/>
      <c r="AA1358" s="6"/>
      <c r="AB1358" s="300"/>
      <c r="AC1358" s="138"/>
      <c r="AD1358" s="138"/>
      <c r="AE1358" s="138"/>
      <c r="AF1358" s="138"/>
      <c r="AG1358" s="63">
        <v>9.69</v>
      </c>
      <c r="AH1358" s="70">
        <v>202.6</v>
      </c>
      <c r="AI1358" s="121"/>
      <c r="AJ1358" s="121"/>
      <c r="AK1358" s="121"/>
      <c r="AL1358" s="121"/>
      <c r="AM1358" s="138"/>
      <c r="AN1358" s="24">
        <f t="shared" si="287"/>
        <v>196.31939999999997</v>
      </c>
      <c r="AO1358" s="353">
        <f t="shared" si="288"/>
        <v>0</v>
      </c>
      <c r="AP1358" s="36">
        <f t="shared" si="289"/>
        <v>3.0761904761904759</v>
      </c>
      <c r="AQ1358" s="316"/>
      <c r="AR1358" s="258"/>
      <c r="AS1358" s="138"/>
      <c r="AT1358" s="138"/>
    </row>
    <row r="1359" spans="1:46" ht="12">
      <c r="A1359" s="354" t="s">
        <v>1740</v>
      </c>
      <c r="B1359" s="354">
        <f t="shared" si="290"/>
        <v>0</v>
      </c>
      <c r="C1359" s="386">
        <f t="shared" si="291"/>
        <v>0</v>
      </c>
      <c r="D1359" s="98">
        <f t="shared" si="292"/>
        <v>0</v>
      </c>
      <c r="E1359" s="235">
        <f t="shared" si="293"/>
        <v>0</v>
      </c>
      <c r="F1359" s="235">
        <f t="shared" si="294"/>
        <v>0</v>
      </c>
      <c r="G1359" s="98">
        <f t="shared" si="295"/>
        <v>0</v>
      </c>
      <c r="H1359" s="79">
        <f t="shared" si="286"/>
        <v>0</v>
      </c>
      <c r="I1359" s="98">
        <f t="shared" si="296"/>
        <v>0</v>
      </c>
      <c r="J1359" s="180"/>
      <c r="K1359" s="180"/>
      <c r="L1359" s="180"/>
      <c r="M1359" s="214"/>
      <c r="N1359" s="125"/>
      <c r="O1359" s="180"/>
      <c r="P1359" s="180"/>
      <c r="Q1359" s="180"/>
      <c r="R1359" s="180"/>
      <c r="S1359" s="180"/>
      <c r="T1359" s="180"/>
      <c r="U1359" s="180"/>
      <c r="V1359" s="180"/>
      <c r="W1359" s="180"/>
      <c r="X1359" s="180"/>
      <c r="Y1359" s="180"/>
      <c r="Z1359" s="180"/>
      <c r="AA1359" s="334"/>
      <c r="AB1359" s="308"/>
      <c r="AC1359" s="180"/>
      <c r="AD1359" s="180"/>
      <c r="AE1359" s="180"/>
      <c r="AF1359" s="180"/>
      <c r="AG1359" s="391"/>
      <c r="AH1359" s="402"/>
      <c r="AI1359" s="147"/>
      <c r="AJ1359" s="147"/>
      <c r="AK1359" s="147"/>
      <c r="AL1359" s="147"/>
      <c r="AM1359" s="180"/>
      <c r="AN1359" s="147">
        <f t="shared" si="287"/>
        <v>0</v>
      </c>
      <c r="AO1359" s="118">
        <f t="shared" si="288"/>
        <v>0</v>
      </c>
      <c r="AP1359" s="197" t="e">
        <f t="shared" si="289"/>
        <v>#DIV/0!</v>
      </c>
      <c r="AQ1359" s="214"/>
      <c r="AR1359" s="125"/>
      <c r="AS1359" s="180"/>
      <c r="AT1359" s="180"/>
    </row>
    <row r="1360" spans="1:46" ht="12">
      <c r="A1360" s="257" t="s">
        <v>1741</v>
      </c>
      <c r="B1360" s="257" t="str">
        <f t="shared" si="290"/>
        <v>SiNx</v>
      </c>
      <c r="C1360" s="280">
        <f t="shared" si="291"/>
        <v>0</v>
      </c>
      <c r="D1360" s="183">
        <f t="shared" si="292"/>
        <v>942.75203029831698</v>
      </c>
      <c r="E1360" s="96">
        <f t="shared" si="293"/>
        <v>5.13</v>
      </c>
      <c r="F1360" s="96">
        <f t="shared" si="294"/>
        <v>1.82</v>
      </c>
      <c r="G1360" s="183">
        <f t="shared" si="295"/>
        <v>285.65386518039003</v>
      </c>
      <c r="H1360" s="215">
        <f t="shared" si="286"/>
        <v>0.49632909917259055</v>
      </c>
      <c r="I1360" s="183">
        <f t="shared" si="296"/>
        <v>14654.043283754008</v>
      </c>
      <c r="J1360" s="366"/>
      <c r="K1360" s="366" t="s">
        <v>1742</v>
      </c>
      <c r="L1360" s="366"/>
      <c r="M1360" s="373"/>
      <c r="N1360" s="191">
        <v>41947</v>
      </c>
      <c r="O1360" s="366">
        <v>549</v>
      </c>
      <c r="P1360" s="366" t="s">
        <v>187</v>
      </c>
      <c r="Q1360" s="366">
        <v>172</v>
      </c>
      <c r="R1360" s="366">
        <v>1</v>
      </c>
      <c r="S1360" s="366">
        <v>800</v>
      </c>
      <c r="T1360" s="366">
        <v>84</v>
      </c>
      <c r="U1360" s="366">
        <v>400</v>
      </c>
      <c r="V1360" s="366">
        <v>8</v>
      </c>
      <c r="W1360" s="366">
        <v>26.5</v>
      </c>
      <c r="X1360" s="366">
        <v>2.5</v>
      </c>
      <c r="Y1360" s="366">
        <v>40</v>
      </c>
      <c r="Z1360" s="366">
        <v>89</v>
      </c>
      <c r="AA1360" s="117">
        <v>166</v>
      </c>
      <c r="AB1360" s="51"/>
      <c r="AC1360" s="366"/>
      <c r="AD1360" s="366"/>
      <c r="AE1360" s="366"/>
      <c r="AF1360" s="366"/>
      <c r="AG1360" s="349">
        <v>3.03</v>
      </c>
      <c r="AH1360" s="113">
        <v>942.75203029831698</v>
      </c>
      <c r="AI1360" s="53"/>
      <c r="AJ1360" s="53">
        <v>5.13</v>
      </c>
      <c r="AK1360" s="53">
        <v>1.82</v>
      </c>
      <c r="AL1360" s="53">
        <f>425.9/858.1</f>
        <v>0.49632909917259055</v>
      </c>
      <c r="AM1360" s="366"/>
      <c r="AN1360" s="53">
        <f t="shared" si="287"/>
        <v>285.65386518039003</v>
      </c>
      <c r="AO1360" s="198">
        <f t="shared" si="288"/>
        <v>14654.043283754008</v>
      </c>
      <c r="AP1360" s="399">
        <f t="shared" si="289"/>
        <v>2.1642857142857141</v>
      </c>
      <c r="AQ1360" s="373"/>
      <c r="AR1360" s="44"/>
      <c r="AS1360" s="366"/>
      <c r="AT1360" s="366"/>
    </row>
    <row r="1361" spans="1:46" ht="12">
      <c r="A1361" s="257" t="s">
        <v>1743</v>
      </c>
      <c r="B1361" s="257" t="str">
        <f t="shared" si="290"/>
        <v>SiNx</v>
      </c>
      <c r="C1361" s="280">
        <f t="shared" si="291"/>
        <v>0</v>
      </c>
      <c r="D1361" s="183">
        <f t="shared" si="292"/>
        <v>731.50706363041297</v>
      </c>
      <c r="E1361" s="96">
        <f t="shared" si="293"/>
        <v>7.39</v>
      </c>
      <c r="F1361" s="96">
        <f t="shared" si="294"/>
        <v>2.0699999999999998</v>
      </c>
      <c r="G1361" s="183">
        <f t="shared" si="295"/>
        <v>253.10144401612288</v>
      </c>
      <c r="H1361" s="215">
        <f t="shared" si="286"/>
        <v>0.56130612244897959</v>
      </c>
      <c r="I1361" s="183">
        <f t="shared" si="296"/>
        <v>18704.19671279148</v>
      </c>
      <c r="J1361" s="366"/>
      <c r="K1361" s="366" t="s">
        <v>1742</v>
      </c>
      <c r="L1361" s="366"/>
      <c r="M1361" s="373"/>
      <c r="N1361" s="191">
        <v>41947</v>
      </c>
      <c r="O1361" s="366">
        <v>549</v>
      </c>
      <c r="P1361" s="366" t="s">
        <v>187</v>
      </c>
      <c r="Q1361" s="366">
        <v>172</v>
      </c>
      <c r="R1361" s="366">
        <v>3</v>
      </c>
      <c r="S1361" s="366">
        <v>800</v>
      </c>
      <c r="T1361" s="366">
        <v>84</v>
      </c>
      <c r="U1361" s="366">
        <v>400</v>
      </c>
      <c r="V1361" s="366">
        <v>8</v>
      </c>
      <c r="W1361" s="366">
        <v>26.5</v>
      </c>
      <c r="X1361" s="366">
        <v>2.5</v>
      </c>
      <c r="Y1361" s="366">
        <v>40</v>
      </c>
      <c r="Z1361" s="366">
        <v>89</v>
      </c>
      <c r="AA1361" s="117">
        <v>166</v>
      </c>
      <c r="AB1361" s="51"/>
      <c r="AC1361" s="366"/>
      <c r="AD1361" s="366"/>
      <c r="AE1361" s="366"/>
      <c r="AF1361" s="366"/>
      <c r="AG1361" s="349">
        <v>3.46</v>
      </c>
      <c r="AH1361" s="113">
        <v>731.50706363041297</v>
      </c>
      <c r="AI1361" s="53"/>
      <c r="AJ1361" s="53">
        <v>7.39</v>
      </c>
      <c r="AK1361" s="53">
        <v>2.0699999999999998</v>
      </c>
      <c r="AL1361" s="53">
        <f>343.8/612.5</f>
        <v>0.56130612244897959</v>
      </c>
      <c r="AM1361" s="366"/>
      <c r="AN1361" s="53">
        <f t="shared" si="287"/>
        <v>253.10144401612288</v>
      </c>
      <c r="AO1361" s="198">
        <f t="shared" si="288"/>
        <v>18704.19671279148</v>
      </c>
      <c r="AP1361" s="399">
        <f t="shared" si="289"/>
        <v>2.4714285714285711</v>
      </c>
      <c r="AQ1361" s="373"/>
      <c r="AR1361" s="44"/>
      <c r="AS1361" s="366"/>
      <c r="AT1361" s="366"/>
    </row>
    <row r="1362" spans="1:46" ht="12">
      <c r="A1362" s="257" t="s">
        <v>1744</v>
      </c>
      <c r="B1362" s="257" t="str">
        <f t="shared" si="290"/>
        <v>SiNx</v>
      </c>
      <c r="C1362" s="280">
        <f t="shared" si="291"/>
        <v>0</v>
      </c>
      <c r="D1362" s="183">
        <f t="shared" si="292"/>
        <v>744.70987404715697</v>
      </c>
      <c r="E1362" s="96">
        <f t="shared" si="293"/>
        <v>7.28</v>
      </c>
      <c r="F1362" s="96">
        <f t="shared" si="294"/>
        <v>2.09</v>
      </c>
      <c r="G1362" s="183">
        <f t="shared" si="295"/>
        <v>258.41432629436349</v>
      </c>
      <c r="H1362" s="215">
        <f t="shared" si="286"/>
        <v>0.55310321938267504</v>
      </c>
      <c r="I1362" s="183">
        <f t="shared" si="296"/>
        <v>18812.562954229663</v>
      </c>
      <c r="J1362" s="366"/>
      <c r="K1362" s="366" t="s">
        <v>1742</v>
      </c>
      <c r="L1362" s="366"/>
      <c r="M1362" s="373"/>
      <c r="N1362" s="191">
        <v>41947</v>
      </c>
      <c r="O1362" s="366">
        <v>549</v>
      </c>
      <c r="P1362" s="366" t="s">
        <v>187</v>
      </c>
      <c r="Q1362" s="366">
        <v>172</v>
      </c>
      <c r="R1362" s="366">
        <v>6</v>
      </c>
      <c r="S1362" s="366">
        <v>800</v>
      </c>
      <c r="T1362" s="366">
        <v>84</v>
      </c>
      <c r="U1362" s="366">
        <v>400</v>
      </c>
      <c r="V1362" s="366">
        <v>8</v>
      </c>
      <c r="W1362" s="366">
        <v>26.5</v>
      </c>
      <c r="X1362" s="366">
        <v>2.5</v>
      </c>
      <c r="Y1362" s="366">
        <v>40</v>
      </c>
      <c r="Z1362" s="366">
        <v>89</v>
      </c>
      <c r="AA1362" s="117">
        <v>166</v>
      </c>
      <c r="AB1362" s="51"/>
      <c r="AC1362" s="366"/>
      <c r="AD1362" s="366"/>
      <c r="AE1362" s="366"/>
      <c r="AF1362" s="366"/>
      <c r="AG1362" s="349">
        <v>3.47</v>
      </c>
      <c r="AH1362" s="113">
        <v>744.70987404715697</v>
      </c>
      <c r="AI1362" s="53"/>
      <c r="AJ1362" s="53">
        <v>7.28</v>
      </c>
      <c r="AK1362" s="53">
        <v>2.09</v>
      </c>
      <c r="AL1362" s="53">
        <f>333.3/602.6</f>
        <v>0.55310321938267504</v>
      </c>
      <c r="AM1362" s="366"/>
      <c r="AN1362" s="53">
        <f t="shared" si="287"/>
        <v>258.41432629436349</v>
      </c>
      <c r="AO1362" s="198">
        <f t="shared" si="288"/>
        <v>18812.562954229663</v>
      </c>
      <c r="AP1362" s="399">
        <f t="shared" si="289"/>
        <v>2.4785714285714286</v>
      </c>
      <c r="AQ1362" s="373"/>
      <c r="AR1362" s="44"/>
      <c r="AS1362" s="366"/>
      <c r="AT1362" s="366"/>
    </row>
    <row r="1363" spans="1:46" ht="12">
      <c r="A1363" s="257" t="s">
        <v>1745</v>
      </c>
      <c r="B1363" s="257" t="str">
        <f t="shared" si="290"/>
        <v>SiNx</v>
      </c>
      <c r="C1363" s="280">
        <f t="shared" si="291"/>
        <v>0</v>
      </c>
      <c r="D1363" s="183">
        <f t="shared" si="292"/>
        <v>900.11052097937397</v>
      </c>
      <c r="E1363" s="96">
        <f t="shared" si="293"/>
        <v>0</v>
      </c>
      <c r="F1363" s="96">
        <f t="shared" si="294"/>
        <v>0</v>
      </c>
      <c r="G1363" s="183">
        <f t="shared" si="295"/>
        <v>280.8344825455647</v>
      </c>
      <c r="H1363" s="215">
        <f t="shared" si="286"/>
        <v>0</v>
      </c>
      <c r="I1363" s="183">
        <f t="shared" si="296"/>
        <v>0</v>
      </c>
      <c r="J1363" s="366"/>
      <c r="K1363" s="366" t="s">
        <v>1746</v>
      </c>
      <c r="L1363" s="366"/>
      <c r="M1363" s="373"/>
      <c r="N1363" s="191">
        <v>41947</v>
      </c>
      <c r="O1363" s="366">
        <v>550</v>
      </c>
      <c r="P1363" s="366" t="s">
        <v>187</v>
      </c>
      <c r="Q1363" s="366">
        <v>172</v>
      </c>
      <c r="R1363" s="366">
        <v>1</v>
      </c>
      <c r="S1363" s="366">
        <v>800</v>
      </c>
      <c r="T1363" s="366">
        <v>84</v>
      </c>
      <c r="U1363" s="366">
        <v>400</v>
      </c>
      <c r="V1363" s="366">
        <v>8</v>
      </c>
      <c r="W1363" s="366">
        <v>26.5</v>
      </c>
      <c r="X1363" s="366">
        <v>2.5</v>
      </c>
      <c r="Y1363" s="366">
        <v>40</v>
      </c>
      <c r="Z1363" s="366">
        <v>90</v>
      </c>
      <c r="AA1363" s="117">
        <v>166</v>
      </c>
      <c r="AB1363" s="51"/>
      <c r="AC1363" s="366"/>
      <c r="AD1363" s="366"/>
      <c r="AE1363" s="366"/>
      <c r="AF1363" s="366"/>
      <c r="AG1363" s="349">
        <v>3.12</v>
      </c>
      <c r="AH1363" s="113">
        <v>900.11052097937397</v>
      </c>
      <c r="AI1363" s="53"/>
      <c r="AJ1363" s="53"/>
      <c r="AK1363" s="53"/>
      <c r="AL1363" s="53"/>
      <c r="AM1363" s="366"/>
      <c r="AN1363" s="53">
        <f t="shared" si="287"/>
        <v>280.8344825455647</v>
      </c>
      <c r="AO1363" s="198">
        <f t="shared" si="288"/>
        <v>0</v>
      </c>
      <c r="AP1363" s="399">
        <f t="shared" si="289"/>
        <v>2.2285714285714286</v>
      </c>
      <c r="AQ1363" s="373"/>
      <c r="AR1363" s="44"/>
      <c r="AS1363" s="366"/>
      <c r="AT1363" s="366"/>
    </row>
    <row r="1364" spans="1:46" ht="12">
      <c r="A1364" s="257" t="s">
        <v>1747</v>
      </c>
      <c r="B1364" s="257" t="str">
        <f t="shared" si="290"/>
        <v>SiNx</v>
      </c>
      <c r="C1364" s="280">
        <f t="shared" si="291"/>
        <v>0</v>
      </c>
      <c r="D1364" s="183">
        <f t="shared" si="292"/>
        <v>693.32596323604503</v>
      </c>
      <c r="E1364" s="96">
        <f t="shared" si="293"/>
        <v>0</v>
      </c>
      <c r="F1364" s="96">
        <f t="shared" si="294"/>
        <v>0</v>
      </c>
      <c r="G1364" s="183">
        <f t="shared" si="295"/>
        <v>247.51736887526809</v>
      </c>
      <c r="H1364" s="215">
        <f t="shared" ref="H1364:H1384" si="297">AL1364</f>
        <v>0</v>
      </c>
      <c r="I1364" s="183">
        <f t="shared" si="296"/>
        <v>0</v>
      </c>
      <c r="J1364" s="366"/>
      <c r="K1364" s="366" t="s">
        <v>1746</v>
      </c>
      <c r="L1364" s="366"/>
      <c r="M1364" s="373"/>
      <c r="N1364" s="191">
        <v>41947</v>
      </c>
      <c r="O1364" s="366">
        <v>550</v>
      </c>
      <c r="P1364" s="366" t="s">
        <v>187</v>
      </c>
      <c r="Q1364" s="366">
        <v>172</v>
      </c>
      <c r="R1364" s="366">
        <v>3</v>
      </c>
      <c r="S1364" s="366">
        <v>800</v>
      </c>
      <c r="T1364" s="366">
        <v>84</v>
      </c>
      <c r="U1364" s="366">
        <v>400</v>
      </c>
      <c r="V1364" s="366">
        <v>8</v>
      </c>
      <c r="W1364" s="366">
        <v>26.5</v>
      </c>
      <c r="X1364" s="366">
        <v>2.5</v>
      </c>
      <c r="Y1364" s="366">
        <v>40</v>
      </c>
      <c r="Z1364" s="366">
        <v>90</v>
      </c>
      <c r="AA1364" s="117">
        <v>166</v>
      </c>
      <c r="AB1364" s="51"/>
      <c r="AC1364" s="366"/>
      <c r="AD1364" s="366"/>
      <c r="AE1364" s="366"/>
      <c r="AF1364" s="366"/>
      <c r="AG1364" s="349">
        <v>3.57</v>
      </c>
      <c r="AH1364" s="113">
        <v>693.32596323604503</v>
      </c>
      <c r="AI1364" s="53"/>
      <c r="AJ1364" s="53"/>
      <c r="AK1364" s="53"/>
      <c r="AL1364" s="53"/>
      <c r="AM1364" s="366"/>
      <c r="AN1364" s="53">
        <f t="shared" si="287"/>
        <v>247.51736887526809</v>
      </c>
      <c r="AO1364" s="198">
        <f t="shared" si="288"/>
        <v>0</v>
      </c>
      <c r="AP1364" s="399">
        <f t="shared" si="289"/>
        <v>2.5499999999999998</v>
      </c>
      <c r="AQ1364" s="373"/>
      <c r="AR1364" s="44"/>
      <c r="AS1364" s="366"/>
      <c r="AT1364" s="366"/>
    </row>
    <row r="1365" spans="1:46" ht="12">
      <c r="A1365" s="257" t="s">
        <v>1748</v>
      </c>
      <c r="B1365" s="257" t="str">
        <f t="shared" si="290"/>
        <v>SiNx</v>
      </c>
      <c r="C1365" s="280">
        <f t="shared" si="291"/>
        <v>0</v>
      </c>
      <c r="D1365" s="183">
        <f t="shared" si="292"/>
        <v>705.10144279692497</v>
      </c>
      <c r="E1365" s="96">
        <f t="shared" si="293"/>
        <v>0</v>
      </c>
      <c r="F1365" s="96">
        <f t="shared" si="294"/>
        <v>0</v>
      </c>
      <c r="G1365" s="183">
        <f t="shared" si="295"/>
        <v>250.31101219290835</v>
      </c>
      <c r="H1365" s="215">
        <f t="shared" si="297"/>
        <v>0</v>
      </c>
      <c r="I1365" s="183">
        <f t="shared" si="296"/>
        <v>0</v>
      </c>
      <c r="J1365" s="366"/>
      <c r="K1365" s="366" t="s">
        <v>1746</v>
      </c>
      <c r="L1365" s="366"/>
      <c r="M1365" s="373"/>
      <c r="N1365" s="191">
        <v>41947</v>
      </c>
      <c r="O1365" s="366">
        <v>550</v>
      </c>
      <c r="P1365" s="366" t="s">
        <v>187</v>
      </c>
      <c r="Q1365" s="366">
        <v>172</v>
      </c>
      <c r="R1365" s="366">
        <v>6</v>
      </c>
      <c r="S1365" s="366">
        <v>800</v>
      </c>
      <c r="T1365" s="366">
        <v>84</v>
      </c>
      <c r="U1365" s="366">
        <v>400</v>
      </c>
      <c r="V1365" s="366">
        <v>8</v>
      </c>
      <c r="W1365" s="366">
        <v>26.5</v>
      </c>
      <c r="X1365" s="366">
        <v>2.5</v>
      </c>
      <c r="Y1365" s="366">
        <v>40</v>
      </c>
      <c r="Z1365" s="366">
        <v>90</v>
      </c>
      <c r="AA1365" s="117">
        <v>166</v>
      </c>
      <c r="AB1365" s="51"/>
      <c r="AC1365" s="366"/>
      <c r="AD1365" s="366"/>
      <c r="AE1365" s="366"/>
      <c r="AF1365" s="366"/>
      <c r="AG1365" s="349">
        <v>3.55</v>
      </c>
      <c r="AH1365" s="113">
        <v>705.10144279692497</v>
      </c>
      <c r="AI1365" s="53"/>
      <c r="AJ1365" s="53"/>
      <c r="AK1365" s="53"/>
      <c r="AL1365" s="53"/>
      <c r="AM1365" s="366"/>
      <c r="AN1365" s="53">
        <f t="shared" si="287"/>
        <v>250.31101219290835</v>
      </c>
      <c r="AO1365" s="198">
        <f t="shared" si="288"/>
        <v>0</v>
      </c>
      <c r="AP1365" s="399">
        <f t="shared" si="289"/>
        <v>2.5357142857142856</v>
      </c>
      <c r="AQ1365" s="373"/>
      <c r="AR1365" s="44"/>
      <c r="AS1365" s="366"/>
      <c r="AT1365" s="366"/>
    </row>
    <row r="1366" spans="1:46" ht="12">
      <c r="A1366" s="83" t="s">
        <v>1749</v>
      </c>
      <c r="B1366" s="83" t="str">
        <f t="shared" si="290"/>
        <v>SiO2</v>
      </c>
      <c r="C1366" s="329">
        <f t="shared" si="291"/>
        <v>0</v>
      </c>
      <c r="D1366" s="168">
        <f t="shared" si="292"/>
        <v>562.90360628145197</v>
      </c>
      <c r="E1366" s="139">
        <f t="shared" si="293"/>
        <v>10.19</v>
      </c>
      <c r="F1366" s="139">
        <f t="shared" si="294"/>
        <v>1.83</v>
      </c>
      <c r="G1366" s="168">
        <f t="shared" si="295"/>
        <v>225.72434611886223</v>
      </c>
      <c r="H1366" s="150">
        <f t="shared" si="297"/>
        <v>0.74977416440831068</v>
      </c>
      <c r="I1366" s="168">
        <f t="shared" si="296"/>
        <v>23001.310869512061</v>
      </c>
      <c r="J1366" s="138"/>
      <c r="K1366" s="138" t="s">
        <v>1746</v>
      </c>
      <c r="L1366" s="138"/>
      <c r="M1366" s="316"/>
      <c r="N1366" s="135">
        <v>41954</v>
      </c>
      <c r="O1366" s="138">
        <v>552</v>
      </c>
      <c r="P1366" s="138" t="s">
        <v>1182</v>
      </c>
      <c r="Q1366" s="138">
        <v>225</v>
      </c>
      <c r="R1366" s="138">
        <v>1</v>
      </c>
      <c r="S1366" s="138">
        <v>800</v>
      </c>
      <c r="T1366" s="138">
        <v>84</v>
      </c>
      <c r="U1366" s="138">
        <v>400</v>
      </c>
      <c r="V1366" s="138">
        <v>8</v>
      </c>
      <c r="W1366" s="138">
        <v>26.5</v>
      </c>
      <c r="X1366" s="138">
        <v>2.5</v>
      </c>
      <c r="Y1366" s="138">
        <v>40</v>
      </c>
      <c r="Z1366" s="138">
        <v>88</v>
      </c>
      <c r="AA1366" s="6">
        <v>165</v>
      </c>
      <c r="AB1366" s="300"/>
      <c r="AC1366" s="138"/>
      <c r="AD1366" s="138"/>
      <c r="AE1366" s="138"/>
      <c r="AF1366" s="138"/>
      <c r="AG1366" s="63">
        <v>4.01</v>
      </c>
      <c r="AH1366" s="70">
        <v>562.90360628145197</v>
      </c>
      <c r="AI1366" s="121"/>
      <c r="AJ1366" s="121">
        <v>10.19</v>
      </c>
      <c r="AK1366" s="121">
        <v>1.83</v>
      </c>
      <c r="AL1366" s="121">
        <f>249/332.1</f>
        <v>0.74977416440831068</v>
      </c>
      <c r="AM1366" s="138"/>
      <c r="AN1366" s="121">
        <f t="shared" si="287"/>
        <v>225.72434611886223</v>
      </c>
      <c r="AO1366" s="353">
        <f t="shared" si="288"/>
        <v>23001.310869512061</v>
      </c>
      <c r="AP1366" s="36">
        <f t="shared" si="289"/>
        <v>2.8642857142857139</v>
      </c>
      <c r="AQ1366" s="316"/>
      <c r="AR1366" s="258"/>
      <c r="AS1366" s="138"/>
      <c r="AT1366" s="138"/>
    </row>
    <row r="1367" spans="1:46" ht="12">
      <c r="A1367" s="83" t="s">
        <v>1750</v>
      </c>
      <c r="B1367" s="83" t="str">
        <f t="shared" si="290"/>
        <v>SiO2</v>
      </c>
      <c r="C1367" s="329">
        <f t="shared" si="291"/>
        <v>0</v>
      </c>
      <c r="D1367" s="168">
        <f t="shared" si="292"/>
        <v>591.45022339873594</v>
      </c>
      <c r="E1367" s="139">
        <f t="shared" si="293"/>
        <v>10.94</v>
      </c>
      <c r="F1367" s="139">
        <f t="shared" si="294"/>
        <v>1.8</v>
      </c>
      <c r="G1367" s="168">
        <f t="shared" si="295"/>
        <v>214.10498087034244</v>
      </c>
      <c r="H1367" s="150">
        <f t="shared" si="297"/>
        <v>0.78747742323901271</v>
      </c>
      <c r="I1367" s="168">
        <f t="shared" si="296"/>
        <v>23423.08490721546</v>
      </c>
      <c r="J1367" s="138"/>
      <c r="K1367" s="138" t="s">
        <v>1746</v>
      </c>
      <c r="L1367" s="138"/>
      <c r="M1367" s="316"/>
      <c r="N1367" s="135">
        <v>41954</v>
      </c>
      <c r="O1367" s="138">
        <v>552</v>
      </c>
      <c r="P1367" s="138" t="s">
        <v>1182</v>
      </c>
      <c r="Q1367" s="138">
        <v>225</v>
      </c>
      <c r="R1367" s="138">
        <v>3</v>
      </c>
      <c r="S1367" s="138">
        <v>800</v>
      </c>
      <c r="T1367" s="138">
        <v>84</v>
      </c>
      <c r="U1367" s="138">
        <v>400</v>
      </c>
      <c r="V1367" s="138">
        <v>8</v>
      </c>
      <c r="W1367" s="138">
        <v>26.5</v>
      </c>
      <c r="X1367" s="138">
        <v>2.5</v>
      </c>
      <c r="Y1367" s="138">
        <v>40</v>
      </c>
      <c r="Z1367" s="138">
        <v>88</v>
      </c>
      <c r="AA1367" s="6">
        <v>165</v>
      </c>
      <c r="AB1367" s="300"/>
      <c r="AC1367" s="138"/>
      <c r="AD1367" s="138"/>
      <c r="AE1367" s="138"/>
      <c r="AF1367" s="138"/>
      <c r="AG1367" s="63">
        <v>3.62</v>
      </c>
      <c r="AH1367" s="70">
        <v>591.45022339873594</v>
      </c>
      <c r="AI1367" s="121"/>
      <c r="AJ1367" s="121">
        <v>10.94</v>
      </c>
      <c r="AK1367" s="121">
        <v>1.8</v>
      </c>
      <c r="AL1367" s="121">
        <f>261.6/332.2</f>
        <v>0.78747742323901271</v>
      </c>
      <c r="AM1367" s="138"/>
      <c r="AN1367" s="121">
        <f t="shared" si="287"/>
        <v>214.10498087034244</v>
      </c>
      <c r="AO1367" s="353">
        <f t="shared" si="288"/>
        <v>23423.08490721546</v>
      </c>
      <c r="AP1367" s="36">
        <f t="shared" si="289"/>
        <v>2.5857142857142859</v>
      </c>
      <c r="AQ1367" s="316"/>
      <c r="AR1367" s="258"/>
      <c r="AS1367" s="138"/>
      <c r="AT1367" s="138"/>
    </row>
    <row r="1368" spans="1:46" ht="12">
      <c r="A1368" s="257" t="s">
        <v>1751</v>
      </c>
      <c r="B1368" s="257" t="str">
        <f t="shared" si="290"/>
        <v>SiNx</v>
      </c>
      <c r="C1368" s="280">
        <f t="shared" si="291"/>
        <v>0</v>
      </c>
      <c r="D1368" s="183">
        <f t="shared" si="292"/>
        <v>438.368989107299</v>
      </c>
      <c r="E1368" s="96">
        <f t="shared" si="293"/>
        <v>11.25</v>
      </c>
      <c r="F1368" s="96">
        <f t="shared" si="294"/>
        <v>1.43</v>
      </c>
      <c r="G1368" s="183">
        <f t="shared" si="295"/>
        <v>177.97780957756339</v>
      </c>
      <c r="H1368" s="215">
        <f t="shared" si="297"/>
        <v>0.84878487848784878</v>
      </c>
      <c r="I1368" s="183">
        <f t="shared" si="296"/>
        <v>20022.50357747588</v>
      </c>
      <c r="J1368" s="366"/>
      <c r="K1368" s="366" t="s">
        <v>1746</v>
      </c>
      <c r="L1368" s="366"/>
      <c r="M1368" s="373"/>
      <c r="N1368" s="191">
        <v>41954</v>
      </c>
      <c r="O1368" s="366">
        <v>552</v>
      </c>
      <c r="P1368" s="366" t="s">
        <v>187</v>
      </c>
      <c r="Q1368" s="366">
        <v>172</v>
      </c>
      <c r="R1368" s="366">
        <v>6</v>
      </c>
      <c r="S1368" s="366">
        <v>800</v>
      </c>
      <c r="T1368" s="366">
        <v>84</v>
      </c>
      <c r="U1368" s="366">
        <v>400</v>
      </c>
      <c r="V1368" s="366">
        <v>8</v>
      </c>
      <c r="W1368" s="366">
        <v>26.5</v>
      </c>
      <c r="X1368" s="366">
        <v>2.5</v>
      </c>
      <c r="Y1368" s="366">
        <v>40</v>
      </c>
      <c r="Z1368" s="366">
        <v>88</v>
      </c>
      <c r="AA1368" s="117">
        <v>165</v>
      </c>
      <c r="AB1368" s="51"/>
      <c r="AC1368" s="366"/>
      <c r="AD1368" s="366"/>
      <c r="AE1368" s="366"/>
      <c r="AF1368" s="366"/>
      <c r="AG1368" s="349">
        <v>4.0599999999999996</v>
      </c>
      <c r="AH1368" s="113">
        <v>438.368989107299</v>
      </c>
      <c r="AI1368" s="53"/>
      <c r="AJ1368" s="53">
        <v>11.25</v>
      </c>
      <c r="AK1368" s="53">
        <v>1.43</v>
      </c>
      <c r="AL1368" s="53">
        <f>188.6/222.2</f>
        <v>0.84878487848784878</v>
      </c>
      <c r="AM1368" s="366"/>
      <c r="AN1368" s="53">
        <f t="shared" si="287"/>
        <v>177.97780957756339</v>
      </c>
      <c r="AO1368" s="198">
        <f t="shared" si="288"/>
        <v>20022.50357747588</v>
      </c>
      <c r="AP1368" s="399">
        <f t="shared" si="289"/>
        <v>2.8999999999999995</v>
      </c>
      <c r="AQ1368" s="373"/>
      <c r="AR1368" s="44"/>
      <c r="AS1368" s="366"/>
      <c r="AT1368" s="366"/>
    </row>
    <row r="1369" spans="1:46" ht="12">
      <c r="A1369" s="354" t="s">
        <v>1752</v>
      </c>
      <c r="B1369" s="354">
        <f t="shared" si="290"/>
        <v>0</v>
      </c>
      <c r="C1369" s="386">
        <f t="shared" si="291"/>
        <v>0</v>
      </c>
      <c r="D1369" s="98">
        <f t="shared" si="292"/>
        <v>0</v>
      </c>
      <c r="E1369" s="235">
        <f t="shared" si="293"/>
        <v>0</v>
      </c>
      <c r="F1369" s="235">
        <f t="shared" si="294"/>
        <v>0</v>
      </c>
      <c r="G1369" s="98">
        <f t="shared" si="295"/>
        <v>0</v>
      </c>
      <c r="H1369" s="79">
        <f t="shared" si="297"/>
        <v>0</v>
      </c>
      <c r="I1369" s="98">
        <f t="shared" si="296"/>
        <v>0</v>
      </c>
      <c r="J1369" s="180"/>
      <c r="K1369" s="180"/>
      <c r="L1369" s="180"/>
      <c r="M1369" s="214"/>
      <c r="N1369" s="125"/>
      <c r="O1369" s="180"/>
      <c r="P1369" s="180"/>
      <c r="Q1369" s="180"/>
      <c r="R1369" s="180"/>
      <c r="S1369" s="180"/>
      <c r="T1369" s="180"/>
      <c r="U1369" s="180"/>
      <c r="V1369" s="180"/>
      <c r="W1369" s="180"/>
      <c r="X1369" s="180"/>
      <c r="Y1369" s="180"/>
      <c r="Z1369" s="180"/>
      <c r="AA1369" s="334"/>
      <c r="AB1369" s="308"/>
      <c r="AC1369" s="180"/>
      <c r="AD1369" s="180"/>
      <c r="AE1369" s="180"/>
      <c r="AF1369" s="180"/>
      <c r="AG1369" s="391"/>
      <c r="AH1369" s="402"/>
      <c r="AI1369" s="147"/>
      <c r="AJ1369" s="147"/>
      <c r="AK1369" s="147"/>
      <c r="AL1369" s="147"/>
      <c r="AM1369" s="180"/>
      <c r="AN1369" s="147">
        <f t="shared" si="287"/>
        <v>0</v>
      </c>
      <c r="AO1369" s="118">
        <f t="shared" si="288"/>
        <v>0</v>
      </c>
      <c r="AP1369" s="197" t="e">
        <f t="shared" si="289"/>
        <v>#DIV/0!</v>
      </c>
      <c r="AQ1369" s="214"/>
      <c r="AR1369" s="125"/>
      <c r="AS1369" s="180"/>
      <c r="AT1369" s="180"/>
    </row>
    <row r="1370" spans="1:46" ht="12">
      <c r="A1370" s="83" t="s">
        <v>1753</v>
      </c>
      <c r="B1370" s="83" t="str">
        <f t="shared" si="290"/>
        <v>SiO2</v>
      </c>
      <c r="C1370" s="329">
        <f t="shared" si="291"/>
        <v>0</v>
      </c>
      <c r="D1370" s="168">
        <f t="shared" si="292"/>
        <v>563.08202263843498</v>
      </c>
      <c r="E1370" s="139">
        <f t="shared" si="293"/>
        <v>9.51</v>
      </c>
      <c r="F1370" s="139">
        <f t="shared" si="294"/>
        <v>1.7</v>
      </c>
      <c r="G1370" s="168">
        <f t="shared" si="295"/>
        <v>227.48513714592772</v>
      </c>
      <c r="H1370" s="150">
        <f t="shared" si="297"/>
        <v>0.77279949157928185</v>
      </c>
      <c r="I1370" s="168">
        <f t="shared" si="296"/>
        <v>21633.836542577727</v>
      </c>
      <c r="J1370" s="138"/>
      <c r="K1370" s="138" t="s">
        <v>1746</v>
      </c>
      <c r="L1370" s="138"/>
      <c r="M1370" s="316"/>
      <c r="N1370" s="135">
        <v>41968</v>
      </c>
      <c r="O1370" s="138">
        <v>558</v>
      </c>
      <c r="P1370" s="138" t="s">
        <v>1182</v>
      </c>
      <c r="Q1370" s="138">
        <v>225</v>
      </c>
      <c r="R1370" s="138">
        <v>1</v>
      </c>
      <c r="S1370" s="138">
        <v>840</v>
      </c>
      <c r="T1370" s="138">
        <v>90</v>
      </c>
      <c r="U1370" s="138">
        <v>400</v>
      </c>
      <c r="V1370" s="138">
        <v>8</v>
      </c>
      <c r="W1370" s="138">
        <v>26.5</v>
      </c>
      <c r="X1370" s="138">
        <v>2.5</v>
      </c>
      <c r="Y1370" s="138">
        <v>40</v>
      </c>
      <c r="Z1370" s="138">
        <v>87</v>
      </c>
      <c r="AA1370" s="6">
        <v>165</v>
      </c>
      <c r="AB1370" s="300"/>
      <c r="AC1370" s="138"/>
      <c r="AD1370" s="138"/>
      <c r="AE1370" s="138"/>
      <c r="AF1370" s="138"/>
      <c r="AG1370" s="63">
        <v>4.04</v>
      </c>
      <c r="AH1370" s="70">
        <v>563.08202263843498</v>
      </c>
      <c r="AI1370" s="121"/>
      <c r="AJ1370" s="121">
        <v>9.51</v>
      </c>
      <c r="AK1370" s="121">
        <v>1.7</v>
      </c>
      <c r="AL1370" s="121">
        <f>243.2/314.7</f>
        <v>0.77279949157928185</v>
      </c>
      <c r="AM1370" s="138"/>
      <c r="AN1370" s="121">
        <f t="shared" si="287"/>
        <v>227.48513714592772</v>
      </c>
      <c r="AO1370" s="353">
        <f t="shared" si="288"/>
        <v>21633.836542577727</v>
      </c>
      <c r="AP1370" s="36">
        <f t="shared" si="289"/>
        <v>2.6933333333333334</v>
      </c>
      <c r="AQ1370" s="316"/>
      <c r="AR1370" s="258"/>
      <c r="AS1370" s="138"/>
      <c r="AT1370" s="138"/>
    </row>
    <row r="1371" spans="1:46" ht="12">
      <c r="A1371" s="256" t="s">
        <v>1754</v>
      </c>
      <c r="B1371" s="256" t="str">
        <f t="shared" si="290"/>
        <v>MgO</v>
      </c>
      <c r="C1371" s="32">
        <f t="shared" si="291"/>
        <v>0</v>
      </c>
      <c r="D1371" s="279">
        <f t="shared" si="292"/>
        <v>330.96234220351602</v>
      </c>
      <c r="E1371" s="78">
        <f t="shared" si="293"/>
        <v>11.02</v>
      </c>
      <c r="F1371" s="78">
        <f t="shared" si="294"/>
        <v>0.94</v>
      </c>
      <c r="G1371" s="279">
        <f t="shared" si="295"/>
        <v>185.00794929176544</v>
      </c>
      <c r="H1371" s="190">
        <f t="shared" si="297"/>
        <v>0.79342465753424662</v>
      </c>
      <c r="I1371" s="279">
        <f t="shared" si="296"/>
        <v>20387.87601195255</v>
      </c>
      <c r="J1371" s="67"/>
      <c r="K1371" s="67" t="s">
        <v>1746</v>
      </c>
      <c r="L1371" s="67"/>
      <c r="M1371" s="371"/>
      <c r="N1371" s="309">
        <v>41968</v>
      </c>
      <c r="O1371" s="67">
        <v>558</v>
      </c>
      <c r="P1371" s="67" t="s">
        <v>46</v>
      </c>
      <c r="Q1371" s="67"/>
      <c r="R1371" s="67">
        <v>3</v>
      </c>
      <c r="S1371" s="67">
        <v>840</v>
      </c>
      <c r="T1371" s="67">
        <v>90</v>
      </c>
      <c r="U1371" s="67">
        <v>400</v>
      </c>
      <c r="V1371" s="67">
        <v>8</v>
      </c>
      <c r="W1371" s="67">
        <v>26.5</v>
      </c>
      <c r="X1371" s="67">
        <v>2.5</v>
      </c>
      <c r="Y1371" s="67">
        <v>40</v>
      </c>
      <c r="Z1371" s="67">
        <v>87</v>
      </c>
      <c r="AA1371" s="159">
        <v>165</v>
      </c>
      <c r="AB1371" s="182"/>
      <c r="AC1371" s="67"/>
      <c r="AD1371" s="67"/>
      <c r="AE1371" s="67"/>
      <c r="AF1371" s="67"/>
      <c r="AG1371" s="315">
        <v>5.59</v>
      </c>
      <c r="AH1371" s="66">
        <v>330.96234220351602</v>
      </c>
      <c r="AI1371" s="216"/>
      <c r="AJ1371" s="216">
        <v>11.02</v>
      </c>
      <c r="AK1371" s="216">
        <v>0.94</v>
      </c>
      <c r="AL1371" s="216">
        <f>144.8/182.5</f>
        <v>0.79342465753424662</v>
      </c>
      <c r="AM1371" s="67"/>
      <c r="AN1371" s="216">
        <f t="shared" si="287"/>
        <v>185.00794929176544</v>
      </c>
      <c r="AO1371" s="389">
        <f t="shared" si="288"/>
        <v>20387.87601195255</v>
      </c>
      <c r="AP1371" s="187">
        <f t="shared" si="289"/>
        <v>3.7266666666666666</v>
      </c>
      <c r="AQ1371" s="371"/>
      <c r="AR1371" s="41"/>
      <c r="AS1371" s="67"/>
      <c r="AT1371" s="67"/>
    </row>
    <row r="1372" spans="1:46" ht="12">
      <c r="A1372" s="83" t="s">
        <v>1755</v>
      </c>
      <c r="B1372" s="83" t="str">
        <f t="shared" si="290"/>
        <v>SiO2</v>
      </c>
      <c r="C1372" s="329">
        <f t="shared" si="291"/>
        <v>0</v>
      </c>
      <c r="D1372" s="168">
        <f t="shared" si="292"/>
        <v>457.81637201844899</v>
      </c>
      <c r="E1372" s="139">
        <f t="shared" si="293"/>
        <v>10.99</v>
      </c>
      <c r="F1372" s="139">
        <f t="shared" si="294"/>
        <v>1.52</v>
      </c>
      <c r="G1372" s="168">
        <f t="shared" si="295"/>
        <v>196.86103996793307</v>
      </c>
      <c r="H1372" s="150">
        <f t="shared" si="297"/>
        <v>0.8320067029744449</v>
      </c>
      <c r="I1372" s="168">
        <f t="shared" si="296"/>
        <v>21635.028292475843</v>
      </c>
      <c r="J1372" s="138"/>
      <c r="K1372" s="138" t="s">
        <v>1746</v>
      </c>
      <c r="L1372" s="138"/>
      <c r="M1372" s="316"/>
      <c r="N1372" s="135">
        <v>41968</v>
      </c>
      <c r="O1372" s="138">
        <v>558</v>
      </c>
      <c r="P1372" s="138" t="s">
        <v>1182</v>
      </c>
      <c r="Q1372" s="138">
        <v>225</v>
      </c>
      <c r="R1372" s="138">
        <v>6</v>
      </c>
      <c r="S1372" s="138">
        <v>840</v>
      </c>
      <c r="T1372" s="138">
        <v>90</v>
      </c>
      <c r="U1372" s="138">
        <v>400</v>
      </c>
      <c r="V1372" s="138">
        <v>8</v>
      </c>
      <c r="W1372" s="138">
        <v>26.5</v>
      </c>
      <c r="X1372" s="138">
        <v>2.5</v>
      </c>
      <c r="Y1372" s="138">
        <v>40</v>
      </c>
      <c r="Z1372" s="138">
        <v>87</v>
      </c>
      <c r="AA1372" s="6">
        <v>165</v>
      </c>
      <c r="AB1372" s="300"/>
      <c r="AC1372" s="138"/>
      <c r="AD1372" s="138"/>
      <c r="AE1372" s="138"/>
      <c r="AF1372" s="138"/>
      <c r="AG1372" s="63">
        <v>4.3</v>
      </c>
      <c r="AH1372" s="70">
        <v>457.81637201844899</v>
      </c>
      <c r="AI1372" s="121"/>
      <c r="AJ1372" s="121">
        <v>10.99</v>
      </c>
      <c r="AK1372" s="121">
        <v>1.52</v>
      </c>
      <c r="AL1372" s="121">
        <f>198.6/238.7</f>
        <v>0.8320067029744449</v>
      </c>
      <c r="AM1372" s="138"/>
      <c r="AN1372" s="121">
        <f t="shared" si="287"/>
        <v>196.86103996793307</v>
      </c>
      <c r="AO1372" s="353">
        <f t="shared" si="288"/>
        <v>21635.028292475843</v>
      </c>
      <c r="AP1372" s="36">
        <f t="shared" si="289"/>
        <v>2.8666666666666663</v>
      </c>
      <c r="AQ1372" s="316"/>
      <c r="AR1372" s="258"/>
      <c r="AS1372" s="138"/>
      <c r="AT1372" s="138"/>
    </row>
    <row r="1373" spans="1:46" ht="12">
      <c r="A1373" s="83" t="s">
        <v>1756</v>
      </c>
      <c r="B1373" s="83" t="str">
        <f t="shared" si="290"/>
        <v>SiO2</v>
      </c>
      <c r="C1373" s="329">
        <f t="shared" si="291"/>
        <v>0</v>
      </c>
      <c r="D1373" s="168">
        <f t="shared" si="292"/>
        <v>568.96976241887501</v>
      </c>
      <c r="E1373" s="139">
        <f t="shared" si="293"/>
        <v>9.98</v>
      </c>
      <c r="F1373" s="139">
        <f t="shared" si="294"/>
        <v>2.21</v>
      </c>
      <c r="G1373" s="168">
        <f t="shared" si="295"/>
        <v>228.72584449238775</v>
      </c>
      <c r="H1373" s="150">
        <f t="shared" si="297"/>
        <v>0.78111319574734206</v>
      </c>
      <c r="I1373" s="168">
        <f t="shared" si="296"/>
        <v>22826.839280340297</v>
      </c>
      <c r="J1373" s="138"/>
      <c r="K1373" s="138" t="s">
        <v>1757</v>
      </c>
      <c r="L1373" s="138"/>
      <c r="M1373" s="316"/>
      <c r="N1373" s="135">
        <v>41969</v>
      </c>
      <c r="O1373" s="138">
        <v>559</v>
      </c>
      <c r="P1373" s="138" t="s">
        <v>1182</v>
      </c>
      <c r="Q1373" s="138">
        <v>225</v>
      </c>
      <c r="R1373" s="138">
        <v>1</v>
      </c>
      <c r="S1373" s="138">
        <v>840</v>
      </c>
      <c r="T1373" s="138">
        <v>90</v>
      </c>
      <c r="U1373" s="138">
        <v>400</v>
      </c>
      <c r="V1373" s="138">
        <v>8</v>
      </c>
      <c r="W1373" s="138">
        <v>26.5</v>
      </c>
      <c r="X1373" s="138">
        <v>2.5</v>
      </c>
      <c r="Y1373" s="138">
        <v>40</v>
      </c>
      <c r="Z1373" s="138">
        <v>88</v>
      </c>
      <c r="AA1373" s="6">
        <v>165</v>
      </c>
      <c r="AB1373" s="300"/>
      <c r="AC1373" s="138"/>
      <c r="AD1373" s="138"/>
      <c r="AE1373" s="138"/>
      <c r="AF1373" s="138"/>
      <c r="AG1373" s="63">
        <v>4.0199999999999996</v>
      </c>
      <c r="AH1373" s="70">
        <v>568.96976241887501</v>
      </c>
      <c r="AI1373" s="121"/>
      <c r="AJ1373" s="121">
        <v>9.98</v>
      </c>
      <c r="AK1373" s="121">
        <v>2.21</v>
      </c>
      <c r="AL1373" s="121">
        <f>249.8/319.8</f>
        <v>0.78111319574734206</v>
      </c>
      <c r="AM1373" s="138"/>
      <c r="AN1373" s="121">
        <f t="shared" si="287"/>
        <v>228.72584449238775</v>
      </c>
      <c r="AO1373" s="353">
        <f t="shared" si="288"/>
        <v>22826.839280340297</v>
      </c>
      <c r="AP1373" s="36">
        <f t="shared" si="289"/>
        <v>2.6799999999999997</v>
      </c>
      <c r="AQ1373" s="316"/>
      <c r="AR1373" s="258"/>
      <c r="AS1373" s="138"/>
      <c r="AT1373" s="138"/>
    </row>
    <row r="1374" spans="1:46" ht="12">
      <c r="A1374" s="256" t="s">
        <v>1758</v>
      </c>
      <c r="B1374" s="256" t="str">
        <f t="shared" si="290"/>
        <v>MgO</v>
      </c>
      <c r="C1374" s="32">
        <f t="shared" si="291"/>
        <v>0</v>
      </c>
      <c r="D1374" s="279">
        <f t="shared" si="292"/>
        <v>368.608193526935</v>
      </c>
      <c r="E1374" s="78">
        <f t="shared" si="293"/>
        <v>10.81</v>
      </c>
      <c r="F1374" s="78">
        <f t="shared" si="294"/>
        <v>1.3</v>
      </c>
      <c r="G1374" s="279">
        <f t="shared" si="295"/>
        <v>196.46816714985636</v>
      </c>
      <c r="H1374" s="190">
        <f t="shared" si="297"/>
        <v>0.74613583138173312</v>
      </c>
      <c r="I1374" s="279">
        <f t="shared" si="296"/>
        <v>21238.208868899474</v>
      </c>
      <c r="J1374" s="67"/>
      <c r="K1374" s="67" t="s">
        <v>1757</v>
      </c>
      <c r="L1374" s="67"/>
      <c r="M1374" s="371"/>
      <c r="N1374" s="309">
        <v>41969</v>
      </c>
      <c r="O1374" s="67">
        <v>559</v>
      </c>
      <c r="P1374" s="67" t="s">
        <v>46</v>
      </c>
      <c r="Q1374" s="67"/>
      <c r="R1374" s="67">
        <v>3</v>
      </c>
      <c r="S1374" s="67">
        <v>840</v>
      </c>
      <c r="T1374" s="67">
        <v>90</v>
      </c>
      <c r="U1374" s="67">
        <v>400</v>
      </c>
      <c r="V1374" s="67">
        <v>8</v>
      </c>
      <c r="W1374" s="67">
        <v>26.5</v>
      </c>
      <c r="X1374" s="67">
        <v>2.5</v>
      </c>
      <c r="Y1374" s="67">
        <v>40</v>
      </c>
      <c r="Z1374" s="67">
        <v>88</v>
      </c>
      <c r="AA1374" s="159">
        <v>165</v>
      </c>
      <c r="AB1374" s="182"/>
      <c r="AC1374" s="67"/>
      <c r="AD1374" s="67"/>
      <c r="AE1374" s="67"/>
      <c r="AF1374" s="67"/>
      <c r="AG1374" s="315">
        <v>5.33</v>
      </c>
      <c r="AH1374" s="66">
        <v>368.608193526935</v>
      </c>
      <c r="AI1374" s="216"/>
      <c r="AJ1374" s="216">
        <v>10.81</v>
      </c>
      <c r="AK1374" s="216">
        <v>1.3</v>
      </c>
      <c r="AL1374" s="216">
        <f>159.3/213.5</f>
        <v>0.74613583138173312</v>
      </c>
      <c r="AM1374" s="67"/>
      <c r="AN1374" s="216">
        <f t="shared" si="287"/>
        <v>196.46816714985636</v>
      </c>
      <c r="AO1374" s="389">
        <f t="shared" si="288"/>
        <v>21238.208868899474</v>
      </c>
      <c r="AP1374" s="187">
        <f t="shared" si="289"/>
        <v>3.5533333333333337</v>
      </c>
      <c r="AQ1374" s="371"/>
      <c r="AR1374" s="41"/>
      <c r="AS1374" s="67"/>
      <c r="AT1374" s="67"/>
    </row>
    <row r="1375" spans="1:46" ht="12">
      <c r="A1375" s="219" t="s">
        <v>1759</v>
      </c>
      <c r="B1375" s="219" t="str">
        <f t="shared" si="290"/>
        <v>SiO2</v>
      </c>
      <c r="C1375" s="233">
        <f t="shared" si="291"/>
        <v>0</v>
      </c>
      <c r="D1375" s="62">
        <f t="shared" si="292"/>
        <v>454.60487759275401</v>
      </c>
      <c r="E1375" s="115">
        <f t="shared" si="293"/>
        <v>11.34</v>
      </c>
      <c r="F1375" s="115">
        <f t="shared" si="294"/>
        <v>1.53</v>
      </c>
      <c r="G1375" s="62">
        <f t="shared" si="295"/>
        <v>196.38930712006976</v>
      </c>
      <c r="H1375" s="242">
        <f t="shared" si="297"/>
        <v>0.83898305084745761</v>
      </c>
      <c r="I1375" s="62">
        <f t="shared" si="296"/>
        <v>22270.54742741591</v>
      </c>
      <c r="J1375" s="185"/>
      <c r="K1375" s="185" t="s">
        <v>1757</v>
      </c>
      <c r="L1375" s="185"/>
      <c r="M1375" s="251"/>
      <c r="N1375" s="5">
        <v>41969</v>
      </c>
      <c r="O1375" s="185">
        <v>559</v>
      </c>
      <c r="P1375" s="185" t="s">
        <v>1182</v>
      </c>
      <c r="Q1375" s="185">
        <v>225</v>
      </c>
      <c r="R1375" s="185">
        <v>6</v>
      </c>
      <c r="S1375" s="185">
        <v>840</v>
      </c>
      <c r="T1375" s="185">
        <v>90</v>
      </c>
      <c r="U1375" s="185">
        <v>400</v>
      </c>
      <c r="V1375" s="185">
        <v>8</v>
      </c>
      <c r="W1375" s="185">
        <v>26.5</v>
      </c>
      <c r="X1375" s="185">
        <v>2.5</v>
      </c>
      <c r="Y1375" s="185">
        <v>40</v>
      </c>
      <c r="Z1375" s="185">
        <v>88</v>
      </c>
      <c r="AA1375" s="383">
        <v>165</v>
      </c>
      <c r="AB1375" s="293"/>
      <c r="AC1375" s="185"/>
      <c r="AD1375" s="185"/>
      <c r="AE1375" s="185"/>
      <c r="AF1375" s="185"/>
      <c r="AG1375" s="206">
        <v>4.32</v>
      </c>
      <c r="AH1375" s="223">
        <v>454.60487759275401</v>
      </c>
      <c r="AI1375" s="347"/>
      <c r="AJ1375" s="347">
        <v>11.34</v>
      </c>
      <c r="AK1375" s="347">
        <v>1.53</v>
      </c>
      <c r="AL1375" s="347">
        <f>198/236</f>
        <v>0.83898305084745761</v>
      </c>
      <c r="AM1375" s="185"/>
      <c r="AN1375" s="347">
        <f t="shared" si="287"/>
        <v>196.38930712006976</v>
      </c>
      <c r="AO1375" s="299">
        <f t="shared" si="288"/>
        <v>22270.54742741591</v>
      </c>
      <c r="AP1375" s="2">
        <f t="shared" si="289"/>
        <v>2.88</v>
      </c>
      <c r="AQ1375" s="251"/>
      <c r="AR1375" s="48"/>
      <c r="AS1375" s="185"/>
      <c r="AT1375" s="185"/>
    </row>
    <row r="1376" spans="1:46" ht="12">
      <c r="A1376" s="165" t="s">
        <v>1760</v>
      </c>
      <c r="B1376" s="165" t="str">
        <f t="shared" si="290"/>
        <v>SiO2</v>
      </c>
      <c r="C1376" s="4">
        <f t="shared" si="291"/>
        <v>0</v>
      </c>
      <c r="D1376" s="237">
        <f t="shared" si="292"/>
        <v>545.06197058314899</v>
      </c>
      <c r="E1376" s="93">
        <f t="shared" si="293"/>
        <v>10.16</v>
      </c>
      <c r="F1376" s="93">
        <f t="shared" si="294"/>
        <v>0</v>
      </c>
      <c r="G1376" s="237">
        <f t="shared" si="295"/>
        <v>221.84022202734164</v>
      </c>
      <c r="H1376" s="298">
        <f t="shared" si="297"/>
        <v>0.78646718803128191</v>
      </c>
      <c r="I1376" s="237">
        <f t="shared" si="296"/>
        <v>22538.96655797791</v>
      </c>
      <c r="J1376" s="305"/>
      <c r="K1376" s="305" t="s">
        <v>1757</v>
      </c>
      <c r="L1376" s="305"/>
      <c r="M1376" s="74"/>
      <c r="N1376" s="339">
        <v>41988</v>
      </c>
      <c r="O1376" s="305">
        <v>561</v>
      </c>
      <c r="P1376" s="305" t="s">
        <v>1182</v>
      </c>
      <c r="Q1376" s="305">
        <v>225</v>
      </c>
      <c r="R1376" s="305">
        <v>1</v>
      </c>
      <c r="S1376" s="305">
        <v>840</v>
      </c>
      <c r="T1376" s="305">
        <v>90</v>
      </c>
      <c r="U1376" s="305">
        <v>400</v>
      </c>
      <c r="V1376" s="305">
        <v>8</v>
      </c>
      <c r="W1376" s="305">
        <v>26.5</v>
      </c>
      <c r="X1376" s="305">
        <v>2.5</v>
      </c>
      <c r="Y1376" s="305">
        <v>40</v>
      </c>
      <c r="Z1376" s="305"/>
      <c r="AA1376" s="304">
        <v>164</v>
      </c>
      <c r="AB1376" s="128"/>
      <c r="AC1376" s="305"/>
      <c r="AD1376" s="305"/>
      <c r="AE1376" s="305"/>
      <c r="AF1376" s="305"/>
      <c r="AG1376" s="192">
        <v>4.07</v>
      </c>
      <c r="AH1376" s="69">
        <v>545.06197058314899</v>
      </c>
      <c r="AI1376" s="302"/>
      <c r="AJ1376" s="302">
        <v>10.16</v>
      </c>
      <c r="AK1376" s="302"/>
      <c r="AL1376" s="302">
        <f>231.3/294.1</f>
        <v>0.78646718803128191</v>
      </c>
      <c r="AM1376" s="305"/>
      <c r="AN1376" s="302">
        <f t="shared" si="287"/>
        <v>221.84022202734164</v>
      </c>
      <c r="AO1376" s="104">
        <f t="shared" si="288"/>
        <v>22538.96655797791</v>
      </c>
      <c r="AP1376" s="136">
        <f t="shared" si="289"/>
        <v>2.7133333333333334</v>
      </c>
      <c r="AQ1376" s="74"/>
      <c r="AR1376" s="284"/>
      <c r="AS1376" s="305"/>
      <c r="AT1376" s="305"/>
    </row>
    <row r="1377" spans="1:46" ht="12">
      <c r="A1377" s="83" t="s">
        <v>1761</v>
      </c>
      <c r="B1377" s="83" t="str">
        <f t="shared" si="290"/>
        <v>SiO2</v>
      </c>
      <c r="C1377" s="329">
        <f t="shared" si="291"/>
        <v>0</v>
      </c>
      <c r="D1377" s="168">
        <f t="shared" si="292"/>
        <v>438.72582182126501</v>
      </c>
      <c r="E1377" s="139">
        <f t="shared" si="293"/>
        <v>0</v>
      </c>
      <c r="F1377" s="139">
        <f t="shared" si="294"/>
        <v>0</v>
      </c>
      <c r="G1377" s="168">
        <f t="shared" si="295"/>
        <v>193.91681324499913</v>
      </c>
      <c r="H1377" s="150">
        <f t="shared" si="297"/>
        <v>0</v>
      </c>
      <c r="I1377" s="168">
        <f t="shared" si="296"/>
        <v>0</v>
      </c>
      <c r="J1377" s="138"/>
      <c r="K1377" s="138" t="s">
        <v>1757</v>
      </c>
      <c r="L1377" s="138"/>
      <c r="M1377" s="316"/>
      <c r="N1377" s="135">
        <v>41988</v>
      </c>
      <c r="O1377" s="138">
        <v>561</v>
      </c>
      <c r="P1377" s="138" t="s">
        <v>1182</v>
      </c>
      <c r="Q1377" s="138">
        <v>225</v>
      </c>
      <c r="R1377" s="138">
        <v>6</v>
      </c>
      <c r="S1377" s="138">
        <v>840</v>
      </c>
      <c r="T1377" s="138">
        <v>90</v>
      </c>
      <c r="U1377" s="138">
        <v>400</v>
      </c>
      <c r="V1377" s="138">
        <v>8</v>
      </c>
      <c r="W1377" s="138">
        <v>26.5</v>
      </c>
      <c r="X1377" s="138">
        <v>2.5</v>
      </c>
      <c r="Y1377" s="138">
        <v>40</v>
      </c>
      <c r="Z1377" s="138"/>
      <c r="AA1377" s="6">
        <v>164</v>
      </c>
      <c r="AB1377" s="300"/>
      <c r="AC1377" s="138"/>
      <c r="AD1377" s="138"/>
      <c r="AE1377" s="138"/>
      <c r="AF1377" s="138"/>
      <c r="AG1377" s="63">
        <v>4.42</v>
      </c>
      <c r="AH1377" s="70">
        <v>438.72582182126501</v>
      </c>
      <c r="AI1377" s="121"/>
      <c r="AJ1377" s="121"/>
      <c r="AK1377" s="121"/>
      <c r="AL1377" s="121"/>
      <c r="AM1377" s="138"/>
      <c r="AN1377" s="121">
        <f t="shared" ref="AN1377:AN1384" si="298">((AH1377*AG1377)/10)</f>
        <v>193.91681324499913</v>
      </c>
      <c r="AO1377" s="353">
        <f t="shared" ref="AO1377:AO1384" si="299">(AG1377*AH1377)*AJ1377</f>
        <v>0</v>
      </c>
      <c r="AP1377" s="36">
        <f t="shared" ref="AP1377:AP1384" si="300">(AG1377/T1377)*60</f>
        <v>2.9466666666666668</v>
      </c>
      <c r="AQ1377" s="316"/>
      <c r="AR1377" s="258"/>
      <c r="AS1377" s="138"/>
      <c r="AT1377" s="138"/>
    </row>
    <row r="1378" spans="1:46" ht="12">
      <c r="A1378" s="83" t="s">
        <v>1762</v>
      </c>
      <c r="B1378" s="83" t="str">
        <f t="shared" si="290"/>
        <v>SiO2</v>
      </c>
      <c r="C1378" s="329">
        <f t="shared" si="291"/>
        <v>0</v>
      </c>
      <c r="D1378" s="168">
        <f t="shared" si="292"/>
        <v>523.29517503121997</v>
      </c>
      <c r="E1378" s="139">
        <f t="shared" si="293"/>
        <v>0</v>
      </c>
      <c r="F1378" s="139">
        <f t="shared" si="294"/>
        <v>0</v>
      </c>
      <c r="G1378" s="168">
        <f t="shared" si="295"/>
        <v>216.12090728789386</v>
      </c>
      <c r="H1378" s="150">
        <f t="shared" si="297"/>
        <v>0</v>
      </c>
      <c r="I1378" s="168">
        <f t="shared" si="296"/>
        <v>0</v>
      </c>
      <c r="J1378" s="138"/>
      <c r="K1378" s="138" t="s">
        <v>1757</v>
      </c>
      <c r="L1378" s="138"/>
      <c r="M1378" s="316"/>
      <c r="N1378" s="135">
        <v>41988</v>
      </c>
      <c r="O1378" s="138">
        <v>562</v>
      </c>
      <c r="P1378" s="138" t="s">
        <v>1182</v>
      </c>
      <c r="Q1378" s="138">
        <v>225</v>
      </c>
      <c r="R1378" s="138">
        <v>1</v>
      </c>
      <c r="S1378" s="138">
        <v>840</v>
      </c>
      <c r="T1378" s="138">
        <v>90</v>
      </c>
      <c r="U1378" s="138">
        <v>400</v>
      </c>
      <c r="V1378" s="138">
        <v>8</v>
      </c>
      <c r="W1378" s="138">
        <v>26.5</v>
      </c>
      <c r="X1378" s="138">
        <v>2.5</v>
      </c>
      <c r="Y1378" s="138">
        <v>40</v>
      </c>
      <c r="Z1378" s="138"/>
      <c r="AA1378" s="6">
        <v>164</v>
      </c>
      <c r="AB1378" s="300"/>
      <c r="AC1378" s="138"/>
      <c r="AD1378" s="138"/>
      <c r="AE1378" s="138"/>
      <c r="AF1378" s="138"/>
      <c r="AG1378" s="63">
        <v>4.13</v>
      </c>
      <c r="AH1378" s="70">
        <v>523.29517503121997</v>
      </c>
      <c r="AI1378" s="121"/>
      <c r="AJ1378" s="121"/>
      <c r="AK1378" s="121"/>
      <c r="AL1378" s="121"/>
      <c r="AM1378" s="138"/>
      <c r="AN1378" s="121">
        <f t="shared" si="298"/>
        <v>216.12090728789386</v>
      </c>
      <c r="AO1378" s="353">
        <f t="shared" si="299"/>
        <v>0</v>
      </c>
      <c r="AP1378" s="36">
        <f t="shared" si="300"/>
        <v>2.7533333333333334</v>
      </c>
      <c r="AQ1378" s="316"/>
      <c r="AR1378" s="258"/>
      <c r="AS1378" s="138"/>
      <c r="AT1378" s="138"/>
    </row>
    <row r="1379" spans="1:46" ht="12">
      <c r="A1379" s="83" t="s">
        <v>1763</v>
      </c>
      <c r="B1379" s="83" t="str">
        <f t="shared" si="290"/>
        <v>SiO2</v>
      </c>
      <c r="C1379" s="329">
        <f t="shared" si="291"/>
        <v>0</v>
      </c>
      <c r="D1379" s="168">
        <f t="shared" si="292"/>
        <v>437.83374003634901</v>
      </c>
      <c r="E1379" s="139">
        <f t="shared" si="293"/>
        <v>0</v>
      </c>
      <c r="F1379" s="139">
        <f t="shared" si="294"/>
        <v>0</v>
      </c>
      <c r="G1379" s="168">
        <f t="shared" si="295"/>
        <v>193.52251309606626</v>
      </c>
      <c r="H1379" s="150">
        <f t="shared" si="297"/>
        <v>0</v>
      </c>
      <c r="I1379" s="168">
        <f t="shared" si="296"/>
        <v>0</v>
      </c>
      <c r="J1379" s="138"/>
      <c r="K1379" s="138" t="s">
        <v>1757</v>
      </c>
      <c r="L1379" s="138"/>
      <c r="M1379" s="316"/>
      <c r="N1379" s="135">
        <v>41988</v>
      </c>
      <c r="O1379" s="138">
        <v>562</v>
      </c>
      <c r="P1379" s="138" t="s">
        <v>1182</v>
      </c>
      <c r="Q1379" s="138">
        <v>225</v>
      </c>
      <c r="R1379" s="138">
        <v>6</v>
      </c>
      <c r="S1379" s="138">
        <v>840</v>
      </c>
      <c r="T1379" s="138">
        <v>90</v>
      </c>
      <c r="U1379" s="138">
        <v>400</v>
      </c>
      <c r="V1379" s="138">
        <v>8</v>
      </c>
      <c r="W1379" s="138">
        <v>26.5</v>
      </c>
      <c r="X1379" s="138">
        <v>2.5</v>
      </c>
      <c r="Y1379" s="138">
        <v>40</v>
      </c>
      <c r="Z1379" s="138"/>
      <c r="AA1379" s="6">
        <v>164</v>
      </c>
      <c r="AB1379" s="300"/>
      <c r="AC1379" s="138"/>
      <c r="AD1379" s="138"/>
      <c r="AE1379" s="138"/>
      <c r="AF1379" s="138"/>
      <c r="AG1379" s="63">
        <v>4.42</v>
      </c>
      <c r="AH1379" s="70">
        <v>437.83374003634901</v>
      </c>
      <c r="AI1379" s="121"/>
      <c r="AJ1379" s="121"/>
      <c r="AK1379" s="121"/>
      <c r="AL1379" s="121"/>
      <c r="AM1379" s="138"/>
      <c r="AN1379" s="121">
        <f t="shared" si="298"/>
        <v>193.52251309606626</v>
      </c>
      <c r="AO1379" s="353">
        <f t="shared" si="299"/>
        <v>0</v>
      </c>
      <c r="AP1379" s="36">
        <f t="shared" si="300"/>
        <v>2.9466666666666668</v>
      </c>
      <c r="AQ1379" s="316"/>
      <c r="AR1379" s="258"/>
      <c r="AS1379" s="138"/>
      <c r="AT1379" s="138"/>
    </row>
    <row r="1380" spans="1:46" ht="12">
      <c r="A1380" s="83" t="s">
        <v>1764</v>
      </c>
      <c r="B1380" s="83" t="str">
        <f t="shared" si="290"/>
        <v>SiO2</v>
      </c>
      <c r="C1380" s="329">
        <f t="shared" si="291"/>
        <v>0</v>
      </c>
      <c r="D1380" s="168">
        <f t="shared" si="292"/>
        <v>0</v>
      </c>
      <c r="E1380" s="139">
        <f t="shared" si="293"/>
        <v>0</v>
      </c>
      <c r="F1380" s="139">
        <f t="shared" si="294"/>
        <v>0</v>
      </c>
      <c r="G1380" s="168">
        <f t="shared" si="295"/>
        <v>0</v>
      </c>
      <c r="H1380" s="150">
        <f t="shared" si="297"/>
        <v>0</v>
      </c>
      <c r="I1380" s="168">
        <f t="shared" si="296"/>
        <v>0</v>
      </c>
      <c r="J1380" s="138"/>
      <c r="K1380" s="138" t="s">
        <v>1765</v>
      </c>
      <c r="L1380" s="138"/>
      <c r="M1380" s="316"/>
      <c r="N1380" s="135">
        <v>41989</v>
      </c>
      <c r="O1380" s="138">
        <v>563</v>
      </c>
      <c r="P1380" s="138" t="s">
        <v>1182</v>
      </c>
      <c r="Q1380" s="138">
        <v>225</v>
      </c>
      <c r="R1380" s="138">
        <v>1</v>
      </c>
      <c r="S1380" s="138">
        <v>840</v>
      </c>
      <c r="T1380" s="138">
        <v>90</v>
      </c>
      <c r="U1380" s="138">
        <v>400</v>
      </c>
      <c r="V1380" s="138">
        <v>8</v>
      </c>
      <c r="W1380" s="138">
        <v>26.5</v>
      </c>
      <c r="X1380" s="138">
        <v>2.5</v>
      </c>
      <c r="Y1380" s="138">
        <v>40</v>
      </c>
      <c r="Z1380" s="138"/>
      <c r="AA1380" s="6"/>
      <c r="AB1380" s="300"/>
      <c r="AC1380" s="138"/>
      <c r="AD1380" s="138"/>
      <c r="AE1380" s="138"/>
      <c r="AF1380" s="138"/>
      <c r="AG1380" s="63"/>
      <c r="AH1380" s="70"/>
      <c r="AI1380" s="121"/>
      <c r="AJ1380" s="121"/>
      <c r="AK1380" s="121"/>
      <c r="AL1380" s="121"/>
      <c r="AM1380" s="138"/>
      <c r="AN1380" s="121">
        <f t="shared" si="298"/>
        <v>0</v>
      </c>
      <c r="AO1380" s="353">
        <f t="shared" si="299"/>
        <v>0</v>
      </c>
      <c r="AP1380" s="36">
        <f t="shared" si="300"/>
        <v>0</v>
      </c>
      <c r="AQ1380" s="316"/>
      <c r="AR1380" s="258"/>
      <c r="AS1380" s="138"/>
      <c r="AT1380" s="138"/>
    </row>
    <row r="1381" spans="1:46" ht="12">
      <c r="A1381" s="83" t="s">
        <v>1766</v>
      </c>
      <c r="B1381" s="83" t="str">
        <f t="shared" si="290"/>
        <v>SiO2</v>
      </c>
      <c r="C1381" s="329">
        <f t="shared" si="291"/>
        <v>0</v>
      </c>
      <c r="D1381" s="168">
        <f t="shared" si="292"/>
        <v>0</v>
      </c>
      <c r="E1381" s="139">
        <f t="shared" si="293"/>
        <v>0</v>
      </c>
      <c r="F1381" s="139">
        <f t="shared" si="294"/>
        <v>0</v>
      </c>
      <c r="G1381" s="168">
        <f t="shared" si="295"/>
        <v>0</v>
      </c>
      <c r="H1381" s="150">
        <f t="shared" si="297"/>
        <v>0</v>
      </c>
      <c r="I1381" s="168">
        <f t="shared" si="296"/>
        <v>0</v>
      </c>
      <c r="J1381" s="138"/>
      <c r="K1381" s="138" t="s">
        <v>1765</v>
      </c>
      <c r="L1381" s="138"/>
      <c r="M1381" s="316"/>
      <c r="N1381" s="135">
        <v>41989</v>
      </c>
      <c r="O1381" s="138">
        <v>563</v>
      </c>
      <c r="P1381" s="138" t="s">
        <v>1182</v>
      </c>
      <c r="Q1381" s="138">
        <v>225</v>
      </c>
      <c r="R1381" s="138">
        <v>6</v>
      </c>
      <c r="S1381" s="138">
        <v>840</v>
      </c>
      <c r="T1381" s="138">
        <v>90</v>
      </c>
      <c r="U1381" s="138">
        <v>400</v>
      </c>
      <c r="V1381" s="138">
        <v>8</v>
      </c>
      <c r="W1381" s="138">
        <v>26.5</v>
      </c>
      <c r="X1381" s="138">
        <v>2.5</v>
      </c>
      <c r="Y1381" s="138">
        <v>40</v>
      </c>
      <c r="Z1381" s="138"/>
      <c r="AA1381" s="6"/>
      <c r="AB1381" s="300"/>
      <c r="AC1381" s="138"/>
      <c r="AD1381" s="138"/>
      <c r="AE1381" s="138"/>
      <c r="AF1381" s="138"/>
      <c r="AG1381" s="63"/>
      <c r="AH1381" s="70"/>
      <c r="AI1381" s="121"/>
      <c r="AJ1381" s="121"/>
      <c r="AK1381" s="121"/>
      <c r="AL1381" s="121"/>
      <c r="AM1381" s="138"/>
      <c r="AN1381" s="121">
        <f t="shared" si="298"/>
        <v>0</v>
      </c>
      <c r="AO1381" s="353">
        <f t="shared" si="299"/>
        <v>0</v>
      </c>
      <c r="AP1381" s="36">
        <f t="shared" si="300"/>
        <v>0</v>
      </c>
      <c r="AQ1381" s="316"/>
      <c r="AR1381" s="258"/>
      <c r="AS1381" s="138"/>
      <c r="AT1381" s="138"/>
    </row>
    <row r="1382" spans="1:46" ht="12">
      <c r="A1382" s="83" t="s">
        <v>1767</v>
      </c>
      <c r="B1382" s="257">
        <f t="shared" si="290"/>
        <v>0</v>
      </c>
      <c r="C1382" s="280">
        <f t="shared" si="291"/>
        <v>0</v>
      </c>
      <c r="D1382" s="183">
        <f t="shared" si="292"/>
        <v>0</v>
      </c>
      <c r="E1382" s="96">
        <f t="shared" si="293"/>
        <v>0</v>
      </c>
      <c r="F1382" s="96">
        <f t="shared" si="294"/>
        <v>0</v>
      </c>
      <c r="G1382" s="183">
        <f t="shared" si="295"/>
        <v>0</v>
      </c>
      <c r="H1382" s="215">
        <f t="shared" si="297"/>
        <v>0</v>
      </c>
      <c r="I1382" s="183">
        <f t="shared" si="296"/>
        <v>0</v>
      </c>
      <c r="J1382" s="359"/>
      <c r="K1382" s="359"/>
      <c r="L1382" s="359"/>
      <c r="M1382" s="338"/>
      <c r="N1382" s="45"/>
      <c r="O1382" s="359"/>
      <c r="P1382" s="359"/>
      <c r="Q1382" s="359"/>
      <c r="R1382" s="359"/>
      <c r="S1382" s="359"/>
      <c r="T1382" s="359"/>
      <c r="U1382" s="359"/>
      <c r="V1382" s="359"/>
      <c r="W1382" s="359"/>
      <c r="X1382" s="359"/>
      <c r="Y1382" s="359"/>
      <c r="Z1382" s="359"/>
      <c r="AA1382" s="210"/>
      <c r="AB1382" s="248"/>
      <c r="AC1382" s="359"/>
      <c r="AD1382" s="359"/>
      <c r="AE1382" s="359"/>
      <c r="AF1382" s="359"/>
      <c r="AG1382" s="153"/>
      <c r="AH1382" s="346"/>
      <c r="AI1382" s="24"/>
      <c r="AJ1382" s="24"/>
      <c r="AK1382" s="24"/>
      <c r="AL1382" s="24"/>
      <c r="AM1382" s="359"/>
      <c r="AN1382" s="53">
        <f t="shared" si="298"/>
        <v>0</v>
      </c>
      <c r="AO1382" s="198">
        <f t="shared" si="299"/>
        <v>0</v>
      </c>
      <c r="AP1382" s="399" t="e">
        <f t="shared" si="300"/>
        <v>#DIV/0!</v>
      </c>
      <c r="AQ1382" s="338"/>
      <c r="AR1382" s="45"/>
      <c r="AS1382" s="359"/>
      <c r="AT1382" s="359"/>
    </row>
    <row r="1383" spans="1:46" ht="12">
      <c r="A1383" s="83" t="s">
        <v>1768</v>
      </c>
      <c r="B1383" s="257">
        <f t="shared" si="290"/>
        <v>0</v>
      </c>
      <c r="C1383" s="280">
        <f t="shared" si="291"/>
        <v>0</v>
      </c>
      <c r="D1383" s="183">
        <f t="shared" si="292"/>
        <v>0</v>
      </c>
      <c r="E1383" s="96">
        <f t="shared" si="293"/>
        <v>0</v>
      </c>
      <c r="F1383" s="96">
        <f t="shared" si="294"/>
        <v>0</v>
      </c>
      <c r="G1383" s="183">
        <f t="shared" si="295"/>
        <v>0</v>
      </c>
      <c r="H1383" s="215">
        <f t="shared" si="297"/>
        <v>0</v>
      </c>
      <c r="I1383" s="183">
        <f t="shared" si="296"/>
        <v>0</v>
      </c>
      <c r="J1383" s="359"/>
      <c r="K1383" s="359"/>
      <c r="L1383" s="359"/>
      <c r="M1383" s="338"/>
      <c r="N1383" s="45"/>
      <c r="O1383" s="359"/>
      <c r="P1383" s="359"/>
      <c r="Q1383" s="359"/>
      <c r="R1383" s="359"/>
      <c r="S1383" s="359"/>
      <c r="T1383" s="359"/>
      <c r="U1383" s="359"/>
      <c r="V1383" s="359"/>
      <c r="W1383" s="359"/>
      <c r="X1383" s="359"/>
      <c r="Y1383" s="359"/>
      <c r="Z1383" s="359"/>
      <c r="AA1383" s="210"/>
      <c r="AB1383" s="248"/>
      <c r="AC1383" s="359"/>
      <c r="AD1383" s="359"/>
      <c r="AE1383" s="359"/>
      <c r="AF1383" s="359"/>
      <c r="AG1383" s="153"/>
      <c r="AH1383" s="346"/>
      <c r="AI1383" s="24"/>
      <c r="AJ1383" s="24"/>
      <c r="AK1383" s="24"/>
      <c r="AL1383" s="24"/>
      <c r="AM1383" s="359"/>
      <c r="AN1383" s="53">
        <f t="shared" si="298"/>
        <v>0</v>
      </c>
      <c r="AO1383" s="198">
        <f t="shared" si="299"/>
        <v>0</v>
      </c>
      <c r="AP1383" s="399" t="e">
        <f t="shared" si="300"/>
        <v>#DIV/0!</v>
      </c>
      <c r="AQ1383" s="338"/>
      <c r="AR1383" s="45"/>
      <c r="AS1383" s="359"/>
      <c r="AT1383" s="359"/>
    </row>
    <row r="1384" spans="1:46" ht="12">
      <c r="A1384" s="83"/>
      <c r="B1384" s="257">
        <f t="shared" si="290"/>
        <v>0</v>
      </c>
      <c r="C1384" s="280">
        <f t="shared" si="291"/>
        <v>0</v>
      </c>
      <c r="D1384" s="183">
        <f t="shared" si="292"/>
        <v>0</v>
      </c>
      <c r="E1384" s="96">
        <f t="shared" si="293"/>
        <v>0</v>
      </c>
      <c r="F1384" s="96">
        <f t="shared" si="294"/>
        <v>0</v>
      </c>
      <c r="G1384" s="183">
        <f t="shared" si="295"/>
        <v>0</v>
      </c>
      <c r="H1384" s="215">
        <f t="shared" si="297"/>
        <v>0</v>
      </c>
      <c r="I1384" s="183">
        <f t="shared" si="296"/>
        <v>0</v>
      </c>
      <c r="J1384" s="359"/>
      <c r="K1384" s="359"/>
      <c r="L1384" s="359"/>
      <c r="M1384" s="338"/>
      <c r="N1384" s="45"/>
      <c r="O1384" s="359"/>
      <c r="P1384" s="359"/>
      <c r="Q1384" s="359"/>
      <c r="R1384" s="359"/>
      <c r="S1384" s="359"/>
      <c r="T1384" s="359"/>
      <c r="U1384" s="359"/>
      <c r="V1384" s="359"/>
      <c r="W1384" s="359"/>
      <c r="X1384" s="359"/>
      <c r="Y1384" s="359"/>
      <c r="Z1384" s="359"/>
      <c r="AA1384" s="210"/>
      <c r="AB1384" s="248"/>
      <c r="AC1384" s="359"/>
      <c r="AD1384" s="359"/>
      <c r="AE1384" s="359"/>
      <c r="AF1384" s="359"/>
      <c r="AG1384" s="153"/>
      <c r="AH1384" s="346"/>
      <c r="AI1384" s="24"/>
      <c r="AJ1384" s="24"/>
      <c r="AK1384" s="24"/>
      <c r="AL1384" s="24"/>
      <c r="AM1384" s="359"/>
      <c r="AN1384" s="53">
        <f t="shared" si="298"/>
        <v>0</v>
      </c>
      <c r="AO1384" s="198">
        <f t="shared" si="299"/>
        <v>0</v>
      </c>
      <c r="AP1384" s="399" t="e">
        <f t="shared" si="300"/>
        <v>#DIV/0!</v>
      </c>
      <c r="AQ1384" s="338"/>
      <c r="AR1384" s="45"/>
      <c r="AS1384" s="359"/>
      <c r="AT1384" s="359"/>
    </row>
    <row r="1428" spans="39:39" ht="12.75" customHeight="1"/>
    <row r="1462" spans="59:59" ht="12.75" customHeight="1"/>
    <row r="1482" spans="1:1" ht="12.75" customHeight="1"/>
    <row r="1497" spans="59:59" ht="12.75" customHeight="1"/>
  </sheetData>
  <mergeCells count="9">
    <mergeCell ref="M1:M2"/>
    <mergeCell ref="N1:Y1"/>
    <mergeCell ref="AB1:AF1"/>
    <mergeCell ref="AH1:AO1"/>
    <mergeCell ref="A1:A2"/>
    <mergeCell ref="B1:I1"/>
    <mergeCell ref="J1:J2"/>
    <mergeCell ref="K1:K2"/>
    <mergeCell ref="L1:L2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workbookViewId="0"/>
  </sheetViews>
  <sheetFormatPr baseColWidth="10" defaultColWidth="17.1640625" defaultRowHeight="12.75" customHeight="1" x14ac:dyDescent="0"/>
  <cols>
    <col min="8" max="8" width="21.5" customWidth="1"/>
  </cols>
  <sheetData>
    <row r="1" spans="1:8" ht="12.75" customHeight="1">
      <c r="A1" t="s">
        <v>2195</v>
      </c>
      <c r="B1" t="s">
        <v>12</v>
      </c>
      <c r="C1" t="s">
        <v>2231</v>
      </c>
      <c r="D1" t="s">
        <v>2232</v>
      </c>
      <c r="E1" t="s">
        <v>2233</v>
      </c>
      <c r="F1" s="275" t="s">
        <v>2234</v>
      </c>
      <c r="G1" s="275" t="s">
        <v>2235</v>
      </c>
      <c r="H1" t="s">
        <v>2236</v>
      </c>
    </row>
    <row r="2" spans="1:8" ht="12.75" customHeight="1">
      <c r="A2" t="s">
        <v>1791</v>
      </c>
      <c r="B2">
        <v>8.8784561370000006</v>
      </c>
      <c r="C2">
        <v>1.409361182</v>
      </c>
      <c r="D2" t="e">
        <f>VLOOKUP(A2,'Quick View_ Sample Data'!$A$3:$AM$699,22)</f>
        <v>#N/A</v>
      </c>
      <c r="E2" t="e">
        <f>VLOOKUP(A2,'Quick View_ Sample Data'!$A$3:$AM$699,23)</f>
        <v>#N/A</v>
      </c>
      <c r="F2" s="275" t="e">
        <f t="shared" ref="F2:F65" si="0">ABS((D2-B2))/B2</f>
        <v>#N/A</v>
      </c>
      <c r="G2" s="275" t="e">
        <f t="shared" ref="G2:G65" si="1">ABS((E2-C2))/E2</f>
        <v>#N/A</v>
      </c>
      <c r="H2" t="e">
        <f t="shared" ref="H2:H33" si="2">IF((F2&lt;0.02),C2,)</f>
        <v>#N/A</v>
      </c>
    </row>
    <row r="3" spans="1:8" ht="12.75" customHeight="1">
      <c r="A3" t="s">
        <v>1792</v>
      </c>
      <c r="B3" t="s">
        <v>2237</v>
      </c>
      <c r="C3">
        <v>1.4210202830000001</v>
      </c>
      <c r="D3" t="e">
        <f>VLOOKUP(A3,'Quick View_ Sample Data'!$A$3:$AM$699,22)</f>
        <v>#N/A</v>
      </c>
      <c r="E3" t="e">
        <f>VLOOKUP(A3,'Quick View_ Sample Data'!$A$3:$AM$699,23)</f>
        <v>#N/A</v>
      </c>
      <c r="F3" s="275" t="e">
        <f t="shared" si="0"/>
        <v>#N/A</v>
      </c>
      <c r="G3" s="275" t="e">
        <f t="shared" si="1"/>
        <v>#N/A</v>
      </c>
      <c r="H3" t="e">
        <f t="shared" si="2"/>
        <v>#N/A</v>
      </c>
    </row>
    <row r="4" spans="1:8" ht="12.75" customHeight="1">
      <c r="A4" t="s">
        <v>1793</v>
      </c>
      <c r="B4">
        <v>9.1679908609999998</v>
      </c>
      <c r="C4">
        <v>1.3299848320000001</v>
      </c>
      <c r="D4" t="e">
        <f>VLOOKUP(A4,'Quick View_ Sample Data'!$A$3:$AM$699,22)</f>
        <v>#N/A</v>
      </c>
      <c r="E4" t="e">
        <f>VLOOKUP(A4,'Quick View_ Sample Data'!$A$3:$AM$699,23)</f>
        <v>#N/A</v>
      </c>
      <c r="F4" s="275" t="e">
        <f t="shared" si="0"/>
        <v>#N/A</v>
      </c>
      <c r="G4" s="275" t="e">
        <f t="shared" si="1"/>
        <v>#N/A</v>
      </c>
      <c r="H4" t="e">
        <f t="shared" si="2"/>
        <v>#N/A</v>
      </c>
    </row>
    <row r="5" spans="1:8" ht="12.75" customHeight="1">
      <c r="A5" t="s">
        <v>1794</v>
      </c>
      <c r="B5">
        <v>9.0115541149999991</v>
      </c>
      <c r="C5">
        <v>1.401256144</v>
      </c>
      <c r="D5" t="e">
        <f>VLOOKUP(A5,'Quick View_ Sample Data'!$A$3:$AM$699,22)</f>
        <v>#N/A</v>
      </c>
      <c r="E5" t="e">
        <f>VLOOKUP(A5,'Quick View_ Sample Data'!$A$3:$AM$699,23)</f>
        <v>#N/A</v>
      </c>
      <c r="F5" s="275" t="e">
        <f t="shared" si="0"/>
        <v>#N/A</v>
      </c>
      <c r="G5" s="275" t="e">
        <f t="shared" si="1"/>
        <v>#N/A</v>
      </c>
      <c r="H5" t="e">
        <f t="shared" si="2"/>
        <v>#N/A</v>
      </c>
    </row>
    <row r="6" spans="1:8" ht="12.75" customHeight="1">
      <c r="A6" t="s">
        <v>1795</v>
      </c>
      <c r="B6">
        <v>14.17604296</v>
      </c>
      <c r="C6">
        <v>0.58877854100000004</v>
      </c>
      <c r="D6" t="e">
        <f>VLOOKUP(A6,'Quick View_ Sample Data'!$A$3:$AM$699,22)</f>
        <v>#N/A</v>
      </c>
      <c r="E6" t="e">
        <f>VLOOKUP(A6,'Quick View_ Sample Data'!$A$3:$AM$699,23)</f>
        <v>#N/A</v>
      </c>
      <c r="F6" s="275" t="e">
        <f t="shared" si="0"/>
        <v>#N/A</v>
      </c>
      <c r="G6" s="275" t="e">
        <f t="shared" si="1"/>
        <v>#N/A</v>
      </c>
      <c r="H6" t="e">
        <f t="shared" si="2"/>
        <v>#N/A</v>
      </c>
    </row>
    <row r="7" spans="1:8" ht="12.75" customHeight="1">
      <c r="A7" t="s">
        <v>1795</v>
      </c>
      <c r="B7">
        <v>14.1663988</v>
      </c>
      <c r="C7">
        <v>0.58613135800000005</v>
      </c>
      <c r="D7" t="e">
        <f>VLOOKUP(A7,'Quick View_ Sample Data'!$A$3:$AM$699,22)</f>
        <v>#N/A</v>
      </c>
      <c r="E7" t="e">
        <f>VLOOKUP(A7,'Quick View_ Sample Data'!$A$3:$AM$699,23)</f>
        <v>#N/A</v>
      </c>
      <c r="F7" s="275" t="e">
        <f t="shared" si="0"/>
        <v>#N/A</v>
      </c>
      <c r="G7" s="275" t="e">
        <f t="shared" si="1"/>
        <v>#N/A</v>
      </c>
      <c r="H7" t="e">
        <f t="shared" si="2"/>
        <v>#N/A</v>
      </c>
    </row>
    <row r="8" spans="1:8" ht="12.75" customHeight="1">
      <c r="A8" t="s">
        <v>1796</v>
      </c>
      <c r="B8">
        <v>13.9760011</v>
      </c>
      <c r="C8">
        <v>0.75487364899999998</v>
      </c>
      <c r="D8" t="e">
        <f>VLOOKUP(A8,'Quick View_ Sample Data'!$A$3:$AM$699,22)</f>
        <v>#N/A</v>
      </c>
      <c r="E8" t="e">
        <f>VLOOKUP(A8,'Quick View_ Sample Data'!$A$3:$AM$699,23)</f>
        <v>#N/A</v>
      </c>
      <c r="F8" s="275" t="e">
        <f t="shared" si="0"/>
        <v>#N/A</v>
      </c>
      <c r="G8" s="275" t="e">
        <f t="shared" si="1"/>
        <v>#N/A</v>
      </c>
      <c r="H8" t="e">
        <f t="shared" si="2"/>
        <v>#N/A</v>
      </c>
    </row>
    <row r="9" spans="1:8" ht="12.75" customHeight="1">
      <c r="A9" t="s">
        <v>1797</v>
      </c>
      <c r="B9">
        <v>13.5439197</v>
      </c>
      <c r="C9">
        <v>0.72938707599999997</v>
      </c>
      <c r="D9" t="e">
        <f>VLOOKUP(A9,'Quick View_ Sample Data'!$A$3:$AM$699,22)</f>
        <v>#N/A</v>
      </c>
      <c r="E9" t="e">
        <f>VLOOKUP(A9,'Quick View_ Sample Data'!$A$3:$AM$699,23)</f>
        <v>#N/A</v>
      </c>
      <c r="F9" s="275" t="e">
        <f t="shared" si="0"/>
        <v>#N/A</v>
      </c>
      <c r="G9" s="275" t="e">
        <f t="shared" si="1"/>
        <v>#N/A</v>
      </c>
      <c r="H9" t="e">
        <f t="shared" si="2"/>
        <v>#N/A</v>
      </c>
    </row>
    <row r="10" spans="1:8" ht="12.75" customHeight="1">
      <c r="A10" t="s">
        <v>1797</v>
      </c>
      <c r="B10">
        <v>13.53805916</v>
      </c>
      <c r="C10">
        <v>0.74264508299999998</v>
      </c>
      <c r="D10" t="e">
        <f>VLOOKUP(A10,'Quick View_ Sample Data'!$A$3:$AM$699,22)</f>
        <v>#N/A</v>
      </c>
      <c r="E10" t="e">
        <f>VLOOKUP(A10,'Quick View_ Sample Data'!$A$3:$AM$699,23)</f>
        <v>#N/A</v>
      </c>
      <c r="F10" s="275" t="e">
        <f t="shared" si="0"/>
        <v>#N/A</v>
      </c>
      <c r="G10" s="275" t="e">
        <f t="shared" si="1"/>
        <v>#N/A</v>
      </c>
      <c r="H10" t="e">
        <f t="shared" si="2"/>
        <v>#N/A</v>
      </c>
    </row>
    <row r="11" spans="1:8" ht="12.75" customHeight="1">
      <c r="A11" t="s">
        <v>1798</v>
      </c>
      <c r="B11">
        <v>13.503175929999999</v>
      </c>
      <c r="C11">
        <v>0.71750703400000004</v>
      </c>
      <c r="D11" t="e">
        <f>VLOOKUP(A11,'Quick View_ Sample Data'!$A$3:$AM$699,22)</f>
        <v>#N/A</v>
      </c>
      <c r="E11" t="e">
        <f>VLOOKUP(A11,'Quick View_ Sample Data'!$A$3:$AM$699,23)</f>
        <v>#N/A</v>
      </c>
      <c r="F11" s="275" t="e">
        <f t="shared" si="0"/>
        <v>#N/A</v>
      </c>
      <c r="G11" s="275" t="e">
        <f t="shared" si="1"/>
        <v>#N/A</v>
      </c>
      <c r="H11" t="e">
        <f t="shared" si="2"/>
        <v>#N/A</v>
      </c>
    </row>
    <row r="12" spans="1:8" ht="12.75" customHeight="1">
      <c r="A12" t="s">
        <v>1798</v>
      </c>
      <c r="B12">
        <v>13.51639316</v>
      </c>
      <c r="C12">
        <v>0.71823151600000001</v>
      </c>
      <c r="D12" t="e">
        <f>VLOOKUP(A12,'Quick View_ Sample Data'!$A$3:$AM$699,22)</f>
        <v>#N/A</v>
      </c>
      <c r="E12" t="e">
        <f>VLOOKUP(A12,'Quick View_ Sample Data'!$A$3:$AM$699,23)</f>
        <v>#N/A</v>
      </c>
      <c r="F12" s="275" t="e">
        <f t="shared" si="0"/>
        <v>#N/A</v>
      </c>
      <c r="G12" s="275" t="e">
        <f t="shared" si="1"/>
        <v>#N/A</v>
      </c>
      <c r="H12" t="e">
        <f t="shared" si="2"/>
        <v>#N/A</v>
      </c>
    </row>
    <row r="13" spans="1:8" ht="12.75" customHeight="1">
      <c r="A13" t="s">
        <v>1798</v>
      </c>
      <c r="B13">
        <v>13.49850603</v>
      </c>
      <c r="C13">
        <v>0.71309863100000004</v>
      </c>
      <c r="D13" t="e">
        <f>VLOOKUP(A13,'Quick View_ Sample Data'!$A$3:$AM$699,22)</f>
        <v>#N/A</v>
      </c>
      <c r="E13" t="e">
        <f>VLOOKUP(A13,'Quick View_ Sample Data'!$A$3:$AM$699,23)</f>
        <v>#N/A</v>
      </c>
      <c r="F13" s="275" t="e">
        <f t="shared" si="0"/>
        <v>#N/A</v>
      </c>
      <c r="G13" s="275" t="e">
        <f t="shared" si="1"/>
        <v>#N/A</v>
      </c>
      <c r="H13" t="e">
        <f t="shared" si="2"/>
        <v>#N/A</v>
      </c>
    </row>
    <row r="14" spans="1:8" ht="12.75" customHeight="1">
      <c r="A14" t="s">
        <v>44</v>
      </c>
      <c r="B14">
        <v>7.6990941739999998</v>
      </c>
      <c r="C14">
        <v>2.1400282380000002</v>
      </c>
      <c r="D14">
        <f>VLOOKUP(A14,'Quick View_ Sample Data'!$A$3:$AM$699,22)</f>
        <v>0</v>
      </c>
      <c r="E14">
        <f>VLOOKUP(A14,'Quick View_ Sample Data'!$A$3:$AM$699,23)</f>
        <v>0</v>
      </c>
      <c r="F14" s="275">
        <f t="shared" si="0"/>
        <v>1</v>
      </c>
      <c r="G14" s="275" t="e">
        <f t="shared" si="1"/>
        <v>#DIV/0!</v>
      </c>
      <c r="H14">
        <f t="shared" si="2"/>
        <v>0</v>
      </c>
    </row>
    <row r="15" spans="1:8" ht="12.75" customHeight="1">
      <c r="A15" t="s">
        <v>51</v>
      </c>
      <c r="B15">
        <v>11.23546683</v>
      </c>
      <c r="C15">
        <v>1.2506310789999999</v>
      </c>
      <c r="D15">
        <f>VLOOKUP(A15,'Quick View_ Sample Data'!$A$3:$AM$699,22)</f>
        <v>0</v>
      </c>
      <c r="E15">
        <f>VLOOKUP(A15,'Quick View_ Sample Data'!$A$3:$AM$699,23)</f>
        <v>0</v>
      </c>
      <c r="F15" s="275">
        <f t="shared" si="0"/>
        <v>1</v>
      </c>
      <c r="G15" s="275" t="e">
        <f t="shared" si="1"/>
        <v>#DIV/0!</v>
      </c>
      <c r="H15">
        <f t="shared" si="2"/>
        <v>0</v>
      </c>
    </row>
    <row r="16" spans="1:8" ht="12.75" customHeight="1">
      <c r="A16" t="s">
        <v>59</v>
      </c>
      <c r="B16">
        <v>12.40441699</v>
      </c>
      <c r="C16">
        <v>1.1084423670000001</v>
      </c>
      <c r="D16">
        <f>VLOOKUP(A16,'Quick View_ Sample Data'!$A$3:$AM$699,22)</f>
        <v>0</v>
      </c>
      <c r="E16">
        <f>VLOOKUP(A16,'Quick View_ Sample Data'!$A$3:$AM$699,23)</f>
        <v>0</v>
      </c>
      <c r="F16" s="275">
        <f t="shared" si="0"/>
        <v>1</v>
      </c>
      <c r="G16" s="275" t="e">
        <f t="shared" si="1"/>
        <v>#DIV/0!</v>
      </c>
      <c r="H16">
        <f t="shared" si="2"/>
        <v>0</v>
      </c>
    </row>
    <row r="17" spans="1:8" ht="12.75" customHeight="1">
      <c r="A17" t="s">
        <v>63</v>
      </c>
      <c r="B17">
        <v>11.95082815</v>
      </c>
      <c r="C17">
        <v>1.4111313320000001</v>
      </c>
      <c r="D17">
        <f>VLOOKUP(A17,'Quick View_ Sample Data'!$A$3:$AM$699,22)</f>
        <v>0</v>
      </c>
      <c r="E17">
        <f>VLOOKUP(A17,'Quick View_ Sample Data'!$A$3:$AM$699,23)</f>
        <v>0</v>
      </c>
      <c r="F17" s="275">
        <f t="shared" si="0"/>
        <v>1</v>
      </c>
      <c r="G17" s="275" t="e">
        <f t="shared" si="1"/>
        <v>#DIV/0!</v>
      </c>
      <c r="H17">
        <f t="shared" si="2"/>
        <v>0</v>
      </c>
    </row>
    <row r="18" spans="1:8" ht="12.75" customHeight="1">
      <c r="A18" t="s">
        <v>66</v>
      </c>
      <c r="B18">
        <v>11.811855810000001</v>
      </c>
      <c r="C18">
        <v>1.34550726</v>
      </c>
      <c r="D18">
        <f>VLOOKUP(A18,'Quick View_ Sample Data'!$A$3:$AM$699,22)</f>
        <v>0</v>
      </c>
      <c r="E18">
        <f>VLOOKUP(A18,'Quick View_ Sample Data'!$A$3:$AM$699,23)</f>
        <v>0</v>
      </c>
      <c r="F18" s="275">
        <f t="shared" si="0"/>
        <v>1</v>
      </c>
      <c r="G18" s="275" t="e">
        <f t="shared" si="1"/>
        <v>#DIV/0!</v>
      </c>
      <c r="H18">
        <f t="shared" si="2"/>
        <v>0</v>
      </c>
    </row>
    <row r="19" spans="1:8" ht="12.75" customHeight="1">
      <c r="A19" t="s">
        <v>68</v>
      </c>
      <c r="B19">
        <v>11.347696109999999</v>
      </c>
      <c r="C19">
        <v>1.7115316920000001</v>
      </c>
      <c r="D19">
        <f>VLOOKUP(A19,'Quick View_ Sample Data'!$A$3:$AM$699,22)</f>
        <v>0</v>
      </c>
      <c r="E19">
        <f>VLOOKUP(A19,'Quick View_ Sample Data'!$A$3:$AM$699,23)</f>
        <v>0</v>
      </c>
      <c r="F19" s="275">
        <f t="shared" si="0"/>
        <v>1</v>
      </c>
      <c r="G19" s="275" t="e">
        <f t="shared" si="1"/>
        <v>#DIV/0!</v>
      </c>
      <c r="H19">
        <f t="shared" si="2"/>
        <v>0</v>
      </c>
    </row>
    <row r="20" spans="1:8" ht="12.75" customHeight="1">
      <c r="A20" t="s">
        <v>69</v>
      </c>
      <c r="B20">
        <v>11.603948300000001</v>
      </c>
      <c r="C20">
        <v>1.9294530889999999</v>
      </c>
      <c r="D20">
        <f>VLOOKUP(A20,'Quick View_ Sample Data'!$A$3:$AM$699,22)</f>
        <v>0</v>
      </c>
      <c r="E20">
        <f>VLOOKUP(A20,'Quick View_ Sample Data'!$A$3:$AM$699,23)</f>
        <v>0</v>
      </c>
      <c r="F20" s="275">
        <f t="shared" si="0"/>
        <v>1</v>
      </c>
      <c r="G20" s="275" t="e">
        <f t="shared" si="1"/>
        <v>#DIV/0!</v>
      </c>
      <c r="H20">
        <f t="shared" si="2"/>
        <v>0</v>
      </c>
    </row>
    <row r="21" spans="1:8" ht="12.75" customHeight="1">
      <c r="A21" t="s">
        <v>69</v>
      </c>
      <c r="B21">
        <v>11.467446150000001</v>
      </c>
      <c r="C21">
        <v>0.65226086900000002</v>
      </c>
      <c r="D21">
        <f>VLOOKUP(A21,'Quick View_ Sample Data'!$A$3:$AM$699,22)</f>
        <v>0</v>
      </c>
      <c r="E21">
        <f>VLOOKUP(A21,'Quick View_ Sample Data'!$A$3:$AM$699,23)</f>
        <v>0</v>
      </c>
      <c r="F21" s="275">
        <f t="shared" si="0"/>
        <v>1</v>
      </c>
      <c r="G21" s="275" t="e">
        <f t="shared" si="1"/>
        <v>#DIV/0!</v>
      </c>
      <c r="H21">
        <f t="shared" si="2"/>
        <v>0</v>
      </c>
    </row>
    <row r="22" spans="1:8" ht="12.75" customHeight="1">
      <c r="A22" t="s">
        <v>70</v>
      </c>
      <c r="B22">
        <v>11.4365398</v>
      </c>
      <c r="C22">
        <v>1.863820222</v>
      </c>
      <c r="D22">
        <f>VLOOKUP(A22,'Quick View_ Sample Data'!$A$3:$AM$699,22)</f>
        <v>0</v>
      </c>
      <c r="E22">
        <f>VLOOKUP(A22,'Quick View_ Sample Data'!$A$3:$AM$699,23)</f>
        <v>0</v>
      </c>
      <c r="F22" s="275">
        <f t="shared" si="0"/>
        <v>1</v>
      </c>
      <c r="G22" s="275" t="e">
        <f t="shared" si="1"/>
        <v>#DIV/0!</v>
      </c>
      <c r="H22">
        <f t="shared" si="2"/>
        <v>0</v>
      </c>
    </row>
    <row r="23" spans="1:8" ht="12.75" customHeight="1">
      <c r="A23" t="s">
        <v>2238</v>
      </c>
      <c r="B23">
        <v>15.598721919999999</v>
      </c>
      <c r="C23">
        <v>0.22082311199999999</v>
      </c>
      <c r="D23">
        <f>VLOOKUP(A23,'Quick View_ Sample Data'!$A$3:$AM$699,22)</f>
        <v>0</v>
      </c>
      <c r="E23">
        <f>VLOOKUP(A23,'Quick View_ Sample Data'!$A$3:$AM$699,23)</f>
        <v>0</v>
      </c>
      <c r="F23" s="275">
        <f t="shared" si="0"/>
        <v>1</v>
      </c>
      <c r="G23" s="275" t="e">
        <f t="shared" si="1"/>
        <v>#DIV/0!</v>
      </c>
      <c r="H23">
        <f t="shared" si="2"/>
        <v>0</v>
      </c>
    </row>
    <row r="24" spans="1:8" ht="12.75" customHeight="1">
      <c r="A24" t="s">
        <v>309</v>
      </c>
      <c r="B24">
        <v>10.293635950000001</v>
      </c>
      <c r="C24">
        <v>0.73792186100000001</v>
      </c>
      <c r="D24">
        <f>VLOOKUP(A24,'Quick View_ Sample Data'!$A$3:$AM$699,22)</f>
        <v>0</v>
      </c>
      <c r="E24">
        <f>VLOOKUP(A24,'Quick View_ Sample Data'!$A$3:$AM$699,23)</f>
        <v>0</v>
      </c>
      <c r="F24" s="275">
        <f t="shared" si="0"/>
        <v>1</v>
      </c>
      <c r="G24" s="275" t="e">
        <f t="shared" si="1"/>
        <v>#DIV/0!</v>
      </c>
      <c r="H24">
        <f t="shared" si="2"/>
        <v>0</v>
      </c>
    </row>
    <row r="25" spans="1:8" ht="12.75" customHeight="1">
      <c r="A25" t="s">
        <v>324</v>
      </c>
      <c r="B25">
        <v>8.1813825100000006</v>
      </c>
      <c r="C25">
        <v>1.4896469670000001</v>
      </c>
      <c r="D25">
        <f>VLOOKUP(A25,'Quick View_ Sample Data'!$A$3:$AM$699,22)</f>
        <v>0</v>
      </c>
      <c r="E25">
        <f>VLOOKUP(A25,'Quick View_ Sample Data'!$A$3:$AM$699,23)</f>
        <v>0</v>
      </c>
      <c r="F25" s="275">
        <f t="shared" si="0"/>
        <v>1</v>
      </c>
      <c r="G25" s="275" t="e">
        <f t="shared" si="1"/>
        <v>#DIV/0!</v>
      </c>
      <c r="H25">
        <f t="shared" si="2"/>
        <v>0</v>
      </c>
    </row>
    <row r="26" spans="1:8" ht="12.75" customHeight="1">
      <c r="A26" t="s">
        <v>324</v>
      </c>
      <c r="B26">
        <v>8.1820794909999996</v>
      </c>
      <c r="C26">
        <v>1.468530549</v>
      </c>
      <c r="D26">
        <f>VLOOKUP(A26,'Quick View_ Sample Data'!$A$3:$AM$699,22)</f>
        <v>0</v>
      </c>
      <c r="E26">
        <f>VLOOKUP(A26,'Quick View_ Sample Data'!$A$3:$AM$699,23)</f>
        <v>0</v>
      </c>
      <c r="F26" s="275">
        <f t="shared" si="0"/>
        <v>1</v>
      </c>
      <c r="G26" s="275" t="e">
        <f t="shared" si="1"/>
        <v>#DIV/0!</v>
      </c>
      <c r="H26">
        <f t="shared" si="2"/>
        <v>0</v>
      </c>
    </row>
    <row r="27" spans="1:8" ht="12.75" customHeight="1">
      <c r="A27" t="s">
        <v>324</v>
      </c>
      <c r="B27">
        <v>8.1784159239999994</v>
      </c>
      <c r="C27">
        <v>1.5258873740000001</v>
      </c>
      <c r="D27">
        <f>VLOOKUP(A27,'Quick View_ Sample Data'!$A$3:$AM$699,22)</f>
        <v>0</v>
      </c>
      <c r="E27">
        <f>VLOOKUP(A27,'Quick View_ Sample Data'!$A$3:$AM$699,23)</f>
        <v>0</v>
      </c>
      <c r="F27" s="275">
        <f t="shared" si="0"/>
        <v>1</v>
      </c>
      <c r="G27" s="275" t="e">
        <f t="shared" si="1"/>
        <v>#DIV/0!</v>
      </c>
      <c r="H27">
        <f t="shared" si="2"/>
        <v>0</v>
      </c>
    </row>
    <row r="28" spans="1:8" ht="12.75" customHeight="1">
      <c r="A28" t="s">
        <v>1800</v>
      </c>
      <c r="B28">
        <v>10.801352290000001</v>
      </c>
      <c r="C28">
        <v>1.150585161</v>
      </c>
      <c r="D28">
        <f>VLOOKUP(A28,'Quick View_ Sample Data'!$A$3:$AM$699,22)</f>
        <v>0</v>
      </c>
      <c r="E28">
        <f>VLOOKUP(A28,'Quick View_ Sample Data'!$A$3:$AM$699,23)</f>
        <v>0</v>
      </c>
      <c r="F28" s="275">
        <f t="shared" si="0"/>
        <v>1</v>
      </c>
      <c r="G28" s="275" t="e">
        <f t="shared" si="1"/>
        <v>#DIV/0!</v>
      </c>
      <c r="H28">
        <f t="shared" si="2"/>
        <v>0</v>
      </c>
    </row>
    <row r="29" spans="1:8" ht="12.75" customHeight="1">
      <c r="A29" t="s">
        <v>1800</v>
      </c>
      <c r="B29">
        <v>10.8384444</v>
      </c>
      <c r="C29">
        <v>1.163421834</v>
      </c>
      <c r="D29">
        <f>VLOOKUP(A29,'Quick View_ Sample Data'!$A$3:$AM$699,22)</f>
        <v>0</v>
      </c>
      <c r="E29">
        <f>VLOOKUP(A29,'Quick View_ Sample Data'!$A$3:$AM$699,23)</f>
        <v>0</v>
      </c>
      <c r="F29" s="275">
        <f t="shared" si="0"/>
        <v>1</v>
      </c>
      <c r="G29" s="275" t="e">
        <f t="shared" si="1"/>
        <v>#DIV/0!</v>
      </c>
      <c r="H29">
        <f t="shared" si="2"/>
        <v>0</v>
      </c>
    </row>
    <row r="30" spans="1:8" ht="12.75" customHeight="1">
      <c r="A30" t="s">
        <v>1800</v>
      </c>
      <c r="B30">
        <v>10.808236750000001</v>
      </c>
      <c r="C30">
        <v>0.98645236999999997</v>
      </c>
      <c r="D30">
        <f>VLOOKUP(A30,'Quick View_ Sample Data'!$A$3:$AM$699,22)</f>
        <v>0</v>
      </c>
      <c r="E30">
        <f>VLOOKUP(A30,'Quick View_ Sample Data'!$A$3:$AM$699,23)</f>
        <v>0</v>
      </c>
      <c r="F30" s="275">
        <f t="shared" si="0"/>
        <v>1</v>
      </c>
      <c r="G30" s="275" t="e">
        <f t="shared" si="1"/>
        <v>#DIV/0!</v>
      </c>
      <c r="H30">
        <f t="shared" si="2"/>
        <v>0</v>
      </c>
    </row>
    <row r="31" spans="1:8" ht="12.75" customHeight="1">
      <c r="A31" t="s">
        <v>1800</v>
      </c>
      <c r="B31">
        <v>10.867337360000001</v>
      </c>
      <c r="C31">
        <v>1.1132045610000001</v>
      </c>
      <c r="D31">
        <f>VLOOKUP(A31,'Quick View_ Sample Data'!$A$3:$AM$699,22)</f>
        <v>0</v>
      </c>
      <c r="E31">
        <f>VLOOKUP(A31,'Quick View_ Sample Data'!$A$3:$AM$699,23)</f>
        <v>0</v>
      </c>
      <c r="F31" s="275">
        <f t="shared" si="0"/>
        <v>1</v>
      </c>
      <c r="G31" s="275" t="e">
        <f t="shared" si="1"/>
        <v>#DIV/0!</v>
      </c>
      <c r="H31">
        <f t="shared" si="2"/>
        <v>0</v>
      </c>
    </row>
    <row r="32" spans="1:8" ht="12.75" customHeight="1">
      <c r="A32" t="s">
        <v>1800</v>
      </c>
      <c r="B32">
        <v>10.81084111</v>
      </c>
      <c r="C32">
        <v>1.1684652360000001</v>
      </c>
      <c r="D32">
        <f>VLOOKUP(A32,'Quick View_ Sample Data'!$A$3:$AM$699,22)</f>
        <v>0</v>
      </c>
      <c r="E32">
        <f>VLOOKUP(A32,'Quick View_ Sample Data'!$A$3:$AM$699,23)</f>
        <v>0</v>
      </c>
      <c r="F32" s="275">
        <f t="shared" si="0"/>
        <v>1</v>
      </c>
      <c r="G32" s="275" t="e">
        <f t="shared" si="1"/>
        <v>#DIV/0!</v>
      </c>
      <c r="H32">
        <f t="shared" si="2"/>
        <v>0</v>
      </c>
    </row>
    <row r="33" spans="1:8" ht="12.75" customHeight="1">
      <c r="A33" t="s">
        <v>1800</v>
      </c>
      <c r="B33">
        <v>10.84171302</v>
      </c>
      <c r="C33">
        <v>0.995311536</v>
      </c>
      <c r="D33">
        <f>VLOOKUP(A33,'Quick View_ Sample Data'!$A$3:$AM$699,22)</f>
        <v>0</v>
      </c>
      <c r="E33">
        <f>VLOOKUP(A33,'Quick View_ Sample Data'!$A$3:$AM$699,23)</f>
        <v>0</v>
      </c>
      <c r="F33" s="275">
        <f t="shared" si="0"/>
        <v>1</v>
      </c>
      <c r="G33" s="275" t="e">
        <f t="shared" si="1"/>
        <v>#DIV/0!</v>
      </c>
      <c r="H33">
        <f t="shared" si="2"/>
        <v>0</v>
      </c>
    </row>
    <row r="34" spans="1:8" ht="12.75" customHeight="1">
      <c r="A34" t="s">
        <v>1800</v>
      </c>
      <c r="B34">
        <v>10.863275160000001</v>
      </c>
      <c r="C34">
        <v>1.0930979709999999</v>
      </c>
      <c r="D34">
        <f>VLOOKUP(A34,'Quick View_ Sample Data'!$A$3:$AM$699,22)</f>
        <v>0</v>
      </c>
      <c r="E34">
        <f>VLOOKUP(A34,'Quick View_ Sample Data'!$A$3:$AM$699,23)</f>
        <v>0</v>
      </c>
      <c r="F34" s="275">
        <f t="shared" si="0"/>
        <v>1</v>
      </c>
      <c r="G34" s="275" t="e">
        <f t="shared" si="1"/>
        <v>#DIV/0!</v>
      </c>
      <c r="H34">
        <f t="shared" ref="H34:H65" si="3">IF((F34&lt;0.02),C34,)</f>
        <v>0</v>
      </c>
    </row>
    <row r="35" spans="1:8" ht="12.75" customHeight="1">
      <c r="A35" t="s">
        <v>1800</v>
      </c>
      <c r="B35">
        <v>10.84877337</v>
      </c>
      <c r="C35">
        <v>1.156783731</v>
      </c>
      <c r="D35">
        <f>VLOOKUP(A35,'Quick View_ Sample Data'!$A$3:$AM$699,22)</f>
        <v>0</v>
      </c>
      <c r="E35">
        <f>VLOOKUP(A35,'Quick View_ Sample Data'!$A$3:$AM$699,23)</f>
        <v>0</v>
      </c>
      <c r="F35" s="275">
        <f t="shared" si="0"/>
        <v>1</v>
      </c>
      <c r="G35" s="275" t="e">
        <f t="shared" si="1"/>
        <v>#DIV/0!</v>
      </c>
      <c r="H35">
        <f t="shared" si="3"/>
        <v>0</v>
      </c>
    </row>
    <row r="36" spans="1:8" ht="12.75" customHeight="1">
      <c r="A36" t="s">
        <v>1800</v>
      </c>
      <c r="B36">
        <v>10.767182719999999</v>
      </c>
      <c r="C36">
        <v>1.1803910120000001</v>
      </c>
      <c r="D36">
        <f>VLOOKUP(A36,'Quick View_ Sample Data'!$A$3:$AM$699,22)</f>
        <v>0</v>
      </c>
      <c r="E36">
        <f>VLOOKUP(A36,'Quick View_ Sample Data'!$A$3:$AM$699,23)</f>
        <v>0</v>
      </c>
      <c r="F36" s="275">
        <f t="shared" si="0"/>
        <v>1</v>
      </c>
      <c r="G36" s="275" t="e">
        <f t="shared" si="1"/>
        <v>#DIV/0!</v>
      </c>
      <c r="H36">
        <f t="shared" si="3"/>
        <v>0</v>
      </c>
    </row>
    <row r="37" spans="1:8" ht="12.75" customHeight="1">
      <c r="A37" t="s">
        <v>1800</v>
      </c>
      <c r="B37">
        <v>10.791404399999999</v>
      </c>
      <c r="C37">
        <v>1.056555753</v>
      </c>
      <c r="D37">
        <f>VLOOKUP(A37,'Quick View_ Sample Data'!$A$3:$AM$699,22)</f>
        <v>0</v>
      </c>
      <c r="E37">
        <f>VLOOKUP(A37,'Quick View_ Sample Data'!$A$3:$AM$699,23)</f>
        <v>0</v>
      </c>
      <c r="F37" s="275">
        <f t="shared" si="0"/>
        <v>1</v>
      </c>
      <c r="G37" s="275" t="e">
        <f t="shared" si="1"/>
        <v>#DIV/0!</v>
      </c>
      <c r="H37">
        <f t="shared" si="3"/>
        <v>0</v>
      </c>
    </row>
    <row r="38" spans="1:8" ht="12.75" customHeight="1">
      <c r="A38" t="s">
        <v>1800</v>
      </c>
      <c r="B38">
        <v>10.80969423</v>
      </c>
      <c r="C38">
        <v>1.159904662</v>
      </c>
      <c r="D38">
        <f>VLOOKUP(A38,'Quick View_ Sample Data'!$A$3:$AM$699,22)</f>
        <v>0</v>
      </c>
      <c r="E38">
        <f>VLOOKUP(A38,'Quick View_ Sample Data'!$A$3:$AM$699,23)</f>
        <v>0</v>
      </c>
      <c r="F38" s="275">
        <f t="shared" si="0"/>
        <v>1</v>
      </c>
      <c r="G38" s="275" t="e">
        <f t="shared" si="1"/>
        <v>#DIV/0!</v>
      </c>
      <c r="H38">
        <f t="shared" si="3"/>
        <v>0</v>
      </c>
    </row>
    <row r="39" spans="1:8" ht="12.75" customHeight="1">
      <c r="A39" t="s">
        <v>1800</v>
      </c>
      <c r="B39">
        <v>10.75324912</v>
      </c>
      <c r="C39">
        <v>1.2115072840000001</v>
      </c>
      <c r="D39">
        <f>VLOOKUP(A39,'Quick View_ Sample Data'!$A$3:$AM$699,22)</f>
        <v>0</v>
      </c>
      <c r="E39">
        <f>VLOOKUP(A39,'Quick View_ Sample Data'!$A$3:$AM$699,23)</f>
        <v>0</v>
      </c>
      <c r="F39" s="275">
        <f t="shared" si="0"/>
        <v>1</v>
      </c>
      <c r="G39" s="275" t="e">
        <f t="shared" si="1"/>
        <v>#DIV/0!</v>
      </c>
      <c r="H39">
        <f t="shared" si="3"/>
        <v>0</v>
      </c>
    </row>
    <row r="40" spans="1:8" ht="12.75" customHeight="1">
      <c r="A40" t="s">
        <v>1800</v>
      </c>
      <c r="B40">
        <v>10.83390301</v>
      </c>
      <c r="C40">
        <v>1.123606777</v>
      </c>
      <c r="D40">
        <f>VLOOKUP(A40,'Quick View_ Sample Data'!$A$3:$AM$699,22)</f>
        <v>0</v>
      </c>
      <c r="E40">
        <f>VLOOKUP(A40,'Quick View_ Sample Data'!$A$3:$AM$699,23)</f>
        <v>0</v>
      </c>
      <c r="F40" s="275">
        <f t="shared" si="0"/>
        <v>1</v>
      </c>
      <c r="G40" s="275" t="e">
        <f t="shared" si="1"/>
        <v>#DIV/0!</v>
      </c>
      <c r="H40">
        <f t="shared" si="3"/>
        <v>0</v>
      </c>
    </row>
    <row r="41" spans="1:8" ht="12.75" customHeight="1">
      <c r="A41" t="s">
        <v>1800</v>
      </c>
      <c r="B41">
        <v>10.86292778</v>
      </c>
      <c r="C41">
        <v>1.1009594119999999</v>
      </c>
      <c r="D41">
        <f>VLOOKUP(A41,'Quick View_ Sample Data'!$A$3:$AM$699,22)</f>
        <v>0</v>
      </c>
      <c r="E41">
        <f>VLOOKUP(A41,'Quick View_ Sample Data'!$A$3:$AM$699,23)</f>
        <v>0</v>
      </c>
      <c r="F41" s="275">
        <f t="shared" si="0"/>
        <v>1</v>
      </c>
      <c r="G41" s="275" t="e">
        <f t="shared" si="1"/>
        <v>#DIV/0!</v>
      </c>
      <c r="H41">
        <f t="shared" si="3"/>
        <v>0</v>
      </c>
    </row>
    <row r="42" spans="1:8" ht="12.75" customHeight="1">
      <c r="A42" t="s">
        <v>1800</v>
      </c>
      <c r="B42">
        <v>10.838200179999999</v>
      </c>
      <c r="C42">
        <v>0.98944975000000002</v>
      </c>
      <c r="D42">
        <f>VLOOKUP(A42,'Quick View_ Sample Data'!$A$3:$AM$699,22)</f>
        <v>0</v>
      </c>
      <c r="E42">
        <f>VLOOKUP(A42,'Quick View_ Sample Data'!$A$3:$AM$699,23)</f>
        <v>0</v>
      </c>
      <c r="F42" s="275">
        <f t="shared" si="0"/>
        <v>1</v>
      </c>
      <c r="G42" s="275" t="e">
        <f t="shared" si="1"/>
        <v>#DIV/0!</v>
      </c>
      <c r="H42">
        <f t="shared" si="3"/>
        <v>0</v>
      </c>
    </row>
    <row r="43" spans="1:8" ht="12.75" customHeight="1">
      <c r="A43" t="s">
        <v>1800</v>
      </c>
      <c r="B43">
        <v>10.821147509999999</v>
      </c>
      <c r="C43">
        <v>0.38594388600000001</v>
      </c>
      <c r="D43">
        <f>VLOOKUP(A43,'Quick View_ Sample Data'!$A$3:$AM$699,22)</f>
        <v>0</v>
      </c>
      <c r="E43">
        <f>VLOOKUP(A43,'Quick View_ Sample Data'!$A$3:$AM$699,23)</f>
        <v>0</v>
      </c>
      <c r="F43" s="275">
        <f t="shared" si="0"/>
        <v>1</v>
      </c>
      <c r="G43" s="275" t="e">
        <f t="shared" si="1"/>
        <v>#DIV/0!</v>
      </c>
      <c r="H43">
        <f t="shared" si="3"/>
        <v>0</v>
      </c>
    </row>
    <row r="44" spans="1:8" ht="12.75" customHeight="1">
      <c r="A44" t="s">
        <v>1800</v>
      </c>
      <c r="B44">
        <v>10.852290399999999</v>
      </c>
      <c r="C44">
        <v>1.104261382</v>
      </c>
      <c r="D44">
        <f>VLOOKUP(A44,'Quick View_ Sample Data'!$A$3:$AM$699,22)</f>
        <v>0</v>
      </c>
      <c r="E44">
        <f>VLOOKUP(A44,'Quick View_ Sample Data'!$A$3:$AM$699,23)</f>
        <v>0</v>
      </c>
      <c r="F44" s="275">
        <f t="shared" si="0"/>
        <v>1</v>
      </c>
      <c r="G44" s="275" t="e">
        <f t="shared" si="1"/>
        <v>#DIV/0!</v>
      </c>
      <c r="H44">
        <f t="shared" si="3"/>
        <v>0</v>
      </c>
    </row>
    <row r="45" spans="1:8" ht="12.75" customHeight="1">
      <c r="A45" t="s">
        <v>1800</v>
      </c>
      <c r="B45">
        <v>10.815681059999999</v>
      </c>
      <c r="C45">
        <v>1.092581469</v>
      </c>
      <c r="D45">
        <f>VLOOKUP(A45,'Quick View_ Sample Data'!$A$3:$AM$699,22)</f>
        <v>0</v>
      </c>
      <c r="E45">
        <f>VLOOKUP(A45,'Quick View_ Sample Data'!$A$3:$AM$699,23)</f>
        <v>0</v>
      </c>
      <c r="F45" s="275">
        <f t="shared" si="0"/>
        <v>1</v>
      </c>
      <c r="G45" s="275" t="e">
        <f t="shared" si="1"/>
        <v>#DIV/0!</v>
      </c>
      <c r="H45">
        <f t="shared" si="3"/>
        <v>0</v>
      </c>
    </row>
    <row r="46" spans="1:8" ht="12.75" customHeight="1">
      <c r="A46" t="s">
        <v>1801</v>
      </c>
      <c r="B46">
        <v>11.230972250000001</v>
      </c>
      <c r="C46">
        <v>1.079584842</v>
      </c>
      <c r="D46">
        <f>VLOOKUP(A46,'Quick View_ Sample Data'!$A$3:$AM$699,22)</f>
        <v>0</v>
      </c>
      <c r="E46">
        <f>VLOOKUP(A46,'Quick View_ Sample Data'!$A$3:$AM$699,23)</f>
        <v>0</v>
      </c>
      <c r="F46" s="275">
        <f t="shared" si="0"/>
        <v>1</v>
      </c>
      <c r="G46" s="275" t="e">
        <f t="shared" si="1"/>
        <v>#DIV/0!</v>
      </c>
      <c r="H46">
        <f t="shared" si="3"/>
        <v>0</v>
      </c>
    </row>
    <row r="47" spans="1:8" ht="12.75" customHeight="1">
      <c r="A47" t="s">
        <v>1801</v>
      </c>
      <c r="B47">
        <v>11.23671637</v>
      </c>
      <c r="C47">
        <v>1.0986615209999999</v>
      </c>
      <c r="D47">
        <f>VLOOKUP(A47,'Quick View_ Sample Data'!$A$3:$AM$699,22)</f>
        <v>0</v>
      </c>
      <c r="E47">
        <f>VLOOKUP(A47,'Quick View_ Sample Data'!$A$3:$AM$699,23)</f>
        <v>0</v>
      </c>
      <c r="F47" s="275">
        <f t="shared" si="0"/>
        <v>1</v>
      </c>
      <c r="G47" s="275" t="e">
        <f t="shared" si="1"/>
        <v>#DIV/0!</v>
      </c>
      <c r="H47">
        <f t="shared" si="3"/>
        <v>0</v>
      </c>
    </row>
    <row r="48" spans="1:8" ht="12.75" customHeight="1">
      <c r="A48" t="s">
        <v>1801</v>
      </c>
      <c r="B48">
        <v>11.224502449999999</v>
      </c>
      <c r="C48">
        <v>1.090078755</v>
      </c>
      <c r="D48">
        <f>VLOOKUP(A48,'Quick View_ Sample Data'!$A$3:$AM$699,22)</f>
        <v>0</v>
      </c>
      <c r="E48">
        <f>VLOOKUP(A48,'Quick View_ Sample Data'!$A$3:$AM$699,23)</f>
        <v>0</v>
      </c>
      <c r="F48" s="275">
        <f t="shared" si="0"/>
        <v>1</v>
      </c>
      <c r="G48" s="275" t="e">
        <f t="shared" si="1"/>
        <v>#DIV/0!</v>
      </c>
      <c r="H48">
        <f t="shared" si="3"/>
        <v>0</v>
      </c>
    </row>
    <row r="49" spans="1:8" ht="12.75" customHeight="1">
      <c r="A49" t="s">
        <v>1801</v>
      </c>
      <c r="B49" t="s">
        <v>2237</v>
      </c>
      <c r="C49" t="s">
        <v>2237</v>
      </c>
      <c r="D49">
        <f>VLOOKUP(A49,'Quick View_ Sample Data'!$A$3:$AM$699,22)</f>
        <v>0</v>
      </c>
      <c r="E49">
        <f>VLOOKUP(A49,'Quick View_ Sample Data'!$A$3:$AM$699,23)</f>
        <v>0</v>
      </c>
      <c r="F49" s="275" t="e">
        <f t="shared" si="0"/>
        <v>#VALUE!</v>
      </c>
      <c r="G49" s="275" t="e">
        <f t="shared" si="1"/>
        <v>#VALUE!</v>
      </c>
      <c r="H49" t="e">
        <f t="shared" si="3"/>
        <v>#VALUE!</v>
      </c>
    </row>
    <row r="50" spans="1:8" ht="12.75" customHeight="1">
      <c r="A50" t="s">
        <v>1802</v>
      </c>
      <c r="B50">
        <v>10.18095566</v>
      </c>
      <c r="C50">
        <v>1.2223203929999999</v>
      </c>
      <c r="D50">
        <f>VLOOKUP(A50,'Quick View_ Sample Data'!$A$3:$AM$699,22)</f>
        <v>0</v>
      </c>
      <c r="E50">
        <f>VLOOKUP(A50,'Quick View_ Sample Data'!$A$3:$AM$699,23)</f>
        <v>0</v>
      </c>
      <c r="F50" s="275">
        <f t="shared" si="0"/>
        <v>1</v>
      </c>
      <c r="G50" s="275" t="e">
        <f t="shared" si="1"/>
        <v>#DIV/0!</v>
      </c>
      <c r="H50">
        <f t="shared" si="3"/>
        <v>0</v>
      </c>
    </row>
    <row r="51" spans="1:8" ht="12.75" customHeight="1">
      <c r="A51" t="s">
        <v>1802</v>
      </c>
      <c r="B51">
        <v>10.192886830000001</v>
      </c>
      <c r="C51">
        <v>1.121627699</v>
      </c>
      <c r="D51">
        <f>VLOOKUP(A51,'Quick View_ Sample Data'!$A$3:$AM$699,22)</f>
        <v>0</v>
      </c>
      <c r="E51">
        <f>VLOOKUP(A51,'Quick View_ Sample Data'!$A$3:$AM$699,23)</f>
        <v>0</v>
      </c>
      <c r="F51" s="275">
        <f t="shared" si="0"/>
        <v>1</v>
      </c>
      <c r="G51" s="275" t="e">
        <f t="shared" si="1"/>
        <v>#DIV/0!</v>
      </c>
      <c r="H51">
        <f t="shared" si="3"/>
        <v>0</v>
      </c>
    </row>
    <row r="52" spans="1:8" ht="12.75" customHeight="1">
      <c r="A52" t="s">
        <v>1802</v>
      </c>
      <c r="B52">
        <v>10.196787710000001</v>
      </c>
      <c r="C52">
        <v>1.126420178</v>
      </c>
      <c r="D52">
        <f>VLOOKUP(A52,'Quick View_ Sample Data'!$A$3:$AM$699,22)</f>
        <v>0</v>
      </c>
      <c r="E52">
        <f>VLOOKUP(A52,'Quick View_ Sample Data'!$A$3:$AM$699,23)</f>
        <v>0</v>
      </c>
      <c r="F52" s="275">
        <f t="shared" si="0"/>
        <v>1</v>
      </c>
      <c r="G52" s="275" t="e">
        <f t="shared" si="1"/>
        <v>#DIV/0!</v>
      </c>
      <c r="H52">
        <f t="shared" si="3"/>
        <v>0</v>
      </c>
    </row>
    <row r="53" spans="1:8" ht="12.75" customHeight="1">
      <c r="A53" t="s">
        <v>1802</v>
      </c>
      <c r="B53">
        <v>10.19625986</v>
      </c>
      <c r="C53">
        <v>1.2201945839999999</v>
      </c>
      <c r="D53">
        <f>VLOOKUP(A53,'Quick View_ Sample Data'!$A$3:$AM$699,22)</f>
        <v>0</v>
      </c>
      <c r="E53">
        <f>VLOOKUP(A53,'Quick View_ Sample Data'!$A$3:$AM$699,23)</f>
        <v>0</v>
      </c>
      <c r="F53" s="275">
        <f t="shared" si="0"/>
        <v>1</v>
      </c>
      <c r="G53" s="275" t="e">
        <f t="shared" si="1"/>
        <v>#DIV/0!</v>
      </c>
      <c r="H53">
        <f t="shared" si="3"/>
        <v>0</v>
      </c>
    </row>
    <row r="54" spans="1:8" ht="12.75" customHeight="1">
      <c r="A54" t="s">
        <v>1802</v>
      </c>
      <c r="B54">
        <v>10.22231994</v>
      </c>
      <c r="C54">
        <v>1.0956048199999999</v>
      </c>
      <c r="D54">
        <f>VLOOKUP(A54,'Quick View_ Sample Data'!$A$3:$AM$699,22)</f>
        <v>0</v>
      </c>
      <c r="E54">
        <f>VLOOKUP(A54,'Quick View_ Sample Data'!$A$3:$AM$699,23)</f>
        <v>0</v>
      </c>
      <c r="F54" s="275">
        <f t="shared" si="0"/>
        <v>1</v>
      </c>
      <c r="G54" s="275" t="e">
        <f t="shared" si="1"/>
        <v>#DIV/0!</v>
      </c>
      <c r="H54">
        <f t="shared" si="3"/>
        <v>0</v>
      </c>
    </row>
    <row r="55" spans="1:8" ht="12.75" customHeight="1">
      <c r="A55" t="s">
        <v>1802</v>
      </c>
      <c r="B55">
        <v>10.20062907</v>
      </c>
      <c r="C55">
        <v>1.1328374290000001</v>
      </c>
      <c r="D55">
        <f>VLOOKUP(A55,'Quick View_ Sample Data'!$A$3:$AM$699,22)</f>
        <v>0</v>
      </c>
      <c r="E55">
        <f>VLOOKUP(A55,'Quick View_ Sample Data'!$A$3:$AM$699,23)</f>
        <v>0</v>
      </c>
      <c r="F55" s="275">
        <f t="shared" si="0"/>
        <v>1</v>
      </c>
      <c r="G55" s="275" t="e">
        <f t="shared" si="1"/>
        <v>#DIV/0!</v>
      </c>
      <c r="H55">
        <f t="shared" si="3"/>
        <v>0</v>
      </c>
    </row>
    <row r="56" spans="1:8" ht="12.75" customHeight="1">
      <c r="A56" t="s">
        <v>1804</v>
      </c>
      <c r="B56">
        <v>8.4978921659999997</v>
      </c>
      <c r="C56">
        <v>1.583935917</v>
      </c>
      <c r="D56">
        <f>VLOOKUP(A56,'Quick View_ Sample Data'!$A$3:$AM$699,22)</f>
        <v>0</v>
      </c>
      <c r="E56">
        <f>VLOOKUP(A56,'Quick View_ Sample Data'!$A$3:$AM$699,23)</f>
        <v>0</v>
      </c>
      <c r="F56" s="275">
        <f t="shared" si="0"/>
        <v>1</v>
      </c>
      <c r="G56" s="275" t="e">
        <f t="shared" si="1"/>
        <v>#DIV/0!</v>
      </c>
      <c r="H56">
        <f t="shared" si="3"/>
        <v>0</v>
      </c>
    </row>
    <row r="57" spans="1:8" ht="12.75" customHeight="1">
      <c r="A57" t="s">
        <v>1804</v>
      </c>
      <c r="B57">
        <v>8.5550980919999997</v>
      </c>
      <c r="C57">
        <v>1.6237892030000001</v>
      </c>
      <c r="D57">
        <f>VLOOKUP(A57,'Quick View_ Sample Data'!$A$3:$AM$699,22)</f>
        <v>0</v>
      </c>
      <c r="E57">
        <f>VLOOKUP(A57,'Quick View_ Sample Data'!$A$3:$AM$699,23)</f>
        <v>0</v>
      </c>
      <c r="F57" s="275">
        <f t="shared" si="0"/>
        <v>1</v>
      </c>
      <c r="G57" s="275" t="e">
        <f t="shared" si="1"/>
        <v>#DIV/0!</v>
      </c>
      <c r="H57">
        <f t="shared" si="3"/>
        <v>0</v>
      </c>
    </row>
    <row r="58" spans="1:8" ht="12.75" customHeight="1">
      <c r="A58" t="s">
        <v>1804</v>
      </c>
      <c r="B58">
        <v>8.5110778800000002</v>
      </c>
      <c r="C58">
        <v>1.62263837</v>
      </c>
      <c r="D58">
        <f>VLOOKUP(A58,'Quick View_ Sample Data'!$A$3:$AM$699,22)</f>
        <v>0</v>
      </c>
      <c r="E58">
        <f>VLOOKUP(A58,'Quick View_ Sample Data'!$A$3:$AM$699,23)</f>
        <v>0</v>
      </c>
      <c r="F58" s="275">
        <f t="shared" si="0"/>
        <v>1</v>
      </c>
      <c r="G58" s="275" t="e">
        <f t="shared" si="1"/>
        <v>#DIV/0!</v>
      </c>
      <c r="H58">
        <f t="shared" si="3"/>
        <v>0</v>
      </c>
    </row>
    <row r="59" spans="1:8" ht="12.75" customHeight="1">
      <c r="A59" t="s">
        <v>1804</v>
      </c>
      <c r="B59">
        <v>8.4817233499999993</v>
      </c>
      <c r="C59">
        <v>1.5969655169999999</v>
      </c>
      <c r="D59">
        <f>VLOOKUP(A59,'Quick View_ Sample Data'!$A$3:$AM$699,22)</f>
        <v>0</v>
      </c>
      <c r="E59">
        <f>VLOOKUP(A59,'Quick View_ Sample Data'!$A$3:$AM$699,23)</f>
        <v>0</v>
      </c>
      <c r="F59" s="275">
        <f t="shared" si="0"/>
        <v>1</v>
      </c>
      <c r="G59" s="275" t="e">
        <f t="shared" si="1"/>
        <v>#DIV/0!</v>
      </c>
      <c r="H59">
        <f t="shared" si="3"/>
        <v>0</v>
      </c>
    </row>
    <row r="60" spans="1:8" ht="12.75" customHeight="1">
      <c r="A60" t="s">
        <v>1805</v>
      </c>
      <c r="B60">
        <v>8.5426608880000003</v>
      </c>
      <c r="C60">
        <v>1.650601057</v>
      </c>
      <c r="D60">
        <f>VLOOKUP(A60,'Quick View_ Sample Data'!$A$3:$AM$699,22)</f>
        <v>0</v>
      </c>
      <c r="E60">
        <f>VLOOKUP(A60,'Quick View_ Sample Data'!$A$3:$AM$699,23)</f>
        <v>0</v>
      </c>
      <c r="F60" s="275">
        <f t="shared" si="0"/>
        <v>1</v>
      </c>
      <c r="G60" s="275" t="e">
        <f t="shared" si="1"/>
        <v>#DIV/0!</v>
      </c>
      <c r="H60">
        <f t="shared" si="3"/>
        <v>0</v>
      </c>
    </row>
    <row r="61" spans="1:8" ht="12.75" customHeight="1">
      <c r="A61" t="s">
        <v>1805</v>
      </c>
      <c r="B61">
        <v>8.590740898</v>
      </c>
      <c r="C61">
        <v>1.6381255669999999</v>
      </c>
      <c r="D61">
        <f>VLOOKUP(A61,'Quick View_ Sample Data'!$A$3:$AM$699,22)</f>
        <v>0</v>
      </c>
      <c r="E61">
        <f>VLOOKUP(A61,'Quick View_ Sample Data'!$A$3:$AM$699,23)</f>
        <v>0</v>
      </c>
      <c r="F61" s="275">
        <f t="shared" si="0"/>
        <v>1</v>
      </c>
      <c r="G61" s="275" t="e">
        <f t="shared" si="1"/>
        <v>#DIV/0!</v>
      </c>
      <c r="H61">
        <f t="shared" si="3"/>
        <v>0</v>
      </c>
    </row>
    <row r="62" spans="1:8" ht="12.75" customHeight="1">
      <c r="A62" t="s">
        <v>1805</v>
      </c>
      <c r="B62">
        <v>8.5442923139999998</v>
      </c>
      <c r="C62">
        <v>1.6127333859999999</v>
      </c>
      <c r="D62">
        <f>VLOOKUP(A62,'Quick View_ Sample Data'!$A$3:$AM$699,22)</f>
        <v>0</v>
      </c>
      <c r="E62">
        <f>VLOOKUP(A62,'Quick View_ Sample Data'!$A$3:$AM$699,23)</f>
        <v>0</v>
      </c>
      <c r="F62" s="275">
        <f t="shared" si="0"/>
        <v>1</v>
      </c>
      <c r="G62" s="275" t="e">
        <f t="shared" si="1"/>
        <v>#DIV/0!</v>
      </c>
      <c r="H62">
        <f t="shared" si="3"/>
        <v>0</v>
      </c>
    </row>
    <row r="63" spans="1:8" ht="12.75" customHeight="1">
      <c r="A63" t="s">
        <v>1805</v>
      </c>
      <c r="B63">
        <v>8.5245429680000004</v>
      </c>
      <c r="C63">
        <v>1.6379427499999999</v>
      </c>
      <c r="D63">
        <f>VLOOKUP(A63,'Quick View_ Sample Data'!$A$3:$AM$699,22)</f>
        <v>0</v>
      </c>
      <c r="E63">
        <f>VLOOKUP(A63,'Quick View_ Sample Data'!$A$3:$AM$699,23)</f>
        <v>0</v>
      </c>
      <c r="F63" s="275">
        <f t="shared" si="0"/>
        <v>1</v>
      </c>
      <c r="G63" s="275" t="e">
        <f t="shared" si="1"/>
        <v>#DIV/0!</v>
      </c>
      <c r="H63">
        <f t="shared" si="3"/>
        <v>0</v>
      </c>
    </row>
    <row r="64" spans="1:8" ht="12.75" customHeight="1">
      <c r="A64" t="s">
        <v>1806</v>
      </c>
      <c r="B64">
        <v>8.6838923640000001</v>
      </c>
      <c r="C64">
        <v>1.5990979540000001</v>
      </c>
      <c r="D64">
        <f>VLOOKUP(A64,'Quick View_ Sample Data'!$A$3:$AM$699,22)</f>
        <v>0</v>
      </c>
      <c r="E64">
        <f>VLOOKUP(A64,'Quick View_ Sample Data'!$A$3:$AM$699,23)</f>
        <v>0</v>
      </c>
      <c r="F64" s="275">
        <f t="shared" si="0"/>
        <v>1</v>
      </c>
      <c r="G64" s="275" t="e">
        <f t="shared" si="1"/>
        <v>#DIV/0!</v>
      </c>
      <c r="H64">
        <f t="shared" si="3"/>
        <v>0</v>
      </c>
    </row>
    <row r="65" spans="1:8" ht="12.75" customHeight="1">
      <c r="A65" t="s">
        <v>1806</v>
      </c>
      <c r="B65">
        <v>8.6718960959999993</v>
      </c>
      <c r="C65">
        <v>1.6089977179999999</v>
      </c>
      <c r="D65">
        <f>VLOOKUP(A65,'Quick View_ Sample Data'!$A$3:$AM$699,22)</f>
        <v>0</v>
      </c>
      <c r="E65">
        <f>VLOOKUP(A65,'Quick View_ Sample Data'!$A$3:$AM$699,23)</f>
        <v>0</v>
      </c>
      <c r="F65" s="275">
        <f t="shared" si="0"/>
        <v>1</v>
      </c>
      <c r="G65" s="275" t="e">
        <f t="shared" si="1"/>
        <v>#DIV/0!</v>
      </c>
      <c r="H65">
        <f t="shared" si="3"/>
        <v>0</v>
      </c>
    </row>
    <row r="66" spans="1:8" ht="12.75" customHeight="1">
      <c r="A66" t="s">
        <v>1807</v>
      </c>
      <c r="B66">
        <v>9.8921380239999994</v>
      </c>
      <c r="C66">
        <v>1.4012380579999999</v>
      </c>
      <c r="D66">
        <f>VLOOKUP(A66,'Quick View_ Sample Data'!$A$3:$AM$699,22)</f>
        <v>0</v>
      </c>
      <c r="E66">
        <f>VLOOKUP(A66,'Quick View_ Sample Data'!$A$3:$AM$699,23)</f>
        <v>0</v>
      </c>
      <c r="F66" s="275">
        <f t="shared" ref="F66:F129" si="4">ABS((D66-B66))/B66</f>
        <v>1</v>
      </c>
      <c r="G66" s="275" t="e">
        <f t="shared" ref="G66:G129" si="5">ABS((E66-C66))/E66</f>
        <v>#DIV/0!</v>
      </c>
      <c r="H66">
        <f t="shared" ref="H66:H99" si="6">IF((F66&lt;0.02),C66,)</f>
        <v>0</v>
      </c>
    </row>
    <row r="67" spans="1:8" ht="12.75" customHeight="1">
      <c r="A67" t="s">
        <v>1807</v>
      </c>
      <c r="B67">
        <v>9.8969012450000005</v>
      </c>
      <c r="C67">
        <v>1.4201528720000001</v>
      </c>
      <c r="D67">
        <f>VLOOKUP(A67,'Quick View_ Sample Data'!$A$3:$AM$699,22)</f>
        <v>0</v>
      </c>
      <c r="E67">
        <f>VLOOKUP(A67,'Quick View_ Sample Data'!$A$3:$AM$699,23)</f>
        <v>0</v>
      </c>
      <c r="F67" s="275">
        <f t="shared" si="4"/>
        <v>1</v>
      </c>
      <c r="G67" s="275" t="e">
        <f t="shared" si="5"/>
        <v>#DIV/0!</v>
      </c>
      <c r="H67">
        <f t="shared" si="6"/>
        <v>0</v>
      </c>
    </row>
    <row r="68" spans="1:8" ht="12.75" customHeight="1">
      <c r="A68" t="s">
        <v>2239</v>
      </c>
      <c r="B68">
        <v>5.283537688</v>
      </c>
      <c r="C68">
        <v>1.3979936610000001</v>
      </c>
      <c r="D68">
        <f>VLOOKUP(A68,'Quick View_ Sample Data'!$A$3:$AM$699,22)</f>
        <v>0</v>
      </c>
      <c r="E68">
        <f>VLOOKUP(A68,'Quick View_ Sample Data'!$A$3:$AM$699,23)</f>
        <v>0</v>
      </c>
      <c r="F68" s="275">
        <f t="shared" si="4"/>
        <v>1</v>
      </c>
      <c r="G68" s="275" t="e">
        <f t="shared" si="5"/>
        <v>#DIV/0!</v>
      </c>
      <c r="H68">
        <f t="shared" si="6"/>
        <v>0</v>
      </c>
    </row>
    <row r="69" spans="1:8" ht="12.75" customHeight="1">
      <c r="A69" t="s">
        <v>2239</v>
      </c>
      <c r="B69">
        <v>5.2352449449999998</v>
      </c>
      <c r="C69">
        <v>1.593747005</v>
      </c>
      <c r="D69">
        <f>VLOOKUP(A69,'Quick View_ Sample Data'!$A$3:$AM$699,22)</f>
        <v>0</v>
      </c>
      <c r="E69">
        <f>VLOOKUP(A69,'Quick View_ Sample Data'!$A$3:$AM$699,23)</f>
        <v>0</v>
      </c>
      <c r="F69" s="275">
        <f t="shared" si="4"/>
        <v>1</v>
      </c>
      <c r="G69" s="275" t="e">
        <f t="shared" si="5"/>
        <v>#DIV/0!</v>
      </c>
      <c r="H69">
        <f t="shared" si="6"/>
        <v>0</v>
      </c>
    </row>
    <row r="70" spans="1:8" ht="12.75" customHeight="1">
      <c r="A70" t="s">
        <v>2240</v>
      </c>
      <c r="B70">
        <v>5.8214831489999996</v>
      </c>
      <c r="C70">
        <v>1.4828876339999999</v>
      </c>
      <c r="D70">
        <f>VLOOKUP(A70,'Quick View_ Sample Data'!$A$3:$AM$699,22)</f>
        <v>0</v>
      </c>
      <c r="E70">
        <f>VLOOKUP(A70,'Quick View_ Sample Data'!$A$3:$AM$699,23)</f>
        <v>0</v>
      </c>
      <c r="F70" s="275">
        <f t="shared" si="4"/>
        <v>1</v>
      </c>
      <c r="G70" s="275" t="e">
        <f t="shared" si="5"/>
        <v>#DIV/0!</v>
      </c>
      <c r="H70">
        <f t="shared" si="6"/>
        <v>0</v>
      </c>
    </row>
    <row r="71" spans="1:8" ht="12.75" customHeight="1">
      <c r="A71" t="s">
        <v>2240</v>
      </c>
      <c r="B71">
        <v>5.7370245149999999</v>
      </c>
      <c r="C71" t="s">
        <v>2237</v>
      </c>
      <c r="D71">
        <f>VLOOKUP(A71,'Quick View_ Sample Data'!$A$3:$AM$699,22)</f>
        <v>0</v>
      </c>
      <c r="E71">
        <f>VLOOKUP(A71,'Quick View_ Sample Data'!$A$3:$AM$699,23)</f>
        <v>0</v>
      </c>
      <c r="F71" s="275">
        <f t="shared" si="4"/>
        <v>1</v>
      </c>
      <c r="G71" s="275" t="e">
        <f t="shared" si="5"/>
        <v>#VALUE!</v>
      </c>
      <c r="H71">
        <f t="shared" si="6"/>
        <v>0</v>
      </c>
    </row>
    <row r="72" spans="1:8" ht="12.75" customHeight="1">
      <c r="A72" t="s">
        <v>2241</v>
      </c>
      <c r="B72">
        <v>5.7954505259999998</v>
      </c>
      <c r="C72">
        <v>1.537833821</v>
      </c>
      <c r="D72">
        <f>VLOOKUP(A72,'Quick View_ Sample Data'!$A$3:$AM$699,22)</f>
        <v>0</v>
      </c>
      <c r="E72">
        <f>VLOOKUP(A72,'Quick View_ Sample Data'!$A$3:$AM$699,23)</f>
        <v>0</v>
      </c>
      <c r="F72" s="275">
        <f t="shared" si="4"/>
        <v>1</v>
      </c>
      <c r="G72" s="275" t="e">
        <f t="shared" si="5"/>
        <v>#DIV/0!</v>
      </c>
      <c r="H72">
        <f t="shared" si="6"/>
        <v>0</v>
      </c>
    </row>
    <row r="73" spans="1:8" ht="12.75" customHeight="1">
      <c r="A73" t="s">
        <v>2241</v>
      </c>
      <c r="B73">
        <v>5.7848371099999998</v>
      </c>
      <c r="C73">
        <v>1.524241438</v>
      </c>
      <c r="D73">
        <f>VLOOKUP(A73,'Quick View_ Sample Data'!$A$3:$AM$699,22)</f>
        <v>0</v>
      </c>
      <c r="E73">
        <f>VLOOKUP(A73,'Quick View_ Sample Data'!$A$3:$AM$699,23)</f>
        <v>0</v>
      </c>
      <c r="F73" s="275">
        <f t="shared" si="4"/>
        <v>1</v>
      </c>
      <c r="G73" s="275" t="e">
        <f t="shared" si="5"/>
        <v>#DIV/0!</v>
      </c>
      <c r="H73">
        <f t="shared" si="6"/>
        <v>0</v>
      </c>
    </row>
    <row r="74" spans="1:8" ht="12.75" customHeight="1">
      <c r="A74" t="s">
        <v>2241</v>
      </c>
      <c r="B74">
        <v>5.8261365449999998</v>
      </c>
      <c r="C74" t="s">
        <v>2237</v>
      </c>
      <c r="D74">
        <f>VLOOKUP(A74,'Quick View_ Sample Data'!$A$3:$AM$699,22)</f>
        <v>0</v>
      </c>
      <c r="E74">
        <f>VLOOKUP(A74,'Quick View_ Sample Data'!$A$3:$AM$699,23)</f>
        <v>0</v>
      </c>
      <c r="F74" s="275">
        <f t="shared" si="4"/>
        <v>1</v>
      </c>
      <c r="G74" s="275" t="e">
        <f t="shared" si="5"/>
        <v>#VALUE!</v>
      </c>
      <c r="H74">
        <f t="shared" si="6"/>
        <v>0</v>
      </c>
    </row>
    <row r="75" spans="1:8" ht="12.75" customHeight="1">
      <c r="A75" t="s">
        <v>2242</v>
      </c>
      <c r="B75">
        <v>5.7709700330000002</v>
      </c>
      <c r="C75">
        <v>1.496026514</v>
      </c>
      <c r="D75">
        <f>VLOOKUP(A75,'Quick View_ Sample Data'!$A$3:$AM$699,22)</f>
        <v>0</v>
      </c>
      <c r="E75">
        <f>VLOOKUP(A75,'Quick View_ Sample Data'!$A$3:$AM$699,23)</f>
        <v>0</v>
      </c>
      <c r="F75" s="275">
        <f t="shared" si="4"/>
        <v>1</v>
      </c>
      <c r="G75" s="275" t="e">
        <f t="shared" si="5"/>
        <v>#DIV/0!</v>
      </c>
      <c r="H75">
        <f t="shared" si="6"/>
        <v>0</v>
      </c>
    </row>
    <row r="76" spans="1:8" ht="12.75" customHeight="1">
      <c r="A76" t="s">
        <v>2242</v>
      </c>
      <c r="B76">
        <v>5.795757074</v>
      </c>
      <c r="C76">
        <v>1.5327311450000001</v>
      </c>
      <c r="D76">
        <f>VLOOKUP(A76,'Quick View_ Sample Data'!$A$3:$AM$699,22)</f>
        <v>0</v>
      </c>
      <c r="E76">
        <f>VLOOKUP(A76,'Quick View_ Sample Data'!$A$3:$AM$699,23)</f>
        <v>0</v>
      </c>
      <c r="F76" s="275">
        <f t="shared" si="4"/>
        <v>1</v>
      </c>
      <c r="G76" s="275" t="e">
        <f t="shared" si="5"/>
        <v>#DIV/0!</v>
      </c>
      <c r="H76">
        <f t="shared" si="6"/>
        <v>0</v>
      </c>
    </row>
    <row r="77" spans="1:8" ht="12.75" customHeight="1">
      <c r="A77" t="s">
        <v>2242</v>
      </c>
      <c r="B77">
        <v>5.8326680089999998</v>
      </c>
      <c r="C77">
        <v>1.5164992370000001</v>
      </c>
      <c r="D77">
        <f>VLOOKUP(A77,'Quick View_ Sample Data'!$A$3:$AM$699,22)</f>
        <v>0</v>
      </c>
      <c r="E77">
        <f>VLOOKUP(A77,'Quick View_ Sample Data'!$A$3:$AM$699,23)</f>
        <v>0</v>
      </c>
      <c r="F77" s="275">
        <f t="shared" si="4"/>
        <v>1</v>
      </c>
      <c r="G77" s="275" t="e">
        <f t="shared" si="5"/>
        <v>#DIV/0!</v>
      </c>
      <c r="H77">
        <f t="shared" si="6"/>
        <v>0</v>
      </c>
    </row>
    <row r="78" spans="1:8" ht="12.75" customHeight="1">
      <c r="A78" t="s">
        <v>2243</v>
      </c>
      <c r="B78">
        <v>9.5354568230000005</v>
      </c>
      <c r="C78">
        <v>1.609996929</v>
      </c>
      <c r="D78">
        <f>VLOOKUP(A78,'Quick View_ Sample Data'!$A$3:$AM$699,22)</f>
        <v>0</v>
      </c>
      <c r="E78">
        <f>VLOOKUP(A78,'Quick View_ Sample Data'!$A$3:$AM$699,23)</f>
        <v>0</v>
      </c>
      <c r="F78" s="275">
        <f t="shared" si="4"/>
        <v>1</v>
      </c>
      <c r="G78" s="275" t="e">
        <f t="shared" si="5"/>
        <v>#DIV/0!</v>
      </c>
      <c r="H78">
        <f t="shared" si="6"/>
        <v>0</v>
      </c>
    </row>
    <row r="79" spans="1:8" ht="12.75" customHeight="1">
      <c r="A79" t="s">
        <v>2243</v>
      </c>
      <c r="B79">
        <v>9.5722788350000005</v>
      </c>
      <c r="C79">
        <v>1.715978566</v>
      </c>
      <c r="D79">
        <f>VLOOKUP(A79,'Quick View_ Sample Data'!$A$3:$AM$699,22)</f>
        <v>0</v>
      </c>
      <c r="E79">
        <f>VLOOKUP(A79,'Quick View_ Sample Data'!$A$3:$AM$699,23)</f>
        <v>0</v>
      </c>
      <c r="F79" s="275">
        <f t="shared" si="4"/>
        <v>1</v>
      </c>
      <c r="G79" s="275" t="e">
        <f t="shared" si="5"/>
        <v>#DIV/0!</v>
      </c>
      <c r="H79">
        <f t="shared" si="6"/>
        <v>0</v>
      </c>
    </row>
    <row r="80" spans="1:8" ht="12.75" customHeight="1">
      <c r="A80" t="s">
        <v>2243</v>
      </c>
      <c r="B80">
        <v>9.5506676259999992</v>
      </c>
      <c r="C80">
        <v>1.4911196440000001</v>
      </c>
      <c r="D80">
        <f>VLOOKUP(A80,'Quick View_ Sample Data'!$A$3:$AM$699,22)</f>
        <v>0</v>
      </c>
      <c r="E80">
        <f>VLOOKUP(A80,'Quick View_ Sample Data'!$A$3:$AM$699,23)</f>
        <v>0</v>
      </c>
      <c r="F80" s="275">
        <f t="shared" si="4"/>
        <v>1</v>
      </c>
      <c r="G80" s="275" t="e">
        <f t="shared" si="5"/>
        <v>#DIV/0!</v>
      </c>
      <c r="H80">
        <f t="shared" si="6"/>
        <v>0</v>
      </c>
    </row>
    <row r="81" spans="1:8" ht="12.75" customHeight="1">
      <c r="A81" t="s">
        <v>2243</v>
      </c>
      <c r="B81">
        <v>9.554315892</v>
      </c>
      <c r="C81">
        <v>1.6070521950000001</v>
      </c>
      <c r="D81">
        <f>VLOOKUP(A81,'Quick View_ Sample Data'!$A$3:$AM$699,22)</f>
        <v>0</v>
      </c>
      <c r="E81">
        <f>VLOOKUP(A81,'Quick View_ Sample Data'!$A$3:$AM$699,23)</f>
        <v>0</v>
      </c>
      <c r="F81" s="275">
        <f t="shared" si="4"/>
        <v>1</v>
      </c>
      <c r="G81" s="275" t="e">
        <f t="shared" si="5"/>
        <v>#DIV/0!</v>
      </c>
      <c r="H81">
        <f t="shared" si="6"/>
        <v>0</v>
      </c>
    </row>
    <row r="82" spans="1:8" ht="12.75" customHeight="1">
      <c r="A82" t="s">
        <v>2244</v>
      </c>
      <c r="B82">
        <v>9.9253330880000004</v>
      </c>
      <c r="C82">
        <v>1.1196905930000001</v>
      </c>
      <c r="D82">
        <f>VLOOKUP(A82,'Quick View_ Sample Data'!$A$3:$AM$699,22)</f>
        <v>0</v>
      </c>
      <c r="E82">
        <f>VLOOKUP(A82,'Quick View_ Sample Data'!$A$3:$AM$699,23)</f>
        <v>0</v>
      </c>
      <c r="F82" s="275">
        <f t="shared" si="4"/>
        <v>1</v>
      </c>
      <c r="G82" s="275" t="e">
        <f t="shared" si="5"/>
        <v>#DIV/0!</v>
      </c>
      <c r="H82">
        <f t="shared" si="6"/>
        <v>0</v>
      </c>
    </row>
    <row r="83" spans="1:8" ht="12.75" customHeight="1">
      <c r="A83" t="s">
        <v>2244</v>
      </c>
      <c r="B83">
        <v>9.9426641849999999</v>
      </c>
      <c r="C83">
        <v>1.1348056630000001</v>
      </c>
      <c r="D83">
        <f>VLOOKUP(A83,'Quick View_ Sample Data'!$A$3:$AM$699,22)</f>
        <v>0</v>
      </c>
      <c r="E83">
        <f>VLOOKUP(A83,'Quick View_ Sample Data'!$A$3:$AM$699,23)</f>
        <v>0</v>
      </c>
      <c r="F83" s="275">
        <f t="shared" si="4"/>
        <v>1</v>
      </c>
      <c r="G83" s="275" t="e">
        <f t="shared" si="5"/>
        <v>#DIV/0!</v>
      </c>
      <c r="H83">
        <f t="shared" si="6"/>
        <v>0</v>
      </c>
    </row>
    <row r="84" spans="1:8" ht="12.75" customHeight="1">
      <c r="A84" t="s">
        <v>2244</v>
      </c>
      <c r="B84">
        <v>9.9395091410000003</v>
      </c>
      <c r="C84">
        <v>1.1365795540000001</v>
      </c>
      <c r="D84">
        <f>VLOOKUP(A84,'Quick View_ Sample Data'!$A$3:$AM$699,22)</f>
        <v>0</v>
      </c>
      <c r="E84">
        <f>VLOOKUP(A84,'Quick View_ Sample Data'!$A$3:$AM$699,23)</f>
        <v>0</v>
      </c>
      <c r="F84" s="275">
        <f t="shared" si="4"/>
        <v>1</v>
      </c>
      <c r="G84" s="275" t="e">
        <f t="shared" si="5"/>
        <v>#DIV/0!</v>
      </c>
      <c r="H84">
        <f t="shared" si="6"/>
        <v>0</v>
      </c>
    </row>
    <row r="85" spans="1:8" ht="12.75" customHeight="1">
      <c r="A85" t="s">
        <v>2244</v>
      </c>
      <c r="B85" t="s">
        <v>2237</v>
      </c>
      <c r="C85" t="s">
        <v>2237</v>
      </c>
      <c r="D85">
        <f>VLOOKUP(A85,'Quick View_ Sample Data'!$A$3:$AM$699,22)</f>
        <v>0</v>
      </c>
      <c r="E85">
        <f>VLOOKUP(A85,'Quick View_ Sample Data'!$A$3:$AM$699,23)</f>
        <v>0</v>
      </c>
      <c r="F85" s="275" t="e">
        <f t="shared" si="4"/>
        <v>#VALUE!</v>
      </c>
      <c r="G85" s="275" t="e">
        <f t="shared" si="5"/>
        <v>#VALUE!</v>
      </c>
      <c r="H85" t="e">
        <f t="shared" si="6"/>
        <v>#VALUE!</v>
      </c>
    </row>
    <row r="86" spans="1:8" ht="12.75" customHeight="1">
      <c r="A86" t="s">
        <v>1838</v>
      </c>
      <c r="B86" t="s">
        <v>2237</v>
      </c>
      <c r="C86" t="s">
        <v>2237</v>
      </c>
      <c r="D86">
        <f>VLOOKUP(A86,'Quick View_ Sample Data'!$A$3:$AM$699,22)</f>
        <v>0</v>
      </c>
      <c r="E86">
        <f>VLOOKUP(A86,'Quick View_ Sample Data'!$A$3:$AM$699,23)</f>
        <v>0</v>
      </c>
      <c r="F86" s="275" t="e">
        <f t="shared" si="4"/>
        <v>#VALUE!</v>
      </c>
      <c r="G86" s="275" t="e">
        <f t="shared" si="5"/>
        <v>#VALUE!</v>
      </c>
      <c r="H86" t="e">
        <f t="shared" si="6"/>
        <v>#VALUE!</v>
      </c>
    </row>
    <row r="87" spans="1:8" ht="12.75" customHeight="1">
      <c r="A87" t="s">
        <v>154</v>
      </c>
      <c r="B87">
        <v>10.65905577</v>
      </c>
      <c r="C87">
        <v>0.92699734499999997</v>
      </c>
      <c r="D87">
        <f>VLOOKUP(A87,'Quick View_ Sample Data'!$A$3:$AM$699,22)</f>
        <v>0</v>
      </c>
      <c r="E87">
        <f>VLOOKUP(A87,'Quick View_ Sample Data'!$A$3:$AM$699,23)</f>
        <v>0</v>
      </c>
      <c r="F87" s="275">
        <f t="shared" si="4"/>
        <v>1</v>
      </c>
      <c r="G87" s="275" t="e">
        <f t="shared" si="5"/>
        <v>#DIV/0!</v>
      </c>
      <c r="H87">
        <f t="shared" si="6"/>
        <v>0</v>
      </c>
    </row>
    <row r="88" spans="1:8" ht="12.75" customHeight="1">
      <c r="A88" t="s">
        <v>154</v>
      </c>
      <c r="B88">
        <v>10.65265722</v>
      </c>
      <c r="C88">
        <v>0.91840182100000001</v>
      </c>
      <c r="D88">
        <f>VLOOKUP(A88,'Quick View_ Sample Data'!$A$3:$AM$699,22)</f>
        <v>0</v>
      </c>
      <c r="E88">
        <f>VLOOKUP(A88,'Quick View_ Sample Data'!$A$3:$AM$699,23)</f>
        <v>0</v>
      </c>
      <c r="F88" s="275">
        <f t="shared" si="4"/>
        <v>1</v>
      </c>
      <c r="G88" s="275" t="e">
        <f t="shared" si="5"/>
        <v>#DIV/0!</v>
      </c>
      <c r="H88">
        <f t="shared" si="6"/>
        <v>0</v>
      </c>
    </row>
    <row r="89" spans="1:8" ht="12.75" customHeight="1">
      <c r="A89" t="s">
        <v>157</v>
      </c>
      <c r="B89">
        <v>10.85930428</v>
      </c>
      <c r="C89">
        <v>0.88848968500000003</v>
      </c>
      <c r="D89">
        <f>VLOOKUP(A89,'Quick View_ Sample Data'!$A$3:$AM$699,22)</f>
        <v>0</v>
      </c>
      <c r="E89">
        <f>VLOOKUP(A89,'Quick View_ Sample Data'!$A$3:$AM$699,23)</f>
        <v>0</v>
      </c>
      <c r="F89" s="275">
        <f t="shared" si="4"/>
        <v>1</v>
      </c>
      <c r="G89" s="275" t="e">
        <f t="shared" si="5"/>
        <v>#DIV/0!</v>
      </c>
      <c r="H89">
        <f t="shared" si="6"/>
        <v>0</v>
      </c>
    </row>
    <row r="90" spans="1:8" ht="12.75" customHeight="1">
      <c r="A90" t="s">
        <v>158</v>
      </c>
      <c r="B90">
        <v>10.739123040000001</v>
      </c>
      <c r="C90">
        <v>1.144083779</v>
      </c>
      <c r="D90">
        <f>VLOOKUP(A90,'Quick View_ Sample Data'!$A$3:$AM$699,22)</f>
        <v>0</v>
      </c>
      <c r="E90">
        <f>VLOOKUP(A90,'Quick View_ Sample Data'!$A$3:$AM$699,23)</f>
        <v>0</v>
      </c>
      <c r="F90" s="275">
        <f t="shared" si="4"/>
        <v>1</v>
      </c>
      <c r="G90" s="275" t="e">
        <f t="shared" si="5"/>
        <v>#DIV/0!</v>
      </c>
      <c r="H90">
        <f t="shared" si="6"/>
        <v>0</v>
      </c>
    </row>
    <row r="91" spans="1:8" ht="12.75" customHeight="1">
      <c r="A91" t="s">
        <v>159</v>
      </c>
      <c r="B91">
        <v>11.27183256</v>
      </c>
      <c r="C91">
        <v>1.009830193</v>
      </c>
      <c r="D91">
        <f>VLOOKUP(A91,'Quick View_ Sample Data'!$A$3:$AM$699,22)</f>
        <v>0</v>
      </c>
      <c r="E91">
        <f>VLOOKUP(A91,'Quick View_ Sample Data'!$A$3:$AM$699,23)</f>
        <v>0</v>
      </c>
      <c r="F91" s="275">
        <f t="shared" si="4"/>
        <v>1</v>
      </c>
      <c r="G91" s="275" t="e">
        <f t="shared" si="5"/>
        <v>#DIV/0!</v>
      </c>
      <c r="H91">
        <f t="shared" si="6"/>
        <v>0</v>
      </c>
    </row>
    <row r="92" spans="1:8" ht="12.75" customHeight="1">
      <c r="A92" t="s">
        <v>160</v>
      </c>
      <c r="B92">
        <v>11.466243479999999</v>
      </c>
      <c r="C92">
        <v>0.77722222500000004</v>
      </c>
      <c r="D92">
        <f>VLOOKUP(A92,'Quick View_ Sample Data'!$A$3:$AM$699,22)</f>
        <v>0</v>
      </c>
      <c r="E92">
        <f>VLOOKUP(A92,'Quick View_ Sample Data'!$A$3:$AM$699,23)</f>
        <v>0</v>
      </c>
      <c r="F92" s="275">
        <f t="shared" si="4"/>
        <v>1</v>
      </c>
      <c r="G92" s="275" t="e">
        <f t="shared" si="5"/>
        <v>#DIV/0!</v>
      </c>
      <c r="H92">
        <f t="shared" si="6"/>
        <v>0</v>
      </c>
    </row>
    <row r="93" spans="1:8" ht="12.75" customHeight="1">
      <c r="A93" t="s">
        <v>161</v>
      </c>
      <c r="B93">
        <v>11.66794172</v>
      </c>
      <c r="C93">
        <v>0.70149613499999997</v>
      </c>
      <c r="D93">
        <f>VLOOKUP(A93,'Quick View_ Sample Data'!$A$3:$AM$699,22)</f>
        <v>0</v>
      </c>
      <c r="E93">
        <f>VLOOKUP(A93,'Quick View_ Sample Data'!$A$3:$AM$699,23)</f>
        <v>0</v>
      </c>
      <c r="F93" s="275">
        <f t="shared" si="4"/>
        <v>1</v>
      </c>
      <c r="G93" s="275" t="e">
        <f t="shared" si="5"/>
        <v>#DIV/0!</v>
      </c>
      <c r="H93">
        <f t="shared" si="6"/>
        <v>0</v>
      </c>
    </row>
    <row r="94" spans="1:8" ht="12.75" customHeight="1">
      <c r="A94" t="s">
        <v>162</v>
      </c>
      <c r="B94">
        <v>11.530060990000001</v>
      </c>
      <c r="C94">
        <v>0.70313916200000004</v>
      </c>
      <c r="D94">
        <f>VLOOKUP(A94,'Quick View_ Sample Data'!$A$3:$AM$699,22)</f>
        <v>0</v>
      </c>
      <c r="E94">
        <f>VLOOKUP(A94,'Quick View_ Sample Data'!$A$3:$AM$699,23)</f>
        <v>0</v>
      </c>
      <c r="F94" s="275">
        <f t="shared" si="4"/>
        <v>1</v>
      </c>
      <c r="G94" s="275" t="e">
        <f t="shared" si="5"/>
        <v>#DIV/0!</v>
      </c>
      <c r="H94">
        <f t="shared" si="6"/>
        <v>0</v>
      </c>
    </row>
    <row r="95" spans="1:8" ht="12.75" customHeight="1">
      <c r="A95" t="s">
        <v>162</v>
      </c>
      <c r="B95">
        <v>11.52646893</v>
      </c>
      <c r="C95">
        <v>0.73954348599999997</v>
      </c>
      <c r="D95">
        <f>VLOOKUP(A95,'Quick View_ Sample Data'!$A$3:$AM$699,22)</f>
        <v>0</v>
      </c>
      <c r="E95">
        <f>VLOOKUP(A95,'Quick View_ Sample Data'!$A$3:$AM$699,23)</f>
        <v>0</v>
      </c>
      <c r="F95" s="275">
        <f t="shared" si="4"/>
        <v>1</v>
      </c>
      <c r="G95" s="275" t="e">
        <f t="shared" si="5"/>
        <v>#DIV/0!</v>
      </c>
      <c r="H95">
        <f t="shared" si="6"/>
        <v>0</v>
      </c>
    </row>
    <row r="96" spans="1:8" ht="12.75" customHeight="1">
      <c r="A96" t="s">
        <v>163</v>
      </c>
      <c r="B96">
        <v>11.552398869999999</v>
      </c>
      <c r="C96">
        <v>0.88331370300000001</v>
      </c>
      <c r="D96">
        <f>VLOOKUP(A96,'Quick View_ Sample Data'!$A$3:$AM$699,22)</f>
        <v>0</v>
      </c>
      <c r="E96">
        <f>VLOOKUP(A96,'Quick View_ Sample Data'!$A$3:$AM$699,23)</f>
        <v>0</v>
      </c>
      <c r="F96" s="275">
        <f t="shared" si="4"/>
        <v>1</v>
      </c>
      <c r="G96" s="275" t="e">
        <f t="shared" si="5"/>
        <v>#DIV/0!</v>
      </c>
      <c r="H96">
        <f t="shared" si="6"/>
        <v>0</v>
      </c>
    </row>
    <row r="97" spans="1:8" ht="12.75" customHeight="1">
      <c r="A97" t="s">
        <v>163</v>
      </c>
      <c r="B97">
        <v>11.549752399999999</v>
      </c>
      <c r="C97">
        <v>0.90405650900000001</v>
      </c>
      <c r="D97">
        <f>VLOOKUP(A97,'Quick View_ Sample Data'!$A$3:$AM$699,22)</f>
        <v>0</v>
      </c>
      <c r="E97">
        <f>VLOOKUP(A97,'Quick View_ Sample Data'!$A$3:$AM$699,23)</f>
        <v>0</v>
      </c>
      <c r="F97" s="275">
        <f t="shared" si="4"/>
        <v>1</v>
      </c>
      <c r="G97" s="275" t="e">
        <f t="shared" si="5"/>
        <v>#DIV/0!</v>
      </c>
      <c r="H97">
        <f t="shared" si="6"/>
        <v>0</v>
      </c>
    </row>
    <row r="98" spans="1:8" ht="12.75" customHeight="1">
      <c r="A98" t="s">
        <v>218</v>
      </c>
      <c r="B98">
        <v>10.119638139999999</v>
      </c>
      <c r="C98">
        <v>2.0538029889999998</v>
      </c>
      <c r="D98">
        <f>VLOOKUP(A98,'Quick View_ Sample Data'!$A$3:$AM$699,22)</f>
        <v>0</v>
      </c>
      <c r="E98">
        <f>VLOOKUP(A98,'Quick View_ Sample Data'!$A$3:$AM$699,23)</f>
        <v>0</v>
      </c>
      <c r="F98" s="275">
        <f t="shared" si="4"/>
        <v>1</v>
      </c>
      <c r="G98" s="275" t="e">
        <f t="shared" si="5"/>
        <v>#DIV/0!</v>
      </c>
      <c r="H98">
        <f t="shared" si="6"/>
        <v>0</v>
      </c>
    </row>
    <row r="99" spans="1:8" ht="12.75" customHeight="1">
      <c r="A99" t="s">
        <v>218</v>
      </c>
      <c r="B99">
        <v>10.04636402</v>
      </c>
      <c r="C99">
        <v>0.88814695799999999</v>
      </c>
      <c r="D99">
        <f>VLOOKUP(A99,'Quick View_ Sample Data'!$A$3:$AM$699,22)</f>
        <v>0</v>
      </c>
      <c r="E99">
        <f>VLOOKUP(A99,'Quick View_ Sample Data'!$A$3:$AM$699,23)</f>
        <v>0</v>
      </c>
      <c r="F99" s="275">
        <f t="shared" si="4"/>
        <v>1</v>
      </c>
      <c r="G99" s="275" t="e">
        <f t="shared" si="5"/>
        <v>#DIV/0!</v>
      </c>
      <c r="H99">
        <f t="shared" si="6"/>
        <v>0</v>
      </c>
    </row>
    <row r="100" spans="1:8" ht="12.75" customHeight="1">
      <c r="A100" t="s">
        <v>225</v>
      </c>
      <c r="B100">
        <v>8.2603239930000001</v>
      </c>
      <c r="C100" t="s">
        <v>2237</v>
      </c>
      <c r="D100">
        <f>VLOOKUP(A100,'Quick View_ Sample Data'!$A$3:$AM$699,22)</f>
        <v>0</v>
      </c>
      <c r="E100">
        <f>VLOOKUP(A100,'Quick View_ Sample Data'!$A$3:$AM$699,23)</f>
        <v>0</v>
      </c>
      <c r="F100" s="275">
        <f t="shared" si="4"/>
        <v>1</v>
      </c>
      <c r="G100" s="275" t="e">
        <f t="shared" si="5"/>
        <v>#VALUE!</v>
      </c>
    </row>
    <row r="101" spans="1:8" ht="12.75" customHeight="1">
      <c r="A101" t="s">
        <v>225</v>
      </c>
      <c r="B101">
        <v>8.3468008210000004</v>
      </c>
      <c r="C101">
        <v>1.3838264600000001</v>
      </c>
      <c r="D101">
        <f>VLOOKUP(A101,'Quick View_ Sample Data'!$A$3:$AM$699,22)</f>
        <v>0</v>
      </c>
      <c r="E101">
        <f>VLOOKUP(A101,'Quick View_ Sample Data'!$A$3:$AM$699,23)</f>
        <v>0</v>
      </c>
      <c r="F101" s="275">
        <f t="shared" si="4"/>
        <v>1</v>
      </c>
      <c r="G101" s="275" t="e">
        <f t="shared" si="5"/>
        <v>#DIV/0!</v>
      </c>
      <c r="H101">
        <f>IF((F101&lt;0.02),C101,)</f>
        <v>0</v>
      </c>
    </row>
    <row r="102" spans="1:8" ht="12.75" customHeight="1">
      <c r="A102" t="s">
        <v>265</v>
      </c>
      <c r="B102">
        <v>9.918511809</v>
      </c>
      <c r="C102">
        <v>2.0803079609999999</v>
      </c>
      <c r="D102">
        <f>VLOOKUP(A102,'Quick View_ Sample Data'!$A$3:$AM$699,22)</f>
        <v>0</v>
      </c>
      <c r="E102">
        <f>VLOOKUP(A102,'Quick View_ Sample Data'!$A$3:$AM$699,23)</f>
        <v>0</v>
      </c>
      <c r="F102" s="275">
        <f t="shared" si="4"/>
        <v>1</v>
      </c>
      <c r="G102" s="275" t="e">
        <f t="shared" si="5"/>
        <v>#DIV/0!</v>
      </c>
      <c r="H102">
        <f>IF((F102&lt;0.02),C102,)</f>
        <v>0</v>
      </c>
    </row>
    <row r="103" spans="1:8" ht="12.75" customHeight="1">
      <c r="A103" t="s">
        <v>275</v>
      </c>
      <c r="B103">
        <v>10.99919304</v>
      </c>
      <c r="C103" t="s">
        <v>2237</v>
      </c>
      <c r="D103">
        <f>VLOOKUP(A103,'Quick View_ Sample Data'!$A$3:$AM$699,22)</f>
        <v>0</v>
      </c>
      <c r="E103">
        <f>VLOOKUP(A103,'Quick View_ Sample Data'!$A$3:$AM$699,23)</f>
        <v>0</v>
      </c>
      <c r="F103" s="275">
        <f t="shared" si="4"/>
        <v>1</v>
      </c>
      <c r="G103" s="275" t="e">
        <f t="shared" si="5"/>
        <v>#VALUE!</v>
      </c>
    </row>
    <row r="104" spans="1:8" ht="12.75" customHeight="1">
      <c r="A104" t="s">
        <v>275</v>
      </c>
      <c r="B104">
        <v>10.995315639999999</v>
      </c>
      <c r="C104" t="s">
        <v>2237</v>
      </c>
      <c r="D104">
        <f>VLOOKUP(A104,'Quick View_ Sample Data'!$A$3:$AM$699,22)</f>
        <v>0</v>
      </c>
      <c r="E104">
        <f>VLOOKUP(A104,'Quick View_ Sample Data'!$A$3:$AM$699,23)</f>
        <v>0</v>
      </c>
      <c r="F104" s="275">
        <f t="shared" si="4"/>
        <v>1</v>
      </c>
      <c r="G104" s="275" t="e">
        <f t="shared" si="5"/>
        <v>#VALUE!</v>
      </c>
    </row>
    <row r="105" spans="1:8" ht="12.75" customHeight="1">
      <c r="A105" t="s">
        <v>275</v>
      </c>
      <c r="B105">
        <v>10.968708169999999</v>
      </c>
      <c r="C105">
        <v>1.581076833</v>
      </c>
      <c r="D105">
        <f>VLOOKUP(A105,'Quick View_ Sample Data'!$A$3:$AM$699,22)</f>
        <v>0</v>
      </c>
      <c r="E105">
        <f>VLOOKUP(A105,'Quick View_ Sample Data'!$A$3:$AM$699,23)</f>
        <v>0</v>
      </c>
      <c r="F105" s="275">
        <f t="shared" si="4"/>
        <v>1</v>
      </c>
      <c r="G105" s="275" t="e">
        <f t="shared" si="5"/>
        <v>#DIV/0!</v>
      </c>
      <c r="H105">
        <f t="shared" ref="H105:H146" si="7">IF((F105&lt;0.02),C105,)</f>
        <v>0</v>
      </c>
    </row>
    <row r="106" spans="1:8" ht="12.75" customHeight="1">
      <c r="A106" t="s">
        <v>275</v>
      </c>
      <c r="B106">
        <v>10.24164757</v>
      </c>
      <c r="C106">
        <v>1.8582958629999999</v>
      </c>
      <c r="D106">
        <f>VLOOKUP(A106,'Quick View_ Sample Data'!$A$3:$AM$699,22)</f>
        <v>0</v>
      </c>
      <c r="E106">
        <f>VLOOKUP(A106,'Quick View_ Sample Data'!$A$3:$AM$699,23)</f>
        <v>0</v>
      </c>
      <c r="F106" s="275">
        <f t="shared" si="4"/>
        <v>1</v>
      </c>
      <c r="G106" s="275" t="e">
        <f t="shared" si="5"/>
        <v>#DIV/0!</v>
      </c>
      <c r="H106">
        <f t="shared" si="7"/>
        <v>0</v>
      </c>
    </row>
    <row r="107" spans="1:8" ht="12.75" customHeight="1">
      <c r="A107" t="s">
        <v>275</v>
      </c>
      <c r="B107" t="s">
        <v>2237</v>
      </c>
      <c r="C107" t="s">
        <v>2237</v>
      </c>
      <c r="D107">
        <f>VLOOKUP(A107,'Quick View_ Sample Data'!$A$3:$AM$699,22)</f>
        <v>0</v>
      </c>
      <c r="E107">
        <f>VLOOKUP(A107,'Quick View_ Sample Data'!$A$3:$AM$699,23)</f>
        <v>0</v>
      </c>
      <c r="F107" s="275" t="e">
        <f t="shared" si="4"/>
        <v>#VALUE!</v>
      </c>
      <c r="G107" s="275" t="e">
        <f t="shared" si="5"/>
        <v>#VALUE!</v>
      </c>
      <c r="H107" t="e">
        <f t="shared" si="7"/>
        <v>#VALUE!</v>
      </c>
    </row>
    <row r="108" spans="1:8" ht="12.75" customHeight="1">
      <c r="A108" t="s">
        <v>372</v>
      </c>
      <c r="B108">
        <v>10.521325450000001</v>
      </c>
      <c r="C108">
        <v>1.9913586139999999</v>
      </c>
      <c r="D108">
        <f>VLOOKUP(A108,'Quick View_ Sample Data'!$A$3:$AM$699,22)</f>
        <v>0</v>
      </c>
      <c r="E108">
        <f>VLOOKUP(A108,'Quick View_ Sample Data'!$A$3:$AM$699,23)</f>
        <v>0</v>
      </c>
      <c r="F108" s="275">
        <f t="shared" si="4"/>
        <v>1</v>
      </c>
      <c r="G108" s="275" t="e">
        <f t="shared" si="5"/>
        <v>#DIV/0!</v>
      </c>
      <c r="H108">
        <f t="shared" si="7"/>
        <v>0</v>
      </c>
    </row>
    <row r="109" spans="1:8" ht="12.75" customHeight="1">
      <c r="A109" t="s">
        <v>376</v>
      </c>
      <c r="B109">
        <v>11.38074411</v>
      </c>
      <c r="C109">
        <v>1.7522623939999999</v>
      </c>
      <c r="D109">
        <f>VLOOKUP(A109,'Quick View_ Sample Data'!$A$3:$AM$699,22)</f>
        <v>0</v>
      </c>
      <c r="E109">
        <f>VLOOKUP(A109,'Quick View_ Sample Data'!$A$3:$AM$699,23)</f>
        <v>0</v>
      </c>
      <c r="F109" s="275">
        <f t="shared" si="4"/>
        <v>1</v>
      </c>
      <c r="G109" s="275" t="e">
        <f t="shared" si="5"/>
        <v>#DIV/0!</v>
      </c>
      <c r="H109">
        <f t="shared" si="7"/>
        <v>0</v>
      </c>
    </row>
    <row r="110" spans="1:8" ht="12.75" customHeight="1">
      <c r="A110" t="s">
        <v>377</v>
      </c>
      <c r="B110">
        <v>10.30697267</v>
      </c>
      <c r="C110">
        <v>2.096525652</v>
      </c>
      <c r="D110">
        <f>VLOOKUP(A110,'Quick View_ Sample Data'!$A$3:$AM$699,22)</f>
        <v>0</v>
      </c>
      <c r="E110">
        <f>VLOOKUP(A110,'Quick View_ Sample Data'!$A$3:$AM$699,23)</f>
        <v>0</v>
      </c>
      <c r="F110" s="275">
        <f t="shared" si="4"/>
        <v>1</v>
      </c>
      <c r="G110" s="275" t="e">
        <f t="shared" si="5"/>
        <v>#DIV/0!</v>
      </c>
      <c r="H110">
        <f t="shared" si="7"/>
        <v>0</v>
      </c>
    </row>
    <row r="111" spans="1:8" ht="12.75" customHeight="1">
      <c r="A111" t="s">
        <v>378</v>
      </c>
      <c r="B111">
        <v>10.51431122</v>
      </c>
      <c r="C111">
        <v>2.1705932379999999</v>
      </c>
      <c r="D111">
        <f>VLOOKUP(A111,'Quick View_ Sample Data'!$A$3:$AM$699,22)</f>
        <v>0</v>
      </c>
      <c r="E111">
        <f>VLOOKUP(A111,'Quick View_ Sample Data'!$A$3:$AM$699,23)</f>
        <v>0</v>
      </c>
      <c r="F111" s="275">
        <f t="shared" si="4"/>
        <v>1</v>
      </c>
      <c r="G111" s="275" t="e">
        <f t="shared" si="5"/>
        <v>#DIV/0!</v>
      </c>
      <c r="H111">
        <f t="shared" si="7"/>
        <v>0</v>
      </c>
    </row>
    <row r="112" spans="1:8" ht="12.75" customHeight="1">
      <c r="A112" t="s">
        <v>382</v>
      </c>
      <c r="B112">
        <v>12.600815389999999</v>
      </c>
      <c r="C112">
        <v>1.22682355</v>
      </c>
      <c r="D112">
        <f>VLOOKUP(A112,'Quick View_ Sample Data'!$A$3:$AM$699,22)</f>
        <v>0</v>
      </c>
      <c r="E112">
        <f>VLOOKUP(A112,'Quick View_ Sample Data'!$A$3:$AM$699,23)</f>
        <v>0</v>
      </c>
      <c r="F112" s="275">
        <f t="shared" si="4"/>
        <v>1</v>
      </c>
      <c r="G112" s="275" t="e">
        <f t="shared" si="5"/>
        <v>#DIV/0!</v>
      </c>
      <c r="H112">
        <f t="shared" si="7"/>
        <v>0</v>
      </c>
    </row>
    <row r="113" spans="1:8" ht="12.75" customHeight="1">
      <c r="A113" t="s">
        <v>390</v>
      </c>
      <c r="B113">
        <v>9.5746577909999999</v>
      </c>
      <c r="C113">
        <v>0.85903552400000005</v>
      </c>
      <c r="D113">
        <f>VLOOKUP(A113,'Quick View_ Sample Data'!$A$3:$AM$699,22)</f>
        <v>0</v>
      </c>
      <c r="E113">
        <f>VLOOKUP(A113,'Quick View_ Sample Data'!$A$3:$AM$699,23)</f>
        <v>0</v>
      </c>
      <c r="F113" s="275">
        <f t="shared" si="4"/>
        <v>1</v>
      </c>
      <c r="G113" s="275" t="e">
        <f t="shared" si="5"/>
        <v>#DIV/0!</v>
      </c>
      <c r="H113">
        <f t="shared" si="7"/>
        <v>0</v>
      </c>
    </row>
    <row r="114" spans="1:8" ht="12.75" customHeight="1">
      <c r="A114" t="s">
        <v>391</v>
      </c>
      <c r="B114">
        <v>9.7313253450000001</v>
      </c>
      <c r="C114">
        <v>0.88214866999999997</v>
      </c>
      <c r="D114">
        <f>VLOOKUP(A114,'Quick View_ Sample Data'!$A$3:$AM$699,22)</f>
        <v>0</v>
      </c>
      <c r="E114">
        <f>VLOOKUP(A114,'Quick View_ Sample Data'!$A$3:$AM$699,23)</f>
        <v>0</v>
      </c>
      <c r="F114" s="275">
        <f t="shared" si="4"/>
        <v>1</v>
      </c>
      <c r="G114" s="275" t="e">
        <f t="shared" si="5"/>
        <v>#DIV/0!</v>
      </c>
      <c r="H114">
        <f t="shared" si="7"/>
        <v>0</v>
      </c>
    </row>
    <row r="115" spans="1:8" ht="12.75" customHeight="1">
      <c r="A115" t="s">
        <v>398</v>
      </c>
      <c r="B115">
        <v>13.27118316</v>
      </c>
      <c r="C115">
        <v>0.88195849199999998</v>
      </c>
      <c r="D115">
        <f>VLOOKUP(A115,'Quick View_ Sample Data'!$A$3:$AM$699,22)</f>
        <v>0</v>
      </c>
      <c r="E115">
        <f>VLOOKUP(A115,'Quick View_ Sample Data'!$A$3:$AM$699,23)</f>
        <v>0</v>
      </c>
      <c r="F115" s="275">
        <f t="shared" si="4"/>
        <v>1</v>
      </c>
      <c r="G115" s="275" t="e">
        <f t="shared" si="5"/>
        <v>#DIV/0!</v>
      </c>
      <c r="H115">
        <f t="shared" si="7"/>
        <v>0</v>
      </c>
    </row>
    <row r="116" spans="1:8" ht="12.75" customHeight="1">
      <c r="A116" t="s">
        <v>404</v>
      </c>
      <c r="B116">
        <v>13.288384199999999</v>
      </c>
      <c r="C116">
        <v>0.92754901000000001</v>
      </c>
      <c r="D116">
        <f>VLOOKUP(A116,'Quick View_ Sample Data'!$A$3:$AM$699,22)</f>
        <v>0</v>
      </c>
      <c r="E116">
        <f>VLOOKUP(A116,'Quick View_ Sample Data'!$A$3:$AM$699,23)</f>
        <v>0</v>
      </c>
      <c r="F116" s="275">
        <f t="shared" si="4"/>
        <v>1</v>
      </c>
      <c r="G116" s="275" t="e">
        <f t="shared" si="5"/>
        <v>#DIV/0!</v>
      </c>
      <c r="H116">
        <f t="shared" si="7"/>
        <v>0</v>
      </c>
    </row>
    <row r="117" spans="1:8" ht="12.75" customHeight="1">
      <c r="A117" t="s">
        <v>404</v>
      </c>
      <c r="B117">
        <v>13.02514092</v>
      </c>
      <c r="C117">
        <v>0.97531556699999999</v>
      </c>
      <c r="D117">
        <f>VLOOKUP(A117,'Quick View_ Sample Data'!$A$3:$AM$699,22)</f>
        <v>0</v>
      </c>
      <c r="E117">
        <f>VLOOKUP(A117,'Quick View_ Sample Data'!$A$3:$AM$699,23)</f>
        <v>0</v>
      </c>
      <c r="F117" s="275">
        <f t="shared" si="4"/>
        <v>1</v>
      </c>
      <c r="G117" s="275" t="e">
        <f t="shared" si="5"/>
        <v>#DIV/0!</v>
      </c>
      <c r="H117">
        <f t="shared" si="7"/>
        <v>0</v>
      </c>
    </row>
    <row r="118" spans="1:8" ht="12.75" customHeight="1">
      <c r="A118" t="s">
        <v>404</v>
      </c>
      <c r="B118">
        <v>12.99777008</v>
      </c>
      <c r="C118">
        <v>0.99358597100000001</v>
      </c>
      <c r="D118">
        <f>VLOOKUP(A118,'Quick View_ Sample Data'!$A$3:$AM$699,22)</f>
        <v>0</v>
      </c>
      <c r="E118">
        <f>VLOOKUP(A118,'Quick View_ Sample Data'!$A$3:$AM$699,23)</f>
        <v>0</v>
      </c>
      <c r="F118" s="275">
        <f t="shared" si="4"/>
        <v>1</v>
      </c>
      <c r="G118" s="275" t="e">
        <f t="shared" si="5"/>
        <v>#DIV/0!</v>
      </c>
      <c r="H118">
        <f t="shared" si="7"/>
        <v>0</v>
      </c>
    </row>
    <row r="119" spans="1:8" ht="12.75" customHeight="1">
      <c r="A119" t="s">
        <v>410</v>
      </c>
      <c r="B119">
        <v>14.185980259999999</v>
      </c>
      <c r="C119">
        <v>0.57186308900000005</v>
      </c>
      <c r="D119">
        <f>VLOOKUP(A119,'Quick View_ Sample Data'!$A$3:$AM$699,22)</f>
        <v>0</v>
      </c>
      <c r="E119">
        <f>VLOOKUP(A119,'Quick View_ Sample Data'!$A$3:$AM$699,23)</f>
        <v>0</v>
      </c>
      <c r="F119" s="275">
        <f t="shared" si="4"/>
        <v>1</v>
      </c>
      <c r="G119" s="275" t="e">
        <f t="shared" si="5"/>
        <v>#DIV/0!</v>
      </c>
      <c r="H119">
        <f t="shared" si="7"/>
        <v>0</v>
      </c>
    </row>
    <row r="120" spans="1:8" ht="12.75" customHeight="1">
      <c r="A120" t="s">
        <v>412</v>
      </c>
      <c r="B120">
        <v>13.493477929999999</v>
      </c>
      <c r="C120">
        <v>0.72791187300000004</v>
      </c>
      <c r="D120">
        <f>VLOOKUP(A120,'Quick View_ Sample Data'!$A$3:$AM$699,22)</f>
        <v>0</v>
      </c>
      <c r="E120">
        <f>VLOOKUP(A120,'Quick View_ Sample Data'!$A$3:$AM$699,23)</f>
        <v>0</v>
      </c>
      <c r="F120" s="275">
        <f t="shared" si="4"/>
        <v>1</v>
      </c>
      <c r="G120" s="275" t="e">
        <f t="shared" si="5"/>
        <v>#DIV/0!</v>
      </c>
      <c r="H120">
        <f t="shared" si="7"/>
        <v>0</v>
      </c>
    </row>
    <row r="121" spans="1:8" ht="12.75" customHeight="1">
      <c r="A121" t="s">
        <v>418</v>
      </c>
      <c r="B121">
        <v>11.26183267</v>
      </c>
      <c r="C121">
        <v>1.002938383</v>
      </c>
      <c r="D121">
        <f>VLOOKUP(A121,'Quick View_ Sample Data'!$A$3:$AM$699,22)</f>
        <v>0</v>
      </c>
      <c r="E121">
        <f>VLOOKUP(A121,'Quick View_ Sample Data'!$A$3:$AM$699,23)</f>
        <v>0</v>
      </c>
      <c r="F121" s="275">
        <f t="shared" si="4"/>
        <v>1</v>
      </c>
      <c r="G121" s="275" t="e">
        <f t="shared" si="5"/>
        <v>#DIV/0!</v>
      </c>
      <c r="H121">
        <f t="shared" si="7"/>
        <v>0</v>
      </c>
    </row>
    <row r="122" spans="1:8" ht="12.75" customHeight="1">
      <c r="A122" t="s">
        <v>419</v>
      </c>
      <c r="B122">
        <v>11.270990080000001</v>
      </c>
      <c r="C122">
        <v>1.0057724649999999</v>
      </c>
      <c r="D122">
        <f>VLOOKUP(A122,'Quick View_ Sample Data'!$A$3:$AM$699,22)</f>
        <v>0</v>
      </c>
      <c r="E122">
        <f>VLOOKUP(A122,'Quick View_ Sample Data'!$A$3:$AM$699,23)</f>
        <v>0</v>
      </c>
      <c r="F122" s="275">
        <f t="shared" si="4"/>
        <v>1</v>
      </c>
      <c r="G122" s="275" t="e">
        <f t="shared" si="5"/>
        <v>#DIV/0!</v>
      </c>
      <c r="H122">
        <f t="shared" si="7"/>
        <v>0</v>
      </c>
    </row>
    <row r="123" spans="1:8" ht="12.75" customHeight="1">
      <c r="A123" t="s">
        <v>433</v>
      </c>
      <c r="B123">
        <v>13.181025959999999</v>
      </c>
      <c r="C123">
        <v>0.87532464099999996</v>
      </c>
      <c r="D123">
        <f>VLOOKUP(A123,'Quick View_ Sample Data'!$A$3:$AM$699,22)</f>
        <v>0</v>
      </c>
      <c r="E123">
        <f>VLOOKUP(A123,'Quick View_ Sample Data'!$A$3:$AM$699,23)</f>
        <v>0</v>
      </c>
      <c r="F123" s="275">
        <f t="shared" si="4"/>
        <v>1</v>
      </c>
      <c r="G123" s="275" t="e">
        <f t="shared" si="5"/>
        <v>#DIV/0!</v>
      </c>
      <c r="H123">
        <f t="shared" si="7"/>
        <v>0</v>
      </c>
    </row>
    <row r="124" spans="1:8" ht="12.75" customHeight="1">
      <c r="A124" t="s">
        <v>433</v>
      </c>
      <c r="B124">
        <v>13.13482615</v>
      </c>
      <c r="C124">
        <v>0.88955954999999998</v>
      </c>
      <c r="D124">
        <f>VLOOKUP(A124,'Quick View_ Sample Data'!$A$3:$AM$699,22)</f>
        <v>0</v>
      </c>
      <c r="E124">
        <f>VLOOKUP(A124,'Quick View_ Sample Data'!$A$3:$AM$699,23)</f>
        <v>0</v>
      </c>
      <c r="F124" s="275">
        <f t="shared" si="4"/>
        <v>1</v>
      </c>
      <c r="G124" s="275" t="e">
        <f t="shared" si="5"/>
        <v>#DIV/0!</v>
      </c>
      <c r="H124">
        <f t="shared" si="7"/>
        <v>0</v>
      </c>
    </row>
    <row r="125" spans="1:8" ht="12.75" customHeight="1">
      <c r="A125" t="s">
        <v>436</v>
      </c>
      <c r="B125">
        <v>8.6695515059999995</v>
      </c>
      <c r="C125">
        <v>1.105528348</v>
      </c>
      <c r="D125">
        <f>VLOOKUP(A125,'Quick View_ Sample Data'!$A$3:$AM$699,22)</f>
        <v>0</v>
      </c>
      <c r="E125">
        <f>VLOOKUP(A125,'Quick View_ Sample Data'!$A$3:$AM$699,23)</f>
        <v>0</v>
      </c>
      <c r="F125" s="275">
        <f t="shared" si="4"/>
        <v>1</v>
      </c>
      <c r="G125" s="275" t="e">
        <f t="shared" si="5"/>
        <v>#DIV/0!</v>
      </c>
      <c r="H125">
        <f t="shared" si="7"/>
        <v>0</v>
      </c>
    </row>
    <row r="126" spans="1:8" ht="12.75" customHeight="1">
      <c r="A126" t="s">
        <v>437</v>
      </c>
      <c r="B126">
        <v>8.7302795320000008</v>
      </c>
      <c r="C126">
        <v>1.154985106</v>
      </c>
      <c r="D126">
        <f>VLOOKUP(A126,'Quick View_ Sample Data'!$A$3:$AM$699,22)</f>
        <v>0</v>
      </c>
      <c r="E126">
        <f>VLOOKUP(A126,'Quick View_ Sample Data'!$A$3:$AM$699,23)</f>
        <v>0</v>
      </c>
      <c r="F126" s="275">
        <f t="shared" si="4"/>
        <v>1</v>
      </c>
      <c r="G126" s="275" t="e">
        <f t="shared" si="5"/>
        <v>#DIV/0!</v>
      </c>
      <c r="H126">
        <f t="shared" si="7"/>
        <v>0</v>
      </c>
    </row>
    <row r="127" spans="1:8" ht="12.75" customHeight="1">
      <c r="A127" t="s">
        <v>442</v>
      </c>
      <c r="B127">
        <v>11.16922005</v>
      </c>
      <c r="C127">
        <v>1.7454633879999999</v>
      </c>
      <c r="D127">
        <f>VLOOKUP(A127,'Quick View_ Sample Data'!$A$3:$AM$699,22)</f>
        <v>0</v>
      </c>
      <c r="E127">
        <f>VLOOKUP(A127,'Quick View_ Sample Data'!$A$3:$AM$699,23)</f>
        <v>0</v>
      </c>
      <c r="F127" s="275">
        <f t="shared" si="4"/>
        <v>1</v>
      </c>
      <c r="G127" s="275" t="e">
        <f t="shared" si="5"/>
        <v>#DIV/0!</v>
      </c>
      <c r="H127">
        <f t="shared" si="7"/>
        <v>0</v>
      </c>
    </row>
    <row r="128" spans="1:8" ht="12.75" customHeight="1">
      <c r="A128" t="s">
        <v>466</v>
      </c>
      <c r="B128">
        <v>11.44833259</v>
      </c>
      <c r="C128">
        <v>1.115136543</v>
      </c>
      <c r="D128">
        <f>VLOOKUP(A128,'Quick View_ Sample Data'!$A$3:$AM$699,22)</f>
        <v>0</v>
      </c>
      <c r="E128">
        <f>VLOOKUP(A128,'Quick View_ Sample Data'!$A$3:$AM$699,23)</f>
        <v>0</v>
      </c>
      <c r="F128" s="275">
        <f t="shared" si="4"/>
        <v>1</v>
      </c>
      <c r="G128" s="275" t="e">
        <f t="shared" si="5"/>
        <v>#DIV/0!</v>
      </c>
      <c r="H128">
        <f t="shared" si="7"/>
        <v>0</v>
      </c>
    </row>
    <row r="129" spans="1:8" ht="12.75" customHeight="1">
      <c r="A129" t="s">
        <v>475</v>
      </c>
      <c r="B129">
        <v>13.208300749999999</v>
      </c>
      <c r="C129">
        <v>0.70056853900000005</v>
      </c>
      <c r="D129">
        <f>VLOOKUP(A129,'Quick View_ Sample Data'!$A$3:$AM$699,22)</f>
        <v>0</v>
      </c>
      <c r="E129">
        <f>VLOOKUP(A129,'Quick View_ Sample Data'!$A$3:$AM$699,23)</f>
        <v>0</v>
      </c>
      <c r="F129" s="275">
        <f t="shared" si="4"/>
        <v>1</v>
      </c>
      <c r="G129" s="275" t="e">
        <f t="shared" si="5"/>
        <v>#DIV/0!</v>
      </c>
      <c r="H129">
        <f t="shared" si="7"/>
        <v>0</v>
      </c>
    </row>
    <row r="130" spans="1:8" ht="12.75" customHeight="1">
      <c r="A130" t="s">
        <v>484</v>
      </c>
      <c r="B130">
        <v>12.022247220000001</v>
      </c>
      <c r="C130">
        <v>1.1236293390000001</v>
      </c>
      <c r="D130">
        <f>VLOOKUP(A130,'Quick View_ Sample Data'!$A$3:$AM$699,22)</f>
        <v>0</v>
      </c>
      <c r="E130">
        <f>VLOOKUP(A130,'Quick View_ Sample Data'!$A$3:$AM$699,23)</f>
        <v>0</v>
      </c>
      <c r="F130" s="275">
        <f t="shared" ref="F130:F193" si="8">ABS((D130-B130))/B130</f>
        <v>1</v>
      </c>
      <c r="G130" s="275" t="e">
        <f t="shared" ref="G130:G193" si="9">ABS((E130-C130))/E130</f>
        <v>#DIV/0!</v>
      </c>
      <c r="H130">
        <f t="shared" si="7"/>
        <v>0</v>
      </c>
    </row>
    <row r="131" spans="1:8" ht="12.75" customHeight="1">
      <c r="A131" t="s">
        <v>490</v>
      </c>
      <c r="B131">
        <v>11.083389</v>
      </c>
      <c r="C131">
        <v>1.384149109</v>
      </c>
      <c r="D131">
        <f>VLOOKUP(A131,'Quick View_ Sample Data'!$A$3:$AM$699,22)</f>
        <v>0</v>
      </c>
      <c r="E131">
        <f>VLOOKUP(A131,'Quick View_ Sample Data'!$A$3:$AM$699,23)</f>
        <v>0</v>
      </c>
      <c r="F131" s="275">
        <f t="shared" si="8"/>
        <v>1</v>
      </c>
      <c r="G131" s="275" t="e">
        <f t="shared" si="9"/>
        <v>#DIV/0!</v>
      </c>
      <c r="H131">
        <f t="shared" si="7"/>
        <v>0</v>
      </c>
    </row>
    <row r="132" spans="1:8" ht="12.75" customHeight="1">
      <c r="A132" t="s">
        <v>496</v>
      </c>
      <c r="B132">
        <v>15.04223766</v>
      </c>
      <c r="C132">
        <v>0.20478480299999999</v>
      </c>
      <c r="D132">
        <f>VLOOKUP(A132,'Quick View_ Sample Data'!$A$3:$AM$699,22)</f>
        <v>0</v>
      </c>
      <c r="E132">
        <f>VLOOKUP(A132,'Quick View_ Sample Data'!$A$3:$AM$699,23)</f>
        <v>0</v>
      </c>
      <c r="F132" s="275">
        <f t="shared" si="8"/>
        <v>1</v>
      </c>
      <c r="G132" s="275" t="e">
        <f t="shared" si="9"/>
        <v>#DIV/0!</v>
      </c>
      <c r="H132">
        <f t="shared" si="7"/>
        <v>0</v>
      </c>
    </row>
    <row r="133" spans="1:8" ht="12.75" customHeight="1">
      <c r="A133" t="s">
        <v>499</v>
      </c>
      <c r="B133">
        <v>11.07052388</v>
      </c>
      <c r="C133">
        <v>1.7181644119999999</v>
      </c>
      <c r="D133">
        <f>VLOOKUP(A133,'Quick View_ Sample Data'!$A$3:$AM$699,22)</f>
        <v>0</v>
      </c>
      <c r="E133">
        <f>VLOOKUP(A133,'Quick View_ Sample Data'!$A$3:$AM$699,23)</f>
        <v>0</v>
      </c>
      <c r="F133" s="275">
        <f t="shared" si="8"/>
        <v>1</v>
      </c>
      <c r="G133" s="275" t="e">
        <f t="shared" si="9"/>
        <v>#DIV/0!</v>
      </c>
      <c r="H133">
        <f t="shared" si="7"/>
        <v>0</v>
      </c>
    </row>
    <row r="134" spans="1:8" ht="12.75" customHeight="1">
      <c r="A134" t="s">
        <v>508</v>
      </c>
      <c r="B134">
        <v>13.388634789999999</v>
      </c>
      <c r="C134">
        <v>0.58689185799999999</v>
      </c>
      <c r="D134">
        <f>VLOOKUP(A134,'Quick View_ Sample Data'!$A$3:$AM$699,22)</f>
        <v>0</v>
      </c>
      <c r="E134">
        <f>VLOOKUP(A134,'Quick View_ Sample Data'!$A$3:$AM$699,23)</f>
        <v>0</v>
      </c>
      <c r="F134" s="275">
        <f t="shared" si="8"/>
        <v>1</v>
      </c>
      <c r="G134" s="275" t="e">
        <f t="shared" si="9"/>
        <v>#DIV/0!</v>
      </c>
      <c r="H134">
        <f t="shared" si="7"/>
        <v>0</v>
      </c>
    </row>
    <row r="135" spans="1:8" ht="12.75" customHeight="1">
      <c r="A135" t="s">
        <v>510</v>
      </c>
      <c r="B135">
        <v>14.46818515</v>
      </c>
      <c r="C135">
        <v>0.32500554199999998</v>
      </c>
      <c r="D135">
        <f>VLOOKUP(A135,'Quick View_ Sample Data'!$A$3:$AM$699,22)</f>
        <v>0</v>
      </c>
      <c r="E135">
        <f>VLOOKUP(A135,'Quick View_ Sample Data'!$A$3:$AM$699,23)</f>
        <v>0</v>
      </c>
      <c r="F135" s="275">
        <f t="shared" si="8"/>
        <v>1</v>
      </c>
      <c r="G135" s="275" t="e">
        <f t="shared" si="9"/>
        <v>#DIV/0!</v>
      </c>
      <c r="H135">
        <f t="shared" si="7"/>
        <v>0</v>
      </c>
    </row>
    <row r="136" spans="1:8" ht="12.75" customHeight="1">
      <c r="A136" t="s">
        <v>528</v>
      </c>
      <c r="B136">
        <v>11.44481847</v>
      </c>
      <c r="C136">
        <v>1.436379487</v>
      </c>
      <c r="D136">
        <f>VLOOKUP(A136,'Quick View_ Sample Data'!$A$3:$AM$699,22)</f>
        <v>0</v>
      </c>
      <c r="E136">
        <f>VLOOKUP(A136,'Quick View_ Sample Data'!$A$3:$AM$699,23)</f>
        <v>0</v>
      </c>
      <c r="F136" s="275">
        <f t="shared" si="8"/>
        <v>1</v>
      </c>
      <c r="G136" s="275" t="e">
        <f t="shared" si="9"/>
        <v>#DIV/0!</v>
      </c>
      <c r="H136">
        <f t="shared" si="7"/>
        <v>0</v>
      </c>
    </row>
    <row r="137" spans="1:8" ht="12.75" customHeight="1">
      <c r="A137" t="s">
        <v>532</v>
      </c>
      <c r="B137">
        <v>10.791943910000001</v>
      </c>
      <c r="C137">
        <v>1.3965498679999999</v>
      </c>
      <c r="D137">
        <f>VLOOKUP(A137,'Quick View_ Sample Data'!$A$3:$AM$699,22)</f>
        <v>0</v>
      </c>
      <c r="E137">
        <f>VLOOKUP(A137,'Quick View_ Sample Data'!$A$3:$AM$699,23)</f>
        <v>0</v>
      </c>
      <c r="F137" s="275">
        <f t="shared" si="8"/>
        <v>1</v>
      </c>
      <c r="G137" s="275" t="e">
        <f t="shared" si="9"/>
        <v>#DIV/0!</v>
      </c>
      <c r="H137">
        <f t="shared" si="7"/>
        <v>0</v>
      </c>
    </row>
    <row r="138" spans="1:8" ht="12.75" customHeight="1">
      <c r="A138" t="s">
        <v>532</v>
      </c>
      <c r="B138">
        <v>13.589190090000001</v>
      </c>
      <c r="C138">
        <v>1.6552756420000001</v>
      </c>
      <c r="D138">
        <f>VLOOKUP(A138,'Quick View_ Sample Data'!$A$3:$AM$699,22)</f>
        <v>0</v>
      </c>
      <c r="E138">
        <f>VLOOKUP(A138,'Quick View_ Sample Data'!$A$3:$AM$699,23)</f>
        <v>0</v>
      </c>
      <c r="F138" s="275">
        <f t="shared" si="8"/>
        <v>1</v>
      </c>
      <c r="G138" s="275" t="e">
        <f t="shared" si="9"/>
        <v>#DIV/0!</v>
      </c>
      <c r="H138">
        <f t="shared" si="7"/>
        <v>0</v>
      </c>
    </row>
    <row r="139" spans="1:8" ht="12.75" customHeight="1">
      <c r="A139" t="s">
        <v>533</v>
      </c>
      <c r="B139">
        <v>10.757512090000001</v>
      </c>
      <c r="C139">
        <v>1.3260088590000001</v>
      </c>
      <c r="D139">
        <f>VLOOKUP(A139,'Quick View_ Sample Data'!$A$3:$AM$699,22)</f>
        <v>0</v>
      </c>
      <c r="E139">
        <f>VLOOKUP(A139,'Quick View_ Sample Data'!$A$3:$AM$699,23)</f>
        <v>0</v>
      </c>
      <c r="F139" s="275">
        <f t="shared" si="8"/>
        <v>1</v>
      </c>
      <c r="G139" s="275" t="e">
        <f t="shared" si="9"/>
        <v>#DIV/0!</v>
      </c>
      <c r="H139">
        <f t="shared" si="7"/>
        <v>0</v>
      </c>
    </row>
    <row r="140" spans="1:8" ht="12.75" customHeight="1">
      <c r="A140" t="s">
        <v>534</v>
      </c>
      <c r="B140">
        <v>10.59873063</v>
      </c>
      <c r="C140">
        <v>1.3873225140000001</v>
      </c>
      <c r="D140">
        <f>VLOOKUP(A140,'Quick View_ Sample Data'!$A$3:$AM$699,22)</f>
        <v>0</v>
      </c>
      <c r="E140">
        <f>VLOOKUP(A140,'Quick View_ Sample Data'!$A$3:$AM$699,23)</f>
        <v>0</v>
      </c>
      <c r="F140" s="275">
        <f t="shared" si="8"/>
        <v>1</v>
      </c>
      <c r="G140" s="275" t="e">
        <f t="shared" si="9"/>
        <v>#DIV/0!</v>
      </c>
      <c r="H140">
        <f t="shared" si="7"/>
        <v>0</v>
      </c>
    </row>
    <row r="141" spans="1:8" ht="12.75" customHeight="1">
      <c r="A141" t="s">
        <v>534</v>
      </c>
      <c r="B141">
        <v>12.83385816</v>
      </c>
      <c r="C141">
        <v>2.376612728</v>
      </c>
      <c r="D141">
        <f>VLOOKUP(A141,'Quick View_ Sample Data'!$A$3:$AM$699,22)</f>
        <v>0</v>
      </c>
      <c r="E141">
        <f>VLOOKUP(A141,'Quick View_ Sample Data'!$A$3:$AM$699,23)</f>
        <v>0</v>
      </c>
      <c r="F141" s="275">
        <f t="shared" si="8"/>
        <v>1</v>
      </c>
      <c r="G141" s="275" t="e">
        <f t="shared" si="9"/>
        <v>#DIV/0!</v>
      </c>
      <c r="H141">
        <f t="shared" si="7"/>
        <v>0</v>
      </c>
    </row>
    <row r="142" spans="1:8" ht="12.75" customHeight="1">
      <c r="A142" t="s">
        <v>534</v>
      </c>
      <c r="B142">
        <v>14.84707</v>
      </c>
      <c r="C142">
        <v>0</v>
      </c>
      <c r="D142">
        <f>VLOOKUP(A142,'Quick View_ Sample Data'!$A$3:$AM$699,22)</f>
        <v>0</v>
      </c>
      <c r="E142">
        <f>VLOOKUP(A142,'Quick View_ Sample Data'!$A$3:$AM$699,23)</f>
        <v>0</v>
      </c>
      <c r="F142" s="275">
        <f t="shared" si="8"/>
        <v>1</v>
      </c>
      <c r="G142" s="275" t="e">
        <f t="shared" si="9"/>
        <v>#DIV/0!</v>
      </c>
      <c r="H142">
        <f t="shared" si="7"/>
        <v>0</v>
      </c>
    </row>
    <row r="143" spans="1:8" ht="12.75" customHeight="1">
      <c r="A143" t="s">
        <v>535</v>
      </c>
      <c r="B143">
        <v>7.7194632590000003</v>
      </c>
      <c r="C143">
        <v>2.143989097</v>
      </c>
      <c r="D143">
        <f>VLOOKUP(A143,'Quick View_ Sample Data'!$A$3:$AM$699,22)</f>
        <v>0</v>
      </c>
      <c r="E143">
        <f>VLOOKUP(A143,'Quick View_ Sample Data'!$A$3:$AM$699,23)</f>
        <v>0</v>
      </c>
      <c r="F143" s="275">
        <f t="shared" si="8"/>
        <v>1</v>
      </c>
      <c r="G143" s="275" t="e">
        <f t="shared" si="9"/>
        <v>#DIV/0!</v>
      </c>
      <c r="H143">
        <f t="shared" si="7"/>
        <v>0</v>
      </c>
    </row>
    <row r="144" spans="1:8" ht="12.75" customHeight="1">
      <c r="A144" t="s">
        <v>544</v>
      </c>
      <c r="B144">
        <v>10.49628556</v>
      </c>
      <c r="C144">
        <v>1.328240954</v>
      </c>
      <c r="D144">
        <f>VLOOKUP(A144,'Quick View_ Sample Data'!$A$3:$AM$699,22)</f>
        <v>0</v>
      </c>
      <c r="E144">
        <f>VLOOKUP(A144,'Quick View_ Sample Data'!$A$3:$AM$699,23)</f>
        <v>0</v>
      </c>
      <c r="F144" s="275">
        <f t="shared" si="8"/>
        <v>1</v>
      </c>
      <c r="G144" s="275" t="e">
        <f t="shared" si="9"/>
        <v>#DIV/0!</v>
      </c>
      <c r="H144">
        <f t="shared" si="7"/>
        <v>0</v>
      </c>
    </row>
    <row r="145" spans="1:8" ht="12.75" customHeight="1">
      <c r="A145" t="s">
        <v>544</v>
      </c>
      <c r="B145">
        <v>10.511703369999999</v>
      </c>
      <c r="C145">
        <v>1.532636755</v>
      </c>
      <c r="D145">
        <f>VLOOKUP(A145,'Quick View_ Sample Data'!$A$3:$AM$699,22)</f>
        <v>0</v>
      </c>
      <c r="E145">
        <f>VLOOKUP(A145,'Quick View_ Sample Data'!$A$3:$AM$699,23)</f>
        <v>0</v>
      </c>
      <c r="F145" s="275">
        <f t="shared" si="8"/>
        <v>1</v>
      </c>
      <c r="G145" s="275" t="e">
        <f t="shared" si="9"/>
        <v>#DIV/0!</v>
      </c>
      <c r="H145">
        <f t="shared" si="7"/>
        <v>0</v>
      </c>
    </row>
    <row r="146" spans="1:8" ht="12.75" customHeight="1">
      <c r="A146" t="s">
        <v>550</v>
      </c>
      <c r="B146">
        <v>9.0484044469999994</v>
      </c>
      <c r="C146">
        <v>1.3979986639999999</v>
      </c>
      <c r="D146">
        <f>VLOOKUP(A146,'Quick View_ Sample Data'!$A$3:$AM$699,22)</f>
        <v>0</v>
      </c>
      <c r="E146">
        <f>VLOOKUP(A146,'Quick View_ Sample Data'!$A$3:$AM$699,23)</f>
        <v>0</v>
      </c>
      <c r="F146" s="275">
        <f t="shared" si="8"/>
        <v>1</v>
      </c>
      <c r="G146" s="275" t="e">
        <f t="shared" si="9"/>
        <v>#DIV/0!</v>
      </c>
      <c r="H146">
        <f t="shared" si="7"/>
        <v>0</v>
      </c>
    </row>
    <row r="147" spans="1:8" ht="12.75" customHeight="1">
      <c r="A147" t="s">
        <v>550</v>
      </c>
      <c r="B147">
        <v>9.0791742170000003</v>
      </c>
      <c r="C147" t="s">
        <v>2237</v>
      </c>
      <c r="D147">
        <f>VLOOKUP(A147,'Quick View_ Sample Data'!$A$3:$AM$699,22)</f>
        <v>0</v>
      </c>
      <c r="E147">
        <f>VLOOKUP(A147,'Quick View_ Sample Data'!$A$3:$AM$699,23)</f>
        <v>0</v>
      </c>
      <c r="F147" s="275">
        <f t="shared" si="8"/>
        <v>1</v>
      </c>
      <c r="G147" s="275" t="e">
        <f t="shared" si="9"/>
        <v>#VALUE!</v>
      </c>
    </row>
    <row r="148" spans="1:8" ht="12.75" customHeight="1">
      <c r="A148" t="s">
        <v>556</v>
      </c>
      <c r="B148">
        <v>8.9945024189999998</v>
      </c>
      <c r="C148" t="s">
        <v>2237</v>
      </c>
      <c r="D148">
        <f>VLOOKUP(A148,'Quick View_ Sample Data'!$A$3:$AM$699,22)</f>
        <v>0</v>
      </c>
      <c r="E148">
        <f>VLOOKUP(A148,'Quick View_ Sample Data'!$A$3:$AM$699,23)</f>
        <v>0</v>
      </c>
      <c r="F148" s="275">
        <f t="shared" si="8"/>
        <v>1</v>
      </c>
      <c r="G148" s="275" t="e">
        <f t="shared" si="9"/>
        <v>#VALUE!</v>
      </c>
    </row>
    <row r="149" spans="1:8" ht="12.75" customHeight="1">
      <c r="A149" t="s">
        <v>556</v>
      </c>
      <c r="B149">
        <v>9.0100192640000003</v>
      </c>
      <c r="C149">
        <v>1.161495038</v>
      </c>
      <c r="D149">
        <f>VLOOKUP(A149,'Quick View_ Sample Data'!$A$3:$AM$699,22)</f>
        <v>0</v>
      </c>
      <c r="E149">
        <f>VLOOKUP(A149,'Quick View_ Sample Data'!$A$3:$AM$699,23)</f>
        <v>0</v>
      </c>
      <c r="F149" s="275">
        <f t="shared" si="8"/>
        <v>1</v>
      </c>
      <c r="G149" s="275" t="e">
        <f t="shared" si="9"/>
        <v>#DIV/0!</v>
      </c>
      <c r="H149">
        <f t="shared" ref="H149:H180" si="10">IF((F149&lt;0.02),C149,)</f>
        <v>0</v>
      </c>
    </row>
    <row r="150" spans="1:8" ht="12.75" customHeight="1">
      <c r="A150" t="s">
        <v>563</v>
      </c>
      <c r="B150">
        <v>8.4278856780000009</v>
      </c>
      <c r="C150">
        <v>1.144497791</v>
      </c>
      <c r="D150">
        <f>VLOOKUP(A150,'Quick View_ Sample Data'!$A$3:$AM$699,22)</f>
        <v>0</v>
      </c>
      <c r="E150">
        <f>VLOOKUP(A150,'Quick View_ Sample Data'!$A$3:$AM$699,23)</f>
        <v>0</v>
      </c>
      <c r="F150" s="275">
        <f t="shared" si="8"/>
        <v>1</v>
      </c>
      <c r="G150" s="275" t="e">
        <f t="shared" si="9"/>
        <v>#DIV/0!</v>
      </c>
      <c r="H150">
        <f t="shared" si="10"/>
        <v>0</v>
      </c>
    </row>
    <row r="151" spans="1:8" ht="12.75" customHeight="1">
      <c r="A151" t="s">
        <v>563</v>
      </c>
      <c r="B151">
        <v>8.4715154140000006</v>
      </c>
      <c r="C151">
        <v>1.1451666920000001</v>
      </c>
      <c r="D151">
        <f>VLOOKUP(A151,'Quick View_ Sample Data'!$A$3:$AM$699,22)</f>
        <v>0</v>
      </c>
      <c r="E151">
        <f>VLOOKUP(A151,'Quick View_ Sample Data'!$A$3:$AM$699,23)</f>
        <v>0</v>
      </c>
      <c r="F151" s="275">
        <f t="shared" si="8"/>
        <v>1</v>
      </c>
      <c r="G151" s="275" t="e">
        <f t="shared" si="9"/>
        <v>#DIV/0!</v>
      </c>
      <c r="H151">
        <f t="shared" si="10"/>
        <v>0</v>
      </c>
    </row>
    <row r="152" spans="1:8" ht="12.75" customHeight="1">
      <c r="A152" t="s">
        <v>570</v>
      </c>
      <c r="B152">
        <v>8.4201524059999997</v>
      </c>
      <c r="C152">
        <v>1.0445111810000001</v>
      </c>
      <c r="D152">
        <f>VLOOKUP(A152,'Quick View_ Sample Data'!$A$3:$AM$699,22)</f>
        <v>0</v>
      </c>
      <c r="E152">
        <f>VLOOKUP(A152,'Quick View_ Sample Data'!$A$3:$AM$699,23)</f>
        <v>0</v>
      </c>
      <c r="F152" s="275">
        <f t="shared" si="8"/>
        <v>1</v>
      </c>
      <c r="G152" s="275" t="e">
        <f t="shared" si="9"/>
        <v>#DIV/0!</v>
      </c>
      <c r="H152">
        <f t="shared" si="10"/>
        <v>0</v>
      </c>
    </row>
    <row r="153" spans="1:8" ht="12.75" customHeight="1">
      <c r="A153" t="s">
        <v>570</v>
      </c>
      <c r="B153">
        <v>8.4384939770000003</v>
      </c>
      <c r="C153">
        <v>1.060831638</v>
      </c>
      <c r="D153">
        <f>VLOOKUP(A153,'Quick View_ Sample Data'!$A$3:$AM$699,22)</f>
        <v>0</v>
      </c>
      <c r="E153">
        <f>VLOOKUP(A153,'Quick View_ Sample Data'!$A$3:$AM$699,23)</f>
        <v>0</v>
      </c>
      <c r="F153" s="275">
        <f t="shared" si="8"/>
        <v>1</v>
      </c>
      <c r="G153" s="275" t="e">
        <f t="shared" si="9"/>
        <v>#DIV/0!</v>
      </c>
      <c r="H153">
        <f t="shared" si="10"/>
        <v>0</v>
      </c>
    </row>
    <row r="154" spans="1:8" ht="12.75" customHeight="1">
      <c r="A154" t="s">
        <v>572</v>
      </c>
      <c r="B154">
        <v>11.07156552</v>
      </c>
      <c r="C154">
        <v>0.52535215400000002</v>
      </c>
      <c r="D154">
        <f>VLOOKUP(A154,'Quick View_ Sample Data'!$A$3:$AM$699,22)</f>
        <v>0</v>
      </c>
      <c r="E154">
        <f>VLOOKUP(A154,'Quick View_ Sample Data'!$A$3:$AM$699,23)</f>
        <v>0</v>
      </c>
      <c r="F154" s="275">
        <f t="shared" si="8"/>
        <v>1</v>
      </c>
      <c r="G154" s="275" t="e">
        <f t="shared" si="9"/>
        <v>#DIV/0!</v>
      </c>
      <c r="H154">
        <f t="shared" si="10"/>
        <v>0</v>
      </c>
    </row>
    <row r="155" spans="1:8" ht="12.75" customHeight="1">
      <c r="A155" t="s">
        <v>576</v>
      </c>
      <c r="B155">
        <v>11.147165019999999</v>
      </c>
      <c r="C155">
        <v>0.52348747900000003</v>
      </c>
      <c r="D155">
        <f>VLOOKUP(A155,'Quick View_ Sample Data'!$A$3:$AM$699,22)</f>
        <v>0</v>
      </c>
      <c r="E155">
        <f>VLOOKUP(A155,'Quick View_ Sample Data'!$A$3:$AM$699,23)</f>
        <v>0</v>
      </c>
      <c r="F155" s="275">
        <f t="shared" si="8"/>
        <v>1</v>
      </c>
      <c r="G155" s="275" t="e">
        <f t="shared" si="9"/>
        <v>#DIV/0!</v>
      </c>
      <c r="H155">
        <f t="shared" si="10"/>
        <v>0</v>
      </c>
    </row>
    <row r="156" spans="1:8" ht="12.75" customHeight="1">
      <c r="A156" t="s">
        <v>577</v>
      </c>
      <c r="B156">
        <v>11.08596071</v>
      </c>
      <c r="C156">
        <v>0.52570376699999999</v>
      </c>
      <c r="D156">
        <f>VLOOKUP(A156,'Quick View_ Sample Data'!$A$3:$AM$699,22)</f>
        <v>0</v>
      </c>
      <c r="E156">
        <f>VLOOKUP(A156,'Quick View_ Sample Data'!$A$3:$AM$699,23)</f>
        <v>0</v>
      </c>
      <c r="F156" s="275">
        <f t="shared" si="8"/>
        <v>1</v>
      </c>
      <c r="G156" s="275" t="e">
        <f t="shared" si="9"/>
        <v>#DIV/0!</v>
      </c>
      <c r="H156">
        <f t="shared" si="10"/>
        <v>0</v>
      </c>
    </row>
    <row r="157" spans="1:8" ht="12.75" customHeight="1">
      <c r="A157" t="s">
        <v>578</v>
      </c>
      <c r="B157">
        <v>11.16592883</v>
      </c>
      <c r="C157">
        <v>0.51059936100000003</v>
      </c>
      <c r="D157">
        <f>VLOOKUP(A157,'Quick View_ Sample Data'!$A$3:$AM$699,22)</f>
        <v>0</v>
      </c>
      <c r="E157">
        <f>VLOOKUP(A157,'Quick View_ Sample Data'!$A$3:$AM$699,23)</f>
        <v>0</v>
      </c>
      <c r="F157" s="275">
        <f t="shared" si="8"/>
        <v>1</v>
      </c>
      <c r="G157" s="275" t="e">
        <f t="shared" si="9"/>
        <v>#DIV/0!</v>
      </c>
      <c r="H157">
        <f t="shared" si="10"/>
        <v>0</v>
      </c>
    </row>
    <row r="158" spans="1:8" ht="12.75" customHeight="1">
      <c r="A158" t="s">
        <v>2168</v>
      </c>
      <c r="B158">
        <v>12.038329129999999</v>
      </c>
      <c r="C158">
        <v>0.24023322699999999</v>
      </c>
      <c r="D158">
        <f>VLOOKUP(A158,'Quick View_ Sample Data'!$A$3:$AM$699,22)</f>
        <v>0</v>
      </c>
      <c r="E158">
        <f>VLOOKUP(A158,'Quick View_ Sample Data'!$A$3:$AM$699,23)</f>
        <v>0</v>
      </c>
      <c r="F158" s="275">
        <f t="shared" si="8"/>
        <v>1</v>
      </c>
      <c r="G158" s="275" t="e">
        <f t="shared" si="9"/>
        <v>#DIV/0!</v>
      </c>
      <c r="H158">
        <f t="shared" si="10"/>
        <v>0</v>
      </c>
    </row>
    <row r="159" spans="1:8" ht="12.75" customHeight="1">
      <c r="A159" t="s">
        <v>2171</v>
      </c>
      <c r="B159">
        <v>6.4923791770000001</v>
      </c>
      <c r="C159">
        <v>0.98583949900000001</v>
      </c>
      <c r="D159">
        <f>VLOOKUP(A159,'Quick View_ Sample Data'!$A$3:$AM$699,22)</f>
        <v>0</v>
      </c>
      <c r="E159">
        <f>VLOOKUP(A159,'Quick View_ Sample Data'!$A$3:$AM$699,23)</f>
        <v>0</v>
      </c>
      <c r="F159" s="275">
        <f t="shared" si="8"/>
        <v>1</v>
      </c>
      <c r="G159" s="275" t="e">
        <f t="shared" si="9"/>
        <v>#DIV/0!</v>
      </c>
      <c r="H159">
        <f t="shared" si="10"/>
        <v>0</v>
      </c>
    </row>
    <row r="160" spans="1:8" ht="12.75" customHeight="1">
      <c r="A160" t="s">
        <v>2175</v>
      </c>
      <c r="B160">
        <v>9.1277392210000006</v>
      </c>
      <c r="C160">
        <v>1.2116185269999999</v>
      </c>
      <c r="D160">
        <f>VLOOKUP(A160,'Quick View_ Sample Data'!$A$3:$AM$699,22)</f>
        <v>0</v>
      </c>
      <c r="E160">
        <f>VLOOKUP(A160,'Quick View_ Sample Data'!$A$3:$AM$699,23)</f>
        <v>0</v>
      </c>
      <c r="F160" s="275">
        <f t="shared" si="8"/>
        <v>1</v>
      </c>
      <c r="G160" s="275" t="e">
        <f t="shared" si="9"/>
        <v>#DIV/0!</v>
      </c>
      <c r="H160">
        <f t="shared" si="10"/>
        <v>0</v>
      </c>
    </row>
    <row r="161" spans="1:8" ht="12.75" customHeight="1">
      <c r="A161" t="s">
        <v>2179</v>
      </c>
      <c r="B161">
        <v>8.6944603820000008</v>
      </c>
      <c r="C161">
        <v>0.53896634399999999</v>
      </c>
      <c r="D161">
        <f>VLOOKUP(A161,'Quick View_ Sample Data'!$A$3:$AM$699,22)</f>
        <v>0</v>
      </c>
      <c r="E161">
        <f>VLOOKUP(A161,'Quick View_ Sample Data'!$A$3:$AM$699,23)</f>
        <v>0</v>
      </c>
      <c r="F161" s="275">
        <f t="shared" si="8"/>
        <v>1</v>
      </c>
      <c r="G161" s="275" t="e">
        <f t="shared" si="9"/>
        <v>#DIV/0!</v>
      </c>
      <c r="H161">
        <f t="shared" si="10"/>
        <v>0</v>
      </c>
    </row>
    <row r="162" spans="1:8" ht="12.75" customHeight="1">
      <c r="A162" t="s">
        <v>2187</v>
      </c>
      <c r="B162">
        <v>11.887079480000001</v>
      </c>
      <c r="C162">
        <v>0.194604058</v>
      </c>
      <c r="D162">
        <f>VLOOKUP(A162,'Quick View_ Sample Data'!$A$3:$AM$699,22)</f>
        <v>0</v>
      </c>
      <c r="E162">
        <f>VLOOKUP(A162,'Quick View_ Sample Data'!$A$3:$AM$699,23)</f>
        <v>0</v>
      </c>
      <c r="F162" s="275">
        <f t="shared" si="8"/>
        <v>1</v>
      </c>
      <c r="G162" s="275" t="e">
        <f t="shared" si="9"/>
        <v>#DIV/0!</v>
      </c>
      <c r="H162">
        <f t="shared" si="10"/>
        <v>0</v>
      </c>
    </row>
    <row r="163" spans="1:8" ht="12.75" customHeight="1">
      <c r="A163" t="s">
        <v>2191</v>
      </c>
      <c r="B163">
        <v>10.57303508</v>
      </c>
      <c r="C163">
        <v>0.35070414300000002</v>
      </c>
      <c r="D163">
        <f>VLOOKUP(A163,'Quick View_ Sample Data'!$A$3:$AM$699,22)</f>
        <v>0</v>
      </c>
      <c r="E163">
        <f>VLOOKUP(A163,'Quick View_ Sample Data'!$A$3:$AM$699,23)</f>
        <v>0</v>
      </c>
      <c r="F163" s="275">
        <f t="shared" si="8"/>
        <v>1</v>
      </c>
      <c r="G163" s="275" t="e">
        <f t="shared" si="9"/>
        <v>#DIV/0!</v>
      </c>
      <c r="H163">
        <f t="shared" si="10"/>
        <v>0</v>
      </c>
    </row>
    <row r="164" spans="1:8" ht="12.75" customHeight="1">
      <c r="A164" t="s">
        <v>580</v>
      </c>
      <c r="B164">
        <v>11.13252269</v>
      </c>
      <c r="C164">
        <v>0.18777673</v>
      </c>
      <c r="D164">
        <f>VLOOKUP(A164,'Quick View_ Sample Data'!$A$3:$AM$699,22)</f>
        <v>0</v>
      </c>
      <c r="E164">
        <f>VLOOKUP(A164,'Quick View_ Sample Data'!$A$3:$AM$699,23)</f>
        <v>0</v>
      </c>
      <c r="F164" s="275">
        <f t="shared" si="8"/>
        <v>1</v>
      </c>
      <c r="G164" s="275" t="e">
        <f t="shared" si="9"/>
        <v>#DIV/0!</v>
      </c>
      <c r="H164">
        <f t="shared" si="10"/>
        <v>0</v>
      </c>
    </row>
    <row r="165" spans="1:8" ht="12.75" customHeight="1">
      <c r="A165" t="s">
        <v>586</v>
      </c>
      <c r="B165">
        <v>11.7858737</v>
      </c>
      <c r="C165">
        <v>0.206955637</v>
      </c>
      <c r="D165">
        <f>VLOOKUP(A165,'Quick View_ Sample Data'!$A$3:$AM$699,22)</f>
        <v>0</v>
      </c>
      <c r="E165">
        <f>VLOOKUP(A165,'Quick View_ Sample Data'!$A$3:$AM$699,23)</f>
        <v>0</v>
      </c>
      <c r="F165" s="275">
        <f t="shared" si="8"/>
        <v>1</v>
      </c>
      <c r="G165" s="275" t="e">
        <f t="shared" si="9"/>
        <v>#DIV/0!</v>
      </c>
      <c r="H165">
        <f t="shared" si="10"/>
        <v>0</v>
      </c>
    </row>
    <row r="166" spans="1:8" ht="12.75" customHeight="1">
      <c r="A166" t="s">
        <v>593</v>
      </c>
      <c r="B166">
        <v>8.5919445410000002</v>
      </c>
      <c r="C166">
        <v>1.1225473589999999</v>
      </c>
      <c r="D166">
        <f>VLOOKUP(A166,'Quick View_ Sample Data'!$A$3:$AM$699,22)</f>
        <v>0</v>
      </c>
      <c r="E166">
        <f>VLOOKUP(A166,'Quick View_ Sample Data'!$A$3:$AM$699,23)</f>
        <v>0</v>
      </c>
      <c r="F166" s="275">
        <f t="shared" si="8"/>
        <v>1</v>
      </c>
      <c r="G166" s="275" t="e">
        <f t="shared" si="9"/>
        <v>#DIV/0!</v>
      </c>
      <c r="H166">
        <f t="shared" si="10"/>
        <v>0</v>
      </c>
    </row>
    <row r="167" spans="1:8" ht="12.75" customHeight="1">
      <c r="A167" t="s">
        <v>593</v>
      </c>
      <c r="B167" t="s">
        <v>2237</v>
      </c>
      <c r="C167" t="s">
        <v>2237</v>
      </c>
      <c r="D167">
        <f>VLOOKUP(A167,'Quick View_ Sample Data'!$A$3:$AM$699,22)</f>
        <v>0</v>
      </c>
      <c r="E167">
        <f>VLOOKUP(A167,'Quick View_ Sample Data'!$A$3:$AM$699,23)</f>
        <v>0</v>
      </c>
      <c r="F167" s="275" t="e">
        <f t="shared" si="8"/>
        <v>#VALUE!</v>
      </c>
      <c r="G167" s="275" t="e">
        <f t="shared" si="9"/>
        <v>#VALUE!</v>
      </c>
      <c r="H167" t="e">
        <f t="shared" si="10"/>
        <v>#VALUE!</v>
      </c>
    </row>
    <row r="168" spans="1:8" ht="12.75" customHeight="1">
      <c r="A168" t="s">
        <v>595</v>
      </c>
      <c r="B168">
        <v>4.9931211400000004</v>
      </c>
      <c r="C168">
        <v>1.293066327</v>
      </c>
      <c r="D168">
        <f>VLOOKUP(A168,'Quick View_ Sample Data'!$A$3:$AM$699,22)</f>
        <v>0</v>
      </c>
      <c r="E168">
        <f>VLOOKUP(A168,'Quick View_ Sample Data'!$A$3:$AM$699,23)</f>
        <v>0</v>
      </c>
      <c r="F168" s="275">
        <f t="shared" si="8"/>
        <v>1</v>
      </c>
      <c r="G168" s="275" t="e">
        <f t="shared" si="9"/>
        <v>#DIV/0!</v>
      </c>
      <c r="H168">
        <f t="shared" si="10"/>
        <v>0</v>
      </c>
    </row>
    <row r="169" spans="1:8" ht="12.75" customHeight="1">
      <c r="A169" t="s">
        <v>595</v>
      </c>
      <c r="B169" t="s">
        <v>2237</v>
      </c>
      <c r="C169" t="s">
        <v>2237</v>
      </c>
      <c r="D169">
        <f>VLOOKUP(A169,'Quick View_ Sample Data'!$A$3:$AM$699,22)</f>
        <v>0</v>
      </c>
      <c r="E169">
        <f>VLOOKUP(A169,'Quick View_ Sample Data'!$A$3:$AM$699,23)</f>
        <v>0</v>
      </c>
      <c r="F169" s="275" t="e">
        <f t="shared" si="8"/>
        <v>#VALUE!</v>
      </c>
      <c r="G169" s="275" t="e">
        <f t="shared" si="9"/>
        <v>#VALUE!</v>
      </c>
      <c r="H169" t="e">
        <f t="shared" si="10"/>
        <v>#VALUE!</v>
      </c>
    </row>
    <row r="170" spans="1:8" ht="12.75" customHeight="1">
      <c r="A170" t="s">
        <v>599</v>
      </c>
      <c r="B170">
        <v>7.1115086850000004</v>
      </c>
      <c r="C170">
        <v>1.4367310799999999</v>
      </c>
      <c r="D170">
        <f>VLOOKUP(A170,'Quick View_ Sample Data'!$A$3:$AM$699,22)</f>
        <v>0</v>
      </c>
      <c r="E170">
        <f>VLOOKUP(A170,'Quick View_ Sample Data'!$A$3:$AM$699,23)</f>
        <v>0</v>
      </c>
      <c r="F170" s="275">
        <f t="shared" si="8"/>
        <v>1</v>
      </c>
      <c r="G170" s="275" t="e">
        <f t="shared" si="9"/>
        <v>#DIV/0!</v>
      </c>
      <c r="H170">
        <f t="shared" si="10"/>
        <v>0</v>
      </c>
    </row>
    <row r="171" spans="1:8" ht="12.75" customHeight="1">
      <c r="A171" t="s">
        <v>603</v>
      </c>
      <c r="B171">
        <v>9.9846484889999996</v>
      </c>
      <c r="C171">
        <v>0.58390502300000002</v>
      </c>
      <c r="D171">
        <f>VLOOKUP(A171,'Quick View_ Sample Data'!$A$3:$AM$699,22)</f>
        <v>0</v>
      </c>
      <c r="E171">
        <f>VLOOKUP(A171,'Quick View_ Sample Data'!$A$3:$AM$699,23)</f>
        <v>0</v>
      </c>
      <c r="F171" s="275">
        <f t="shared" si="8"/>
        <v>1</v>
      </c>
      <c r="G171" s="275" t="e">
        <f t="shared" si="9"/>
        <v>#DIV/0!</v>
      </c>
      <c r="H171">
        <f t="shared" si="10"/>
        <v>0</v>
      </c>
    </row>
    <row r="172" spans="1:8" ht="12.75" customHeight="1">
      <c r="A172" t="s">
        <v>608</v>
      </c>
      <c r="B172">
        <v>6.515930816</v>
      </c>
      <c r="C172" t="s">
        <v>2237</v>
      </c>
      <c r="D172">
        <f>VLOOKUP(A172,'Quick View_ Sample Data'!$A$3:$AM$699,22)</f>
        <v>0</v>
      </c>
      <c r="E172">
        <f>VLOOKUP(A172,'Quick View_ Sample Data'!$A$3:$AM$699,23)</f>
        <v>0</v>
      </c>
      <c r="F172" s="275">
        <f t="shared" si="8"/>
        <v>1</v>
      </c>
      <c r="G172" s="275" t="e">
        <f t="shared" si="9"/>
        <v>#VALUE!</v>
      </c>
      <c r="H172">
        <f t="shared" si="10"/>
        <v>0</v>
      </c>
    </row>
    <row r="173" spans="1:8" ht="12.75" customHeight="1">
      <c r="A173" t="s">
        <v>610</v>
      </c>
      <c r="B173">
        <v>6.5617039430000004</v>
      </c>
      <c r="C173" t="s">
        <v>2237</v>
      </c>
      <c r="D173">
        <f>VLOOKUP(A173,'Quick View_ Sample Data'!$A$3:$AM$699,22)</f>
        <v>0</v>
      </c>
      <c r="E173">
        <f>VLOOKUP(A173,'Quick View_ Sample Data'!$A$3:$AM$699,23)</f>
        <v>0</v>
      </c>
      <c r="F173" s="275">
        <f t="shared" si="8"/>
        <v>1</v>
      </c>
      <c r="G173" s="275" t="e">
        <f t="shared" si="9"/>
        <v>#VALUE!</v>
      </c>
      <c r="H173">
        <f t="shared" si="10"/>
        <v>0</v>
      </c>
    </row>
    <row r="174" spans="1:8" ht="12.75" customHeight="1">
      <c r="A174" t="s">
        <v>611</v>
      </c>
      <c r="B174" t="s">
        <v>2237</v>
      </c>
      <c r="C174" t="s">
        <v>2237</v>
      </c>
      <c r="D174">
        <f>VLOOKUP(A174,'Quick View_ Sample Data'!$A$3:$AM$699,22)</f>
        <v>0</v>
      </c>
      <c r="E174">
        <f>VLOOKUP(A174,'Quick View_ Sample Data'!$A$3:$AM$699,23)</f>
        <v>0</v>
      </c>
      <c r="F174" s="275" t="e">
        <f t="shared" si="8"/>
        <v>#VALUE!</v>
      </c>
      <c r="G174" s="275" t="e">
        <f t="shared" si="9"/>
        <v>#VALUE!</v>
      </c>
      <c r="H174" t="e">
        <f t="shared" si="10"/>
        <v>#VALUE!</v>
      </c>
    </row>
    <row r="175" spans="1:8" ht="12.75" customHeight="1">
      <c r="A175" t="s">
        <v>612</v>
      </c>
      <c r="B175">
        <v>6.7796345029999996</v>
      </c>
      <c r="C175">
        <v>1.794999593</v>
      </c>
      <c r="D175">
        <f>VLOOKUP(A175,'Quick View_ Sample Data'!$A$3:$AM$699,22)</f>
        <v>0</v>
      </c>
      <c r="E175">
        <f>VLOOKUP(A175,'Quick View_ Sample Data'!$A$3:$AM$699,23)</f>
        <v>0</v>
      </c>
      <c r="F175" s="275">
        <f t="shared" si="8"/>
        <v>1</v>
      </c>
      <c r="G175" s="275" t="e">
        <f t="shared" si="9"/>
        <v>#DIV/0!</v>
      </c>
      <c r="H175">
        <f t="shared" si="10"/>
        <v>0</v>
      </c>
    </row>
    <row r="176" spans="1:8" ht="12.75" customHeight="1">
      <c r="A176" t="s">
        <v>616</v>
      </c>
      <c r="B176">
        <v>8.5701999919999992</v>
      </c>
      <c r="C176">
        <v>1.270830656</v>
      </c>
      <c r="D176">
        <f>VLOOKUP(A176,'Quick View_ Sample Data'!$A$3:$AM$699,22)</f>
        <v>0</v>
      </c>
      <c r="E176">
        <f>VLOOKUP(A176,'Quick View_ Sample Data'!$A$3:$AM$699,23)</f>
        <v>0</v>
      </c>
      <c r="F176" s="275">
        <f t="shared" si="8"/>
        <v>1</v>
      </c>
      <c r="G176" s="275" t="e">
        <f t="shared" si="9"/>
        <v>#DIV/0!</v>
      </c>
      <c r="H176">
        <f t="shared" si="10"/>
        <v>0</v>
      </c>
    </row>
    <row r="177" spans="1:8" ht="12.75" customHeight="1">
      <c r="A177" t="s">
        <v>620</v>
      </c>
      <c r="B177">
        <v>12.84454972</v>
      </c>
      <c r="C177">
        <v>0.83942416900000005</v>
      </c>
      <c r="D177">
        <f>VLOOKUP(A177,'Quick View_ Sample Data'!$A$3:$AM$699,22)</f>
        <v>0</v>
      </c>
      <c r="E177">
        <f>VLOOKUP(A177,'Quick View_ Sample Data'!$A$3:$AM$699,23)</f>
        <v>0</v>
      </c>
      <c r="F177" s="275">
        <f t="shared" si="8"/>
        <v>1</v>
      </c>
      <c r="G177" s="275" t="e">
        <f t="shared" si="9"/>
        <v>#DIV/0!</v>
      </c>
      <c r="H177">
        <f t="shared" si="10"/>
        <v>0</v>
      </c>
    </row>
    <row r="178" spans="1:8" ht="12.75" customHeight="1">
      <c r="A178" t="s">
        <v>623</v>
      </c>
      <c r="B178">
        <v>12.63063957</v>
      </c>
      <c r="C178">
        <v>0.87111993899999995</v>
      </c>
      <c r="D178">
        <f>VLOOKUP(A178,'Quick View_ Sample Data'!$A$3:$AM$699,22)</f>
        <v>0</v>
      </c>
      <c r="E178">
        <f>VLOOKUP(A178,'Quick View_ Sample Data'!$A$3:$AM$699,23)</f>
        <v>0</v>
      </c>
      <c r="F178" s="275">
        <f t="shared" si="8"/>
        <v>1</v>
      </c>
      <c r="G178" s="275" t="e">
        <f t="shared" si="9"/>
        <v>#DIV/0!</v>
      </c>
      <c r="H178">
        <f t="shared" si="10"/>
        <v>0</v>
      </c>
    </row>
    <row r="179" spans="1:8" ht="12.75" customHeight="1">
      <c r="A179" t="s">
        <v>625</v>
      </c>
      <c r="B179">
        <v>10.916959690000001</v>
      </c>
      <c r="C179">
        <v>1.7175773670000001</v>
      </c>
      <c r="D179">
        <f>VLOOKUP(A179,'Quick View_ Sample Data'!$A$3:$AM$699,22)</f>
        <v>0</v>
      </c>
      <c r="E179">
        <f>VLOOKUP(A179,'Quick View_ Sample Data'!$A$3:$AM$699,23)</f>
        <v>0</v>
      </c>
      <c r="F179" s="275">
        <f t="shared" si="8"/>
        <v>1</v>
      </c>
      <c r="G179" s="275" t="e">
        <f t="shared" si="9"/>
        <v>#DIV/0!</v>
      </c>
      <c r="H179">
        <f t="shared" si="10"/>
        <v>0</v>
      </c>
    </row>
    <row r="180" spans="1:8" ht="12.75" customHeight="1">
      <c r="A180" t="s">
        <v>625</v>
      </c>
      <c r="B180" t="s">
        <v>2237</v>
      </c>
      <c r="C180" t="s">
        <v>2237</v>
      </c>
      <c r="D180">
        <f>VLOOKUP(A180,'Quick View_ Sample Data'!$A$3:$AM$699,22)</f>
        <v>0</v>
      </c>
      <c r="E180">
        <f>VLOOKUP(A180,'Quick View_ Sample Data'!$A$3:$AM$699,23)</f>
        <v>0</v>
      </c>
      <c r="F180" s="275" t="e">
        <f t="shared" si="8"/>
        <v>#VALUE!</v>
      </c>
      <c r="G180" s="275" t="e">
        <f t="shared" si="9"/>
        <v>#VALUE!</v>
      </c>
      <c r="H180" t="e">
        <f t="shared" si="10"/>
        <v>#VALUE!</v>
      </c>
    </row>
    <row r="181" spans="1:8" ht="12.75" customHeight="1">
      <c r="A181" t="s">
        <v>627</v>
      </c>
      <c r="B181">
        <v>10.4608515</v>
      </c>
      <c r="C181">
        <v>1.78043503</v>
      </c>
      <c r="D181">
        <f>VLOOKUP(A181,'Quick View_ Sample Data'!$A$3:$AM$699,22)</f>
        <v>0</v>
      </c>
      <c r="E181">
        <f>VLOOKUP(A181,'Quick View_ Sample Data'!$A$3:$AM$699,23)</f>
        <v>0</v>
      </c>
      <c r="F181" s="275">
        <f t="shared" si="8"/>
        <v>1</v>
      </c>
      <c r="G181" s="275" t="e">
        <f t="shared" si="9"/>
        <v>#DIV/0!</v>
      </c>
      <c r="H181">
        <f t="shared" ref="H181:H212" si="11">IF((F181&lt;0.02),C181,)</f>
        <v>0</v>
      </c>
    </row>
    <row r="182" spans="1:8" ht="12.75" customHeight="1">
      <c r="A182" t="s">
        <v>627</v>
      </c>
      <c r="B182" t="s">
        <v>2237</v>
      </c>
      <c r="C182" t="s">
        <v>2237</v>
      </c>
      <c r="D182">
        <f>VLOOKUP(A182,'Quick View_ Sample Data'!$A$3:$AM$699,22)</f>
        <v>0</v>
      </c>
      <c r="E182">
        <f>VLOOKUP(A182,'Quick View_ Sample Data'!$A$3:$AM$699,23)</f>
        <v>0</v>
      </c>
      <c r="F182" s="275" t="e">
        <f t="shared" si="8"/>
        <v>#VALUE!</v>
      </c>
      <c r="G182" s="275" t="e">
        <f t="shared" si="9"/>
        <v>#VALUE!</v>
      </c>
      <c r="H182" t="e">
        <f t="shared" si="11"/>
        <v>#VALUE!</v>
      </c>
    </row>
    <row r="183" spans="1:8" ht="12.75" customHeight="1">
      <c r="A183" t="s">
        <v>629</v>
      </c>
      <c r="B183">
        <v>8.4991438079999995</v>
      </c>
      <c r="C183">
        <v>2.2563877030000001</v>
      </c>
      <c r="D183">
        <f>VLOOKUP(A183,'Quick View_ Sample Data'!$A$3:$AM$699,22)</f>
        <v>0</v>
      </c>
      <c r="E183">
        <f>VLOOKUP(A183,'Quick View_ Sample Data'!$A$3:$AM$699,23)</f>
        <v>0</v>
      </c>
      <c r="F183" s="275">
        <f t="shared" si="8"/>
        <v>1</v>
      </c>
      <c r="G183" s="275" t="e">
        <f t="shared" si="9"/>
        <v>#DIV/0!</v>
      </c>
      <c r="H183">
        <f t="shared" si="11"/>
        <v>0</v>
      </c>
    </row>
    <row r="184" spans="1:8" ht="12.75" customHeight="1">
      <c r="A184" t="s">
        <v>633</v>
      </c>
      <c r="B184">
        <v>12.20712043</v>
      </c>
      <c r="C184">
        <v>0.75490402599999995</v>
      </c>
      <c r="D184">
        <f>VLOOKUP(A184,'Quick View_ Sample Data'!$A$3:$AM$699,22)</f>
        <v>0</v>
      </c>
      <c r="E184">
        <f>VLOOKUP(A184,'Quick View_ Sample Data'!$A$3:$AM$699,23)</f>
        <v>0</v>
      </c>
      <c r="F184" s="275">
        <f t="shared" si="8"/>
        <v>1</v>
      </c>
      <c r="G184" s="275" t="e">
        <f t="shared" si="9"/>
        <v>#DIV/0!</v>
      </c>
      <c r="H184">
        <f t="shared" si="11"/>
        <v>0</v>
      </c>
    </row>
    <row r="185" spans="1:8" ht="12.75" customHeight="1">
      <c r="A185" t="s">
        <v>635</v>
      </c>
      <c r="B185">
        <v>12.61189214</v>
      </c>
      <c r="C185">
        <v>0.78461145200000004</v>
      </c>
      <c r="D185">
        <f>VLOOKUP(A185,'Quick View_ Sample Data'!$A$3:$AM$699,22)</f>
        <v>0</v>
      </c>
      <c r="E185">
        <f>VLOOKUP(A185,'Quick View_ Sample Data'!$A$3:$AM$699,23)</f>
        <v>0</v>
      </c>
      <c r="F185" s="275">
        <f t="shared" si="8"/>
        <v>1</v>
      </c>
      <c r="G185" s="275" t="e">
        <f t="shared" si="9"/>
        <v>#DIV/0!</v>
      </c>
      <c r="H185">
        <f t="shared" si="11"/>
        <v>0</v>
      </c>
    </row>
    <row r="186" spans="1:8" ht="12.75" customHeight="1">
      <c r="A186" t="s">
        <v>638</v>
      </c>
      <c r="B186">
        <v>12.65991322</v>
      </c>
      <c r="C186">
        <v>0.80622340299999995</v>
      </c>
      <c r="D186">
        <f>VLOOKUP(A186,'Quick View_ Sample Data'!$A$3:$AM$699,22)</f>
        <v>0</v>
      </c>
      <c r="E186">
        <f>VLOOKUP(A186,'Quick View_ Sample Data'!$A$3:$AM$699,23)</f>
        <v>0</v>
      </c>
      <c r="F186" s="275">
        <f t="shared" si="8"/>
        <v>1</v>
      </c>
      <c r="G186" s="275" t="e">
        <f t="shared" si="9"/>
        <v>#DIV/0!</v>
      </c>
      <c r="H186">
        <f t="shared" si="11"/>
        <v>0</v>
      </c>
    </row>
    <row r="187" spans="1:8" ht="12.75" customHeight="1">
      <c r="A187" t="s">
        <v>639</v>
      </c>
      <c r="B187">
        <v>12.683551769999999</v>
      </c>
      <c r="C187">
        <v>0.84696822800000005</v>
      </c>
      <c r="D187">
        <f>VLOOKUP(A187,'Quick View_ Sample Data'!$A$3:$AM$699,22)</f>
        <v>0</v>
      </c>
      <c r="E187">
        <f>VLOOKUP(A187,'Quick View_ Sample Data'!$A$3:$AM$699,23)</f>
        <v>0</v>
      </c>
      <c r="F187" s="275">
        <f t="shared" si="8"/>
        <v>1</v>
      </c>
      <c r="G187" s="275" t="e">
        <f t="shared" si="9"/>
        <v>#DIV/0!</v>
      </c>
      <c r="H187">
        <f t="shared" si="11"/>
        <v>0</v>
      </c>
    </row>
    <row r="188" spans="1:8" ht="12.75" customHeight="1">
      <c r="A188" t="s">
        <v>640</v>
      </c>
      <c r="B188">
        <v>8.9012657639999997</v>
      </c>
      <c r="C188">
        <v>1.054327743</v>
      </c>
      <c r="D188">
        <f>VLOOKUP(A188,'Quick View_ Sample Data'!$A$3:$AM$699,22)</f>
        <v>0</v>
      </c>
      <c r="E188">
        <f>VLOOKUP(A188,'Quick View_ Sample Data'!$A$3:$AM$699,23)</f>
        <v>0</v>
      </c>
      <c r="F188" s="275">
        <f t="shared" si="8"/>
        <v>1</v>
      </c>
      <c r="G188" s="275" t="e">
        <f t="shared" si="9"/>
        <v>#DIV/0!</v>
      </c>
      <c r="H188">
        <f t="shared" si="11"/>
        <v>0</v>
      </c>
    </row>
    <row r="189" spans="1:8" ht="12.75" customHeight="1">
      <c r="A189" t="s">
        <v>643</v>
      </c>
      <c r="B189">
        <v>8.7520128019999994</v>
      </c>
      <c r="C189">
        <v>1.039852212</v>
      </c>
      <c r="D189">
        <f>VLOOKUP(A189,'Quick View_ Sample Data'!$A$3:$AM$699,22)</f>
        <v>0</v>
      </c>
      <c r="E189">
        <f>VLOOKUP(A189,'Quick View_ Sample Data'!$A$3:$AM$699,23)</f>
        <v>0</v>
      </c>
      <c r="F189" s="275">
        <f t="shared" si="8"/>
        <v>1</v>
      </c>
      <c r="G189" s="275" t="e">
        <f t="shared" si="9"/>
        <v>#DIV/0!</v>
      </c>
      <c r="H189">
        <f t="shared" si="11"/>
        <v>0</v>
      </c>
    </row>
    <row r="190" spans="1:8" ht="12.75" customHeight="1">
      <c r="A190" t="s">
        <v>644</v>
      </c>
      <c r="B190">
        <v>8.5347057559999993</v>
      </c>
      <c r="C190">
        <v>0.975860124</v>
      </c>
      <c r="D190">
        <f>VLOOKUP(A190,'Quick View_ Sample Data'!$A$3:$AM$699,22)</f>
        <v>0</v>
      </c>
      <c r="E190">
        <f>VLOOKUP(A190,'Quick View_ Sample Data'!$A$3:$AM$699,23)</f>
        <v>0</v>
      </c>
      <c r="F190" s="275">
        <f t="shared" si="8"/>
        <v>1</v>
      </c>
      <c r="G190" s="275" t="e">
        <f t="shared" si="9"/>
        <v>#DIV/0!</v>
      </c>
      <c r="H190">
        <f t="shared" si="11"/>
        <v>0</v>
      </c>
    </row>
    <row r="191" spans="1:8" ht="12.75" customHeight="1">
      <c r="A191" t="s">
        <v>650</v>
      </c>
      <c r="B191">
        <v>10.53228064</v>
      </c>
      <c r="C191">
        <v>1.66072847</v>
      </c>
      <c r="D191">
        <f>VLOOKUP(A191,'Quick View_ Sample Data'!$A$3:$AM$699,22)</f>
        <v>0</v>
      </c>
      <c r="E191">
        <f>VLOOKUP(A191,'Quick View_ Sample Data'!$A$3:$AM$699,23)</f>
        <v>0</v>
      </c>
      <c r="F191" s="275">
        <f t="shared" si="8"/>
        <v>1</v>
      </c>
      <c r="G191" s="275" t="e">
        <f t="shared" si="9"/>
        <v>#DIV/0!</v>
      </c>
      <c r="H191">
        <f t="shared" si="11"/>
        <v>0</v>
      </c>
    </row>
    <row r="192" spans="1:8" ht="12.75" customHeight="1">
      <c r="A192" t="s">
        <v>653</v>
      </c>
      <c r="B192">
        <v>7.8138157939999999</v>
      </c>
      <c r="C192">
        <v>1.733663132</v>
      </c>
      <c r="D192">
        <f>VLOOKUP(A192,'Quick View_ Sample Data'!$A$3:$AM$699,22)</f>
        <v>0</v>
      </c>
      <c r="E192">
        <f>VLOOKUP(A192,'Quick View_ Sample Data'!$A$3:$AM$699,23)</f>
        <v>0</v>
      </c>
      <c r="F192" s="275">
        <f t="shared" si="8"/>
        <v>1</v>
      </c>
      <c r="G192" s="275" t="e">
        <f t="shared" si="9"/>
        <v>#DIV/0!</v>
      </c>
      <c r="H192">
        <f t="shared" si="11"/>
        <v>0</v>
      </c>
    </row>
    <row r="193" spans="1:8" ht="12.75" customHeight="1">
      <c r="A193" t="s">
        <v>653</v>
      </c>
      <c r="B193" t="s">
        <v>2237</v>
      </c>
      <c r="C193" t="s">
        <v>2237</v>
      </c>
      <c r="D193">
        <f>VLOOKUP(A193,'Quick View_ Sample Data'!$A$3:$AM$699,22)</f>
        <v>0</v>
      </c>
      <c r="E193">
        <f>VLOOKUP(A193,'Quick View_ Sample Data'!$A$3:$AM$699,23)</f>
        <v>0</v>
      </c>
      <c r="F193" s="275" t="e">
        <f t="shared" si="8"/>
        <v>#VALUE!</v>
      </c>
      <c r="G193" s="275" t="e">
        <f t="shared" si="9"/>
        <v>#VALUE!</v>
      </c>
      <c r="H193" t="e">
        <f t="shared" si="11"/>
        <v>#VALUE!</v>
      </c>
    </row>
    <row r="194" spans="1:8" ht="12.75" customHeight="1">
      <c r="A194" t="s">
        <v>656</v>
      </c>
      <c r="B194">
        <v>6.4790556290000003</v>
      </c>
      <c r="C194">
        <v>1.6597409569999999</v>
      </c>
      <c r="D194">
        <f>VLOOKUP(A194,'Quick View_ Sample Data'!$A$3:$AM$699,22)</f>
        <v>0</v>
      </c>
      <c r="E194">
        <f>VLOOKUP(A194,'Quick View_ Sample Data'!$A$3:$AM$699,23)</f>
        <v>0</v>
      </c>
      <c r="F194" s="275">
        <f t="shared" ref="F194:F243" si="12">ABS((D194-B194))/B194</f>
        <v>1</v>
      </c>
      <c r="G194" s="275" t="e">
        <f t="shared" ref="G194:G243" si="13">ABS((E194-C194))/E194</f>
        <v>#DIV/0!</v>
      </c>
      <c r="H194">
        <f t="shared" si="11"/>
        <v>0</v>
      </c>
    </row>
    <row r="195" spans="1:8" ht="12.75" customHeight="1">
      <c r="A195" t="s">
        <v>669</v>
      </c>
      <c r="B195">
        <v>6.3688381109999996</v>
      </c>
      <c r="C195">
        <v>2.1393721889999999</v>
      </c>
      <c r="D195">
        <f>VLOOKUP(A195,'Quick View_ Sample Data'!$A$3:$AM$699,22)</f>
        <v>0</v>
      </c>
      <c r="E195">
        <f>VLOOKUP(A195,'Quick View_ Sample Data'!$A$3:$AM$699,23)</f>
        <v>0</v>
      </c>
      <c r="F195" s="275">
        <f t="shared" si="12"/>
        <v>1</v>
      </c>
      <c r="G195" s="275" t="e">
        <f t="shared" si="13"/>
        <v>#DIV/0!</v>
      </c>
      <c r="H195">
        <f t="shared" si="11"/>
        <v>0</v>
      </c>
    </row>
    <row r="196" spans="1:8" ht="12.75" customHeight="1">
      <c r="A196" t="s">
        <v>673</v>
      </c>
      <c r="B196">
        <v>7.3089708480000004</v>
      </c>
      <c r="C196">
        <v>1.9274103849999999</v>
      </c>
      <c r="D196">
        <f>VLOOKUP(A196,'Quick View_ Sample Data'!$A$3:$AM$699,22)</f>
        <v>0</v>
      </c>
      <c r="E196">
        <f>VLOOKUP(A196,'Quick View_ Sample Data'!$A$3:$AM$699,23)</f>
        <v>0</v>
      </c>
      <c r="F196" s="275">
        <f t="shared" si="12"/>
        <v>1</v>
      </c>
      <c r="G196" s="275" t="e">
        <f t="shared" si="13"/>
        <v>#DIV/0!</v>
      </c>
      <c r="H196">
        <f t="shared" si="11"/>
        <v>0</v>
      </c>
    </row>
    <row r="197" spans="1:8" ht="12.75" customHeight="1">
      <c r="A197" t="s">
        <v>677</v>
      </c>
      <c r="B197" t="s">
        <v>2237</v>
      </c>
      <c r="C197">
        <v>0.58159647599999997</v>
      </c>
      <c r="D197">
        <f>VLOOKUP(A197,'Quick View_ Sample Data'!$A$3:$AM$699,22)</f>
        <v>0</v>
      </c>
      <c r="E197">
        <f>VLOOKUP(A197,'Quick View_ Sample Data'!$A$3:$AM$699,23)</f>
        <v>0</v>
      </c>
      <c r="F197" s="275" t="e">
        <f t="shared" si="12"/>
        <v>#VALUE!</v>
      </c>
      <c r="G197" s="275" t="e">
        <f t="shared" si="13"/>
        <v>#DIV/0!</v>
      </c>
      <c r="H197" t="e">
        <f t="shared" si="11"/>
        <v>#VALUE!</v>
      </c>
    </row>
    <row r="198" spans="1:8" ht="12.75" customHeight="1">
      <c r="A198" t="s">
        <v>683</v>
      </c>
      <c r="B198">
        <v>8.1306337890000009</v>
      </c>
      <c r="C198">
        <v>1.033377912</v>
      </c>
      <c r="D198">
        <f>VLOOKUP(A198,'Quick View_ Sample Data'!$A$3:$AM$699,22)</f>
        <v>0</v>
      </c>
      <c r="E198">
        <f>VLOOKUP(A198,'Quick View_ Sample Data'!$A$3:$AM$699,23)</f>
        <v>0</v>
      </c>
      <c r="F198" s="275">
        <f t="shared" si="12"/>
        <v>1</v>
      </c>
      <c r="G198" s="275" t="e">
        <f t="shared" si="13"/>
        <v>#DIV/0!</v>
      </c>
      <c r="H198">
        <f t="shared" si="11"/>
        <v>0</v>
      </c>
    </row>
    <row r="199" spans="1:8" ht="12.75" customHeight="1">
      <c r="A199" t="s">
        <v>683</v>
      </c>
      <c r="B199">
        <v>8.1339229740000007</v>
      </c>
      <c r="C199">
        <v>1.314433663</v>
      </c>
      <c r="D199">
        <f>VLOOKUP(A199,'Quick View_ Sample Data'!$A$3:$AM$699,22)</f>
        <v>0</v>
      </c>
      <c r="E199">
        <f>VLOOKUP(A199,'Quick View_ Sample Data'!$A$3:$AM$699,23)</f>
        <v>0</v>
      </c>
      <c r="F199" s="275">
        <f t="shared" si="12"/>
        <v>1</v>
      </c>
      <c r="G199" s="275" t="e">
        <f t="shared" si="13"/>
        <v>#DIV/0!</v>
      </c>
      <c r="H199">
        <f t="shared" si="11"/>
        <v>0</v>
      </c>
    </row>
    <row r="200" spans="1:8" ht="12.75" customHeight="1">
      <c r="A200" t="s">
        <v>689</v>
      </c>
      <c r="B200">
        <v>8.5919159989999994</v>
      </c>
      <c r="C200">
        <v>1.2842790180000001</v>
      </c>
      <c r="D200">
        <f>VLOOKUP(A200,'Quick View_ Sample Data'!$A$3:$AM$699,22)</f>
        <v>0</v>
      </c>
      <c r="E200">
        <f>VLOOKUP(A200,'Quick View_ Sample Data'!$A$3:$AM$699,23)</f>
        <v>0</v>
      </c>
      <c r="F200" s="275">
        <f t="shared" si="12"/>
        <v>1</v>
      </c>
      <c r="G200" s="275" t="e">
        <f t="shared" si="13"/>
        <v>#DIV/0!</v>
      </c>
      <c r="H200">
        <f t="shared" si="11"/>
        <v>0</v>
      </c>
    </row>
    <row r="201" spans="1:8" ht="12.75" customHeight="1">
      <c r="A201" t="s">
        <v>689</v>
      </c>
      <c r="B201">
        <v>8.6278943770000005</v>
      </c>
      <c r="C201">
        <v>0.93272291100000004</v>
      </c>
      <c r="D201">
        <f>VLOOKUP(A201,'Quick View_ Sample Data'!$A$3:$AM$699,22)</f>
        <v>0</v>
      </c>
      <c r="E201">
        <f>VLOOKUP(A201,'Quick View_ Sample Data'!$A$3:$AM$699,23)</f>
        <v>0</v>
      </c>
      <c r="F201" s="275">
        <f t="shared" si="12"/>
        <v>1</v>
      </c>
      <c r="G201" s="275" t="e">
        <f t="shared" si="13"/>
        <v>#DIV/0!</v>
      </c>
      <c r="H201">
        <f t="shared" si="11"/>
        <v>0</v>
      </c>
    </row>
    <row r="202" spans="1:8" ht="12.75" customHeight="1">
      <c r="A202" t="s">
        <v>700</v>
      </c>
      <c r="B202">
        <v>8.5448646050000008</v>
      </c>
      <c r="C202">
        <v>1.423826094</v>
      </c>
      <c r="D202">
        <f>VLOOKUP(A202,'Quick View_ Sample Data'!$A$3:$AM$699,22)</f>
        <v>0</v>
      </c>
      <c r="E202">
        <f>VLOOKUP(A202,'Quick View_ Sample Data'!$A$3:$AM$699,23)</f>
        <v>0</v>
      </c>
      <c r="F202" s="275">
        <f t="shared" si="12"/>
        <v>1</v>
      </c>
      <c r="G202" s="275" t="e">
        <f t="shared" si="13"/>
        <v>#DIV/0!</v>
      </c>
      <c r="H202">
        <f t="shared" si="11"/>
        <v>0</v>
      </c>
    </row>
    <row r="203" spans="1:8" ht="12.75" customHeight="1">
      <c r="A203" t="s">
        <v>705</v>
      </c>
      <c r="B203">
        <v>8.4141916180000003</v>
      </c>
      <c r="C203">
        <v>1.1872215749999999</v>
      </c>
      <c r="D203">
        <f>VLOOKUP(A203,'Quick View_ Sample Data'!$A$3:$AM$699,22)</f>
        <v>0</v>
      </c>
      <c r="E203">
        <f>VLOOKUP(A203,'Quick View_ Sample Data'!$A$3:$AM$699,23)</f>
        <v>0</v>
      </c>
      <c r="F203" s="275">
        <f t="shared" si="12"/>
        <v>1</v>
      </c>
      <c r="G203" s="275" t="e">
        <f t="shared" si="13"/>
        <v>#DIV/0!</v>
      </c>
      <c r="H203">
        <f t="shared" si="11"/>
        <v>0</v>
      </c>
    </row>
    <row r="204" spans="1:8" ht="12.75" customHeight="1">
      <c r="A204" t="s">
        <v>710</v>
      </c>
      <c r="B204">
        <v>8.3785492819999998</v>
      </c>
      <c r="C204">
        <v>1.3113710439999999</v>
      </c>
      <c r="D204">
        <f>VLOOKUP(A204,'Quick View_ Sample Data'!$A$3:$AM$699,22)</f>
        <v>0</v>
      </c>
      <c r="E204">
        <f>VLOOKUP(A204,'Quick View_ Sample Data'!$A$3:$AM$699,23)</f>
        <v>0</v>
      </c>
      <c r="F204" s="275">
        <f t="shared" si="12"/>
        <v>1</v>
      </c>
      <c r="G204" s="275" t="e">
        <f t="shared" si="13"/>
        <v>#DIV/0!</v>
      </c>
      <c r="H204">
        <f t="shared" si="11"/>
        <v>0</v>
      </c>
    </row>
    <row r="205" spans="1:8" ht="12.75" customHeight="1">
      <c r="A205" t="s">
        <v>710</v>
      </c>
      <c r="B205">
        <v>8.8344963320000005</v>
      </c>
      <c r="C205">
        <v>128.33255070000001</v>
      </c>
      <c r="D205">
        <f>VLOOKUP(A205,'Quick View_ Sample Data'!$A$3:$AM$699,22)</f>
        <v>0</v>
      </c>
      <c r="E205">
        <f>VLOOKUP(A205,'Quick View_ Sample Data'!$A$3:$AM$699,23)</f>
        <v>0</v>
      </c>
      <c r="F205" s="275">
        <f t="shared" si="12"/>
        <v>1</v>
      </c>
      <c r="G205" s="275" t="e">
        <f t="shared" si="13"/>
        <v>#DIV/0!</v>
      </c>
      <c r="H205">
        <f t="shared" si="11"/>
        <v>0</v>
      </c>
    </row>
    <row r="206" spans="1:8" ht="12.75" customHeight="1">
      <c r="A206" t="s">
        <v>715</v>
      </c>
      <c r="B206">
        <v>6.1365829920000001</v>
      </c>
      <c r="C206">
        <v>1.2711212270000001</v>
      </c>
      <c r="D206">
        <f>VLOOKUP(A206,'Quick View_ Sample Data'!$A$3:$AM$699,22)</f>
        <v>0</v>
      </c>
      <c r="E206">
        <f>VLOOKUP(A206,'Quick View_ Sample Data'!$A$3:$AM$699,23)</f>
        <v>0</v>
      </c>
      <c r="F206" s="275">
        <f t="shared" si="12"/>
        <v>1</v>
      </c>
      <c r="G206" s="275" t="e">
        <f t="shared" si="13"/>
        <v>#DIV/0!</v>
      </c>
      <c r="H206">
        <f t="shared" si="11"/>
        <v>0</v>
      </c>
    </row>
    <row r="207" spans="1:8" ht="12.75" customHeight="1">
      <c r="A207" t="s">
        <v>752</v>
      </c>
      <c r="B207">
        <v>9.2312594279999995</v>
      </c>
      <c r="C207">
        <v>1.8520549580000001</v>
      </c>
      <c r="D207">
        <f>VLOOKUP(A207,'Quick View_ Sample Data'!$A$3:$AM$699,22)</f>
        <v>0</v>
      </c>
      <c r="E207">
        <f>VLOOKUP(A207,'Quick View_ Sample Data'!$A$3:$AM$699,23)</f>
        <v>0</v>
      </c>
      <c r="F207" s="275">
        <f t="shared" si="12"/>
        <v>1</v>
      </c>
      <c r="G207" s="275" t="e">
        <f t="shared" si="13"/>
        <v>#DIV/0!</v>
      </c>
      <c r="H207">
        <f t="shared" si="11"/>
        <v>0</v>
      </c>
    </row>
    <row r="208" spans="1:8" ht="12.75" customHeight="1">
      <c r="A208" t="s">
        <v>763</v>
      </c>
      <c r="B208">
        <v>9.5943816480000006</v>
      </c>
      <c r="C208">
        <v>2.1126341219999998</v>
      </c>
      <c r="D208">
        <f>VLOOKUP(A208,'Quick View_ Sample Data'!$A$3:$AM$699,22)</f>
        <v>0</v>
      </c>
      <c r="E208">
        <f>VLOOKUP(A208,'Quick View_ Sample Data'!$A$3:$AM$699,23)</f>
        <v>0</v>
      </c>
      <c r="F208" s="275">
        <f t="shared" si="12"/>
        <v>1</v>
      </c>
      <c r="G208" s="275" t="e">
        <f t="shared" si="13"/>
        <v>#DIV/0!</v>
      </c>
      <c r="H208">
        <f t="shared" si="11"/>
        <v>0</v>
      </c>
    </row>
    <row r="209" spans="1:8" ht="12.75" customHeight="1">
      <c r="A209" t="s">
        <v>769</v>
      </c>
      <c r="B209">
        <v>8.9898987229999996</v>
      </c>
      <c r="C209">
        <v>2.0941235969999998</v>
      </c>
      <c r="D209">
        <f>VLOOKUP(A209,'Quick View_ Sample Data'!$A$3:$AM$699,22)</f>
        <v>0</v>
      </c>
      <c r="E209">
        <f>VLOOKUP(A209,'Quick View_ Sample Data'!$A$3:$AM$699,23)</f>
        <v>0</v>
      </c>
      <c r="F209" s="275">
        <f t="shared" si="12"/>
        <v>1</v>
      </c>
      <c r="G209" s="275" t="e">
        <f t="shared" si="13"/>
        <v>#DIV/0!</v>
      </c>
      <c r="H209">
        <f t="shared" si="11"/>
        <v>0</v>
      </c>
    </row>
    <row r="210" spans="1:8" ht="12.75" customHeight="1">
      <c r="A210" t="s">
        <v>778</v>
      </c>
      <c r="B210">
        <v>9.7672357030000008</v>
      </c>
      <c r="C210">
        <v>2.3998298710000001</v>
      </c>
      <c r="D210">
        <f>VLOOKUP(A210,'Quick View_ Sample Data'!$A$3:$AM$699,22)</f>
        <v>0</v>
      </c>
      <c r="E210">
        <f>VLOOKUP(A210,'Quick View_ Sample Data'!$A$3:$AM$699,23)</f>
        <v>0</v>
      </c>
      <c r="F210" s="275">
        <f t="shared" si="12"/>
        <v>1</v>
      </c>
      <c r="G210" s="275" t="e">
        <f t="shared" si="13"/>
        <v>#DIV/0!</v>
      </c>
      <c r="H210">
        <f t="shared" si="11"/>
        <v>0</v>
      </c>
    </row>
    <row r="211" spans="1:8" ht="12.75" customHeight="1">
      <c r="A211" t="s">
        <v>821</v>
      </c>
      <c r="B211">
        <v>8.8713003110000006</v>
      </c>
      <c r="C211">
        <v>2.1288540079999998</v>
      </c>
      <c r="D211">
        <f>VLOOKUP(A211,'Quick View_ Sample Data'!$A$3:$AM$699,22)</f>
        <v>5.3</v>
      </c>
      <c r="E211">
        <f>VLOOKUP(A211,'Quick View_ Sample Data'!$A$3:$AM$699,23)</f>
        <v>26.5</v>
      </c>
      <c r="F211" s="275">
        <f t="shared" si="12"/>
        <v>0.40256785203988127</v>
      </c>
      <c r="G211" s="275">
        <f t="shared" si="13"/>
        <v>0.91966588649056602</v>
      </c>
      <c r="H211">
        <f t="shared" si="11"/>
        <v>0</v>
      </c>
    </row>
    <row r="212" spans="1:8" ht="12.75" customHeight="1">
      <c r="A212" t="s">
        <v>825</v>
      </c>
      <c r="B212">
        <v>7.9634333640000001</v>
      </c>
      <c r="C212">
        <v>1.247407494</v>
      </c>
      <c r="D212">
        <f>VLOOKUP(A212,'Quick View_ Sample Data'!$A$3:$AM$699,22)</f>
        <v>5.3</v>
      </c>
      <c r="E212">
        <f>VLOOKUP(A212,'Quick View_ Sample Data'!$A$3:$AM$699,23)</f>
        <v>26.5</v>
      </c>
      <c r="F212" s="275">
        <f t="shared" si="12"/>
        <v>0.33445792063012486</v>
      </c>
      <c r="G212" s="275">
        <f t="shared" si="13"/>
        <v>0.95292801909433955</v>
      </c>
      <c r="H212">
        <f t="shared" si="11"/>
        <v>0</v>
      </c>
    </row>
    <row r="213" spans="1:8" ht="12.75" customHeight="1">
      <c r="A213" t="s">
        <v>830</v>
      </c>
      <c r="B213">
        <v>9.7525135830000007</v>
      </c>
      <c r="C213">
        <v>1.5124596269999999</v>
      </c>
      <c r="D213">
        <f>VLOOKUP(A213,'Quick View_ Sample Data'!$A$3:$AM$699,22)</f>
        <v>5.3</v>
      </c>
      <c r="E213">
        <f>VLOOKUP(A213,'Quick View_ Sample Data'!$A$3:$AM$699,23)</f>
        <v>26.5</v>
      </c>
      <c r="F213" s="275">
        <f t="shared" si="12"/>
        <v>0.45655035956692813</v>
      </c>
      <c r="G213" s="275">
        <f t="shared" si="13"/>
        <v>0.94292605181132083</v>
      </c>
      <c r="H213">
        <f t="shared" ref="H213:H243" si="14">IF((F213&lt;0.02),C213,)</f>
        <v>0</v>
      </c>
    </row>
    <row r="214" spans="1:8" ht="12.75" customHeight="1">
      <c r="A214" t="s">
        <v>832</v>
      </c>
      <c r="B214">
        <v>10.88670147</v>
      </c>
      <c r="C214">
        <v>1.630346614</v>
      </c>
      <c r="D214">
        <f>VLOOKUP(A214,'Quick View_ Sample Data'!$A$3:$AM$699,22)</f>
        <v>5.3</v>
      </c>
      <c r="E214">
        <f>VLOOKUP(A214,'Quick View_ Sample Data'!$A$3:$AM$699,23)</f>
        <v>26.5</v>
      </c>
      <c r="F214" s="275">
        <f t="shared" si="12"/>
        <v>0.51316750857870275</v>
      </c>
      <c r="G214" s="275">
        <f t="shared" si="13"/>
        <v>0.93847748626415095</v>
      </c>
      <c r="H214">
        <f t="shared" si="14"/>
        <v>0</v>
      </c>
    </row>
    <row r="215" spans="1:8" ht="12.75" customHeight="1">
      <c r="A215" t="s">
        <v>842</v>
      </c>
      <c r="B215">
        <v>8.3480738349999992</v>
      </c>
      <c r="C215">
        <v>1.9613579880000001</v>
      </c>
      <c r="D215">
        <f>VLOOKUP(A215,'Quick View_ Sample Data'!$A$3:$AM$699,22)</f>
        <v>5.3</v>
      </c>
      <c r="E215">
        <f>VLOOKUP(A215,'Quick View_ Sample Data'!$A$3:$AM$699,23)</f>
        <v>26.5</v>
      </c>
      <c r="F215" s="275">
        <f t="shared" si="12"/>
        <v>0.36512300864190905</v>
      </c>
      <c r="G215" s="275">
        <f t="shared" si="13"/>
        <v>0.92598649101886799</v>
      </c>
      <c r="H215">
        <f t="shared" si="14"/>
        <v>0</v>
      </c>
    </row>
    <row r="216" spans="1:8" ht="12.75" customHeight="1">
      <c r="A216" t="s">
        <v>845</v>
      </c>
      <c r="B216">
        <v>8.2728381599999992</v>
      </c>
      <c r="C216">
        <v>1.8706621619999999</v>
      </c>
      <c r="D216">
        <f>VLOOKUP(A216,'Quick View_ Sample Data'!$A$3:$AM$699,22)</f>
        <v>5.3</v>
      </c>
      <c r="E216">
        <f>VLOOKUP(A216,'Quick View_ Sample Data'!$A$3:$AM$699,23)</f>
        <v>26.5</v>
      </c>
      <c r="F216" s="275">
        <f t="shared" si="12"/>
        <v>0.35934924659519746</v>
      </c>
      <c r="G216" s="275">
        <f t="shared" si="13"/>
        <v>0.92940897501886799</v>
      </c>
      <c r="H216">
        <f t="shared" si="14"/>
        <v>0</v>
      </c>
    </row>
    <row r="217" spans="1:8" ht="12.75" customHeight="1">
      <c r="A217" t="s">
        <v>851</v>
      </c>
      <c r="B217">
        <v>9.359667988</v>
      </c>
      <c r="C217">
        <v>1.9685645519999999</v>
      </c>
      <c r="D217">
        <f>VLOOKUP(A217,'Quick View_ Sample Data'!$A$3:$AM$699,22)</f>
        <v>5.3</v>
      </c>
      <c r="E217">
        <f>VLOOKUP(A217,'Quick View_ Sample Data'!$A$3:$AM$699,23)</f>
        <v>26.5</v>
      </c>
      <c r="F217" s="275">
        <f t="shared" si="12"/>
        <v>0.43374059776531471</v>
      </c>
      <c r="G217" s="275">
        <f t="shared" si="13"/>
        <v>0.92571454520754715</v>
      </c>
      <c r="H217">
        <f t="shared" si="14"/>
        <v>0</v>
      </c>
    </row>
    <row r="218" spans="1:8" ht="12.75" customHeight="1">
      <c r="A218" t="s">
        <v>855</v>
      </c>
      <c r="B218">
        <v>9.2020096589999998</v>
      </c>
      <c r="C218">
        <v>1.8244174740000001</v>
      </c>
      <c r="D218">
        <f>VLOOKUP(A218,'Quick View_ Sample Data'!$A$3:$AM$699,22)</f>
        <v>5.3</v>
      </c>
      <c r="E218">
        <f>VLOOKUP(A218,'Quick View_ Sample Data'!$A$3:$AM$699,23)</f>
        <v>26.5</v>
      </c>
      <c r="F218" s="275">
        <f t="shared" si="12"/>
        <v>0.424038857118961</v>
      </c>
      <c r="G218" s="275">
        <f t="shared" si="13"/>
        <v>0.93115405758490566</v>
      </c>
      <c r="H218">
        <f t="shared" si="14"/>
        <v>0</v>
      </c>
    </row>
    <row r="219" spans="1:8" ht="12.75" customHeight="1">
      <c r="A219" t="s">
        <v>860</v>
      </c>
      <c r="B219">
        <v>9.7156012779999994</v>
      </c>
      <c r="C219">
        <v>1.5054871480000001</v>
      </c>
      <c r="D219">
        <f>VLOOKUP(A219,'Quick View_ Sample Data'!$A$3:$AM$699,22)</f>
        <v>5.3</v>
      </c>
      <c r="E219">
        <f>VLOOKUP(A219,'Quick View_ Sample Data'!$A$3:$AM$699,23)</f>
        <v>26.5</v>
      </c>
      <c r="F219" s="275">
        <f t="shared" si="12"/>
        <v>0.45448564135692598</v>
      </c>
      <c r="G219" s="275">
        <f t="shared" si="13"/>
        <v>0.94318916422641508</v>
      </c>
      <c r="H219">
        <f t="shared" si="14"/>
        <v>0</v>
      </c>
    </row>
    <row r="220" spans="1:8" ht="12.75" customHeight="1">
      <c r="A220" t="s">
        <v>866</v>
      </c>
      <c r="B220">
        <v>12.429440359999999</v>
      </c>
      <c r="C220">
        <v>1.122557928</v>
      </c>
      <c r="D220">
        <f>VLOOKUP(A220,'Quick View_ Sample Data'!$A$3:$AM$699,22)</f>
        <v>5.3</v>
      </c>
      <c r="E220">
        <f>VLOOKUP(A220,'Quick View_ Sample Data'!$A$3:$AM$699,23)</f>
        <v>26.5</v>
      </c>
      <c r="F220" s="275">
        <f t="shared" si="12"/>
        <v>0.57359303021749242</v>
      </c>
      <c r="G220" s="275">
        <f t="shared" si="13"/>
        <v>0.95763932347169811</v>
      </c>
      <c r="H220">
        <f t="shared" si="14"/>
        <v>0</v>
      </c>
    </row>
    <row r="221" spans="1:8" ht="12.75" customHeight="1">
      <c r="A221" t="s">
        <v>871</v>
      </c>
      <c r="B221">
        <v>11.41919848</v>
      </c>
      <c r="C221">
        <v>1.558159689</v>
      </c>
      <c r="D221">
        <f>VLOOKUP(A221,'Quick View_ Sample Data'!$A$3:$AM$699,22)</f>
        <v>5.3</v>
      </c>
      <c r="E221">
        <f>VLOOKUP(A221,'Quick View_ Sample Data'!$A$3:$AM$699,23)</f>
        <v>26.5</v>
      </c>
      <c r="F221" s="275">
        <f t="shared" si="12"/>
        <v>0.53586935113855738</v>
      </c>
      <c r="G221" s="275">
        <f t="shared" si="13"/>
        <v>0.94120152116981137</v>
      </c>
      <c r="H221">
        <f t="shared" si="14"/>
        <v>0</v>
      </c>
    </row>
    <row r="222" spans="1:8" ht="12.75" customHeight="1">
      <c r="A222" t="s">
        <v>874</v>
      </c>
      <c r="B222">
        <v>11.52209337</v>
      </c>
      <c r="C222">
        <v>1.578389477</v>
      </c>
      <c r="D222">
        <f>VLOOKUP(A222,'Quick View_ Sample Data'!$A$3:$AM$699,22)</f>
        <v>5.3</v>
      </c>
      <c r="E222">
        <f>VLOOKUP(A222,'Quick View_ Sample Data'!$A$3:$AM$699,23)</f>
        <v>26.5</v>
      </c>
      <c r="F222" s="275">
        <f t="shared" si="12"/>
        <v>0.54001414241273415</v>
      </c>
      <c r="G222" s="275">
        <f t="shared" si="13"/>
        <v>0.94043813294339618</v>
      </c>
      <c r="H222">
        <f t="shared" si="14"/>
        <v>0</v>
      </c>
    </row>
    <row r="223" spans="1:8" ht="12.75" customHeight="1">
      <c r="A223" t="s">
        <v>875</v>
      </c>
      <c r="B223">
        <v>11.210434830000001</v>
      </c>
      <c r="C223">
        <v>1.5417240080000001</v>
      </c>
      <c r="D223">
        <f>VLOOKUP(A223,'Quick View_ Sample Data'!$A$3:$AM$699,22)</f>
        <v>5.3</v>
      </c>
      <c r="E223">
        <f>VLOOKUP(A223,'Quick View_ Sample Data'!$A$3:$AM$699,23)</f>
        <v>26.5</v>
      </c>
      <c r="F223" s="275">
        <f t="shared" si="12"/>
        <v>0.52722618878111804</v>
      </c>
      <c r="G223" s="275">
        <f t="shared" si="13"/>
        <v>0.94182173554716986</v>
      </c>
      <c r="H223">
        <f t="shared" si="14"/>
        <v>0</v>
      </c>
    </row>
    <row r="224" spans="1:8" ht="12.75" customHeight="1">
      <c r="A224" t="s">
        <v>876</v>
      </c>
      <c r="B224">
        <v>11.56482873</v>
      </c>
      <c r="C224">
        <v>1.5180097610000001</v>
      </c>
      <c r="D224">
        <f>VLOOKUP(A224,'Quick View_ Sample Data'!$A$3:$AM$699,22)</f>
        <v>5.3</v>
      </c>
      <c r="E224">
        <f>VLOOKUP(A224,'Quick View_ Sample Data'!$A$3:$AM$699,23)</f>
        <v>26.5</v>
      </c>
      <c r="F224" s="275">
        <f t="shared" si="12"/>
        <v>0.54171392212221725</v>
      </c>
      <c r="G224" s="275">
        <f t="shared" si="13"/>
        <v>0.94271661279245278</v>
      </c>
      <c r="H224">
        <f t="shared" si="14"/>
        <v>0</v>
      </c>
    </row>
    <row r="225" spans="1:8" ht="12.75" customHeight="1">
      <c r="A225" t="s">
        <v>876</v>
      </c>
      <c r="B225">
        <v>11.681837509999999</v>
      </c>
      <c r="C225">
        <v>1.5642433259999999</v>
      </c>
      <c r="D225">
        <f>VLOOKUP(A225,'Quick View_ Sample Data'!$A$3:$AM$699,22)</f>
        <v>5.3</v>
      </c>
      <c r="E225">
        <f>VLOOKUP(A225,'Quick View_ Sample Data'!$A$3:$AM$699,23)</f>
        <v>26.5</v>
      </c>
      <c r="F225" s="275">
        <f t="shared" si="12"/>
        <v>0.54630425260897164</v>
      </c>
      <c r="G225" s="275">
        <f t="shared" si="13"/>
        <v>0.94097194996226419</v>
      </c>
      <c r="H225">
        <f t="shared" si="14"/>
        <v>0</v>
      </c>
    </row>
    <row r="226" spans="1:8" ht="12.75" customHeight="1">
      <c r="A226" t="s">
        <v>878</v>
      </c>
      <c r="B226">
        <v>11.227874870000001</v>
      </c>
      <c r="C226">
        <v>1.5296705530000001</v>
      </c>
      <c r="D226">
        <f>VLOOKUP(A226,'Quick View_ Sample Data'!$A$3:$AM$699,22)</f>
        <v>5.3</v>
      </c>
      <c r="E226">
        <f>VLOOKUP(A226,'Quick View_ Sample Data'!$A$3:$AM$699,23)</f>
        <v>26.5</v>
      </c>
      <c r="F226" s="275">
        <f t="shared" si="12"/>
        <v>0.52796053916122776</v>
      </c>
      <c r="G226" s="275">
        <f t="shared" si="13"/>
        <v>0.94227658290566041</v>
      </c>
      <c r="H226">
        <f t="shared" si="14"/>
        <v>0</v>
      </c>
    </row>
    <row r="227" spans="1:8" ht="12.75" customHeight="1">
      <c r="A227" t="s">
        <v>879</v>
      </c>
      <c r="B227">
        <v>11.42604942</v>
      </c>
      <c r="C227">
        <v>1.644213243</v>
      </c>
      <c r="D227">
        <f>VLOOKUP(A227,'Quick View_ Sample Data'!$A$3:$AM$699,22)</f>
        <v>5.3</v>
      </c>
      <c r="E227">
        <f>VLOOKUP(A227,'Quick View_ Sample Data'!$A$3:$AM$699,23)</f>
        <v>26.5</v>
      </c>
      <c r="F227" s="275">
        <f t="shared" si="12"/>
        <v>0.53614763903235418</v>
      </c>
      <c r="G227" s="275">
        <f t="shared" si="13"/>
        <v>0.93795421724528305</v>
      </c>
      <c r="H227">
        <f t="shared" si="14"/>
        <v>0</v>
      </c>
    </row>
    <row r="228" spans="1:8" ht="12.75" customHeight="1">
      <c r="A228" t="s">
        <v>880</v>
      </c>
      <c r="B228">
        <v>10.99845492</v>
      </c>
      <c r="C228">
        <v>1.564711685</v>
      </c>
      <c r="D228">
        <f>VLOOKUP(A228,'Quick View_ Sample Data'!$A$3:$AM$699,22)</f>
        <v>5.3</v>
      </c>
      <c r="E228">
        <f>VLOOKUP(A228,'Quick View_ Sample Data'!$A$3:$AM$699,23)</f>
        <v>26.5</v>
      </c>
      <c r="F228" s="275">
        <f t="shared" si="12"/>
        <v>0.51811413161658892</v>
      </c>
      <c r="G228" s="275">
        <f t="shared" si="13"/>
        <v>0.94095427603773585</v>
      </c>
      <c r="H228">
        <f t="shared" si="14"/>
        <v>0</v>
      </c>
    </row>
    <row r="229" spans="1:8" ht="12.75" customHeight="1">
      <c r="A229" t="s">
        <v>881</v>
      </c>
      <c r="B229">
        <v>11.18297121</v>
      </c>
      <c r="C229">
        <v>1.79750813</v>
      </c>
      <c r="D229">
        <f>VLOOKUP(A229,'Quick View_ Sample Data'!$A$3:$AM$699,22)</f>
        <v>5.3</v>
      </c>
      <c r="E229">
        <f>VLOOKUP(A229,'Quick View_ Sample Data'!$A$3:$AM$699,23)</f>
        <v>26.5</v>
      </c>
      <c r="F229" s="275">
        <f t="shared" si="12"/>
        <v>0.52606513059242688</v>
      </c>
      <c r="G229" s="275">
        <f t="shared" si="13"/>
        <v>0.93216950452830183</v>
      </c>
      <c r="H229">
        <f t="shared" si="14"/>
        <v>0</v>
      </c>
    </row>
    <row r="230" spans="1:8" ht="12.75" customHeight="1">
      <c r="A230" t="s">
        <v>882</v>
      </c>
      <c r="B230">
        <v>10.990423</v>
      </c>
      <c r="C230">
        <v>1.5491457230000001</v>
      </c>
      <c r="D230">
        <f>VLOOKUP(A230,'Quick View_ Sample Data'!$A$3:$AM$699,22)</f>
        <v>5.3</v>
      </c>
      <c r="E230">
        <f>VLOOKUP(A230,'Quick View_ Sample Data'!$A$3:$AM$699,23)</f>
        <v>26.5</v>
      </c>
      <c r="F230" s="275">
        <f t="shared" si="12"/>
        <v>0.51776196421193255</v>
      </c>
      <c r="G230" s="275">
        <f t="shared" si="13"/>
        <v>0.94154167083018869</v>
      </c>
      <c r="H230">
        <f t="shared" si="14"/>
        <v>0</v>
      </c>
    </row>
    <row r="231" spans="1:8" ht="12.75" customHeight="1">
      <c r="A231" t="s">
        <v>883</v>
      </c>
      <c r="B231">
        <v>11.865830989999999</v>
      </c>
      <c r="C231">
        <v>1.399719113</v>
      </c>
      <c r="D231">
        <f>VLOOKUP(A231,'Quick View_ Sample Data'!$A$3:$AM$699,22)</f>
        <v>5.3</v>
      </c>
      <c r="E231">
        <f>VLOOKUP(A231,'Quick View_ Sample Data'!$A$3:$AM$699,23)</f>
        <v>26.5</v>
      </c>
      <c r="F231" s="275">
        <f t="shared" si="12"/>
        <v>0.55333933169395322</v>
      </c>
      <c r="G231" s="275">
        <f t="shared" si="13"/>
        <v>0.94718041083018867</v>
      </c>
      <c r="H231">
        <f t="shared" si="14"/>
        <v>0</v>
      </c>
    </row>
    <row r="232" spans="1:8" ht="12.75" customHeight="1">
      <c r="A232" t="s">
        <v>885</v>
      </c>
      <c r="B232">
        <v>11.386327229999999</v>
      </c>
      <c r="C232">
        <v>1.468817244</v>
      </c>
      <c r="D232">
        <f>VLOOKUP(A232,'Quick View_ Sample Data'!$A$3:$AM$699,22)</f>
        <v>5.3</v>
      </c>
      <c r="E232">
        <f>VLOOKUP(A232,'Quick View_ Sample Data'!$A$3:$AM$699,23)</f>
        <v>26.5</v>
      </c>
      <c r="F232" s="275">
        <f t="shared" si="12"/>
        <v>0.53452944984438144</v>
      </c>
      <c r="G232" s="275">
        <f t="shared" si="13"/>
        <v>0.94457293418867927</v>
      </c>
      <c r="H232">
        <f t="shared" si="14"/>
        <v>0</v>
      </c>
    </row>
    <row r="233" spans="1:8" ht="12.75" customHeight="1">
      <c r="A233" t="s">
        <v>886</v>
      </c>
      <c r="B233">
        <v>11.783349510000001</v>
      </c>
      <c r="C233">
        <v>1.4225568209999999</v>
      </c>
      <c r="D233">
        <f>VLOOKUP(A233,'Quick View_ Sample Data'!$A$3:$AM$699,22)</f>
        <v>5.3</v>
      </c>
      <c r="E233">
        <f>VLOOKUP(A233,'Quick View_ Sample Data'!$A$3:$AM$699,23)</f>
        <v>26.5</v>
      </c>
      <c r="F233" s="275">
        <f t="shared" si="12"/>
        <v>0.5502127815607839</v>
      </c>
      <c r="G233" s="275">
        <f t="shared" si="13"/>
        <v>0.94631861052830191</v>
      </c>
      <c r="H233">
        <f t="shared" si="14"/>
        <v>0</v>
      </c>
    </row>
    <row r="234" spans="1:8" ht="12.75" customHeight="1">
      <c r="A234" t="s">
        <v>887</v>
      </c>
      <c r="B234">
        <v>11.34094198</v>
      </c>
      <c r="C234">
        <v>1.4710412980000001</v>
      </c>
      <c r="D234">
        <f>VLOOKUP(A234,'Quick View_ Sample Data'!$A$3:$AM$699,22)</f>
        <v>5.3</v>
      </c>
      <c r="E234">
        <f>VLOOKUP(A234,'Quick View_ Sample Data'!$A$3:$AM$699,23)</f>
        <v>26.5</v>
      </c>
      <c r="F234" s="275">
        <f t="shared" si="12"/>
        <v>0.53266668594666422</v>
      </c>
      <c r="G234" s="275">
        <f t="shared" si="13"/>
        <v>0.94448900762264154</v>
      </c>
      <c r="H234">
        <f t="shared" si="14"/>
        <v>0</v>
      </c>
    </row>
    <row r="235" spans="1:8" ht="12.75" customHeight="1">
      <c r="A235" t="s">
        <v>892</v>
      </c>
      <c r="B235">
        <v>10.72177563</v>
      </c>
      <c r="C235">
        <v>1.6618919809999999</v>
      </c>
      <c r="D235">
        <f>VLOOKUP(A235,'Quick View_ Sample Data'!$A$3:$AM$699,22)</f>
        <v>5.3</v>
      </c>
      <c r="E235">
        <f>VLOOKUP(A235,'Quick View_ Sample Data'!$A$3:$AM$699,23)</f>
        <v>26.5</v>
      </c>
      <c r="F235" s="275">
        <f t="shared" si="12"/>
        <v>0.50567889285331002</v>
      </c>
      <c r="G235" s="275">
        <f t="shared" si="13"/>
        <v>0.93728709505660379</v>
      </c>
      <c r="H235">
        <f t="shared" si="14"/>
        <v>0</v>
      </c>
    </row>
    <row r="236" spans="1:8" ht="12.75" customHeight="1">
      <c r="A236" t="s">
        <v>893</v>
      </c>
      <c r="B236">
        <v>9.9436678050000005</v>
      </c>
      <c r="C236">
        <v>2.079387622</v>
      </c>
      <c r="D236">
        <f>VLOOKUP(A236,'Quick View_ Sample Data'!$A$3:$AM$699,22)</f>
        <v>5.3</v>
      </c>
      <c r="E236">
        <f>VLOOKUP(A236,'Quick View_ Sample Data'!$A$3:$AM$699,23)</f>
        <v>26.5</v>
      </c>
      <c r="F236" s="275">
        <f t="shared" si="12"/>
        <v>0.46699747980971501</v>
      </c>
      <c r="G236" s="275">
        <f t="shared" si="13"/>
        <v>0.92153254256603778</v>
      </c>
      <c r="H236">
        <f t="shared" si="14"/>
        <v>0</v>
      </c>
    </row>
    <row r="237" spans="1:8" ht="12.75" customHeight="1">
      <c r="A237" t="s">
        <v>894</v>
      </c>
      <c r="B237">
        <v>9.7970422070000005</v>
      </c>
      <c r="C237">
        <v>2.0948639729999998</v>
      </c>
      <c r="D237">
        <f>VLOOKUP(A237,'Quick View_ Sample Data'!$A$3:$AM$699,22)</f>
        <v>5.3</v>
      </c>
      <c r="E237">
        <f>VLOOKUP(A237,'Quick View_ Sample Data'!$A$3:$AM$699,23)</f>
        <v>26.5</v>
      </c>
      <c r="F237" s="275">
        <f t="shared" si="12"/>
        <v>0.45902039737941086</v>
      </c>
      <c r="G237" s="275">
        <f t="shared" si="13"/>
        <v>0.92094852932075477</v>
      </c>
      <c r="H237">
        <f t="shared" si="14"/>
        <v>0</v>
      </c>
    </row>
    <row r="238" spans="1:8" ht="12.75" customHeight="1">
      <c r="A238" t="s">
        <v>895</v>
      </c>
      <c r="B238">
        <v>9.8656289390000005</v>
      </c>
      <c r="C238">
        <v>1.99428614</v>
      </c>
      <c r="D238">
        <f>VLOOKUP(A238,'Quick View_ Sample Data'!$A$3:$AM$699,22)</f>
        <v>5.3</v>
      </c>
      <c r="E238">
        <f>VLOOKUP(A238,'Quick View_ Sample Data'!$A$3:$AM$699,23)</f>
        <v>26.5</v>
      </c>
      <c r="F238" s="275">
        <f t="shared" si="12"/>
        <v>0.46278133581038389</v>
      </c>
      <c r="G238" s="275">
        <f t="shared" si="13"/>
        <v>0.92474391924528299</v>
      </c>
      <c r="H238">
        <f t="shared" si="14"/>
        <v>0</v>
      </c>
    </row>
    <row r="239" spans="1:8" ht="12.75" customHeight="1">
      <c r="A239" t="s">
        <v>896</v>
      </c>
      <c r="B239">
        <v>9.9284154289999993</v>
      </c>
      <c r="C239">
        <v>2.0677274720000001</v>
      </c>
      <c r="D239">
        <f>VLOOKUP(A239,'Quick View_ Sample Data'!$A$3:$AM$699,22)</f>
        <v>5.3</v>
      </c>
      <c r="E239">
        <f>VLOOKUP(A239,'Quick View_ Sample Data'!$A$3:$AM$699,23)</f>
        <v>26.5</v>
      </c>
      <c r="F239" s="275">
        <f t="shared" si="12"/>
        <v>0.46617866285901155</v>
      </c>
      <c r="G239" s="275">
        <f t="shared" si="13"/>
        <v>0.92197254822641506</v>
      </c>
      <c r="H239">
        <f t="shared" si="14"/>
        <v>0</v>
      </c>
    </row>
    <row r="240" spans="1:8" ht="12.75" customHeight="1">
      <c r="A240" t="s">
        <v>897</v>
      </c>
      <c r="B240">
        <v>9.2726114099999997</v>
      </c>
      <c r="C240">
        <v>1.4490153779999999</v>
      </c>
      <c r="D240">
        <f>VLOOKUP(A240,'Quick View_ Sample Data'!$A$3:$AM$699,22)</f>
        <v>5.3</v>
      </c>
      <c r="E240">
        <f>VLOOKUP(A240,'Quick View_ Sample Data'!$A$3:$AM$699,23)</f>
        <v>26.5</v>
      </c>
      <c r="F240" s="275">
        <f t="shared" si="12"/>
        <v>0.42842423070978231</v>
      </c>
      <c r="G240" s="275">
        <f t="shared" si="13"/>
        <v>0.94532017441509442</v>
      </c>
      <c r="H240">
        <f t="shared" si="14"/>
        <v>0</v>
      </c>
    </row>
    <row r="241" spans="1:8" ht="12.75" customHeight="1">
      <c r="A241" t="s">
        <v>901</v>
      </c>
      <c r="B241">
        <v>9.3314821010000006</v>
      </c>
      <c r="C241">
        <v>1.4694519049999999</v>
      </c>
      <c r="D241">
        <f>VLOOKUP(A241,'Quick View_ Sample Data'!$A$3:$AM$699,22)</f>
        <v>5.3</v>
      </c>
      <c r="E241">
        <f>VLOOKUP(A241,'Quick View_ Sample Data'!$A$3:$AM$699,23)</f>
        <v>26.5</v>
      </c>
      <c r="F241" s="275">
        <f t="shared" si="12"/>
        <v>0.43203020242282525</v>
      </c>
      <c r="G241" s="275">
        <f t="shared" si="13"/>
        <v>0.94454898471698112</v>
      </c>
      <c r="H241">
        <f t="shared" si="14"/>
        <v>0</v>
      </c>
    </row>
    <row r="242" spans="1:8" ht="12.75" customHeight="1">
      <c r="A242" t="s">
        <v>902</v>
      </c>
      <c r="B242">
        <v>9.3451842880000004</v>
      </c>
      <c r="C242">
        <v>1.4664686090000001</v>
      </c>
      <c r="D242">
        <f>VLOOKUP(A242,'Quick View_ Sample Data'!$A$3:$AM$699,22)</f>
        <v>5.3</v>
      </c>
      <c r="E242">
        <f>VLOOKUP(A242,'Quick View_ Sample Data'!$A$3:$AM$699,23)</f>
        <v>26.5</v>
      </c>
      <c r="F242" s="275">
        <f t="shared" si="12"/>
        <v>0.43286297662362377</v>
      </c>
      <c r="G242" s="275">
        <f t="shared" si="13"/>
        <v>0.94466156192452833</v>
      </c>
      <c r="H242">
        <f t="shared" si="14"/>
        <v>0</v>
      </c>
    </row>
    <row r="243" spans="1:8" ht="12.75" customHeight="1">
      <c r="A243" t="s">
        <v>906</v>
      </c>
      <c r="B243">
        <v>14.274341189999999</v>
      </c>
      <c r="C243">
        <v>0.33698614500000001</v>
      </c>
      <c r="D243">
        <f>VLOOKUP(A243,'Quick View_ Sample Data'!$A$3:$AM$699,22)</f>
        <v>5.3</v>
      </c>
      <c r="E243">
        <f>VLOOKUP(A243,'Quick View_ Sample Data'!$A$3:$AM$699,23)</f>
        <v>26.5</v>
      </c>
      <c r="F243" s="275">
        <f t="shared" si="12"/>
        <v>0.62870440537648387</v>
      </c>
      <c r="G243" s="275">
        <f t="shared" si="13"/>
        <v>0.98728354169811317</v>
      </c>
      <c r="H243">
        <f t="shared" si="14"/>
        <v>0</v>
      </c>
    </row>
    <row r="244" spans="1:8" ht="12.75" customHeight="1">
      <c r="F244" s="275"/>
      <c r="G244" s="275"/>
    </row>
    <row r="245" spans="1:8" ht="12.75" customHeight="1">
      <c r="F245" s="275"/>
      <c r="G245" s="275"/>
    </row>
    <row r="246" spans="1:8" ht="12.75" customHeight="1">
      <c r="F246" s="275"/>
      <c r="G246" s="275"/>
    </row>
    <row r="247" spans="1:8" ht="12.75" customHeight="1">
      <c r="F247" s="275"/>
      <c r="G247" s="275"/>
    </row>
    <row r="248" spans="1:8" ht="12.75" customHeight="1">
      <c r="F248" s="275"/>
      <c r="G248" s="275"/>
    </row>
    <row r="249" spans="1:8" ht="12.75" customHeight="1">
      <c r="F249" s="275"/>
      <c r="G249" s="275"/>
    </row>
    <row r="250" spans="1:8" ht="12.75" customHeight="1">
      <c r="F250" s="275"/>
      <c r="G250" s="275"/>
    </row>
    <row r="251" spans="1:8" ht="12.75" customHeight="1">
      <c r="F251" s="275"/>
      <c r="G251" s="275"/>
    </row>
    <row r="252" spans="1:8" ht="12.75" customHeight="1">
      <c r="F252" s="275"/>
      <c r="G252" s="275"/>
    </row>
    <row r="253" spans="1:8" ht="12.75" customHeight="1">
      <c r="F253" s="275"/>
      <c r="G253" s="275"/>
    </row>
    <row r="254" spans="1:8" ht="12.75" customHeight="1">
      <c r="F254" s="275"/>
      <c r="G254" s="275"/>
    </row>
    <row r="255" spans="1:8" ht="12.75" customHeight="1">
      <c r="F255" s="275"/>
      <c r="G255" s="275"/>
    </row>
    <row r="256" spans="1:8" ht="12.75" customHeight="1">
      <c r="F256" s="275"/>
      <c r="G256" s="275"/>
    </row>
    <row r="257" spans="6:7" ht="12.75" customHeight="1">
      <c r="F257" s="275"/>
      <c r="G257" s="275"/>
    </row>
    <row r="258" spans="6:7" ht="12.75" customHeight="1">
      <c r="F258" s="275"/>
      <c r="G258" s="275"/>
    </row>
    <row r="259" spans="6:7" ht="12.75" customHeight="1">
      <c r="F259" s="275"/>
      <c r="G259" s="275"/>
    </row>
    <row r="260" spans="6:7" ht="12.75" customHeight="1">
      <c r="F260" s="275"/>
      <c r="G260" s="275"/>
    </row>
    <row r="261" spans="6:7" ht="12.75" customHeight="1">
      <c r="F261" s="275"/>
      <c r="G261" s="275"/>
    </row>
    <row r="262" spans="6:7" ht="12.75" customHeight="1">
      <c r="F262" s="275"/>
      <c r="G262" s="275"/>
    </row>
    <row r="263" spans="6:7" ht="12.75" customHeight="1">
      <c r="F263" s="275"/>
      <c r="G263" s="275"/>
    </row>
  </sheetData>
  <autoFilter ref="A1:H24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baseColWidth="10" defaultColWidth="17.1640625" defaultRowHeight="12.75" customHeight="1" x14ac:dyDescent="0"/>
  <cols>
    <col min="1" max="1" width="10.6640625" customWidth="1"/>
    <col min="2" max="2" width="11.1640625" customWidth="1"/>
    <col min="3" max="3" width="12.83203125" customWidth="1"/>
    <col min="4" max="4" width="8.83203125" customWidth="1"/>
    <col min="5" max="5" width="5" customWidth="1"/>
    <col min="6" max="6" width="0" hidden="1"/>
    <col min="7" max="7" width="11.5" customWidth="1"/>
    <col min="8" max="8" width="10" customWidth="1"/>
    <col min="9" max="9" width="11.6640625" customWidth="1"/>
    <col min="10" max="10" width="14.33203125" customWidth="1"/>
  </cols>
  <sheetData>
    <row r="1" spans="1:10" ht="12.75" customHeight="1">
      <c r="A1" t="s">
        <v>2220</v>
      </c>
      <c r="B1" s="123" t="s">
        <v>2221</v>
      </c>
      <c r="C1" s="123" t="s">
        <v>2222</v>
      </c>
      <c r="D1" s="123" t="s">
        <v>2223</v>
      </c>
      <c r="E1" s="123" t="s">
        <v>2224</v>
      </c>
      <c r="F1" t="s">
        <v>2245</v>
      </c>
      <c r="G1" t="s">
        <v>2246</v>
      </c>
      <c r="H1" t="s">
        <v>2247</v>
      </c>
      <c r="I1" t="s">
        <v>2248</v>
      </c>
      <c r="J1" t="s">
        <v>2249</v>
      </c>
    </row>
    <row r="2" spans="1:10" ht="12.75" customHeight="1">
      <c r="A2" t="s">
        <v>1789</v>
      </c>
      <c r="B2" s="123">
        <v>9999</v>
      </c>
      <c r="C2" s="123">
        <v>53600000</v>
      </c>
      <c r="D2" s="123">
        <v>12277.441000000001</v>
      </c>
      <c r="E2" s="123">
        <v>2.29216E-4</v>
      </c>
      <c r="F2" t="s">
        <v>2250</v>
      </c>
      <c r="G2" t="b">
        <v>1</v>
      </c>
      <c r="H2" t="b">
        <v>0</v>
      </c>
      <c r="I2" t="b">
        <v>1</v>
      </c>
      <c r="J2" t="b">
        <v>1</v>
      </c>
    </row>
    <row r="3" spans="1:10" ht="12.75" customHeight="1">
      <c r="A3" t="s">
        <v>1790</v>
      </c>
      <c r="B3" s="123">
        <v>9999</v>
      </c>
      <c r="C3" s="123">
        <v>6672930</v>
      </c>
      <c r="D3" s="123">
        <v>10276.612999999999</v>
      </c>
      <c r="E3" s="123">
        <v>1.5400450000000001E-3</v>
      </c>
      <c r="F3" t="s">
        <v>2251</v>
      </c>
      <c r="G3" t="b">
        <v>1</v>
      </c>
      <c r="H3" t="b">
        <v>0</v>
      </c>
      <c r="I3" t="b">
        <v>1</v>
      </c>
      <c r="J3" t="b">
        <v>1</v>
      </c>
    </row>
    <row r="4" spans="1:10" ht="12.75" customHeight="1">
      <c r="A4" t="s">
        <v>1791</v>
      </c>
      <c r="B4" s="123">
        <v>8.9659610000000001</v>
      </c>
      <c r="C4" s="123">
        <v>149.65427</v>
      </c>
      <c r="D4" s="123">
        <v>123.52956399999999</v>
      </c>
      <c r="E4" s="123">
        <v>0.82543294</v>
      </c>
      <c r="F4" t="s">
        <v>2252</v>
      </c>
      <c r="G4" t="b">
        <v>1</v>
      </c>
      <c r="H4" t="b">
        <v>1</v>
      </c>
      <c r="I4" t="b">
        <v>1</v>
      </c>
      <c r="J4" t="b">
        <v>1</v>
      </c>
    </row>
    <row r="5" spans="1:10" ht="12.75" customHeight="1">
      <c r="A5" t="s">
        <v>1792</v>
      </c>
      <c r="B5" s="123">
        <v>9.0826069999999994</v>
      </c>
      <c r="C5" s="123">
        <v>149.00493</v>
      </c>
      <c r="D5" s="123">
        <v>123.0457</v>
      </c>
      <c r="E5" s="123">
        <v>0.82578274399999996</v>
      </c>
      <c r="F5" t="s">
        <v>2253</v>
      </c>
      <c r="G5" t="b">
        <v>1</v>
      </c>
      <c r="H5" t="b">
        <v>1</v>
      </c>
      <c r="I5" t="b">
        <v>1</v>
      </c>
      <c r="J5" t="b">
        <v>1</v>
      </c>
    </row>
    <row r="6" spans="1:10" ht="12.75" customHeight="1">
      <c r="A6" t="s">
        <v>1793</v>
      </c>
      <c r="B6" s="123">
        <v>9.2520310000000006</v>
      </c>
      <c r="C6" s="123">
        <v>146.78351000000001</v>
      </c>
      <c r="D6" s="123">
        <v>122.22311000000001</v>
      </c>
      <c r="E6" s="123">
        <v>0.83267602699999999</v>
      </c>
      <c r="F6" t="s">
        <v>2254</v>
      </c>
      <c r="G6" t="b">
        <v>1</v>
      </c>
      <c r="H6" t="b">
        <v>1</v>
      </c>
      <c r="I6" t="b">
        <v>1</v>
      </c>
      <c r="J6" t="b">
        <v>1</v>
      </c>
    </row>
    <row r="7" spans="1:10" ht="12.75" customHeight="1">
      <c r="A7" t="s">
        <v>1794</v>
      </c>
      <c r="B7" s="123">
        <v>9.0663870000000006</v>
      </c>
      <c r="C7" s="123">
        <v>110.39164</v>
      </c>
      <c r="D7" s="123">
        <v>91.61806</v>
      </c>
      <c r="E7" s="123">
        <v>0.82993657899999995</v>
      </c>
      <c r="F7" t="s">
        <v>2255</v>
      </c>
      <c r="G7" t="b">
        <v>1</v>
      </c>
      <c r="H7" t="b">
        <v>1</v>
      </c>
      <c r="I7" t="b">
        <v>1</v>
      </c>
      <c r="J7" t="b">
        <v>1</v>
      </c>
    </row>
    <row r="8" spans="1:10" ht="12.75" customHeight="1">
      <c r="A8" t="s">
        <v>1795</v>
      </c>
      <c r="B8" s="123">
        <v>14.289697</v>
      </c>
      <c r="C8" s="123">
        <v>59.817534999999999</v>
      </c>
      <c r="D8" s="123">
        <v>57.721397000000003</v>
      </c>
      <c r="E8" s="123">
        <v>0.96495779999999998</v>
      </c>
      <c r="F8" t="s">
        <v>2256</v>
      </c>
      <c r="G8" t="b">
        <v>1</v>
      </c>
      <c r="H8" t="b">
        <v>1</v>
      </c>
      <c r="I8" t="b">
        <v>1</v>
      </c>
      <c r="J8" t="b">
        <v>1</v>
      </c>
    </row>
    <row r="9" spans="1:10" ht="12.75" customHeight="1">
      <c r="A9" t="s">
        <v>1796</v>
      </c>
      <c r="B9" s="123">
        <v>14.078633999999999</v>
      </c>
      <c r="C9" s="123">
        <v>79.410870000000003</v>
      </c>
      <c r="D9" s="123">
        <v>73.616339999999994</v>
      </c>
      <c r="E9" s="123">
        <v>0.92703102199999998</v>
      </c>
      <c r="F9" t="s">
        <v>2257</v>
      </c>
      <c r="G9" t="b">
        <v>1</v>
      </c>
      <c r="H9" t="b">
        <v>1</v>
      </c>
      <c r="I9" t="b">
        <v>1</v>
      </c>
      <c r="J9" t="b">
        <v>1</v>
      </c>
    </row>
    <row r="10" spans="1:10" ht="12.75" customHeight="1">
      <c r="A10" t="s">
        <v>1797</v>
      </c>
      <c r="B10" s="123">
        <v>13.606490000000001</v>
      </c>
      <c r="C10" s="123">
        <v>71.106840000000005</v>
      </c>
      <c r="D10" s="123">
        <v>66.119889999999998</v>
      </c>
      <c r="E10" s="123">
        <v>0.92986680300000002</v>
      </c>
      <c r="F10" t="s">
        <v>2258</v>
      </c>
      <c r="G10" t="b">
        <v>1</v>
      </c>
      <c r="H10" t="b">
        <v>1</v>
      </c>
      <c r="I10" t="b">
        <v>1</v>
      </c>
      <c r="J10" t="b">
        <v>1</v>
      </c>
    </row>
    <row r="11" spans="1:10" ht="12.75" customHeight="1">
      <c r="A11" t="s">
        <v>1798</v>
      </c>
      <c r="B11" s="123">
        <v>13.5659685</v>
      </c>
      <c r="C11" s="123">
        <v>74.543459999999996</v>
      </c>
      <c r="D11" s="123">
        <v>71.793149999999997</v>
      </c>
      <c r="E11" s="123">
        <v>0.96310461000000003</v>
      </c>
      <c r="F11" t="s">
        <v>2259</v>
      </c>
      <c r="G11" t="b">
        <v>1</v>
      </c>
      <c r="H11" t="b">
        <v>1</v>
      </c>
      <c r="I11" t="b">
        <v>1</v>
      </c>
      <c r="J11" t="b">
        <v>1</v>
      </c>
    </row>
    <row r="12" spans="1:10" ht="12.75" customHeight="1">
      <c r="A12" t="s">
        <v>1799</v>
      </c>
      <c r="B12" s="123">
        <v>9999</v>
      </c>
      <c r="C12" s="123">
        <v>1226.3501000000001</v>
      </c>
      <c r="D12" s="123">
        <v>202.27153000000001</v>
      </c>
      <c r="E12" s="123">
        <v>0.164937835</v>
      </c>
      <c r="F12" t="s">
        <v>2260</v>
      </c>
      <c r="G12" t="b">
        <v>1</v>
      </c>
      <c r="H12" t="b">
        <v>0</v>
      </c>
      <c r="I12" t="b">
        <v>1</v>
      </c>
      <c r="J12" t="b">
        <v>1</v>
      </c>
    </row>
    <row r="13" spans="1:10" ht="12.75" customHeight="1">
      <c r="A13" t="s">
        <v>1800</v>
      </c>
      <c r="B13" s="123">
        <v>10.945983999999999</v>
      </c>
      <c r="C13" s="123">
        <v>111.00789</v>
      </c>
      <c r="D13" s="123">
        <v>68.787864999999996</v>
      </c>
      <c r="E13" s="123">
        <v>0.61966644900000001</v>
      </c>
      <c r="F13" t="s">
        <v>2261</v>
      </c>
      <c r="G13" t="b">
        <v>1</v>
      </c>
      <c r="H13" t="b">
        <v>1</v>
      </c>
      <c r="I13" t="b">
        <v>1</v>
      </c>
      <c r="J13" t="b">
        <v>1</v>
      </c>
    </row>
    <row r="14" spans="1:10" ht="12.75" customHeight="1">
      <c r="A14" t="s">
        <v>1801</v>
      </c>
      <c r="B14" s="123">
        <v>9999</v>
      </c>
      <c r="C14" s="123">
        <v>9999</v>
      </c>
      <c r="D14" s="123">
        <v>66.801550000000006</v>
      </c>
      <c r="E14" s="123">
        <v>6.6808229999999998E-3</v>
      </c>
      <c r="F14" t="s">
        <v>2262</v>
      </c>
      <c r="G14" t="b">
        <v>1</v>
      </c>
      <c r="H14" t="b">
        <v>0</v>
      </c>
      <c r="I14" t="b">
        <v>1</v>
      </c>
      <c r="J14" t="b">
        <v>1</v>
      </c>
    </row>
    <row r="15" spans="1:10" ht="12.75" customHeight="1">
      <c r="A15" t="s">
        <v>1802</v>
      </c>
      <c r="B15" s="123">
        <v>10.275895999999999</v>
      </c>
      <c r="C15" s="123">
        <v>137.14381</v>
      </c>
      <c r="D15" s="123">
        <v>82.937380000000005</v>
      </c>
      <c r="E15" s="123">
        <v>0.60474752700000001</v>
      </c>
      <c r="F15" t="s">
        <v>2263</v>
      </c>
      <c r="G15" t="b">
        <v>1</v>
      </c>
      <c r="H15" t="b">
        <v>1</v>
      </c>
      <c r="I15" t="b">
        <v>1</v>
      </c>
      <c r="J15" t="b">
        <v>1</v>
      </c>
    </row>
    <row r="16" spans="1:10" ht="12.75" customHeight="1">
      <c r="A16" t="s">
        <v>1803</v>
      </c>
      <c r="B16" s="123">
        <v>9999</v>
      </c>
      <c r="C16" s="123">
        <v>9999</v>
      </c>
      <c r="D16" s="123">
        <v>157.99538999999999</v>
      </c>
      <c r="E16" s="123">
        <v>1.5801118999999999E-2</v>
      </c>
      <c r="F16" t="s">
        <v>2264</v>
      </c>
      <c r="G16" t="b">
        <v>1</v>
      </c>
      <c r="H16" t="b">
        <v>0</v>
      </c>
      <c r="I16" t="b">
        <v>1</v>
      </c>
      <c r="J16" t="b">
        <v>1</v>
      </c>
    </row>
    <row r="17" spans="1:10" ht="12.75" customHeight="1">
      <c r="A17" t="s">
        <v>1804</v>
      </c>
      <c r="B17" s="123">
        <v>8.5573650000000008</v>
      </c>
      <c r="C17" s="123">
        <v>141.38151999999999</v>
      </c>
      <c r="D17" s="123">
        <v>111.920395</v>
      </c>
      <c r="E17" s="123">
        <v>0.79161968999999999</v>
      </c>
      <c r="F17" t="s">
        <v>2265</v>
      </c>
      <c r="G17" t="b">
        <v>1</v>
      </c>
      <c r="H17" t="b">
        <v>1</v>
      </c>
      <c r="I17" t="b">
        <v>1</v>
      </c>
      <c r="J17" t="b">
        <v>1</v>
      </c>
    </row>
    <row r="18" spans="1:10" ht="12.75" customHeight="1">
      <c r="A18" t="s">
        <v>1805</v>
      </c>
      <c r="B18" s="123">
        <v>8.5573630000000005</v>
      </c>
      <c r="C18" s="123">
        <v>152.34267</v>
      </c>
      <c r="D18" s="123">
        <v>120.16016999999999</v>
      </c>
      <c r="E18" s="123">
        <v>0.788749272</v>
      </c>
      <c r="F18" t="s">
        <v>2266</v>
      </c>
      <c r="G18" t="b">
        <v>1</v>
      </c>
      <c r="H18" t="b">
        <v>1</v>
      </c>
      <c r="I18" t="b">
        <v>1</v>
      </c>
      <c r="J18" t="b">
        <v>1</v>
      </c>
    </row>
    <row r="19" spans="1:10" ht="12.75" customHeight="1">
      <c r="A19" t="s">
        <v>1806</v>
      </c>
      <c r="B19" s="123">
        <v>8.7187260000000002</v>
      </c>
      <c r="C19" s="123">
        <v>138.43411</v>
      </c>
      <c r="D19" s="123">
        <v>109.83781399999999</v>
      </c>
      <c r="E19" s="123">
        <v>0.79343027499999996</v>
      </c>
      <c r="F19" t="s">
        <v>2267</v>
      </c>
      <c r="G19" t="b">
        <v>1</v>
      </c>
      <c r="H19" t="b">
        <v>1</v>
      </c>
      <c r="I19" t="b">
        <v>1</v>
      </c>
      <c r="J19" t="b">
        <v>1</v>
      </c>
    </row>
    <row r="20" spans="1:10" ht="12.75" customHeight="1">
      <c r="A20" t="s">
        <v>1807</v>
      </c>
      <c r="B20" s="123">
        <v>9.9120454999999996</v>
      </c>
      <c r="C20" s="123">
        <v>98.118030000000005</v>
      </c>
      <c r="D20" s="123">
        <v>79.245679999999993</v>
      </c>
      <c r="E20" s="123">
        <v>0.80765665600000003</v>
      </c>
      <c r="F20" t="s">
        <v>2268</v>
      </c>
      <c r="G20" t="b">
        <v>1</v>
      </c>
      <c r="H20" t="b">
        <v>1</v>
      </c>
      <c r="I20" t="b">
        <v>1</v>
      </c>
      <c r="J20" t="b">
        <v>1</v>
      </c>
    </row>
    <row r="21" spans="1:10" ht="12.75" customHeight="1">
      <c r="A21" t="s">
        <v>1808</v>
      </c>
      <c r="B21" s="123">
        <v>5.316338</v>
      </c>
      <c r="C21" s="123">
        <v>427.16433999999998</v>
      </c>
      <c r="D21" s="123">
        <v>157.32232999999999</v>
      </c>
      <c r="E21" s="123">
        <v>0.36829462400000001</v>
      </c>
      <c r="F21" t="s">
        <v>2269</v>
      </c>
      <c r="G21" t="b">
        <v>1</v>
      </c>
      <c r="H21" t="b">
        <v>1</v>
      </c>
      <c r="I21" t="b">
        <v>1</v>
      </c>
      <c r="J21" t="b">
        <v>0</v>
      </c>
    </row>
    <row r="22" spans="1:10" ht="12.75" customHeight="1">
      <c r="A22" t="s">
        <v>1809</v>
      </c>
      <c r="B22" s="123">
        <v>5.8813459999999997</v>
      </c>
      <c r="C22" s="123">
        <v>410.21361999999999</v>
      </c>
      <c r="D22" s="123">
        <v>149.75989000000001</v>
      </c>
      <c r="E22" s="123">
        <v>0.36507781</v>
      </c>
      <c r="F22" t="s">
        <v>2270</v>
      </c>
      <c r="G22" t="b">
        <v>1</v>
      </c>
      <c r="H22" t="b">
        <v>1</v>
      </c>
      <c r="I22" t="b">
        <v>1</v>
      </c>
      <c r="J22" t="b">
        <v>0</v>
      </c>
    </row>
    <row r="23" spans="1:10" ht="12.75" customHeight="1">
      <c r="A23" t="s">
        <v>1810</v>
      </c>
      <c r="B23" s="123">
        <v>5.8596880000000002</v>
      </c>
      <c r="C23" s="123">
        <v>399.67383000000001</v>
      </c>
      <c r="D23" s="123">
        <v>150.17767000000001</v>
      </c>
      <c r="E23" s="123">
        <v>0.37575057099999998</v>
      </c>
      <c r="F23" t="s">
        <v>2271</v>
      </c>
      <c r="G23" t="b">
        <v>1</v>
      </c>
      <c r="H23" t="b">
        <v>1</v>
      </c>
      <c r="I23" t="b">
        <v>1</v>
      </c>
      <c r="J23" t="b">
        <v>0</v>
      </c>
    </row>
    <row r="24" spans="1:10" ht="12.75" customHeight="1">
      <c r="A24" t="s">
        <v>1811</v>
      </c>
      <c r="B24" s="123">
        <v>5.8215174999999997</v>
      </c>
      <c r="C24" s="123">
        <v>413.98671999999999</v>
      </c>
      <c r="D24" s="123">
        <v>126.09193399999999</v>
      </c>
      <c r="E24" s="123">
        <v>0.304579659</v>
      </c>
      <c r="F24" t="s">
        <v>2272</v>
      </c>
      <c r="G24" t="b">
        <v>1</v>
      </c>
      <c r="H24" t="b">
        <v>1</v>
      </c>
      <c r="I24" t="b">
        <v>1</v>
      </c>
      <c r="J24" t="b">
        <v>0</v>
      </c>
    </row>
    <row r="25" spans="1:10" ht="12.75" customHeight="1">
      <c r="A25" t="s">
        <v>1812</v>
      </c>
      <c r="B25" s="123">
        <v>9.6333769999999994</v>
      </c>
      <c r="C25" s="123">
        <v>76.292609999999996</v>
      </c>
      <c r="D25" s="123">
        <v>74.991240000000005</v>
      </c>
      <c r="E25" s="123">
        <v>0.98294238499999997</v>
      </c>
      <c r="F25" t="s">
        <v>2273</v>
      </c>
      <c r="G25" t="b">
        <v>1</v>
      </c>
      <c r="H25" t="b">
        <v>1</v>
      </c>
      <c r="I25" t="b">
        <v>1</v>
      </c>
      <c r="J25" t="b">
        <v>0</v>
      </c>
    </row>
    <row r="26" spans="1:10" ht="12.75" customHeight="1">
      <c r="A26" t="s">
        <v>1813</v>
      </c>
      <c r="B26" s="123">
        <v>10.013202</v>
      </c>
      <c r="C26" s="123">
        <v>83.790360000000007</v>
      </c>
      <c r="D26" s="123">
        <v>78.730490000000003</v>
      </c>
      <c r="E26" s="123">
        <v>0.93961274299999997</v>
      </c>
      <c r="F26" t="s">
        <v>2274</v>
      </c>
      <c r="G26" t="b">
        <v>1</v>
      </c>
      <c r="H26" t="b">
        <v>1</v>
      </c>
      <c r="I26" t="b">
        <v>1</v>
      </c>
      <c r="J26" t="b">
        <v>0</v>
      </c>
    </row>
    <row r="27" spans="1:10" ht="12.75" customHeight="1">
      <c r="A27" t="s">
        <v>1814</v>
      </c>
      <c r="B27" s="123">
        <v>4.9646872999999996</v>
      </c>
      <c r="C27" s="123">
        <v>2697199</v>
      </c>
      <c r="D27" s="123">
        <v>1414.8232</v>
      </c>
      <c r="E27" s="123">
        <v>5.2455299999999998E-4</v>
      </c>
      <c r="F27" t="s">
        <v>2275</v>
      </c>
      <c r="G27" t="b">
        <v>1</v>
      </c>
      <c r="H27" t="b">
        <v>1</v>
      </c>
      <c r="I27" t="b">
        <v>1</v>
      </c>
      <c r="J27" t="b">
        <v>0</v>
      </c>
    </row>
    <row r="28" spans="1:10" ht="12.75" customHeight="1">
      <c r="A28" t="s">
        <v>1815</v>
      </c>
      <c r="B28" s="123">
        <v>9999</v>
      </c>
      <c r="C28" s="123">
        <v>9999</v>
      </c>
      <c r="D28" s="123">
        <v>71.912505999999993</v>
      </c>
      <c r="E28" s="123">
        <v>7.1919699999999998E-3</v>
      </c>
      <c r="F28" t="s">
        <v>2276</v>
      </c>
      <c r="G28" t="b">
        <v>1</v>
      </c>
      <c r="H28" t="b">
        <v>0</v>
      </c>
      <c r="I28" t="b">
        <v>1</v>
      </c>
      <c r="J28" t="b">
        <v>1</v>
      </c>
    </row>
    <row r="29" spans="1:10" ht="12.75" customHeight="1">
      <c r="A29" t="s">
        <v>1816</v>
      </c>
      <c r="B29" s="123">
        <v>9999</v>
      </c>
      <c r="C29" s="123">
        <v>9999</v>
      </c>
      <c r="D29" s="123">
        <v>638.37369999999999</v>
      </c>
      <c r="E29" s="123">
        <v>6.3843754000000003E-2</v>
      </c>
      <c r="F29" t="s">
        <v>2277</v>
      </c>
      <c r="G29" t="b">
        <v>1</v>
      </c>
      <c r="H29" t="b">
        <v>0</v>
      </c>
      <c r="I29" t="b">
        <v>1</v>
      </c>
      <c r="J29" t="b">
        <v>1</v>
      </c>
    </row>
    <row r="30" spans="1:10" ht="12.75" customHeight="1">
      <c r="A30" t="s">
        <v>1817</v>
      </c>
      <c r="B30" s="123">
        <v>9999</v>
      </c>
      <c r="C30" s="123">
        <v>9999</v>
      </c>
      <c r="D30" s="123">
        <v>391.86615</v>
      </c>
      <c r="E30" s="123">
        <v>3.9190533999999999E-2</v>
      </c>
      <c r="F30" t="s">
        <v>2278</v>
      </c>
      <c r="G30" t="b">
        <v>1</v>
      </c>
      <c r="H30" t="b">
        <v>0</v>
      </c>
      <c r="I30" t="b">
        <v>1</v>
      </c>
      <c r="J30" t="b">
        <v>1</v>
      </c>
    </row>
    <row r="31" spans="1:10" ht="12.75" customHeight="1">
      <c r="A31" t="s">
        <v>1818</v>
      </c>
      <c r="B31" s="123">
        <v>8.4299389999999992</v>
      </c>
      <c r="C31" s="123">
        <v>367.16933999999998</v>
      </c>
      <c r="D31" s="123">
        <v>194.32401999999999</v>
      </c>
      <c r="E31" s="123">
        <v>0.529249038</v>
      </c>
      <c r="F31" t="s">
        <v>2279</v>
      </c>
      <c r="G31" t="b">
        <v>1</v>
      </c>
      <c r="H31" t="b">
        <v>1</v>
      </c>
      <c r="I31" t="b">
        <v>1</v>
      </c>
      <c r="J31" t="b">
        <v>1</v>
      </c>
    </row>
    <row r="32" spans="1:10" ht="12.75" customHeight="1">
      <c r="A32" t="s">
        <v>1819</v>
      </c>
      <c r="B32" s="123">
        <v>9999</v>
      </c>
      <c r="C32" s="123">
        <v>1949.0954999999999</v>
      </c>
      <c r="D32" s="123">
        <v>369.43572999999998</v>
      </c>
      <c r="E32" s="123">
        <v>0.189542139</v>
      </c>
      <c r="F32" t="s">
        <v>2280</v>
      </c>
      <c r="G32" t="b">
        <v>1</v>
      </c>
      <c r="H32" t="b">
        <v>0</v>
      </c>
      <c r="I32" t="b">
        <v>1</v>
      </c>
      <c r="J32" t="b">
        <v>1</v>
      </c>
    </row>
    <row r="33" spans="1:10" ht="12.75" customHeight="1">
      <c r="A33" t="s">
        <v>1820</v>
      </c>
      <c r="B33" s="123">
        <v>9999</v>
      </c>
      <c r="C33" s="123">
        <v>9999</v>
      </c>
      <c r="D33" s="123">
        <v>300.36554000000001</v>
      </c>
      <c r="E33" s="123">
        <v>3.0039558000000001E-2</v>
      </c>
      <c r="F33" t="s">
        <v>2281</v>
      </c>
      <c r="G33" t="b">
        <v>1</v>
      </c>
      <c r="H33" t="b">
        <v>0</v>
      </c>
      <c r="I33" t="b">
        <v>1</v>
      </c>
      <c r="J33" t="b">
        <v>1</v>
      </c>
    </row>
    <row r="34" spans="1:10" ht="12.75" customHeight="1">
      <c r="A34" t="s">
        <v>1821</v>
      </c>
      <c r="B34" s="123">
        <v>9999</v>
      </c>
      <c r="C34" s="123">
        <v>9999</v>
      </c>
      <c r="D34" s="123">
        <v>315.91829999999999</v>
      </c>
      <c r="E34" s="123">
        <v>3.1594988999999997E-2</v>
      </c>
      <c r="F34" t="s">
        <v>2282</v>
      </c>
      <c r="G34" t="b">
        <v>1</v>
      </c>
      <c r="H34" t="b">
        <v>0</v>
      </c>
      <c r="I34" t="b">
        <v>1</v>
      </c>
      <c r="J34" t="b">
        <v>1</v>
      </c>
    </row>
    <row r="35" spans="1:10" ht="12.75" customHeight="1">
      <c r="A35" t="s">
        <v>1822</v>
      </c>
      <c r="B35" s="123">
        <v>7.602557</v>
      </c>
      <c r="C35" s="123">
        <v>281.20535000000001</v>
      </c>
      <c r="D35" s="123">
        <v>158.83936</v>
      </c>
      <c r="E35" s="123">
        <v>0.56485184200000005</v>
      </c>
      <c r="F35" t="s">
        <v>2283</v>
      </c>
      <c r="G35" t="b">
        <v>1</v>
      </c>
      <c r="H35" t="b">
        <v>1</v>
      </c>
      <c r="I35" t="b">
        <v>1</v>
      </c>
      <c r="J35" t="b">
        <v>1</v>
      </c>
    </row>
    <row r="36" spans="1:10" ht="12.75" customHeight="1">
      <c r="A36" t="s">
        <v>1823</v>
      </c>
      <c r="B36" s="123">
        <v>8.8403329999999993</v>
      </c>
      <c r="C36" s="123">
        <v>274.35120000000001</v>
      </c>
      <c r="D36" s="123">
        <v>9999</v>
      </c>
      <c r="E36" s="123">
        <v>36.445986019999999</v>
      </c>
      <c r="F36" t="s">
        <v>2284</v>
      </c>
      <c r="G36" t="b">
        <v>1</v>
      </c>
      <c r="H36" t="b">
        <v>1</v>
      </c>
      <c r="I36" t="b">
        <v>1</v>
      </c>
      <c r="J36" t="b">
        <v>0</v>
      </c>
    </row>
    <row r="37" spans="1:10" ht="12.75" customHeight="1">
      <c r="A37" t="s">
        <v>1824</v>
      </c>
      <c r="B37" s="123">
        <v>9.4185660000000002</v>
      </c>
      <c r="C37" s="123">
        <v>206.97407999999999</v>
      </c>
      <c r="D37" s="123">
        <v>119.13462</v>
      </c>
      <c r="E37" s="123">
        <v>0.575601641</v>
      </c>
      <c r="F37" t="s">
        <v>2285</v>
      </c>
      <c r="G37" t="b">
        <v>1</v>
      </c>
      <c r="H37" t="b">
        <v>1</v>
      </c>
      <c r="I37" t="b">
        <v>1</v>
      </c>
      <c r="J37" t="b">
        <v>1</v>
      </c>
    </row>
    <row r="38" spans="1:10" ht="12.75" customHeight="1">
      <c r="A38" t="s">
        <v>1825</v>
      </c>
      <c r="B38" s="123">
        <v>10.002644</v>
      </c>
      <c r="C38" s="123">
        <v>133.50845000000001</v>
      </c>
      <c r="D38" s="123">
        <v>9999</v>
      </c>
      <c r="E38" s="123">
        <v>74.894135910000003</v>
      </c>
      <c r="F38" t="s">
        <v>2286</v>
      </c>
      <c r="G38" t="b">
        <v>1</v>
      </c>
      <c r="H38" t="b">
        <v>1</v>
      </c>
      <c r="I38" t="b">
        <v>1</v>
      </c>
      <c r="J38" t="b">
        <v>0</v>
      </c>
    </row>
    <row r="39" spans="1:10" ht="12.75" customHeight="1">
      <c r="A39" t="s">
        <v>1826</v>
      </c>
      <c r="B39" s="123">
        <v>9999</v>
      </c>
      <c r="C39" s="123">
        <v>9999</v>
      </c>
      <c r="D39" s="123">
        <v>212.76137</v>
      </c>
      <c r="E39" s="123">
        <v>2.1278265000000001E-2</v>
      </c>
      <c r="F39" t="s">
        <v>2287</v>
      </c>
      <c r="G39" t="b">
        <v>1</v>
      </c>
      <c r="H39" t="b">
        <v>0</v>
      </c>
      <c r="I39" t="b">
        <v>0</v>
      </c>
      <c r="J39" t="b">
        <v>1</v>
      </c>
    </row>
    <row r="40" spans="1:10" ht="12.75" customHeight="1">
      <c r="A40" t="s">
        <v>1827</v>
      </c>
      <c r="B40" s="123">
        <v>9999</v>
      </c>
      <c r="C40" s="123">
        <v>9999</v>
      </c>
      <c r="D40" s="123">
        <v>87.013810000000007</v>
      </c>
      <c r="E40" s="123">
        <v>8.7022509999999994E-3</v>
      </c>
      <c r="F40" t="s">
        <v>2288</v>
      </c>
      <c r="G40" t="b">
        <v>1</v>
      </c>
      <c r="H40" t="b">
        <v>0</v>
      </c>
      <c r="I40" t="b">
        <v>1</v>
      </c>
      <c r="J40" t="b">
        <v>1</v>
      </c>
    </row>
    <row r="41" spans="1:10" ht="12.75" customHeight="1">
      <c r="A41" t="s">
        <v>1828</v>
      </c>
      <c r="B41" s="123">
        <v>9999</v>
      </c>
      <c r="C41" s="123">
        <v>9999</v>
      </c>
      <c r="D41" s="123">
        <v>119.69862000000001</v>
      </c>
      <c r="E41" s="123">
        <v>1.1971058999999999E-2</v>
      </c>
      <c r="F41" t="s">
        <v>2289</v>
      </c>
      <c r="G41" t="b">
        <v>1</v>
      </c>
      <c r="H41" t="b">
        <v>0</v>
      </c>
      <c r="I41" t="b">
        <v>1</v>
      </c>
      <c r="J41" t="b">
        <v>1</v>
      </c>
    </row>
    <row r="42" spans="1:10" ht="12.75" customHeight="1">
      <c r="A42" t="s">
        <v>1829</v>
      </c>
      <c r="B42" s="123">
        <v>9999</v>
      </c>
      <c r="C42" s="123">
        <v>9999</v>
      </c>
      <c r="D42" s="123">
        <v>63.985855000000001</v>
      </c>
      <c r="E42" s="123">
        <v>6.3992249999999997E-3</v>
      </c>
      <c r="F42" t="s">
        <v>2290</v>
      </c>
      <c r="G42" t="b">
        <v>1</v>
      </c>
      <c r="H42" t="b">
        <v>0</v>
      </c>
      <c r="I42" t="b">
        <v>1</v>
      </c>
      <c r="J42" t="b">
        <v>1</v>
      </c>
    </row>
    <row r="43" spans="1:10" ht="12.75" customHeight="1">
      <c r="A43" t="s">
        <v>1830</v>
      </c>
      <c r="B43" s="123">
        <v>9999</v>
      </c>
      <c r="C43" s="123">
        <v>56500000</v>
      </c>
      <c r="D43" s="123">
        <v>4.0048063000000002E-2</v>
      </c>
      <c r="E43" s="123">
        <v>7.0851700000000003E-10</v>
      </c>
      <c r="F43" t="s">
        <v>2291</v>
      </c>
      <c r="G43" t="b">
        <v>1</v>
      </c>
      <c r="H43" t="b">
        <v>0</v>
      </c>
      <c r="I43" t="b">
        <v>1</v>
      </c>
      <c r="J43" t="b">
        <v>1</v>
      </c>
    </row>
    <row r="44" spans="1:10" ht="12.75" customHeight="1">
      <c r="A44" t="s">
        <v>1831</v>
      </c>
      <c r="B44" s="123">
        <v>9999</v>
      </c>
      <c r="C44" s="123">
        <v>640.18539999999996</v>
      </c>
      <c r="D44" s="123">
        <v>36.465164000000001</v>
      </c>
      <c r="E44" s="123">
        <v>5.6960318000000003E-2</v>
      </c>
      <c r="F44" t="s">
        <v>2292</v>
      </c>
      <c r="G44" t="b">
        <v>1</v>
      </c>
      <c r="H44" t="b">
        <v>0</v>
      </c>
      <c r="I44" t="b">
        <v>1</v>
      </c>
      <c r="J44" t="b">
        <v>1</v>
      </c>
    </row>
    <row r="45" spans="1:10" ht="12.75" customHeight="1">
      <c r="A45" t="s">
        <v>1832</v>
      </c>
      <c r="B45" s="123">
        <v>15.720901</v>
      </c>
      <c r="C45" s="123">
        <v>18.736606999999999</v>
      </c>
      <c r="D45" s="123">
        <v>20.614301999999999</v>
      </c>
      <c r="E45" s="123">
        <v>1.1002153160000001</v>
      </c>
      <c r="F45" t="s">
        <v>2293</v>
      </c>
      <c r="G45" t="b">
        <v>1</v>
      </c>
      <c r="H45" t="b">
        <v>1</v>
      </c>
      <c r="I45" t="b">
        <v>1</v>
      </c>
      <c r="J45" t="b">
        <v>1</v>
      </c>
    </row>
    <row r="46" spans="1:10" ht="12.75" customHeight="1">
      <c r="A46" t="s">
        <v>1833</v>
      </c>
      <c r="B46" s="123">
        <v>13.599107</v>
      </c>
      <c r="C46" s="123">
        <v>37.121493999999998</v>
      </c>
      <c r="D46" s="123">
        <v>34.5794</v>
      </c>
      <c r="E46" s="123">
        <v>0.93151961999999999</v>
      </c>
      <c r="F46" t="s">
        <v>2294</v>
      </c>
      <c r="G46" t="b">
        <v>1</v>
      </c>
      <c r="H46" t="b">
        <v>1</v>
      </c>
      <c r="I46" t="b">
        <v>1</v>
      </c>
      <c r="J46" t="b">
        <v>1</v>
      </c>
    </row>
    <row r="47" spans="1:10" ht="12.75" customHeight="1">
      <c r="A47" t="s">
        <v>1834</v>
      </c>
      <c r="B47" s="123">
        <v>15.827260000000001</v>
      </c>
      <c r="C47" s="123">
        <v>7.0409480000000002</v>
      </c>
      <c r="D47" s="123">
        <v>7.3559859999999997</v>
      </c>
      <c r="E47" s="123">
        <v>1.0447436910000001</v>
      </c>
      <c r="F47" t="s">
        <v>2295</v>
      </c>
      <c r="G47" t="b">
        <v>1</v>
      </c>
      <c r="H47" t="b">
        <v>1</v>
      </c>
      <c r="I47" t="b">
        <v>1</v>
      </c>
      <c r="J47" t="b">
        <v>1</v>
      </c>
    </row>
    <row r="48" spans="1:10" ht="12.75" customHeight="1">
      <c r="A48" t="s">
        <v>1835</v>
      </c>
      <c r="B48" s="123">
        <v>9999</v>
      </c>
      <c r="C48" s="123">
        <v>9999</v>
      </c>
      <c r="D48" s="123">
        <v>4.9162907999999996</v>
      </c>
      <c r="E48" s="123">
        <v>4.9167799999999995E-4</v>
      </c>
      <c r="F48" t="s">
        <v>2296</v>
      </c>
      <c r="G48" t="b">
        <v>1</v>
      </c>
      <c r="H48" t="b">
        <v>0</v>
      </c>
      <c r="I48" t="b">
        <v>1</v>
      </c>
      <c r="J48" t="b">
        <v>1</v>
      </c>
    </row>
    <row r="49" spans="1:10" ht="12.75" customHeight="1">
      <c r="A49" t="s">
        <v>1836</v>
      </c>
      <c r="B49" s="123">
        <v>15.104364</v>
      </c>
      <c r="C49" s="123">
        <v>3.9813337</v>
      </c>
      <c r="D49" s="123">
        <v>4.6402729999999996</v>
      </c>
      <c r="E49" s="123">
        <v>1.1655071770000001</v>
      </c>
      <c r="F49" t="s">
        <v>2297</v>
      </c>
      <c r="G49" t="b">
        <v>1</v>
      </c>
      <c r="H49" t="b">
        <v>1</v>
      </c>
      <c r="I49" t="b">
        <v>1</v>
      </c>
      <c r="J49" t="b">
        <v>1</v>
      </c>
    </row>
    <row r="50" spans="1:10" ht="12.75" customHeight="1">
      <c r="A50" t="s">
        <v>1837</v>
      </c>
      <c r="B50" s="123">
        <v>9999</v>
      </c>
      <c r="C50" s="123">
        <v>9999</v>
      </c>
      <c r="D50" s="123">
        <v>9999</v>
      </c>
      <c r="E50" s="123">
        <v>1</v>
      </c>
      <c r="F50" t="s">
        <v>2298</v>
      </c>
      <c r="G50" t="b">
        <v>1</v>
      </c>
      <c r="H50" t="b">
        <v>0</v>
      </c>
      <c r="I50" t="b">
        <v>1</v>
      </c>
      <c r="J50" t="b">
        <v>0</v>
      </c>
    </row>
    <row r="51" spans="1:10" ht="12.75" customHeight="1">
      <c r="B51" s="123"/>
      <c r="C51" s="123"/>
      <c r="D51" s="123"/>
      <c r="E51" s="123"/>
    </row>
    <row r="52" spans="1:10" ht="12.75" customHeight="1">
      <c r="B52" s="123"/>
      <c r="C52" s="123"/>
      <c r="D52" s="123"/>
      <c r="E52" s="123"/>
    </row>
    <row r="53" spans="1:10" ht="12.75" customHeight="1">
      <c r="B53" s="123"/>
      <c r="C53" s="123"/>
      <c r="D53" s="123"/>
      <c r="E53" s="123"/>
    </row>
    <row r="54" spans="1:10" ht="12.75" customHeight="1">
      <c r="B54" s="123"/>
      <c r="C54" s="123"/>
      <c r="D54" s="123"/>
      <c r="E54" s="123"/>
    </row>
    <row r="55" spans="1:10" ht="12.75" customHeight="1">
      <c r="B55" s="123"/>
      <c r="C55" s="123"/>
      <c r="D55" s="123"/>
      <c r="E55" s="123"/>
    </row>
    <row r="56" spans="1:10" ht="12.75" customHeight="1">
      <c r="B56" s="123"/>
      <c r="C56" s="123"/>
      <c r="D56" s="123"/>
      <c r="E56" s="123"/>
    </row>
    <row r="57" spans="1:10" ht="12.75" customHeight="1">
      <c r="B57" s="123"/>
      <c r="C57" s="123"/>
      <c r="D57" s="123"/>
      <c r="E57" s="123"/>
    </row>
    <row r="58" spans="1:10" ht="12.75" customHeight="1">
      <c r="B58" s="123"/>
      <c r="C58" s="123"/>
      <c r="D58" s="123"/>
      <c r="E58" s="123"/>
    </row>
    <row r="59" spans="1:10" ht="12.75" customHeight="1">
      <c r="B59" s="123"/>
      <c r="C59" s="123"/>
      <c r="D59" s="123"/>
      <c r="E59" s="123"/>
    </row>
    <row r="60" spans="1:10" ht="12.75" customHeight="1">
      <c r="B60" s="123"/>
      <c r="C60" s="123"/>
      <c r="D60" s="123"/>
      <c r="E60" s="123"/>
    </row>
    <row r="61" spans="1:10" ht="12.75" customHeight="1">
      <c r="B61" s="123"/>
      <c r="C61" s="123"/>
      <c r="D61" s="123"/>
      <c r="E61" s="123"/>
    </row>
    <row r="62" spans="1:10" ht="12.75" customHeight="1">
      <c r="B62" s="123"/>
      <c r="C62" s="123"/>
      <c r="D62" s="123"/>
      <c r="E62" s="123"/>
    </row>
    <row r="63" spans="1:10" ht="12.75" customHeight="1">
      <c r="B63" s="123"/>
      <c r="C63" s="123"/>
      <c r="D63" s="123"/>
      <c r="E63" s="123"/>
    </row>
    <row r="64" spans="1:10" ht="12.75" customHeight="1">
      <c r="B64" s="123"/>
      <c r="C64" s="123"/>
      <c r="D64" s="123"/>
      <c r="E64" s="123"/>
    </row>
    <row r="65" spans="2:5" ht="12.75" customHeight="1">
      <c r="B65" s="123"/>
      <c r="C65" s="123"/>
      <c r="D65" s="123"/>
      <c r="E65" s="123"/>
    </row>
    <row r="66" spans="2:5" ht="12.75" customHeight="1">
      <c r="B66" s="123"/>
      <c r="C66" s="123"/>
      <c r="D66" s="123"/>
      <c r="E66" s="123"/>
    </row>
    <row r="67" spans="2:5" ht="12.75" customHeight="1">
      <c r="B67" s="123"/>
      <c r="C67" s="123"/>
      <c r="D67" s="123"/>
      <c r="E67" s="123"/>
    </row>
    <row r="68" spans="2:5" ht="12.75" customHeight="1">
      <c r="B68" s="123"/>
      <c r="C68" s="123"/>
      <c r="D68" s="123"/>
      <c r="E68" s="123"/>
    </row>
    <row r="69" spans="2:5" ht="12.75" customHeight="1">
      <c r="B69" s="123"/>
      <c r="C69" s="123"/>
      <c r="D69" s="123"/>
      <c r="E69" s="123"/>
    </row>
    <row r="70" spans="2:5" ht="12.75" customHeight="1">
      <c r="B70" s="123"/>
      <c r="C70" s="123"/>
      <c r="D70" s="123"/>
      <c r="E70" s="123"/>
    </row>
    <row r="71" spans="2:5" ht="12.75" customHeight="1">
      <c r="B71" s="123"/>
      <c r="C71" s="123"/>
      <c r="D71" s="123"/>
      <c r="E71" s="123"/>
    </row>
    <row r="72" spans="2:5" ht="12.75" customHeight="1">
      <c r="B72" s="123"/>
      <c r="C72" s="123"/>
      <c r="D72" s="123"/>
      <c r="E72" s="123"/>
    </row>
    <row r="73" spans="2:5" ht="12.75" customHeight="1">
      <c r="B73" s="123"/>
      <c r="C73" s="123"/>
      <c r="D73" s="123"/>
      <c r="E73" s="123"/>
    </row>
    <row r="74" spans="2:5" ht="12.75" customHeight="1">
      <c r="B74" s="123"/>
      <c r="C74" s="123"/>
      <c r="D74" s="123"/>
      <c r="E74" s="123"/>
    </row>
    <row r="75" spans="2:5" ht="12.75" customHeight="1">
      <c r="B75" s="123"/>
      <c r="C75" s="123"/>
      <c r="D75" s="123"/>
      <c r="E75" s="123"/>
    </row>
    <row r="76" spans="2:5" ht="12.75" customHeight="1">
      <c r="B76" s="123"/>
      <c r="C76" s="123"/>
      <c r="D76" s="123"/>
      <c r="E76" s="123"/>
    </row>
    <row r="77" spans="2:5" ht="12.75" customHeight="1">
      <c r="B77" s="123"/>
      <c r="C77" s="123"/>
      <c r="D77" s="123"/>
      <c r="E77" s="123"/>
    </row>
    <row r="78" spans="2:5" ht="12.75" customHeight="1">
      <c r="B78" s="123"/>
      <c r="C78" s="123"/>
      <c r="D78" s="123"/>
      <c r="E78" s="123"/>
    </row>
    <row r="79" spans="2:5" ht="12.75" customHeight="1">
      <c r="B79" s="123"/>
      <c r="C79" s="123"/>
      <c r="D79" s="123"/>
      <c r="E79" s="123"/>
    </row>
    <row r="80" spans="2:5" ht="12.75" customHeight="1">
      <c r="B80" s="123"/>
      <c r="C80" s="123"/>
      <c r="D80" s="123"/>
      <c r="E80" s="123"/>
    </row>
    <row r="81" spans="2:5" ht="12.75" customHeight="1">
      <c r="B81" s="123"/>
      <c r="C81" s="123"/>
      <c r="D81" s="123"/>
      <c r="E81" s="123"/>
    </row>
    <row r="82" spans="2:5" ht="12.75" customHeight="1">
      <c r="B82" s="123"/>
      <c r="C82" s="123"/>
      <c r="D82" s="123"/>
      <c r="E82" s="123"/>
    </row>
    <row r="83" spans="2:5" ht="12.75" customHeight="1">
      <c r="B83" s="123"/>
      <c r="C83" s="123"/>
      <c r="D83" s="123"/>
      <c r="E83" s="123"/>
    </row>
    <row r="84" spans="2:5" ht="12.75" customHeight="1">
      <c r="B84" s="123"/>
      <c r="C84" s="123"/>
      <c r="D84" s="123"/>
      <c r="E84" s="123"/>
    </row>
    <row r="85" spans="2:5" ht="12.75" customHeight="1">
      <c r="B85" s="123"/>
      <c r="C85" s="123"/>
      <c r="D85" s="123"/>
      <c r="E85" s="123"/>
    </row>
    <row r="86" spans="2:5" ht="12.75" customHeight="1">
      <c r="B86" s="123"/>
      <c r="C86" s="123"/>
      <c r="D86" s="123"/>
      <c r="E86" s="123"/>
    </row>
    <row r="87" spans="2:5" ht="12.75" customHeight="1">
      <c r="B87" s="123"/>
      <c r="C87" s="123"/>
      <c r="D87" s="123"/>
      <c r="E87" s="123"/>
    </row>
    <row r="88" spans="2:5" ht="12.75" customHeight="1">
      <c r="B88" s="123"/>
      <c r="C88" s="123"/>
      <c r="D88" s="123"/>
      <c r="E88" s="123"/>
    </row>
    <row r="89" spans="2:5" ht="12.75" customHeight="1">
      <c r="B89" s="123"/>
      <c r="C89" s="123"/>
      <c r="D89" s="123"/>
      <c r="E89" s="123"/>
    </row>
    <row r="90" spans="2:5" ht="12.75" customHeight="1">
      <c r="B90" s="123"/>
      <c r="C90" s="123"/>
      <c r="D90" s="123"/>
      <c r="E90" s="123"/>
    </row>
    <row r="91" spans="2:5" ht="12.75" customHeight="1">
      <c r="B91" s="123"/>
      <c r="C91" s="123"/>
      <c r="D91" s="123"/>
      <c r="E91" s="123"/>
    </row>
    <row r="92" spans="2:5" ht="12.75" customHeight="1">
      <c r="B92" s="123"/>
      <c r="C92" s="123"/>
      <c r="D92" s="123"/>
      <c r="E92" s="123"/>
    </row>
    <row r="93" spans="2:5" ht="12.75" customHeight="1">
      <c r="B93" s="123"/>
      <c r="C93" s="123"/>
      <c r="D93" s="123"/>
      <c r="E93" s="123"/>
    </row>
    <row r="94" spans="2:5" ht="12.75" customHeight="1">
      <c r="B94" s="123"/>
      <c r="C94" s="123"/>
      <c r="D94" s="123"/>
      <c r="E94" s="123"/>
    </row>
    <row r="95" spans="2:5" ht="12.75" customHeight="1">
      <c r="B95" s="123"/>
      <c r="C95" s="123"/>
      <c r="D95" s="123"/>
      <c r="E95" s="123"/>
    </row>
    <row r="96" spans="2:5" ht="12.75" customHeight="1">
      <c r="B96" s="123"/>
      <c r="C96" s="123"/>
      <c r="D96" s="123"/>
      <c r="E96" s="123"/>
    </row>
    <row r="97" spans="2:5" ht="12.75" customHeight="1">
      <c r="B97" s="123"/>
      <c r="C97" s="123"/>
      <c r="D97" s="123"/>
      <c r="E97" s="123"/>
    </row>
    <row r="98" spans="2:5" ht="12.75" customHeight="1">
      <c r="B98" s="123"/>
      <c r="C98" s="123"/>
      <c r="D98" s="123"/>
      <c r="E98" s="123"/>
    </row>
    <row r="99" spans="2:5" ht="12.75" customHeight="1">
      <c r="B99" s="123"/>
      <c r="C99" s="123"/>
      <c r="D99" s="123"/>
      <c r="E99" s="123"/>
    </row>
    <row r="100" spans="2:5" ht="12.75" customHeight="1">
      <c r="B100" s="123"/>
      <c r="C100" s="123"/>
      <c r="D100" s="123"/>
      <c r="E100" s="1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0"/>
  <sheetViews>
    <sheetView workbookViewId="0"/>
  </sheetViews>
  <sheetFormatPr baseColWidth="10" defaultColWidth="17.1640625" defaultRowHeight="12.75" customHeight="1" x14ac:dyDescent="0"/>
  <cols>
    <col min="1" max="1" width="148.5" customWidth="1"/>
    <col min="2" max="2" width="9.5" customWidth="1"/>
    <col min="3" max="3" width="7.5" customWidth="1"/>
    <col min="5" max="5" width="7.5" customWidth="1"/>
  </cols>
  <sheetData>
    <row r="1" spans="1:12" ht="12.75" customHeight="1">
      <c r="A1" s="321"/>
      <c r="B1" t="s">
        <v>9</v>
      </c>
      <c r="C1" t="s">
        <v>18</v>
      </c>
      <c r="D1" t="s">
        <v>1769</v>
      </c>
      <c r="E1" t="s">
        <v>18</v>
      </c>
      <c r="F1" t="s">
        <v>1770</v>
      </c>
      <c r="G1" t="s">
        <v>18</v>
      </c>
      <c r="H1" t="s">
        <v>1771</v>
      </c>
      <c r="I1" t="s">
        <v>1772</v>
      </c>
      <c r="J1" t="s">
        <v>12</v>
      </c>
      <c r="K1" t="s">
        <v>1773</v>
      </c>
      <c r="L1" t="s">
        <v>1774</v>
      </c>
    </row>
    <row r="2" spans="1:12" ht="12.75" customHeight="1">
      <c r="A2" s="321"/>
      <c r="B2" t="str">
        <f>'Quick View_ Sample Data'!P3</f>
        <v>MgO</v>
      </c>
      <c r="C2">
        <f>'Quick View_ Sample Data'!O3</f>
        <v>30</v>
      </c>
      <c r="D2">
        <f>'Quick View_ Sample Data'!AN3</f>
        <v>0</v>
      </c>
      <c r="E2">
        <f>'Quick View_ Sample Data'!O3</f>
        <v>30</v>
      </c>
      <c r="F2">
        <f>'Quick View_ Sample Data'!AO3</f>
        <v>0</v>
      </c>
      <c r="G2">
        <f>'Quick View_ Sample Data'!O3</f>
        <v>30</v>
      </c>
      <c r="H2">
        <f>'Quick View_ Sample Data'!AP3</f>
        <v>4.1280000000000001</v>
      </c>
      <c r="I2">
        <f>'Quick View_ Sample Data'!AF3</f>
        <v>3.44</v>
      </c>
      <c r="J2">
        <f>'Quick View_ Sample Data'!AJ3</f>
        <v>7.6988000000000003</v>
      </c>
      <c r="K2">
        <f>'Quick View_ Sample Data'!AH3</f>
        <v>0</v>
      </c>
      <c r="L2">
        <f t="shared" ref="L2:L65" si="0">I2*J2</f>
        <v>26.483872000000002</v>
      </c>
    </row>
    <row r="3" spans="1:12" ht="12.75" customHeight="1">
      <c r="A3" s="321"/>
      <c r="B3" t="str">
        <f>'Quick View_ Sample Data'!P4</f>
        <v>MgO</v>
      </c>
      <c r="C3">
        <f>'Quick View_ Sample Data'!O4</f>
        <v>30</v>
      </c>
      <c r="D3">
        <f>'Quick View_ Sample Data'!AN4</f>
        <v>260.88867758500885</v>
      </c>
      <c r="E3">
        <f>'Quick View_ Sample Data'!O4</f>
        <v>30</v>
      </c>
      <c r="F3">
        <f>'Quick View_ Sample Data'!AO4</f>
        <v>0</v>
      </c>
      <c r="G3">
        <f>'Quick View_ Sample Data'!O4</f>
        <v>30</v>
      </c>
      <c r="H3">
        <f>'Quick View_ Sample Data'!AP4</f>
        <v>4.032</v>
      </c>
      <c r="I3">
        <f>'Quick View_ Sample Data'!AF4</f>
        <v>3.36</v>
      </c>
      <c r="J3">
        <f>'Quick View_ Sample Data'!AJ4</f>
        <v>0</v>
      </c>
      <c r="K3">
        <f>'Quick View_ Sample Data'!AH4</f>
        <v>776.45439757443103</v>
      </c>
      <c r="L3">
        <f t="shared" si="0"/>
        <v>0</v>
      </c>
    </row>
    <row r="4" spans="1:12" ht="12.75" customHeight="1">
      <c r="A4" s="321"/>
      <c r="B4" t="str">
        <f>'Quick View_ Sample Data'!P5</f>
        <v>MgO</v>
      </c>
      <c r="C4">
        <f>'Quick View_ Sample Data'!O5</f>
        <v>31</v>
      </c>
      <c r="D4">
        <f>'Quick View_ Sample Data'!AN5</f>
        <v>0</v>
      </c>
      <c r="E4">
        <f>'Quick View_ Sample Data'!O5</f>
        <v>31</v>
      </c>
      <c r="F4">
        <f>'Quick View_ Sample Data'!AO5</f>
        <v>0</v>
      </c>
      <c r="G4">
        <f>'Quick View_ Sample Data'!O5</f>
        <v>31</v>
      </c>
      <c r="H4">
        <f>'Quick View_ Sample Data'!AP5</f>
        <v>4.0523076923076919</v>
      </c>
      <c r="I4">
        <f>'Quick View_ Sample Data'!AF5</f>
        <v>4.3899999999999997</v>
      </c>
      <c r="J4">
        <f>'Quick View_ Sample Data'!AJ5</f>
        <v>0</v>
      </c>
      <c r="K4">
        <f>'Quick View_ Sample Data'!AH5</f>
        <v>0</v>
      </c>
      <c r="L4">
        <f t="shared" si="0"/>
        <v>0</v>
      </c>
    </row>
    <row r="5" spans="1:12" ht="12.75" customHeight="1">
      <c r="A5" s="321"/>
      <c r="B5" t="str">
        <f>'Quick View_ Sample Data'!P6</f>
        <v>MgO</v>
      </c>
      <c r="C5">
        <f>'Quick View_ Sample Data'!O6</f>
        <v>31</v>
      </c>
      <c r="D5">
        <f>'Quick View_ Sample Data'!AN6</f>
        <v>163.59674651337619</v>
      </c>
      <c r="E5">
        <f>'Quick View_ Sample Data'!O6</f>
        <v>31</v>
      </c>
      <c r="F5">
        <f>'Quick View_ Sample Data'!AO6</f>
        <v>18322.835609498132</v>
      </c>
      <c r="G5">
        <f>'Quick View_ Sample Data'!O6</f>
        <v>31</v>
      </c>
      <c r="H5">
        <f>'Quick View_ Sample Data'!AP6</f>
        <v>4.1630769230769227</v>
      </c>
      <c r="I5">
        <f>'Quick View_ Sample Data'!AF6</f>
        <v>4.51</v>
      </c>
      <c r="J5">
        <f>'Quick View_ Sample Data'!AJ6</f>
        <v>11.2</v>
      </c>
      <c r="K5">
        <f>'Quick View_ Sample Data'!AH6</f>
        <v>362.74223173697601</v>
      </c>
      <c r="L5">
        <f t="shared" si="0"/>
        <v>50.511999999999993</v>
      </c>
    </row>
    <row r="6" spans="1:12" ht="12.75" customHeight="1">
      <c r="A6" s="321"/>
      <c r="B6" t="str">
        <f>'Quick View_ Sample Data'!P7</f>
        <v>MgO</v>
      </c>
      <c r="C6">
        <f>'Quick View_ Sample Data'!O7</f>
        <v>31</v>
      </c>
      <c r="D6">
        <f>'Quick View_ Sample Data'!AN7</f>
        <v>0</v>
      </c>
      <c r="E6">
        <f>'Quick View_ Sample Data'!O7</f>
        <v>31</v>
      </c>
      <c r="F6">
        <f>'Quick View_ Sample Data'!AO7</f>
        <v>0</v>
      </c>
      <c r="G6">
        <f>'Quick View_ Sample Data'!O7</f>
        <v>31</v>
      </c>
      <c r="H6">
        <f>'Quick View_ Sample Data'!AP7</f>
        <v>0</v>
      </c>
      <c r="I6">
        <f>'Quick View_ Sample Data'!AF7</f>
        <v>0</v>
      </c>
      <c r="J6">
        <f>'Quick View_ Sample Data'!AJ7</f>
        <v>0</v>
      </c>
      <c r="K6">
        <f>'Quick View_ Sample Data'!AH7</f>
        <v>0</v>
      </c>
      <c r="L6">
        <f t="shared" si="0"/>
        <v>0</v>
      </c>
    </row>
    <row r="7" spans="1:12" ht="12.75" customHeight="1">
      <c r="A7" s="321"/>
      <c r="B7" t="str">
        <f>'Quick View_ Sample Data'!P8</f>
        <v>MgO</v>
      </c>
      <c r="C7">
        <f>'Quick View_ Sample Data'!O8</f>
        <v>31</v>
      </c>
      <c r="D7">
        <f>'Quick View_ Sample Data'!AN8</f>
        <v>0</v>
      </c>
      <c r="E7">
        <f>'Quick View_ Sample Data'!O8</f>
        <v>31</v>
      </c>
      <c r="F7">
        <f>'Quick View_ Sample Data'!AO8</f>
        <v>0</v>
      </c>
      <c r="G7">
        <f>'Quick View_ Sample Data'!O8</f>
        <v>31</v>
      </c>
      <c r="H7">
        <f>'Quick View_ Sample Data'!AP8</f>
        <v>0</v>
      </c>
      <c r="I7">
        <f>'Quick View_ Sample Data'!AF8</f>
        <v>0</v>
      </c>
      <c r="J7">
        <f>'Quick View_ Sample Data'!AJ8</f>
        <v>0</v>
      </c>
      <c r="K7">
        <f>'Quick View_ Sample Data'!AH8</f>
        <v>0</v>
      </c>
      <c r="L7">
        <f t="shared" si="0"/>
        <v>0</v>
      </c>
    </row>
    <row r="8" spans="1:12" ht="12.75" customHeight="1">
      <c r="A8" s="321"/>
      <c r="B8" t="str">
        <f>'Quick View_ Sample Data'!P9</f>
        <v>MgO</v>
      </c>
      <c r="C8">
        <f>'Quick View_ Sample Data'!O9</f>
        <v>32</v>
      </c>
      <c r="D8">
        <f>'Quick View_ Sample Data'!AN9</f>
        <v>149.89100000000002</v>
      </c>
      <c r="E8">
        <f>'Quick View_ Sample Data'!O9</f>
        <v>32</v>
      </c>
      <c r="F8">
        <f>'Quick View_ Sample Data'!AO9</f>
        <v>0</v>
      </c>
      <c r="G8">
        <f>'Quick View_ Sample Data'!O9</f>
        <v>32</v>
      </c>
      <c r="H8">
        <f>'Quick View_ Sample Data'!AP9</f>
        <v>4.0338461538461541</v>
      </c>
      <c r="I8">
        <f>'Quick View_ Sample Data'!AF9</f>
        <v>4.37</v>
      </c>
      <c r="J8">
        <f>'Quick View_ Sample Data'!AJ9</f>
        <v>0</v>
      </c>
      <c r="K8">
        <f>'Quick View_ Sample Data'!AH9</f>
        <v>343</v>
      </c>
      <c r="L8">
        <f t="shared" si="0"/>
        <v>0</v>
      </c>
    </row>
    <row r="9" spans="1:12" ht="12.75" customHeight="1">
      <c r="A9" s="321"/>
      <c r="B9" t="str">
        <f>'Quick View_ Sample Data'!P10</f>
        <v>MgO</v>
      </c>
      <c r="C9">
        <f>'Quick View_ Sample Data'!O10</f>
        <v>32</v>
      </c>
      <c r="D9">
        <f>'Quick View_ Sample Data'!AN10</f>
        <v>132.5962373241623</v>
      </c>
      <c r="E9">
        <f>'Quick View_ Sample Data'!O10</f>
        <v>32</v>
      </c>
      <c r="F9">
        <f>'Quick View_ Sample Data'!AO10</f>
        <v>16441.933428196127</v>
      </c>
      <c r="G9">
        <f>'Quick View_ Sample Data'!O10</f>
        <v>32</v>
      </c>
      <c r="H9">
        <f>'Quick View_ Sample Data'!AP10</f>
        <v>3.9876923076923076</v>
      </c>
      <c r="I9">
        <f>'Quick View_ Sample Data'!AF10</f>
        <v>4.32</v>
      </c>
      <c r="J9">
        <f>'Quick View_ Sample Data'!AJ10</f>
        <v>12.4</v>
      </c>
      <c r="K9">
        <f>'Quick View_ Sample Data'!AH10</f>
        <v>306.93573454667199</v>
      </c>
      <c r="L9">
        <f t="shared" si="0"/>
        <v>53.568000000000005</v>
      </c>
    </row>
    <row r="10" spans="1:12" ht="12.75" customHeight="1">
      <c r="A10" s="321"/>
      <c r="B10" t="str">
        <f>'Quick View_ Sample Data'!P11</f>
        <v>MgO</v>
      </c>
      <c r="C10">
        <f>'Quick View_ Sample Data'!O11</f>
        <v>32</v>
      </c>
      <c r="D10">
        <f>'Quick View_ Sample Data'!AN11</f>
        <v>0</v>
      </c>
      <c r="E10">
        <f>'Quick View_ Sample Data'!O11</f>
        <v>32</v>
      </c>
      <c r="F10">
        <f>'Quick View_ Sample Data'!AO11</f>
        <v>0</v>
      </c>
      <c r="G10">
        <f>'Quick View_ Sample Data'!O11</f>
        <v>32</v>
      </c>
      <c r="H10">
        <f>'Quick View_ Sample Data'!AP11</f>
        <v>0</v>
      </c>
      <c r="I10">
        <f>'Quick View_ Sample Data'!AF11</f>
        <v>0</v>
      </c>
      <c r="J10">
        <f>'Quick View_ Sample Data'!AJ11</f>
        <v>0</v>
      </c>
      <c r="K10">
        <f>'Quick View_ Sample Data'!AH11</f>
        <v>296.39450729961499</v>
      </c>
      <c r="L10">
        <f t="shared" si="0"/>
        <v>0</v>
      </c>
    </row>
    <row r="11" spans="1:12" ht="12.75" customHeight="1">
      <c r="A11" s="321"/>
      <c r="B11" t="str">
        <f>'Quick View_ Sample Data'!P12</f>
        <v>MgO</v>
      </c>
      <c r="C11">
        <f>'Quick View_ Sample Data'!O12</f>
        <v>32</v>
      </c>
      <c r="D11">
        <f>'Quick View_ Sample Data'!AN12</f>
        <v>0</v>
      </c>
      <c r="E11">
        <f>'Quick View_ Sample Data'!O12</f>
        <v>32</v>
      </c>
      <c r="F11">
        <f>'Quick View_ Sample Data'!AO12</f>
        <v>0</v>
      </c>
      <c r="G11">
        <f>'Quick View_ Sample Data'!O12</f>
        <v>32</v>
      </c>
      <c r="H11">
        <f>'Quick View_ Sample Data'!AP12</f>
        <v>0</v>
      </c>
      <c r="I11">
        <f>'Quick View_ Sample Data'!AF12</f>
        <v>0</v>
      </c>
      <c r="J11">
        <f>'Quick View_ Sample Data'!AJ12</f>
        <v>0</v>
      </c>
      <c r="K11">
        <f>'Quick View_ Sample Data'!AH12</f>
        <v>302.719243647849</v>
      </c>
      <c r="L11">
        <f t="shared" si="0"/>
        <v>0</v>
      </c>
    </row>
    <row r="12" spans="1:12" ht="12.75" customHeight="1">
      <c r="A12" s="321"/>
      <c r="B12" t="str">
        <f>'Quick View_ Sample Data'!P13</f>
        <v>MgO</v>
      </c>
      <c r="C12">
        <f>'Quick View_ Sample Data'!O13</f>
        <v>33</v>
      </c>
      <c r="D12">
        <f>'Quick View_ Sample Data'!AN13</f>
        <v>0</v>
      </c>
      <c r="E12">
        <f>'Quick View_ Sample Data'!O13</f>
        <v>33</v>
      </c>
      <c r="F12">
        <f>'Quick View_ Sample Data'!AO13</f>
        <v>0</v>
      </c>
      <c r="G12">
        <f>'Quick View_ Sample Data'!O13</f>
        <v>33</v>
      </c>
      <c r="H12">
        <f>'Quick View_ Sample Data'!AP13</f>
        <v>3.9784615384615383</v>
      </c>
      <c r="I12">
        <f>'Quick View_ Sample Data'!AF13</f>
        <v>4.3099999999999996</v>
      </c>
      <c r="J12">
        <f>'Quick View_ Sample Data'!AJ13</f>
        <v>0</v>
      </c>
      <c r="K12">
        <f>'Quick View_ Sample Data'!AH13</f>
        <v>0</v>
      </c>
      <c r="L12">
        <f t="shared" si="0"/>
        <v>0</v>
      </c>
    </row>
    <row r="13" spans="1:12" ht="12.75" customHeight="1">
      <c r="A13" s="321"/>
      <c r="B13" t="str">
        <f>'Quick View_ Sample Data'!P14</f>
        <v>MgO</v>
      </c>
      <c r="C13">
        <f>'Quick View_ Sample Data'!O14</f>
        <v>33</v>
      </c>
      <c r="D13">
        <f>'Quick View_ Sample Data'!AN14</f>
        <v>147.36734902936834</v>
      </c>
      <c r="E13">
        <f>'Quick View_ Sample Data'!O14</f>
        <v>33</v>
      </c>
      <c r="F13">
        <f>'Quick View_ Sample Data'!AO14</f>
        <v>17684.081883524203</v>
      </c>
      <c r="G13">
        <f>'Quick View_ Sample Data'!O14</f>
        <v>33</v>
      </c>
      <c r="H13">
        <f>'Quick View_ Sample Data'!AP14</f>
        <v>4.1723076923076921</v>
      </c>
      <c r="I13">
        <f>'Quick View_ Sample Data'!AF14</f>
        <v>4.5199999999999996</v>
      </c>
      <c r="J13">
        <f>'Quick View_ Sample Data'!AJ14</f>
        <v>12</v>
      </c>
      <c r="K13">
        <f>'Quick View_ Sample Data'!AH14</f>
        <v>326.03395802957601</v>
      </c>
      <c r="L13">
        <f t="shared" si="0"/>
        <v>54.239999999999995</v>
      </c>
    </row>
    <row r="14" spans="1:12" ht="12.75" customHeight="1">
      <c r="A14" s="321"/>
      <c r="B14" t="str">
        <f>'Quick View_ Sample Data'!P15</f>
        <v>MgO</v>
      </c>
      <c r="C14">
        <f>'Quick View_ Sample Data'!O15</f>
        <v>33</v>
      </c>
      <c r="D14">
        <f>'Quick View_ Sample Data'!AN15</f>
        <v>0</v>
      </c>
      <c r="E14">
        <f>'Quick View_ Sample Data'!O15</f>
        <v>33</v>
      </c>
      <c r="F14">
        <f>'Quick View_ Sample Data'!AO15</f>
        <v>0</v>
      </c>
      <c r="G14">
        <f>'Quick View_ Sample Data'!O15</f>
        <v>33</v>
      </c>
      <c r="H14">
        <f>'Quick View_ Sample Data'!AP15</f>
        <v>0</v>
      </c>
      <c r="I14">
        <f>'Quick View_ Sample Data'!AF15</f>
        <v>0</v>
      </c>
      <c r="J14">
        <f>'Quick View_ Sample Data'!AJ15</f>
        <v>0</v>
      </c>
      <c r="K14">
        <f>'Quick View_ Sample Data'!AH15</f>
        <v>271.46760522127897</v>
      </c>
      <c r="L14">
        <f t="shared" si="0"/>
        <v>0</v>
      </c>
    </row>
    <row r="15" spans="1:12" ht="12.75" customHeight="1">
      <c r="A15" s="321"/>
      <c r="B15" t="str">
        <f>'Quick View_ Sample Data'!P16</f>
        <v>MgO</v>
      </c>
      <c r="C15">
        <f>'Quick View_ Sample Data'!O16</f>
        <v>33</v>
      </c>
      <c r="D15">
        <f>'Quick View_ Sample Data'!AN16</f>
        <v>0</v>
      </c>
      <c r="E15">
        <f>'Quick View_ Sample Data'!O16</f>
        <v>33</v>
      </c>
      <c r="F15">
        <f>'Quick View_ Sample Data'!AO16</f>
        <v>0</v>
      </c>
      <c r="G15">
        <f>'Quick View_ Sample Data'!O16</f>
        <v>33</v>
      </c>
      <c r="H15">
        <f>'Quick View_ Sample Data'!AP16</f>
        <v>0</v>
      </c>
      <c r="I15">
        <f>'Quick View_ Sample Data'!AF16</f>
        <v>0</v>
      </c>
      <c r="J15">
        <f>'Quick View_ Sample Data'!AJ16</f>
        <v>0</v>
      </c>
      <c r="K15">
        <f>'Quick View_ Sample Data'!AH16</f>
        <v>284.98517898515303</v>
      </c>
      <c r="L15">
        <f t="shared" si="0"/>
        <v>0</v>
      </c>
    </row>
    <row r="16" spans="1:12" ht="12.75" customHeight="1">
      <c r="A16" s="321"/>
      <c r="B16" t="str">
        <f>'Quick View_ Sample Data'!P17</f>
        <v>MgO</v>
      </c>
      <c r="C16">
        <f>'Quick View_ Sample Data'!O17</f>
        <v>34</v>
      </c>
      <c r="D16">
        <f>'Quick View_ Sample Data'!AN17</f>
        <v>145.96859018090319</v>
      </c>
      <c r="E16">
        <f>'Quick View_ Sample Data'!O17</f>
        <v>34</v>
      </c>
      <c r="F16">
        <f>'Quick View_ Sample Data'!AO17</f>
        <v>17224.29364134658</v>
      </c>
      <c r="G16">
        <f>'Quick View_ Sample Data'!O17</f>
        <v>34</v>
      </c>
      <c r="H16">
        <f>'Quick View_ Sample Data'!AP17</f>
        <v>3.8945454545454541</v>
      </c>
      <c r="I16">
        <f>'Quick View_ Sample Data'!AF17</f>
        <v>3.57</v>
      </c>
      <c r="J16">
        <f>'Quick View_ Sample Data'!AJ17</f>
        <v>11.8</v>
      </c>
      <c r="K16">
        <f>'Quick View_ Sample Data'!AH17</f>
        <v>408.87560274762802</v>
      </c>
      <c r="L16">
        <f t="shared" si="0"/>
        <v>42.125999999999998</v>
      </c>
    </row>
    <row r="17" spans="1:12" ht="12.75" customHeight="1">
      <c r="A17" s="321"/>
      <c r="B17" t="str">
        <f>'Quick View_ Sample Data'!P18</f>
        <v>MgO</v>
      </c>
      <c r="C17">
        <f>'Quick View_ Sample Data'!O18</f>
        <v>34</v>
      </c>
      <c r="D17">
        <f>'Quick View_ Sample Data'!AN18</f>
        <v>156.3664567374006</v>
      </c>
      <c r="E17">
        <f>'Quick View_ Sample Data'!O18</f>
        <v>34</v>
      </c>
      <c r="F17">
        <f>'Quick View_ Sample Data'!AO18</f>
        <v>17669.409611326271</v>
      </c>
      <c r="G17">
        <f>'Quick View_ Sample Data'!O18</f>
        <v>34</v>
      </c>
      <c r="H17">
        <f>'Quick View_ Sample Data'!AP18</f>
        <v>4.0254545454545454</v>
      </c>
      <c r="I17">
        <f>'Quick View_ Sample Data'!AF18</f>
        <v>3.69</v>
      </c>
      <c r="J17">
        <f>'Quick View_ Sample Data'!AJ18</f>
        <v>11.3</v>
      </c>
      <c r="K17">
        <f>'Quick View_ Sample Data'!AH18</f>
        <v>423.75733533170899</v>
      </c>
      <c r="L17">
        <f t="shared" si="0"/>
        <v>41.697000000000003</v>
      </c>
    </row>
    <row r="18" spans="1:12" ht="12.75" customHeight="1">
      <c r="A18" s="321"/>
      <c r="B18" t="str">
        <f>'Quick View_ Sample Data'!P19</f>
        <v>MgO</v>
      </c>
      <c r="C18">
        <f>'Quick View_ Sample Data'!O19</f>
        <v>34</v>
      </c>
      <c r="D18">
        <f>'Quick View_ Sample Data'!AN19</f>
        <v>215.01722506783722</v>
      </c>
      <c r="E18">
        <f>'Quick View_ Sample Data'!O19</f>
        <v>34</v>
      </c>
      <c r="F18">
        <f>'Quick View_ Sample Data'!AO19</f>
        <v>24941.998107869116</v>
      </c>
      <c r="G18">
        <f>'Quick View_ Sample Data'!O19</f>
        <v>34</v>
      </c>
      <c r="H18">
        <f>'Quick View_ Sample Data'!AP19</f>
        <v>3.5781818181818181</v>
      </c>
      <c r="I18">
        <f>'Quick View_ Sample Data'!AF19</f>
        <v>3.28</v>
      </c>
      <c r="J18">
        <f>'Quick View_ Sample Data'!AJ19</f>
        <v>11.6</v>
      </c>
      <c r="K18">
        <f>'Quick View_ Sample Data'!AH19</f>
        <v>655.54032032877205</v>
      </c>
      <c r="L18">
        <f t="shared" si="0"/>
        <v>38.047999999999995</v>
      </c>
    </row>
    <row r="19" spans="1:12" ht="12.75" customHeight="1">
      <c r="A19" s="321"/>
      <c r="B19" t="str">
        <f>'Quick View_ Sample Data'!P20</f>
        <v>MgO</v>
      </c>
      <c r="C19">
        <f>'Quick View_ Sample Data'!O20</f>
        <v>34</v>
      </c>
      <c r="D19">
        <f>'Quick View_ Sample Data'!AN20</f>
        <v>226.22540196353785</v>
      </c>
      <c r="E19">
        <f>'Quick View_ Sample Data'!O20</f>
        <v>34</v>
      </c>
      <c r="F19">
        <f>'Quick View_ Sample Data'!AO20</f>
        <v>25789.695823843314</v>
      </c>
      <c r="G19">
        <f>'Quick View_ Sample Data'!O20</f>
        <v>34</v>
      </c>
      <c r="H19">
        <f>'Quick View_ Sample Data'!AP20</f>
        <v>3.687272727272727</v>
      </c>
      <c r="I19">
        <f>'Quick View_ Sample Data'!AF20</f>
        <v>3.38</v>
      </c>
      <c r="J19">
        <f>'Quick View_ Sample Data'!AJ20</f>
        <v>11.4</v>
      </c>
      <c r="K19">
        <f>'Quick View_ Sample Data'!AH20</f>
        <v>669.30592296904695</v>
      </c>
      <c r="L19">
        <f t="shared" si="0"/>
        <v>38.531999999999996</v>
      </c>
    </row>
    <row r="20" spans="1:12" ht="12.75" customHeight="1">
      <c r="A20" s="321"/>
      <c r="B20" t="str">
        <f>'Quick View_ Sample Data'!P21</f>
        <v>MgO</v>
      </c>
      <c r="C20">
        <f>'Quick View_ Sample Data'!O21</f>
        <v>35</v>
      </c>
      <c r="D20">
        <f>'Quick View_ Sample Data'!AN21</f>
        <v>365.16497780166424</v>
      </c>
      <c r="E20">
        <f>'Quick View_ Sample Data'!O21</f>
        <v>35</v>
      </c>
      <c r="F20">
        <f>'Quick View_ Sample Data'!AO21</f>
        <v>0</v>
      </c>
      <c r="G20">
        <f>'Quick View_ Sample Data'!O21</f>
        <v>35</v>
      </c>
      <c r="H20">
        <f>'Quick View_ Sample Data'!AP21</f>
        <v>2.72</v>
      </c>
      <c r="I20">
        <f>'Quick View_ Sample Data'!AF21</f>
        <v>2.04</v>
      </c>
      <c r="J20">
        <f>'Quick View_ Sample Data'!AJ21</f>
        <v>0</v>
      </c>
      <c r="K20">
        <f>'Quick View_ Sample Data'!AH21</f>
        <v>1790.02440098855</v>
      </c>
      <c r="L20">
        <f t="shared" si="0"/>
        <v>0</v>
      </c>
    </row>
    <row r="21" spans="1:12" ht="12.75" customHeight="1">
      <c r="A21" s="321"/>
      <c r="B21" t="str">
        <f>'Quick View_ Sample Data'!P22</f>
        <v>MgO</v>
      </c>
      <c r="C21">
        <f>'Quick View_ Sample Data'!O22</f>
        <v>35</v>
      </c>
      <c r="D21">
        <f>'Quick View_ Sample Data'!AN22</f>
        <v>187.05965814875316</v>
      </c>
      <c r="E21">
        <f>'Quick View_ Sample Data'!O22</f>
        <v>35</v>
      </c>
      <c r="F21">
        <f>'Quick View_ Sample Data'!AO22</f>
        <v>0</v>
      </c>
      <c r="G21">
        <f>'Quick View_ Sample Data'!O22</f>
        <v>35</v>
      </c>
      <c r="H21">
        <f>'Quick View_ Sample Data'!AP22</f>
        <v>4.8933333333333326</v>
      </c>
      <c r="I21">
        <f>'Quick View_ Sample Data'!AF22</f>
        <v>3.67</v>
      </c>
      <c r="J21">
        <f>'Quick View_ Sample Data'!AJ22</f>
        <v>0</v>
      </c>
      <c r="K21">
        <f>'Quick View_ Sample Data'!AH22</f>
        <v>509.69934100477701</v>
      </c>
      <c r="L21">
        <f t="shared" si="0"/>
        <v>0</v>
      </c>
    </row>
    <row r="22" spans="1:12" ht="12.75" customHeight="1">
      <c r="A22" s="321"/>
      <c r="B22" t="str">
        <f>'Quick View_ Sample Data'!P23</f>
        <v>MgO</v>
      </c>
      <c r="C22">
        <f>'Quick View_ Sample Data'!O23</f>
        <v>35</v>
      </c>
      <c r="D22">
        <f>'Quick View_ Sample Data'!AN23</f>
        <v>147.96162621722607</v>
      </c>
      <c r="E22">
        <f>'Quick View_ Sample Data'!O23</f>
        <v>35</v>
      </c>
      <c r="F22">
        <f>'Quick View_ Sample Data'!AO23</f>
        <v>0</v>
      </c>
      <c r="G22">
        <f>'Quick View_ Sample Data'!O23</f>
        <v>35</v>
      </c>
      <c r="H22">
        <f>'Quick View_ Sample Data'!AP23</f>
        <v>5.4666666666666659</v>
      </c>
      <c r="I22">
        <f>'Quick View_ Sample Data'!AF23</f>
        <v>4.0999999999999996</v>
      </c>
      <c r="J22">
        <f>'Quick View_ Sample Data'!AJ23</f>
        <v>0</v>
      </c>
      <c r="K22">
        <f>'Quick View_ Sample Data'!AH23</f>
        <v>360.882015163966</v>
      </c>
      <c r="L22">
        <f t="shared" si="0"/>
        <v>0</v>
      </c>
    </row>
    <row r="23" spans="1:12" ht="12.75" customHeight="1">
      <c r="A23" s="321"/>
      <c r="B23" t="str">
        <f>'Quick View_ Sample Data'!P24</f>
        <v>MgO</v>
      </c>
      <c r="C23">
        <f>'Quick View_ Sample Data'!O24</f>
        <v>35</v>
      </c>
      <c r="D23">
        <f>'Quick View_ Sample Data'!AN24</f>
        <v>264.37397935620072</v>
      </c>
      <c r="E23">
        <f>'Quick View_ Sample Data'!O24</f>
        <v>35</v>
      </c>
      <c r="F23">
        <f>'Quick View_ Sample Data'!AO24</f>
        <v>0</v>
      </c>
      <c r="G23">
        <f>'Quick View_ Sample Data'!O24</f>
        <v>35</v>
      </c>
      <c r="H23">
        <f>'Quick View_ Sample Data'!AP24</f>
        <v>3.4</v>
      </c>
      <c r="I23">
        <f>'Quick View_ Sample Data'!AF24</f>
        <v>2.5499999999999998</v>
      </c>
      <c r="J23">
        <f>'Quick View_ Sample Data'!AJ24</f>
        <v>0</v>
      </c>
      <c r="K23">
        <f>'Quick View_ Sample Data'!AH24</f>
        <v>1036.7607033576501</v>
      </c>
      <c r="L23">
        <f t="shared" si="0"/>
        <v>0</v>
      </c>
    </row>
    <row r="24" spans="1:12" ht="12.75" customHeight="1">
      <c r="A24" s="321"/>
      <c r="B24" t="str">
        <f>'Quick View_ Sample Data'!P25</f>
        <v>MgO</v>
      </c>
      <c r="C24">
        <f>'Quick View_ Sample Data'!O25</f>
        <v>36</v>
      </c>
      <c r="D24">
        <f>'Quick View_ Sample Data'!AN25</f>
        <v>103.28530084099445</v>
      </c>
      <c r="E24">
        <f>'Quick View_ Sample Data'!O25</f>
        <v>36</v>
      </c>
      <c r="F24">
        <f>'Quick View_ Sample Data'!AO25</f>
        <v>0</v>
      </c>
      <c r="G24">
        <f>'Quick View_ Sample Data'!O25</f>
        <v>36</v>
      </c>
      <c r="H24">
        <f>'Quick View_ Sample Data'!AP25</f>
        <v>4.282</v>
      </c>
      <c r="I24">
        <f>'Quick View_ Sample Data'!AF25</f>
        <v>21.41</v>
      </c>
      <c r="J24">
        <f>'Quick View_ Sample Data'!AJ25</f>
        <v>0</v>
      </c>
      <c r="K24">
        <f>'Quick View_ Sample Data'!AH25</f>
        <v>48.241616460062801</v>
      </c>
      <c r="L24">
        <f t="shared" si="0"/>
        <v>0</v>
      </c>
    </row>
    <row r="25" spans="1:12" ht="12.75" customHeight="1">
      <c r="A25" s="321"/>
      <c r="B25" t="str">
        <f>'Quick View_ Sample Data'!P26</f>
        <v>MgO</v>
      </c>
      <c r="C25">
        <f>'Quick View_ Sample Data'!O26</f>
        <v>36</v>
      </c>
      <c r="D25">
        <f>'Quick View_ Sample Data'!AN26</f>
        <v>98.22241140145195</v>
      </c>
      <c r="E25">
        <f>'Quick View_ Sample Data'!O26</f>
        <v>36</v>
      </c>
      <c r="F25">
        <f>'Quick View_ Sample Data'!AO26</f>
        <v>0</v>
      </c>
      <c r="G25">
        <f>'Quick View_ Sample Data'!O26</f>
        <v>36</v>
      </c>
      <c r="H25">
        <f>'Quick View_ Sample Data'!AP26</f>
        <v>4.3280000000000003</v>
      </c>
      <c r="I25">
        <f>'Quick View_ Sample Data'!AF26</f>
        <v>21.64</v>
      </c>
      <c r="J25">
        <f>'Quick View_ Sample Data'!AJ26</f>
        <v>0</v>
      </c>
      <c r="K25">
        <f>'Quick View_ Sample Data'!AH26</f>
        <v>45.389284381447297</v>
      </c>
      <c r="L25">
        <f t="shared" si="0"/>
        <v>0</v>
      </c>
    </row>
    <row r="26" spans="1:12" ht="12.75" customHeight="1">
      <c r="A26" s="321"/>
      <c r="B26" t="str">
        <f>'Quick View_ Sample Data'!P27</f>
        <v>MgO</v>
      </c>
      <c r="C26">
        <f>'Quick View_ Sample Data'!O27</f>
        <v>37</v>
      </c>
      <c r="D26">
        <f>'Quick View_ Sample Data'!AN27</f>
        <v>0</v>
      </c>
      <c r="E26">
        <f>'Quick View_ Sample Data'!O27</f>
        <v>37</v>
      </c>
      <c r="F26">
        <f>'Quick View_ Sample Data'!AO27</f>
        <v>0</v>
      </c>
      <c r="G26">
        <f>'Quick View_ Sample Data'!O27</f>
        <v>37</v>
      </c>
      <c r="H26">
        <f>'Quick View_ Sample Data'!AP27</f>
        <v>0</v>
      </c>
      <c r="I26">
        <f>'Quick View_ Sample Data'!AF27</f>
        <v>0</v>
      </c>
      <c r="J26">
        <f>'Quick View_ Sample Data'!AJ27</f>
        <v>0</v>
      </c>
      <c r="K26">
        <f>'Quick View_ Sample Data'!AH27</f>
        <v>0</v>
      </c>
      <c r="L26">
        <f t="shared" si="0"/>
        <v>0</v>
      </c>
    </row>
    <row r="27" spans="1:12" ht="12.75" customHeight="1">
      <c r="A27" s="321"/>
      <c r="B27" t="str">
        <f>'Quick View_ Sample Data'!P28</f>
        <v>MgO</v>
      </c>
      <c r="C27">
        <f>'Quick View_ Sample Data'!O28</f>
        <v>37</v>
      </c>
      <c r="D27">
        <f>'Quick View_ Sample Data'!AN28</f>
        <v>0</v>
      </c>
      <c r="E27">
        <f>'Quick View_ Sample Data'!O28</f>
        <v>37</v>
      </c>
      <c r="F27">
        <f>'Quick View_ Sample Data'!AO28</f>
        <v>0</v>
      </c>
      <c r="G27">
        <f>'Quick View_ Sample Data'!O28</f>
        <v>37</v>
      </c>
      <c r="H27">
        <f>'Quick View_ Sample Data'!AP28</f>
        <v>0</v>
      </c>
      <c r="I27">
        <f>'Quick View_ Sample Data'!AF28</f>
        <v>0</v>
      </c>
      <c r="J27">
        <f>'Quick View_ Sample Data'!AJ28</f>
        <v>0</v>
      </c>
      <c r="K27">
        <f>'Quick View_ Sample Data'!AH28</f>
        <v>0</v>
      </c>
      <c r="L27">
        <f t="shared" si="0"/>
        <v>0</v>
      </c>
    </row>
    <row r="28" spans="1:12" ht="12.75" customHeight="1">
      <c r="A28" s="321"/>
      <c r="B28" t="str">
        <f>'Quick View_ Sample Data'!P29</f>
        <v>NA</v>
      </c>
      <c r="C28">
        <f>'Quick View_ Sample Data'!O29</f>
        <v>0</v>
      </c>
      <c r="D28">
        <f>'Quick View_ Sample Data'!AN29</f>
        <v>147.95480542312521</v>
      </c>
      <c r="E28">
        <f>'Quick View_ Sample Data'!O29</f>
        <v>0</v>
      </c>
      <c r="F28">
        <f>'Quick View_ Sample Data'!AO29</f>
        <v>0</v>
      </c>
      <c r="G28">
        <f>'Quick View_ Sample Data'!O29</f>
        <v>0</v>
      </c>
      <c r="H28" t="e">
        <f>'Quick View_ Sample Data'!AP29</f>
        <v>#DIV/0!</v>
      </c>
      <c r="I28">
        <f>'Quick View_ Sample Data'!AF29</f>
        <v>3.83</v>
      </c>
      <c r="J28">
        <f>'Quick View_ Sample Data'!AJ29</f>
        <v>0</v>
      </c>
      <c r="K28">
        <f>'Quick View_ Sample Data'!AH29</f>
        <v>386.304974995105</v>
      </c>
      <c r="L28">
        <f t="shared" si="0"/>
        <v>0</v>
      </c>
    </row>
    <row r="29" spans="1:12" ht="12.75" customHeight="1">
      <c r="A29" s="321"/>
      <c r="B29">
        <f>'Quick View_ Sample Data'!P30</f>
        <v>0</v>
      </c>
      <c r="C29">
        <f>'Quick View_ Sample Data'!O30</f>
        <v>0</v>
      </c>
      <c r="D29">
        <f>'Quick View_ Sample Data'!AN30</f>
        <v>0</v>
      </c>
      <c r="E29">
        <f>'Quick View_ Sample Data'!O30</f>
        <v>0</v>
      </c>
      <c r="F29">
        <f>'Quick View_ Sample Data'!AO30</f>
        <v>0</v>
      </c>
      <c r="G29">
        <f>'Quick View_ Sample Data'!O30</f>
        <v>0</v>
      </c>
      <c r="H29" t="e">
        <f>'Quick View_ Sample Data'!AP30</f>
        <v>#DIV/0!</v>
      </c>
      <c r="I29">
        <f>'Quick View_ Sample Data'!AF30</f>
        <v>0</v>
      </c>
      <c r="J29">
        <f>'Quick View_ Sample Data'!AJ30</f>
        <v>0</v>
      </c>
      <c r="K29">
        <f>'Quick View_ Sample Data'!AH30</f>
        <v>0</v>
      </c>
      <c r="L29">
        <f t="shared" si="0"/>
        <v>0</v>
      </c>
    </row>
    <row r="30" spans="1:12" ht="12.75" customHeight="1">
      <c r="A30" s="321"/>
      <c r="B30" t="str">
        <f>'Quick View_ Sample Data'!P31</f>
        <v>NA</v>
      </c>
      <c r="C30">
        <f>'Quick View_ Sample Data'!O31</f>
        <v>0</v>
      </c>
      <c r="D30">
        <f>'Quick View_ Sample Data'!AN31</f>
        <v>118.08654805468355</v>
      </c>
      <c r="E30">
        <f>'Quick View_ Sample Data'!O31</f>
        <v>0</v>
      </c>
      <c r="F30">
        <f>'Quick View_ Sample Data'!AO31</f>
        <v>0</v>
      </c>
      <c r="G30">
        <f>'Quick View_ Sample Data'!O31</f>
        <v>0</v>
      </c>
      <c r="H30" t="e">
        <f>'Quick View_ Sample Data'!AP31</f>
        <v>#DIV/0!</v>
      </c>
      <c r="I30">
        <f>'Quick View_ Sample Data'!AF31</f>
        <v>4.5999999999999996</v>
      </c>
      <c r="J30">
        <f>'Quick View_ Sample Data'!AJ31</f>
        <v>0</v>
      </c>
      <c r="K30">
        <f>'Quick View_ Sample Data'!AH31</f>
        <v>256.70988707539902</v>
      </c>
      <c r="L30">
        <f t="shared" si="0"/>
        <v>0</v>
      </c>
    </row>
    <row r="31" spans="1:12" ht="12.75" customHeight="1">
      <c r="A31" s="321"/>
      <c r="B31" t="str">
        <f>'Quick View_ Sample Data'!P32</f>
        <v>MgO</v>
      </c>
      <c r="C31">
        <f>'Quick View_ Sample Data'!O32</f>
        <v>38</v>
      </c>
      <c r="D31">
        <f>'Quick View_ Sample Data'!AN32</f>
        <v>215.53543179930253</v>
      </c>
      <c r="E31">
        <f>'Quick View_ Sample Data'!O32</f>
        <v>38</v>
      </c>
      <c r="F31">
        <f>'Quick View_ Sample Data'!AO32</f>
        <v>0</v>
      </c>
      <c r="G31">
        <f>'Quick View_ Sample Data'!O32</f>
        <v>38</v>
      </c>
      <c r="H31">
        <f>'Quick View_ Sample Data'!AP32</f>
        <v>1.1115999999999999</v>
      </c>
      <c r="I31">
        <f>'Quick View_ Sample Data'!AF32</f>
        <v>5.5579999999999998</v>
      </c>
      <c r="J31">
        <f>'Quick View_ Sample Data'!AJ32</f>
        <v>0</v>
      </c>
      <c r="K31">
        <f>'Quick View_ Sample Data'!AH32</f>
        <v>387.79314825351298</v>
      </c>
      <c r="L31">
        <f t="shared" si="0"/>
        <v>0</v>
      </c>
    </row>
    <row r="32" spans="1:12" ht="12.75" customHeight="1">
      <c r="A32" s="321"/>
      <c r="B32" t="str">
        <f>'Quick View_ Sample Data'!P33</f>
        <v>MgO</v>
      </c>
      <c r="C32">
        <f>'Quick View_ Sample Data'!O33</f>
        <v>38</v>
      </c>
      <c r="D32">
        <f>'Quick View_ Sample Data'!AN33</f>
        <v>220.78188741026952</v>
      </c>
      <c r="E32">
        <f>'Quick View_ Sample Data'!O33</f>
        <v>38</v>
      </c>
      <c r="F32">
        <f>'Quick View_ Sample Data'!AO33</f>
        <v>0</v>
      </c>
      <c r="G32">
        <f>'Quick View_ Sample Data'!O33</f>
        <v>38</v>
      </c>
      <c r="H32">
        <f>'Quick View_ Sample Data'!AP33</f>
        <v>1.1105999999999998</v>
      </c>
      <c r="I32">
        <f>'Quick View_ Sample Data'!AF33</f>
        <v>5.5529999999999999</v>
      </c>
      <c r="J32">
        <f>'Quick View_ Sample Data'!AJ33</f>
        <v>0</v>
      </c>
      <c r="K32">
        <f>'Quick View_ Sample Data'!AH33</f>
        <v>397.590288871366</v>
      </c>
      <c r="L32">
        <f t="shared" si="0"/>
        <v>0</v>
      </c>
    </row>
    <row r="33" spans="1:12" ht="12.75" customHeight="1">
      <c r="A33" s="321"/>
      <c r="B33" t="str">
        <f>'Quick View_ Sample Data'!P34</f>
        <v>MgO</v>
      </c>
      <c r="C33">
        <f>'Quick View_ Sample Data'!O34</f>
        <v>38</v>
      </c>
      <c r="D33">
        <f>'Quick View_ Sample Data'!AN34</f>
        <v>267.86821016694267</v>
      </c>
      <c r="E33">
        <f>'Quick View_ Sample Data'!O34</f>
        <v>38</v>
      </c>
      <c r="F33">
        <f>'Quick View_ Sample Data'!AO34</f>
        <v>0</v>
      </c>
      <c r="G33">
        <f>'Quick View_ Sample Data'!O34</f>
        <v>38</v>
      </c>
      <c r="H33">
        <f>'Quick View_ Sample Data'!AP34</f>
        <v>1.1040000000000001</v>
      </c>
      <c r="I33">
        <f>'Quick View_ Sample Data'!AF34</f>
        <v>5.52</v>
      </c>
      <c r="J33">
        <f>'Quick View_ Sample Data'!AJ34</f>
        <v>0</v>
      </c>
      <c r="K33">
        <f>'Quick View_ Sample Data'!AH34</f>
        <v>485.26849667924398</v>
      </c>
      <c r="L33">
        <f t="shared" si="0"/>
        <v>0</v>
      </c>
    </row>
    <row r="34" spans="1:12" ht="12.75" customHeight="1">
      <c r="A34" s="321"/>
      <c r="B34" t="str">
        <f>'Quick View_ Sample Data'!P35</f>
        <v>MgO</v>
      </c>
      <c r="C34">
        <f>'Quick View_ Sample Data'!O35</f>
        <v>38</v>
      </c>
      <c r="D34">
        <f>'Quick View_ Sample Data'!AN35</f>
        <v>221.21404052306781</v>
      </c>
      <c r="E34">
        <f>'Quick View_ Sample Data'!O35</f>
        <v>38</v>
      </c>
      <c r="F34">
        <f>'Quick View_ Sample Data'!AO35</f>
        <v>0</v>
      </c>
      <c r="G34">
        <f>'Quick View_ Sample Data'!O35</f>
        <v>38</v>
      </c>
      <c r="H34">
        <f>'Quick View_ Sample Data'!AP35</f>
        <v>1.0993999999999999</v>
      </c>
      <c r="I34">
        <f>'Quick View_ Sample Data'!AF35</f>
        <v>5.4969999999999999</v>
      </c>
      <c r="J34">
        <f>'Quick View_ Sample Data'!AJ35</f>
        <v>0</v>
      </c>
      <c r="K34">
        <f>'Quick View_ Sample Data'!AH35</f>
        <v>402.42685196119299</v>
      </c>
      <c r="L34">
        <f t="shared" si="0"/>
        <v>0</v>
      </c>
    </row>
    <row r="35" spans="1:12" ht="12.75" customHeight="1">
      <c r="A35" s="321"/>
      <c r="B35" t="str">
        <f>'Quick View_ Sample Data'!P36</f>
        <v>MgO</v>
      </c>
      <c r="C35">
        <f>'Quick View_ Sample Data'!O36</f>
        <v>39</v>
      </c>
      <c r="D35">
        <f>'Quick View_ Sample Data'!AN36</f>
        <v>0</v>
      </c>
      <c r="E35">
        <f>'Quick View_ Sample Data'!O36</f>
        <v>39</v>
      </c>
      <c r="F35">
        <f>'Quick View_ Sample Data'!AO36</f>
        <v>0</v>
      </c>
      <c r="G35">
        <f>'Quick View_ Sample Data'!O36</f>
        <v>39</v>
      </c>
      <c r="H35">
        <f>'Quick View_ Sample Data'!AP36</f>
        <v>0</v>
      </c>
      <c r="I35">
        <f>'Quick View_ Sample Data'!AF36</f>
        <v>0</v>
      </c>
      <c r="J35">
        <f>'Quick View_ Sample Data'!AJ36</f>
        <v>0</v>
      </c>
      <c r="K35">
        <f>'Quick View_ Sample Data'!AH36</f>
        <v>141.37645954876999</v>
      </c>
      <c r="L35">
        <f t="shared" si="0"/>
        <v>0</v>
      </c>
    </row>
    <row r="36" spans="1:12" ht="12.75" customHeight="1">
      <c r="A36" s="321"/>
      <c r="B36" t="str">
        <f>'Quick View_ Sample Data'!P37</f>
        <v>MgO</v>
      </c>
      <c r="C36">
        <f>'Quick View_ Sample Data'!O37</f>
        <v>39</v>
      </c>
      <c r="D36">
        <f>'Quick View_ Sample Data'!AN37</f>
        <v>0</v>
      </c>
      <c r="E36">
        <f>'Quick View_ Sample Data'!O37</f>
        <v>39</v>
      </c>
      <c r="F36">
        <f>'Quick View_ Sample Data'!AO37</f>
        <v>0</v>
      </c>
      <c r="G36">
        <f>'Quick View_ Sample Data'!O37</f>
        <v>39</v>
      </c>
      <c r="H36">
        <f>'Quick View_ Sample Data'!AP37</f>
        <v>0</v>
      </c>
      <c r="I36">
        <f>'Quick View_ Sample Data'!AF37</f>
        <v>0</v>
      </c>
      <c r="J36">
        <f>'Quick View_ Sample Data'!AJ37</f>
        <v>0</v>
      </c>
      <c r="K36">
        <f>'Quick View_ Sample Data'!AH37</f>
        <v>139.14419966115801</v>
      </c>
      <c r="L36">
        <f t="shared" si="0"/>
        <v>0</v>
      </c>
    </row>
    <row r="37" spans="1:12" ht="12.75" customHeight="1">
      <c r="A37" s="321"/>
      <c r="B37" t="str">
        <f>'Quick View_ Sample Data'!P38</f>
        <v>MgO</v>
      </c>
      <c r="C37">
        <f>'Quick View_ Sample Data'!O38</f>
        <v>39</v>
      </c>
      <c r="D37">
        <f>'Quick View_ Sample Data'!AN38</f>
        <v>0</v>
      </c>
      <c r="E37">
        <f>'Quick View_ Sample Data'!O38</f>
        <v>39</v>
      </c>
      <c r="F37">
        <f>'Quick View_ Sample Data'!AO38</f>
        <v>0</v>
      </c>
      <c r="G37">
        <f>'Quick View_ Sample Data'!O38</f>
        <v>39</v>
      </c>
      <c r="H37">
        <f>'Quick View_ Sample Data'!AP38</f>
        <v>0</v>
      </c>
      <c r="I37">
        <f>'Quick View_ Sample Data'!AF38</f>
        <v>0</v>
      </c>
      <c r="J37">
        <f>'Quick View_ Sample Data'!AJ38</f>
        <v>0</v>
      </c>
      <c r="K37">
        <f>'Quick View_ Sample Data'!AH38</f>
        <v>116.697586346836</v>
      </c>
      <c r="L37">
        <f t="shared" si="0"/>
        <v>0</v>
      </c>
    </row>
    <row r="38" spans="1:12" ht="12.75" customHeight="1">
      <c r="A38" s="321"/>
      <c r="B38" t="str">
        <f>'Quick View_ Sample Data'!P39</f>
        <v>MgO</v>
      </c>
      <c r="C38">
        <f>'Quick View_ Sample Data'!O39</f>
        <v>39</v>
      </c>
      <c r="D38">
        <f>'Quick View_ Sample Data'!AN39</f>
        <v>0</v>
      </c>
      <c r="E38">
        <f>'Quick View_ Sample Data'!O39</f>
        <v>39</v>
      </c>
      <c r="F38">
        <f>'Quick View_ Sample Data'!AO39</f>
        <v>0</v>
      </c>
      <c r="G38">
        <f>'Quick View_ Sample Data'!O39</f>
        <v>39</v>
      </c>
      <c r="H38">
        <f>'Quick View_ Sample Data'!AP39</f>
        <v>0</v>
      </c>
      <c r="I38">
        <f>'Quick View_ Sample Data'!AF39</f>
        <v>0</v>
      </c>
      <c r="J38">
        <f>'Quick View_ Sample Data'!AJ39</f>
        <v>0</v>
      </c>
      <c r="K38">
        <f>'Quick View_ Sample Data'!AH39</f>
        <v>135.175737638736</v>
      </c>
      <c r="L38">
        <f t="shared" si="0"/>
        <v>0</v>
      </c>
    </row>
    <row r="39" spans="1:12" ht="12.75" customHeight="1">
      <c r="A39" s="321"/>
      <c r="B39" t="str">
        <f>'Quick View_ Sample Data'!P40</f>
        <v>MgO</v>
      </c>
      <c r="C39">
        <f>'Quick View_ Sample Data'!O40</f>
        <v>40</v>
      </c>
      <c r="D39">
        <f>'Quick View_ Sample Data'!AN40</f>
        <v>0</v>
      </c>
      <c r="E39">
        <f>'Quick View_ Sample Data'!O40</f>
        <v>40</v>
      </c>
      <c r="F39">
        <f>'Quick View_ Sample Data'!AO40</f>
        <v>0</v>
      </c>
      <c r="G39">
        <f>'Quick View_ Sample Data'!O40</f>
        <v>40</v>
      </c>
      <c r="H39">
        <f>'Quick View_ Sample Data'!AP40</f>
        <v>0</v>
      </c>
      <c r="I39">
        <f>'Quick View_ Sample Data'!AF40</f>
        <v>0</v>
      </c>
      <c r="J39">
        <f>'Quick View_ Sample Data'!AJ40</f>
        <v>0</v>
      </c>
      <c r="K39">
        <f>'Quick View_ Sample Data'!AH40</f>
        <v>0</v>
      </c>
      <c r="L39">
        <f t="shared" si="0"/>
        <v>0</v>
      </c>
    </row>
    <row r="40" spans="1:12" ht="12.75" customHeight="1">
      <c r="A40" s="321"/>
      <c r="B40" t="str">
        <f>'Quick View_ Sample Data'!P41</f>
        <v>MgO</v>
      </c>
      <c r="C40">
        <f>'Quick View_ Sample Data'!O41</f>
        <v>40</v>
      </c>
      <c r="D40">
        <f>'Quick View_ Sample Data'!AN41</f>
        <v>0</v>
      </c>
      <c r="E40">
        <f>'Quick View_ Sample Data'!O41</f>
        <v>40</v>
      </c>
      <c r="F40">
        <f>'Quick View_ Sample Data'!AO41</f>
        <v>0</v>
      </c>
      <c r="G40">
        <f>'Quick View_ Sample Data'!O41</f>
        <v>40</v>
      </c>
      <c r="H40">
        <f>'Quick View_ Sample Data'!AP41</f>
        <v>0</v>
      </c>
      <c r="I40">
        <f>'Quick View_ Sample Data'!AF41</f>
        <v>0</v>
      </c>
      <c r="J40">
        <f>'Quick View_ Sample Data'!AJ41</f>
        <v>0</v>
      </c>
      <c r="K40">
        <f>'Quick View_ Sample Data'!AH41</f>
        <v>0</v>
      </c>
      <c r="L40">
        <f t="shared" si="0"/>
        <v>0</v>
      </c>
    </row>
    <row r="41" spans="1:12" ht="12.75" customHeight="1">
      <c r="A41" s="321"/>
      <c r="B41" t="str">
        <f>'Quick View_ Sample Data'!P42</f>
        <v>MgO</v>
      </c>
      <c r="C41">
        <f>'Quick View_ Sample Data'!O42</f>
        <v>40</v>
      </c>
      <c r="D41">
        <f>'Quick View_ Sample Data'!AN42</f>
        <v>0</v>
      </c>
      <c r="E41">
        <f>'Quick View_ Sample Data'!O42</f>
        <v>40</v>
      </c>
      <c r="F41">
        <f>'Quick View_ Sample Data'!AO42</f>
        <v>0</v>
      </c>
      <c r="G41">
        <f>'Quick View_ Sample Data'!O42</f>
        <v>40</v>
      </c>
      <c r="H41">
        <f>'Quick View_ Sample Data'!AP42</f>
        <v>0</v>
      </c>
      <c r="I41">
        <f>'Quick View_ Sample Data'!AF42</f>
        <v>0</v>
      </c>
      <c r="J41">
        <f>'Quick View_ Sample Data'!AJ42</f>
        <v>0</v>
      </c>
      <c r="K41">
        <f>'Quick View_ Sample Data'!AH42</f>
        <v>0</v>
      </c>
      <c r="L41">
        <f t="shared" si="0"/>
        <v>0</v>
      </c>
    </row>
    <row r="42" spans="1:12" ht="12.75" customHeight="1">
      <c r="A42" s="321"/>
      <c r="B42" t="str">
        <f>'Quick View_ Sample Data'!P43</f>
        <v>MgO</v>
      </c>
      <c r="C42">
        <f>'Quick View_ Sample Data'!O43</f>
        <v>40</v>
      </c>
      <c r="D42">
        <f>'Quick View_ Sample Data'!AN43</f>
        <v>0</v>
      </c>
      <c r="E42">
        <f>'Quick View_ Sample Data'!O43</f>
        <v>40</v>
      </c>
      <c r="F42">
        <f>'Quick View_ Sample Data'!AO43</f>
        <v>0</v>
      </c>
      <c r="G42">
        <f>'Quick View_ Sample Data'!O43</f>
        <v>40</v>
      </c>
      <c r="H42">
        <f>'Quick View_ Sample Data'!AP43</f>
        <v>0</v>
      </c>
      <c r="I42">
        <f>'Quick View_ Sample Data'!AF43</f>
        <v>0</v>
      </c>
      <c r="J42">
        <f>'Quick View_ Sample Data'!AJ43</f>
        <v>0</v>
      </c>
      <c r="K42">
        <f>'Quick View_ Sample Data'!AH43</f>
        <v>0</v>
      </c>
      <c r="L42">
        <f t="shared" si="0"/>
        <v>0</v>
      </c>
    </row>
    <row r="43" spans="1:12" ht="12.75" customHeight="1">
      <c r="A43" s="321"/>
      <c r="B43" t="str">
        <f>'Quick View_ Sample Data'!P44</f>
        <v>MgO</v>
      </c>
      <c r="C43">
        <f>'Quick View_ Sample Data'!O44</f>
        <v>41</v>
      </c>
      <c r="D43">
        <f>'Quick View_ Sample Data'!AN44</f>
        <v>0</v>
      </c>
      <c r="E43">
        <f>'Quick View_ Sample Data'!O44</f>
        <v>41</v>
      </c>
      <c r="F43">
        <f>'Quick View_ Sample Data'!AO44</f>
        <v>0</v>
      </c>
      <c r="G43">
        <f>'Quick View_ Sample Data'!O44</f>
        <v>41</v>
      </c>
      <c r="H43">
        <f>'Quick View_ Sample Data'!AP44</f>
        <v>0</v>
      </c>
      <c r="I43">
        <f>'Quick View_ Sample Data'!AF44</f>
        <v>0</v>
      </c>
      <c r="J43">
        <f>'Quick View_ Sample Data'!AJ44</f>
        <v>0</v>
      </c>
      <c r="K43">
        <f>'Quick View_ Sample Data'!AH44</f>
        <v>0</v>
      </c>
      <c r="L43">
        <f t="shared" si="0"/>
        <v>0</v>
      </c>
    </row>
    <row r="44" spans="1:12" ht="12.75" customHeight="1">
      <c r="A44" s="321"/>
      <c r="B44" t="str">
        <f>'Quick View_ Sample Data'!P45</f>
        <v>MgO</v>
      </c>
      <c r="C44">
        <f>'Quick View_ Sample Data'!O45</f>
        <v>41</v>
      </c>
      <c r="D44">
        <f>'Quick View_ Sample Data'!AN45</f>
        <v>0</v>
      </c>
      <c r="E44">
        <f>'Quick View_ Sample Data'!O45</f>
        <v>41</v>
      </c>
      <c r="F44">
        <f>'Quick View_ Sample Data'!AO45</f>
        <v>0</v>
      </c>
      <c r="G44">
        <f>'Quick View_ Sample Data'!O45</f>
        <v>41</v>
      </c>
      <c r="H44">
        <f>'Quick View_ Sample Data'!AP45</f>
        <v>0</v>
      </c>
      <c r="I44">
        <f>'Quick View_ Sample Data'!AF45</f>
        <v>0</v>
      </c>
      <c r="J44">
        <f>'Quick View_ Sample Data'!AJ45</f>
        <v>0</v>
      </c>
      <c r="K44">
        <f>'Quick View_ Sample Data'!AH45</f>
        <v>0</v>
      </c>
      <c r="L44">
        <f t="shared" si="0"/>
        <v>0</v>
      </c>
    </row>
    <row r="45" spans="1:12" ht="12.75" customHeight="1">
      <c r="A45" s="321"/>
      <c r="B45" t="str">
        <f>'Quick View_ Sample Data'!P46</f>
        <v>MgO</v>
      </c>
      <c r="C45">
        <f>'Quick View_ Sample Data'!O46</f>
        <v>41</v>
      </c>
      <c r="D45">
        <f>'Quick View_ Sample Data'!AN46</f>
        <v>0</v>
      </c>
      <c r="E45">
        <f>'Quick View_ Sample Data'!O46</f>
        <v>41</v>
      </c>
      <c r="F45">
        <f>'Quick View_ Sample Data'!AO46</f>
        <v>0</v>
      </c>
      <c r="G45">
        <f>'Quick View_ Sample Data'!O46</f>
        <v>41</v>
      </c>
      <c r="H45">
        <f>'Quick View_ Sample Data'!AP46</f>
        <v>0</v>
      </c>
      <c r="I45">
        <f>'Quick View_ Sample Data'!AF46</f>
        <v>0</v>
      </c>
      <c r="J45">
        <f>'Quick View_ Sample Data'!AJ46</f>
        <v>0</v>
      </c>
      <c r="K45">
        <f>'Quick View_ Sample Data'!AH46</f>
        <v>0</v>
      </c>
      <c r="L45">
        <f t="shared" si="0"/>
        <v>0</v>
      </c>
    </row>
    <row r="46" spans="1:12" ht="12.75" customHeight="1">
      <c r="A46" s="321"/>
      <c r="B46" t="str">
        <f>'Quick View_ Sample Data'!P47</f>
        <v>MgO</v>
      </c>
      <c r="C46">
        <f>'Quick View_ Sample Data'!O47</f>
        <v>41</v>
      </c>
      <c r="D46">
        <f>'Quick View_ Sample Data'!AN47</f>
        <v>0</v>
      </c>
      <c r="E46">
        <f>'Quick View_ Sample Data'!O47</f>
        <v>41</v>
      </c>
      <c r="F46">
        <f>'Quick View_ Sample Data'!AO47</f>
        <v>0</v>
      </c>
      <c r="G46">
        <f>'Quick View_ Sample Data'!O47</f>
        <v>41</v>
      </c>
      <c r="H46">
        <f>'Quick View_ Sample Data'!AP47</f>
        <v>0</v>
      </c>
      <c r="I46">
        <f>'Quick View_ Sample Data'!AF47</f>
        <v>0</v>
      </c>
      <c r="J46">
        <f>'Quick View_ Sample Data'!AJ47</f>
        <v>0</v>
      </c>
      <c r="K46">
        <f>'Quick View_ Sample Data'!AH47</f>
        <v>0</v>
      </c>
      <c r="L46">
        <f t="shared" si="0"/>
        <v>0</v>
      </c>
    </row>
    <row r="47" spans="1:12" ht="12.75" customHeight="1">
      <c r="A47" s="321"/>
      <c r="B47" t="str">
        <f>'Quick View_ Sample Data'!P48</f>
        <v>MgO</v>
      </c>
      <c r="C47">
        <f>'Quick View_ Sample Data'!O48</f>
        <v>43</v>
      </c>
      <c r="D47">
        <f>'Quick View_ Sample Data'!AN48</f>
        <v>0</v>
      </c>
      <c r="E47">
        <f>'Quick View_ Sample Data'!O48</f>
        <v>43</v>
      </c>
      <c r="F47">
        <f>'Quick View_ Sample Data'!AO48</f>
        <v>0</v>
      </c>
      <c r="G47">
        <f>'Quick View_ Sample Data'!O48</f>
        <v>43</v>
      </c>
      <c r="H47">
        <f>'Quick View_ Sample Data'!AP48</f>
        <v>0</v>
      </c>
      <c r="I47">
        <f>'Quick View_ Sample Data'!AF48</f>
        <v>0</v>
      </c>
      <c r="J47">
        <f>'Quick View_ Sample Data'!AJ48</f>
        <v>0</v>
      </c>
      <c r="K47">
        <f>'Quick View_ Sample Data'!AH48</f>
        <v>836.72541453995905</v>
      </c>
      <c r="L47">
        <f t="shared" si="0"/>
        <v>0</v>
      </c>
    </row>
    <row r="48" spans="1:12" ht="12.75" customHeight="1">
      <c r="A48" s="321"/>
      <c r="B48" t="str">
        <f>'Quick View_ Sample Data'!P49</f>
        <v>MgO</v>
      </c>
      <c r="C48">
        <f>'Quick View_ Sample Data'!O49</f>
        <v>43</v>
      </c>
      <c r="D48">
        <f>'Quick View_ Sample Data'!AN49</f>
        <v>0</v>
      </c>
      <c r="E48">
        <f>'Quick View_ Sample Data'!O49</f>
        <v>43</v>
      </c>
      <c r="F48">
        <f>'Quick View_ Sample Data'!AO49</f>
        <v>0</v>
      </c>
      <c r="G48">
        <f>'Quick View_ Sample Data'!O49</f>
        <v>43</v>
      </c>
      <c r="H48">
        <f>'Quick View_ Sample Data'!AP49</f>
        <v>0</v>
      </c>
      <c r="I48">
        <f>'Quick View_ Sample Data'!AF49</f>
        <v>0</v>
      </c>
      <c r="J48">
        <f>'Quick View_ Sample Data'!AJ49</f>
        <v>0</v>
      </c>
      <c r="K48">
        <f>'Quick View_ Sample Data'!AH49</f>
        <v>837.46950116916298</v>
      </c>
      <c r="L48">
        <f t="shared" si="0"/>
        <v>0</v>
      </c>
    </row>
    <row r="49" spans="1:12" ht="12.75" customHeight="1">
      <c r="A49" s="321"/>
      <c r="B49" t="str">
        <f>'Quick View_ Sample Data'!P50</f>
        <v>MgO</v>
      </c>
      <c r="C49">
        <f>'Quick View_ Sample Data'!O50</f>
        <v>43</v>
      </c>
      <c r="D49">
        <f>'Quick View_ Sample Data'!AN50</f>
        <v>0</v>
      </c>
      <c r="E49">
        <f>'Quick View_ Sample Data'!O50</f>
        <v>43</v>
      </c>
      <c r="F49">
        <f>'Quick View_ Sample Data'!AO50</f>
        <v>0</v>
      </c>
      <c r="G49">
        <f>'Quick View_ Sample Data'!O50</f>
        <v>43</v>
      </c>
      <c r="H49">
        <f>'Quick View_ Sample Data'!AP50</f>
        <v>0</v>
      </c>
      <c r="I49">
        <f>'Quick View_ Sample Data'!AF50</f>
        <v>0</v>
      </c>
      <c r="J49">
        <f>'Quick View_ Sample Data'!AJ50</f>
        <v>0</v>
      </c>
      <c r="K49">
        <f>'Quick View_ Sample Data'!AH50</f>
        <v>773.10600774301201</v>
      </c>
      <c r="L49">
        <f t="shared" si="0"/>
        <v>0</v>
      </c>
    </row>
    <row r="50" spans="1:12" ht="12.75" customHeight="1">
      <c r="A50" s="321"/>
      <c r="B50" t="str">
        <f>'Quick View_ Sample Data'!P51</f>
        <v>MgO</v>
      </c>
      <c r="C50">
        <f>'Quick View_ Sample Data'!O51</f>
        <v>43</v>
      </c>
      <c r="D50">
        <f>'Quick View_ Sample Data'!AN51</f>
        <v>0</v>
      </c>
      <c r="E50">
        <f>'Quick View_ Sample Data'!O51</f>
        <v>43</v>
      </c>
      <c r="F50">
        <f>'Quick View_ Sample Data'!AO51</f>
        <v>0</v>
      </c>
      <c r="G50">
        <f>'Quick View_ Sample Data'!O51</f>
        <v>43</v>
      </c>
      <c r="H50">
        <f>'Quick View_ Sample Data'!AP51</f>
        <v>0</v>
      </c>
      <c r="I50">
        <f>'Quick View_ Sample Data'!AF51</f>
        <v>0</v>
      </c>
      <c r="J50">
        <f>'Quick View_ Sample Data'!AJ51</f>
        <v>0</v>
      </c>
      <c r="K50">
        <f>'Quick View_ Sample Data'!AH51</f>
        <v>752.51961100170001</v>
      </c>
      <c r="L50">
        <f t="shared" si="0"/>
        <v>0</v>
      </c>
    </row>
    <row r="51" spans="1:12" ht="12.75" customHeight="1">
      <c r="A51" s="321"/>
      <c r="B51" t="str">
        <f>'Quick View_ Sample Data'!P52</f>
        <v>MgO</v>
      </c>
      <c r="C51">
        <f>'Quick View_ Sample Data'!O52</f>
        <v>44</v>
      </c>
      <c r="D51">
        <f>'Quick View_ Sample Data'!AN52</f>
        <v>0</v>
      </c>
      <c r="E51">
        <f>'Quick View_ Sample Data'!O52</f>
        <v>44</v>
      </c>
      <c r="F51">
        <f>'Quick View_ Sample Data'!AO52</f>
        <v>0</v>
      </c>
      <c r="G51">
        <f>'Quick View_ Sample Data'!O52</f>
        <v>44</v>
      </c>
      <c r="H51">
        <f>'Quick View_ Sample Data'!AP52</f>
        <v>0</v>
      </c>
      <c r="I51">
        <f>'Quick View_ Sample Data'!AF52</f>
        <v>0</v>
      </c>
      <c r="J51">
        <f>'Quick View_ Sample Data'!AJ52</f>
        <v>0</v>
      </c>
      <c r="K51">
        <f>'Quick View_ Sample Data'!AH52</f>
        <v>731.68518538398598</v>
      </c>
      <c r="L51">
        <f t="shared" si="0"/>
        <v>0</v>
      </c>
    </row>
    <row r="52" spans="1:12" ht="12.75" customHeight="1">
      <c r="A52" s="321"/>
      <c r="B52" t="str">
        <f>'Quick View_ Sample Data'!P53</f>
        <v>MgO</v>
      </c>
      <c r="C52">
        <f>'Quick View_ Sample Data'!O53</f>
        <v>44</v>
      </c>
      <c r="D52">
        <f>'Quick View_ Sample Data'!AN53</f>
        <v>0</v>
      </c>
      <c r="E52">
        <f>'Quick View_ Sample Data'!O53</f>
        <v>44</v>
      </c>
      <c r="F52">
        <f>'Quick View_ Sample Data'!AO53</f>
        <v>0</v>
      </c>
      <c r="G52">
        <f>'Quick View_ Sample Data'!O53</f>
        <v>44</v>
      </c>
      <c r="H52">
        <f>'Quick View_ Sample Data'!AP53</f>
        <v>0</v>
      </c>
      <c r="I52">
        <f>'Quick View_ Sample Data'!AF53</f>
        <v>0</v>
      </c>
      <c r="J52">
        <f>'Quick View_ Sample Data'!AJ53</f>
        <v>0</v>
      </c>
      <c r="K52">
        <f>'Quick View_ Sample Data'!AH53</f>
        <v>734.66153190080297</v>
      </c>
      <c r="L52">
        <f t="shared" si="0"/>
        <v>0</v>
      </c>
    </row>
    <row r="53" spans="1:12" ht="12.75" customHeight="1">
      <c r="A53" s="321"/>
      <c r="B53" t="str">
        <f>'Quick View_ Sample Data'!P54</f>
        <v>MgO</v>
      </c>
      <c r="C53">
        <f>'Quick View_ Sample Data'!O54</f>
        <v>44</v>
      </c>
      <c r="D53">
        <f>'Quick View_ Sample Data'!AN54</f>
        <v>0</v>
      </c>
      <c r="E53">
        <f>'Quick View_ Sample Data'!O54</f>
        <v>44</v>
      </c>
      <c r="F53">
        <f>'Quick View_ Sample Data'!AO54</f>
        <v>0</v>
      </c>
      <c r="G53">
        <f>'Quick View_ Sample Data'!O54</f>
        <v>44</v>
      </c>
      <c r="H53">
        <f>'Quick View_ Sample Data'!AP54</f>
        <v>0</v>
      </c>
      <c r="I53">
        <f>'Quick View_ Sample Data'!AF54</f>
        <v>0</v>
      </c>
      <c r="J53">
        <f>'Quick View_ Sample Data'!AJ54</f>
        <v>0</v>
      </c>
      <c r="K53">
        <f>'Quick View_ Sample Data'!AH54</f>
        <v>1981.3786791322</v>
      </c>
      <c r="L53">
        <f t="shared" si="0"/>
        <v>0</v>
      </c>
    </row>
    <row r="54" spans="1:12" ht="12.75" customHeight="1">
      <c r="A54" s="321"/>
      <c r="B54" t="str">
        <f>'Quick View_ Sample Data'!P55</f>
        <v>MgO</v>
      </c>
      <c r="C54">
        <f>'Quick View_ Sample Data'!O55</f>
        <v>44</v>
      </c>
      <c r="D54">
        <f>'Quick View_ Sample Data'!AN55</f>
        <v>0</v>
      </c>
      <c r="E54">
        <f>'Quick View_ Sample Data'!O55</f>
        <v>44</v>
      </c>
      <c r="F54">
        <f>'Quick View_ Sample Data'!AO55</f>
        <v>0</v>
      </c>
      <c r="G54">
        <f>'Quick View_ Sample Data'!O55</f>
        <v>44</v>
      </c>
      <c r="H54">
        <f>'Quick View_ Sample Data'!AP55</f>
        <v>0</v>
      </c>
      <c r="I54">
        <f>'Quick View_ Sample Data'!AF55</f>
        <v>0</v>
      </c>
      <c r="J54">
        <f>'Quick View_ Sample Data'!AJ55</f>
        <v>0</v>
      </c>
      <c r="K54">
        <f>'Quick View_ Sample Data'!AH55</f>
        <v>751.27946661969304</v>
      </c>
      <c r="L54">
        <f t="shared" si="0"/>
        <v>0</v>
      </c>
    </row>
    <row r="55" spans="1:12" ht="12.75" customHeight="1">
      <c r="A55" s="321"/>
      <c r="B55" t="str">
        <f>'Quick View_ Sample Data'!P56</f>
        <v>MgO</v>
      </c>
      <c r="C55">
        <f>'Quick View_ Sample Data'!O56</f>
        <v>45</v>
      </c>
      <c r="D55">
        <f>'Quick View_ Sample Data'!AN56</f>
        <v>335.58902246406217</v>
      </c>
      <c r="E55">
        <f>'Quick View_ Sample Data'!O56</f>
        <v>45</v>
      </c>
      <c r="F55">
        <f>'Quick View_ Sample Data'!AO56</f>
        <v>0</v>
      </c>
      <c r="G55">
        <f>'Quick View_ Sample Data'!O56</f>
        <v>45</v>
      </c>
      <c r="H55">
        <f>'Quick View_ Sample Data'!AP56</f>
        <v>5.0618181818181816</v>
      </c>
      <c r="I55">
        <f>'Quick View_ Sample Data'!AF56</f>
        <v>4.6399999999999997</v>
      </c>
      <c r="J55">
        <f>'Quick View_ Sample Data'!AJ56</f>
        <v>0</v>
      </c>
      <c r="K55">
        <f>'Quick View_ Sample Data'!AH56</f>
        <v>723.25220358634101</v>
      </c>
      <c r="L55">
        <f t="shared" si="0"/>
        <v>0</v>
      </c>
    </row>
    <row r="56" spans="1:12" ht="12.75" customHeight="1">
      <c r="A56" s="321"/>
      <c r="B56" t="str">
        <f>'Quick View_ Sample Data'!P57</f>
        <v>MgO</v>
      </c>
      <c r="C56">
        <f>'Quick View_ Sample Data'!O57</f>
        <v>45</v>
      </c>
      <c r="D56">
        <f>'Quick View_ Sample Data'!AN57</f>
        <v>345.80892830174128</v>
      </c>
      <c r="E56">
        <f>'Quick View_ Sample Data'!O57</f>
        <v>45</v>
      </c>
      <c r="F56">
        <f>'Quick View_ Sample Data'!AO57</f>
        <v>0</v>
      </c>
      <c r="G56">
        <f>'Quick View_ Sample Data'!O57</f>
        <v>45</v>
      </c>
      <c r="H56">
        <f>'Quick View_ Sample Data'!AP57</f>
        <v>5.0945454545454547</v>
      </c>
      <c r="I56">
        <f>'Quick View_ Sample Data'!AF57</f>
        <v>4.67</v>
      </c>
      <c r="J56">
        <f>'Quick View_ Sample Data'!AJ57</f>
        <v>0</v>
      </c>
      <c r="K56">
        <f>'Quick View_ Sample Data'!AH57</f>
        <v>740.490210496234</v>
      </c>
      <c r="L56">
        <f t="shared" si="0"/>
        <v>0</v>
      </c>
    </row>
    <row r="57" spans="1:12" ht="12.75" customHeight="1">
      <c r="A57" s="321"/>
      <c r="B57" t="str">
        <f>'Quick View_ Sample Data'!P58</f>
        <v>MgO</v>
      </c>
      <c r="C57">
        <f>'Quick View_ Sample Data'!O58</f>
        <v>45</v>
      </c>
      <c r="D57">
        <f>'Quick View_ Sample Data'!AN58</f>
        <v>347.89472713783846</v>
      </c>
      <c r="E57">
        <f>'Quick View_ Sample Data'!O58</f>
        <v>45</v>
      </c>
      <c r="F57">
        <f>'Quick View_ Sample Data'!AO58</f>
        <v>0</v>
      </c>
      <c r="G57">
        <f>'Quick View_ Sample Data'!O58</f>
        <v>45</v>
      </c>
      <c r="H57">
        <f>'Quick View_ Sample Data'!AP58</f>
        <v>5.1381818181818177</v>
      </c>
      <c r="I57">
        <f>'Quick View_ Sample Data'!AF58</f>
        <v>4.71</v>
      </c>
      <c r="J57">
        <f>'Quick View_ Sample Data'!AJ58</f>
        <v>0</v>
      </c>
      <c r="K57">
        <f>'Quick View_ Sample Data'!AH58</f>
        <v>738.62999392322399</v>
      </c>
      <c r="L57">
        <f t="shared" si="0"/>
        <v>0</v>
      </c>
    </row>
    <row r="58" spans="1:12" ht="12.75" customHeight="1">
      <c r="A58" s="321"/>
      <c r="B58" t="str">
        <f>'Quick View_ Sample Data'!P59</f>
        <v>MgO</v>
      </c>
      <c r="C58">
        <f>'Quick View_ Sample Data'!O59</f>
        <v>45</v>
      </c>
      <c r="D58">
        <f>'Quick View_ Sample Data'!AN59</f>
        <v>310.02146179798149</v>
      </c>
      <c r="E58">
        <f>'Quick View_ Sample Data'!O59</f>
        <v>45</v>
      </c>
      <c r="F58">
        <f>'Quick View_ Sample Data'!AO59</f>
        <v>0</v>
      </c>
      <c r="G58">
        <f>'Quick View_ Sample Data'!O59</f>
        <v>45</v>
      </c>
      <c r="H58">
        <f>'Quick View_ Sample Data'!AP59</f>
        <v>5.04</v>
      </c>
      <c r="I58">
        <f>'Quick View_ Sample Data'!AF59</f>
        <v>4.62</v>
      </c>
      <c r="J58">
        <f>'Quick View_ Sample Data'!AJ59</f>
        <v>0</v>
      </c>
      <c r="K58">
        <f>'Quick View_ Sample Data'!AH59</f>
        <v>671.04212510385605</v>
      </c>
      <c r="L58">
        <f t="shared" si="0"/>
        <v>0</v>
      </c>
    </row>
    <row r="59" spans="1:12" ht="12.75" customHeight="1">
      <c r="A59" s="321"/>
      <c r="B59" t="str">
        <f>'Quick View_ Sample Data'!P60</f>
        <v>MgO</v>
      </c>
      <c r="C59">
        <f>'Quick View_ Sample Data'!O60</f>
        <v>46</v>
      </c>
      <c r="D59">
        <f>'Quick View_ Sample Data'!AN60</f>
        <v>0</v>
      </c>
      <c r="E59">
        <f>'Quick View_ Sample Data'!O60</f>
        <v>46</v>
      </c>
      <c r="F59">
        <f>'Quick View_ Sample Data'!AO60</f>
        <v>0</v>
      </c>
      <c r="G59">
        <f>'Quick View_ Sample Data'!O60</f>
        <v>46</v>
      </c>
      <c r="H59">
        <f>'Quick View_ Sample Data'!AP60</f>
        <v>0</v>
      </c>
      <c r="I59">
        <f>'Quick View_ Sample Data'!AF60</f>
        <v>0</v>
      </c>
      <c r="J59">
        <f>'Quick View_ Sample Data'!AJ60</f>
        <v>0</v>
      </c>
      <c r="K59">
        <f>'Quick View_ Sample Data'!AH60</f>
        <v>742.35042706924503</v>
      </c>
      <c r="L59">
        <f t="shared" si="0"/>
        <v>0</v>
      </c>
    </row>
    <row r="60" spans="1:12" ht="12.75" customHeight="1">
      <c r="A60" s="321"/>
      <c r="B60" t="str">
        <f>'Quick View_ Sample Data'!P61</f>
        <v>MgO</v>
      </c>
      <c r="C60">
        <f>'Quick View_ Sample Data'!O61</f>
        <v>46</v>
      </c>
      <c r="D60">
        <f>'Quick View_ Sample Data'!AN61</f>
        <v>0</v>
      </c>
      <c r="E60">
        <f>'Quick View_ Sample Data'!O61</f>
        <v>46</v>
      </c>
      <c r="F60">
        <f>'Quick View_ Sample Data'!AO61</f>
        <v>0</v>
      </c>
      <c r="G60">
        <f>'Quick View_ Sample Data'!O61</f>
        <v>46</v>
      </c>
      <c r="H60">
        <f>'Quick View_ Sample Data'!AP61</f>
        <v>0</v>
      </c>
      <c r="I60">
        <f>'Quick View_ Sample Data'!AF61</f>
        <v>0</v>
      </c>
      <c r="J60">
        <f>'Quick View_ Sample Data'!AJ61</f>
        <v>0</v>
      </c>
      <c r="K60">
        <f>'Quick View_ Sample Data'!AH61</f>
        <v>761.57266499034904</v>
      </c>
      <c r="L60">
        <f t="shared" si="0"/>
        <v>0</v>
      </c>
    </row>
    <row r="61" spans="1:12" ht="12.75" customHeight="1">
      <c r="A61" s="321"/>
      <c r="B61" t="str">
        <f>'Quick View_ Sample Data'!P62</f>
        <v>MgO</v>
      </c>
      <c r="C61">
        <f>'Quick View_ Sample Data'!O62</f>
        <v>46</v>
      </c>
      <c r="D61">
        <f>'Quick View_ Sample Data'!AN62</f>
        <v>0</v>
      </c>
      <c r="E61">
        <f>'Quick View_ Sample Data'!O62</f>
        <v>46</v>
      </c>
      <c r="F61">
        <f>'Quick View_ Sample Data'!AO62</f>
        <v>0</v>
      </c>
      <c r="G61">
        <f>'Quick View_ Sample Data'!O62</f>
        <v>46</v>
      </c>
      <c r="H61">
        <f>'Quick View_ Sample Data'!AP62</f>
        <v>0</v>
      </c>
      <c r="I61">
        <f>'Quick View_ Sample Data'!AF62</f>
        <v>0</v>
      </c>
      <c r="J61">
        <f>'Quick View_ Sample Data'!AJ62</f>
        <v>0</v>
      </c>
      <c r="K61">
        <f>'Quick View_ Sample Data'!AH62</f>
        <v>729.45292549637395</v>
      </c>
      <c r="L61">
        <f t="shared" si="0"/>
        <v>0</v>
      </c>
    </row>
    <row r="62" spans="1:12" ht="12.75" customHeight="1">
      <c r="A62" s="321"/>
      <c r="B62" t="str">
        <f>'Quick View_ Sample Data'!P63</f>
        <v>MgO</v>
      </c>
      <c r="C62">
        <f>'Quick View_ Sample Data'!O63</f>
        <v>46</v>
      </c>
      <c r="D62">
        <f>'Quick View_ Sample Data'!AN63</f>
        <v>0</v>
      </c>
      <c r="E62">
        <f>'Quick View_ Sample Data'!O63</f>
        <v>46</v>
      </c>
      <c r="F62">
        <f>'Quick View_ Sample Data'!AO63</f>
        <v>0</v>
      </c>
      <c r="G62">
        <f>'Quick View_ Sample Data'!O63</f>
        <v>46</v>
      </c>
      <c r="H62">
        <f>'Quick View_ Sample Data'!AP63</f>
        <v>0</v>
      </c>
      <c r="I62">
        <f>'Quick View_ Sample Data'!AF63</f>
        <v>0</v>
      </c>
      <c r="J62">
        <f>'Quick View_ Sample Data'!AJ63</f>
        <v>0</v>
      </c>
      <c r="K62">
        <f>'Quick View_ Sample Data'!AH63</f>
        <v>674.14248605887303</v>
      </c>
      <c r="L62">
        <f t="shared" si="0"/>
        <v>0</v>
      </c>
    </row>
    <row r="63" spans="1:12" ht="12.75" customHeight="1">
      <c r="A63" s="321"/>
      <c r="B63" t="str">
        <f>'Quick View_ Sample Data'!P64</f>
        <v>MgO</v>
      </c>
      <c r="C63">
        <f>'Quick View_ Sample Data'!O64</f>
        <v>47</v>
      </c>
      <c r="D63">
        <f>'Quick View_ Sample Data'!AN64</f>
        <v>475.89250909351978</v>
      </c>
      <c r="E63">
        <f>'Quick View_ Sample Data'!O64</f>
        <v>47</v>
      </c>
      <c r="F63">
        <f>'Quick View_ Sample Data'!AO64</f>
        <v>0</v>
      </c>
      <c r="G63">
        <f>'Quick View_ Sample Data'!O64</f>
        <v>47</v>
      </c>
      <c r="H63">
        <f>'Quick View_ Sample Data'!AP64</f>
        <v>3.7963636363636364</v>
      </c>
      <c r="I63">
        <f>'Quick View_ Sample Data'!AF64</f>
        <v>3.48</v>
      </c>
      <c r="J63">
        <f>'Quick View_ Sample Data'!AJ64</f>
        <v>0</v>
      </c>
      <c r="K63">
        <f>'Quick View_ Sample Data'!AH64</f>
        <v>1367.50721003885</v>
      </c>
      <c r="L63">
        <f t="shared" si="0"/>
        <v>0</v>
      </c>
    </row>
    <row r="64" spans="1:12" ht="12.75" customHeight="1">
      <c r="A64" s="321"/>
      <c r="B64" t="str">
        <f>'Quick View_ Sample Data'!P65</f>
        <v>MgO</v>
      </c>
      <c r="C64">
        <f>'Quick View_ Sample Data'!O65</f>
        <v>47</v>
      </c>
      <c r="D64">
        <f>'Quick View_ Sample Data'!AN65</f>
        <v>494.49269059261024</v>
      </c>
      <c r="E64">
        <f>'Quick View_ Sample Data'!O65</f>
        <v>47</v>
      </c>
      <c r="F64">
        <f>'Quick View_ Sample Data'!AO65</f>
        <v>0</v>
      </c>
      <c r="G64">
        <f>'Quick View_ Sample Data'!O65</f>
        <v>47</v>
      </c>
      <c r="H64">
        <f>'Quick View_ Sample Data'!AP65</f>
        <v>4.2109090909090909</v>
      </c>
      <c r="I64">
        <f>'Quick View_ Sample Data'!AF65</f>
        <v>3.86</v>
      </c>
      <c r="J64">
        <f>'Quick View_ Sample Data'!AJ65</f>
        <v>0</v>
      </c>
      <c r="K64">
        <f>'Quick View_ Sample Data'!AH65</f>
        <v>1281.0691466129799</v>
      </c>
      <c r="L64">
        <f t="shared" si="0"/>
        <v>0</v>
      </c>
    </row>
    <row r="65" spans="1:12" ht="12.75" customHeight="1">
      <c r="A65" s="321"/>
      <c r="B65" t="str">
        <f>'Quick View_ Sample Data'!P66</f>
        <v>MgO</v>
      </c>
      <c r="C65">
        <f>'Quick View_ Sample Data'!O66</f>
        <v>47</v>
      </c>
      <c r="D65">
        <f>'Quick View_ Sample Data'!AN66</f>
        <v>323.04955057427696</v>
      </c>
      <c r="E65">
        <f>'Quick View_ Sample Data'!O66</f>
        <v>47</v>
      </c>
      <c r="F65">
        <f>'Quick View_ Sample Data'!AO66</f>
        <v>0</v>
      </c>
      <c r="G65">
        <f>'Quick View_ Sample Data'!O66</f>
        <v>47</v>
      </c>
      <c r="H65">
        <f>'Quick View_ Sample Data'!AP66</f>
        <v>7.1454545454545455</v>
      </c>
      <c r="I65">
        <f>'Quick View_ Sample Data'!AF66</f>
        <v>6.55</v>
      </c>
      <c r="J65">
        <f>'Quick View_ Sample Data'!AJ66</f>
        <v>0</v>
      </c>
      <c r="K65">
        <f>'Quick View_ Sample Data'!AH66</f>
        <v>493.20542072408699</v>
      </c>
      <c r="L65">
        <f t="shared" si="0"/>
        <v>0</v>
      </c>
    </row>
    <row r="66" spans="1:12" ht="12.75" customHeight="1">
      <c r="A66" s="321"/>
      <c r="B66" t="str">
        <f>'Quick View_ Sample Data'!P67</f>
        <v>MgO</v>
      </c>
      <c r="C66">
        <f>'Quick View_ Sample Data'!O67</f>
        <v>47</v>
      </c>
      <c r="D66">
        <f>'Quick View_ Sample Data'!AN67</f>
        <v>357.31672408013526</v>
      </c>
      <c r="E66">
        <f>'Quick View_ Sample Data'!O67</f>
        <v>47</v>
      </c>
      <c r="F66">
        <f>'Quick View_ Sample Data'!AO67</f>
        <v>0</v>
      </c>
      <c r="G66">
        <f>'Quick View_ Sample Data'!O67</f>
        <v>47</v>
      </c>
      <c r="H66">
        <f>'Quick View_ Sample Data'!AP67</f>
        <v>6.9709090909090907</v>
      </c>
      <c r="I66">
        <f>'Quick View_ Sample Data'!AF67</f>
        <v>6.39</v>
      </c>
      <c r="J66">
        <f>'Quick View_ Sample Data'!AJ67</f>
        <v>0</v>
      </c>
      <c r="K66">
        <f>'Quick View_ Sample Data'!AH67</f>
        <v>559.18110184684701</v>
      </c>
      <c r="L66">
        <f t="shared" ref="L66:L129" si="1">I66*J66</f>
        <v>0</v>
      </c>
    </row>
    <row r="67" spans="1:12" ht="12.75" customHeight="1">
      <c r="A67" s="321"/>
      <c r="B67" t="str">
        <f>'Quick View_ Sample Data'!P68</f>
        <v>MgO</v>
      </c>
      <c r="C67">
        <f>'Quick View_ Sample Data'!O68</f>
        <v>51</v>
      </c>
      <c r="D67">
        <f>'Quick View_ Sample Data'!AN68</f>
        <v>197.13645132474889</v>
      </c>
      <c r="E67">
        <f>'Quick View_ Sample Data'!O68</f>
        <v>51</v>
      </c>
      <c r="F67">
        <f>'Quick View_ Sample Data'!AO68</f>
        <v>0</v>
      </c>
      <c r="G67">
        <f>'Quick View_ Sample Data'!O68</f>
        <v>51</v>
      </c>
      <c r="H67">
        <f>'Quick View_ Sample Data'!AP68</f>
        <v>6.2307692307692308</v>
      </c>
      <c r="I67">
        <f>'Quick View_ Sample Data'!AF68</f>
        <v>6.75</v>
      </c>
      <c r="J67">
        <f>'Quick View_ Sample Data'!AJ68</f>
        <v>0</v>
      </c>
      <c r="K67">
        <f>'Quick View_ Sample Data'!AH68</f>
        <v>292.05400196259097</v>
      </c>
      <c r="L67">
        <f t="shared" si="1"/>
        <v>0</v>
      </c>
    </row>
    <row r="68" spans="1:12" ht="12.75" customHeight="1">
      <c r="A68" s="321"/>
      <c r="B68" t="str">
        <f>'Quick View_ Sample Data'!P69</f>
        <v>MgO</v>
      </c>
      <c r="C68">
        <f>'Quick View_ Sample Data'!O69</f>
        <v>51</v>
      </c>
      <c r="D68">
        <f>'Quick View_ Sample Data'!AN69</f>
        <v>0</v>
      </c>
      <c r="E68">
        <f>'Quick View_ Sample Data'!O69</f>
        <v>51</v>
      </c>
      <c r="F68">
        <f>'Quick View_ Sample Data'!AO69</f>
        <v>0</v>
      </c>
      <c r="G68">
        <f>'Quick View_ Sample Data'!O69</f>
        <v>51</v>
      </c>
      <c r="H68">
        <f>'Quick View_ Sample Data'!AP69</f>
        <v>0</v>
      </c>
      <c r="I68">
        <f>'Quick View_ Sample Data'!AF69</f>
        <v>0</v>
      </c>
      <c r="J68">
        <f>'Quick View_ Sample Data'!AJ69</f>
        <v>0</v>
      </c>
      <c r="K68">
        <f>'Quick View_ Sample Data'!AH69</f>
        <v>294.65830516480497</v>
      </c>
      <c r="L68">
        <f t="shared" si="1"/>
        <v>0</v>
      </c>
    </row>
    <row r="69" spans="1:12" ht="12.75" customHeight="1">
      <c r="A69" s="321"/>
      <c r="B69" t="str">
        <f>'Quick View_ Sample Data'!P70</f>
        <v>MgO</v>
      </c>
      <c r="C69">
        <f>'Quick View_ Sample Data'!O70</f>
        <v>51</v>
      </c>
      <c r="D69">
        <f>'Quick View_ Sample Data'!AN70</f>
        <v>213.23439350426406</v>
      </c>
      <c r="E69">
        <f>'Quick View_ Sample Data'!O70</f>
        <v>51</v>
      </c>
      <c r="F69">
        <f>'Quick View_ Sample Data'!AO70</f>
        <v>0</v>
      </c>
      <c r="G69">
        <f>'Quick View_ Sample Data'!O70</f>
        <v>51</v>
      </c>
      <c r="H69">
        <f>'Quick View_ Sample Data'!AP70</f>
        <v>6.1661538461538461</v>
      </c>
      <c r="I69">
        <f>'Quick View_ Sample Data'!AF70</f>
        <v>6.68</v>
      </c>
      <c r="J69">
        <f>'Quick View_ Sample Data'!AJ70</f>
        <v>0</v>
      </c>
      <c r="K69">
        <f>'Quick View_ Sample Data'!AH70</f>
        <v>319.21316392853902</v>
      </c>
      <c r="L69">
        <f t="shared" si="1"/>
        <v>0</v>
      </c>
    </row>
    <row r="70" spans="1:12" ht="12.75" customHeight="1">
      <c r="A70" s="321"/>
      <c r="B70" t="str">
        <f>'Quick View_ Sample Data'!P71</f>
        <v>MgO</v>
      </c>
      <c r="C70">
        <f>'Quick View_ Sample Data'!O71</f>
        <v>51</v>
      </c>
      <c r="D70">
        <f>'Quick View_ Sample Data'!AN71</f>
        <v>0</v>
      </c>
      <c r="E70">
        <f>'Quick View_ Sample Data'!O71</f>
        <v>51</v>
      </c>
      <c r="F70">
        <f>'Quick View_ Sample Data'!AO71</f>
        <v>0</v>
      </c>
      <c r="G70">
        <f>'Quick View_ Sample Data'!O71</f>
        <v>51</v>
      </c>
      <c r="H70">
        <f>'Quick View_ Sample Data'!AP71</f>
        <v>0</v>
      </c>
      <c r="I70">
        <f>'Quick View_ Sample Data'!AF71</f>
        <v>0</v>
      </c>
      <c r="J70">
        <f>'Quick View_ Sample Data'!AJ71</f>
        <v>0</v>
      </c>
      <c r="K70">
        <f>'Quick View_ Sample Data'!AH71</f>
        <v>305.199532411863</v>
      </c>
      <c r="L70">
        <f t="shared" si="1"/>
        <v>0</v>
      </c>
    </row>
    <row r="71" spans="1:12" ht="12.75" customHeight="1">
      <c r="A71" s="321"/>
      <c r="B71" t="str">
        <f>'Quick View_ Sample Data'!P72</f>
        <v>MgO</v>
      </c>
      <c r="C71">
        <f>'Quick View_ Sample Data'!O72</f>
        <v>52</v>
      </c>
      <c r="D71">
        <f>'Quick View_ Sample Data'!AN72</f>
        <v>200.3620668623486</v>
      </c>
      <c r="E71">
        <f>'Quick View_ Sample Data'!O72</f>
        <v>52</v>
      </c>
      <c r="F71">
        <f>'Quick View_ Sample Data'!AO72</f>
        <v>0</v>
      </c>
      <c r="G71">
        <f>'Quick View_ Sample Data'!O72</f>
        <v>52</v>
      </c>
      <c r="H71">
        <f>'Quick View_ Sample Data'!AP72</f>
        <v>4.4584615384615383</v>
      </c>
      <c r="I71">
        <f>'Quick View_ Sample Data'!AF72</f>
        <v>4.83</v>
      </c>
      <c r="J71">
        <f>'Quick View_ Sample Data'!AJ72</f>
        <v>0</v>
      </c>
      <c r="K71">
        <f>'Quick View_ Sample Data'!AH72</f>
        <v>414.82829578126001</v>
      </c>
      <c r="L71">
        <f t="shared" si="1"/>
        <v>0</v>
      </c>
    </row>
    <row r="72" spans="1:12" ht="12.75" customHeight="1">
      <c r="A72" s="321"/>
      <c r="B72" t="str">
        <f>'Quick View_ Sample Data'!P73</f>
        <v>MgO</v>
      </c>
      <c r="C72">
        <f>'Quick View_ Sample Data'!O73</f>
        <v>52</v>
      </c>
      <c r="D72">
        <f>'Quick View_ Sample Data'!AN73</f>
        <v>0</v>
      </c>
      <c r="E72">
        <f>'Quick View_ Sample Data'!O73</f>
        <v>52</v>
      </c>
      <c r="F72">
        <f>'Quick View_ Sample Data'!AO73</f>
        <v>0</v>
      </c>
      <c r="G72">
        <f>'Quick View_ Sample Data'!O73</f>
        <v>52</v>
      </c>
      <c r="H72">
        <f>'Quick View_ Sample Data'!AP73</f>
        <v>0</v>
      </c>
      <c r="I72">
        <f>'Quick View_ Sample Data'!AF73</f>
        <v>0</v>
      </c>
      <c r="J72">
        <f>'Quick View_ Sample Data'!AJ73</f>
        <v>0</v>
      </c>
      <c r="K72">
        <f>'Quick View_ Sample Data'!AH73</f>
        <v>270.35147527747301</v>
      </c>
      <c r="L72">
        <f t="shared" si="1"/>
        <v>0</v>
      </c>
    </row>
    <row r="73" spans="1:12" ht="12.75" customHeight="1">
      <c r="A73" s="321"/>
      <c r="B73" t="str">
        <f>'Quick View_ Sample Data'!P74</f>
        <v>MgO</v>
      </c>
      <c r="C73">
        <f>'Quick View_ Sample Data'!O74</f>
        <v>52</v>
      </c>
      <c r="D73">
        <f>'Quick View_ Sample Data'!AN74</f>
        <v>157.84458482631467</v>
      </c>
      <c r="E73">
        <f>'Quick View_ Sample Data'!O74</f>
        <v>52</v>
      </c>
      <c r="F73">
        <f>'Quick View_ Sample Data'!AO74</f>
        <v>0</v>
      </c>
      <c r="G73">
        <f>'Quick View_ Sample Data'!O74</f>
        <v>52</v>
      </c>
      <c r="H73">
        <f>'Quick View_ Sample Data'!AP74</f>
        <v>5.4092307692307688</v>
      </c>
      <c r="I73">
        <f>'Quick View_ Sample Data'!AF74</f>
        <v>5.86</v>
      </c>
      <c r="J73">
        <f>'Quick View_ Sample Data'!AJ74</f>
        <v>0</v>
      </c>
      <c r="K73">
        <f>'Quick View_ Sample Data'!AH74</f>
        <v>269.35935977186801</v>
      </c>
      <c r="L73">
        <f t="shared" si="1"/>
        <v>0</v>
      </c>
    </row>
    <row r="74" spans="1:12" ht="12.75" customHeight="1">
      <c r="A74" s="321"/>
      <c r="B74" t="str">
        <f>'Quick View_ Sample Data'!P75</f>
        <v>MgO</v>
      </c>
      <c r="C74">
        <f>'Quick View_ Sample Data'!O75</f>
        <v>52</v>
      </c>
      <c r="D74">
        <f>'Quick View_ Sample Data'!AN75</f>
        <v>0</v>
      </c>
      <c r="E74">
        <f>'Quick View_ Sample Data'!O75</f>
        <v>52</v>
      </c>
      <c r="F74">
        <f>'Quick View_ Sample Data'!AO75</f>
        <v>0</v>
      </c>
      <c r="G74">
        <f>'Quick View_ Sample Data'!O75</f>
        <v>52</v>
      </c>
      <c r="H74">
        <f>'Quick View_ Sample Data'!AP75</f>
        <v>0</v>
      </c>
      <c r="I74">
        <f>'Quick View_ Sample Data'!AF75</f>
        <v>0</v>
      </c>
      <c r="J74">
        <f>'Quick View_ Sample Data'!AJ75</f>
        <v>0</v>
      </c>
      <c r="K74">
        <f>'Quick View_ Sample Data'!AH75</f>
        <v>258.942146963011</v>
      </c>
      <c r="L74">
        <f t="shared" si="1"/>
        <v>0</v>
      </c>
    </row>
    <row r="75" spans="1:12" ht="12.75" customHeight="1">
      <c r="A75" s="321"/>
      <c r="B75" t="str">
        <f>'Quick View_ Sample Data'!P76</f>
        <v>MgO</v>
      </c>
      <c r="C75">
        <f>'Quick View_ Sample Data'!O76</f>
        <v>53</v>
      </c>
      <c r="D75">
        <f>'Quick View_ Sample Data'!AN76</f>
        <v>209.81457135644246</v>
      </c>
      <c r="E75">
        <f>'Quick View_ Sample Data'!O76</f>
        <v>53</v>
      </c>
      <c r="F75">
        <f>'Quick View_ Sample Data'!AO76</f>
        <v>0</v>
      </c>
      <c r="G75">
        <f>'Quick View_ Sample Data'!O76</f>
        <v>53</v>
      </c>
      <c r="H75">
        <f>'Quick View_ Sample Data'!AP76</f>
        <v>4.5784615384615384</v>
      </c>
      <c r="I75">
        <f>'Quick View_ Sample Data'!AF76</f>
        <v>4.96</v>
      </c>
      <c r="J75">
        <f>'Quick View_ Sample Data'!AJ76</f>
        <v>0</v>
      </c>
      <c r="K75">
        <f>'Quick View_ Sample Data'!AH76</f>
        <v>423.013248702505</v>
      </c>
      <c r="L75">
        <f t="shared" si="1"/>
        <v>0</v>
      </c>
    </row>
    <row r="76" spans="1:12" ht="12.75" customHeight="1">
      <c r="A76" s="321"/>
      <c r="B76" t="str">
        <f>'Quick View_ Sample Data'!P77</f>
        <v>MgO</v>
      </c>
      <c r="C76">
        <f>'Quick View_ Sample Data'!O77</f>
        <v>53</v>
      </c>
      <c r="D76">
        <f>'Quick View_ Sample Data'!AN77</f>
        <v>0</v>
      </c>
      <c r="E76">
        <f>'Quick View_ Sample Data'!O77</f>
        <v>53</v>
      </c>
      <c r="F76">
        <f>'Quick View_ Sample Data'!AO77</f>
        <v>0</v>
      </c>
      <c r="G76">
        <f>'Quick View_ Sample Data'!O77</f>
        <v>53</v>
      </c>
      <c r="H76">
        <f>'Quick View_ Sample Data'!AP77</f>
        <v>0</v>
      </c>
      <c r="I76">
        <f>'Quick View_ Sample Data'!AF77</f>
        <v>0</v>
      </c>
      <c r="J76">
        <f>'Quick View_ Sample Data'!AJ77</f>
        <v>0</v>
      </c>
      <c r="K76">
        <f>'Quick View_ Sample Data'!AH77</f>
        <v>311.89631207469898</v>
      </c>
      <c r="L76">
        <f t="shared" si="1"/>
        <v>0</v>
      </c>
    </row>
    <row r="77" spans="1:12" ht="12.75" customHeight="1">
      <c r="A77" s="321"/>
      <c r="B77" t="str">
        <f>'Quick View_ Sample Data'!P78</f>
        <v>MgO</v>
      </c>
      <c r="C77">
        <f>'Quick View_ Sample Data'!O78</f>
        <v>53</v>
      </c>
      <c r="D77">
        <f>'Quick View_ Sample Data'!AN78</f>
        <v>147.05570074617043</v>
      </c>
      <c r="E77">
        <f>'Quick View_ Sample Data'!O78</f>
        <v>53</v>
      </c>
      <c r="F77">
        <f>'Quick View_ Sample Data'!AO78</f>
        <v>0</v>
      </c>
      <c r="G77">
        <f>'Quick View_ Sample Data'!O78</f>
        <v>53</v>
      </c>
      <c r="H77">
        <f>'Quick View_ Sample Data'!AP78</f>
        <v>5.3999999999999995</v>
      </c>
      <c r="I77">
        <f>'Quick View_ Sample Data'!AF78</f>
        <v>5.85</v>
      </c>
      <c r="J77">
        <f>'Quick View_ Sample Data'!AJ78</f>
        <v>0</v>
      </c>
      <c r="K77">
        <f>'Quick View_ Sample Data'!AH78</f>
        <v>251.37726623277001</v>
      </c>
      <c r="L77">
        <f t="shared" si="1"/>
        <v>0</v>
      </c>
    </row>
    <row r="78" spans="1:12" ht="12.75" customHeight="1">
      <c r="A78" s="321"/>
      <c r="B78" t="str">
        <f>'Quick View_ Sample Data'!P79</f>
        <v>MgO</v>
      </c>
      <c r="C78">
        <f>'Quick View_ Sample Data'!O79</f>
        <v>53</v>
      </c>
      <c r="D78">
        <f>'Quick View_ Sample Data'!AN79</f>
        <v>0</v>
      </c>
      <c r="E78">
        <f>'Quick View_ Sample Data'!O79</f>
        <v>53</v>
      </c>
      <c r="F78">
        <f>'Quick View_ Sample Data'!AO79</f>
        <v>0</v>
      </c>
      <c r="G78">
        <f>'Quick View_ Sample Data'!O79</f>
        <v>53</v>
      </c>
      <c r="H78">
        <f>'Quick View_ Sample Data'!AP79</f>
        <v>0</v>
      </c>
      <c r="I78">
        <f>'Quick View_ Sample Data'!AF79</f>
        <v>0</v>
      </c>
      <c r="J78">
        <f>'Quick View_ Sample Data'!AJ79</f>
        <v>0</v>
      </c>
      <c r="K78">
        <f>'Quick View_ Sample Data'!AH79</f>
        <v>261.67046460342601</v>
      </c>
      <c r="L78">
        <f t="shared" si="1"/>
        <v>0</v>
      </c>
    </row>
    <row r="79" spans="1:12" ht="12.75" customHeight="1">
      <c r="A79" s="321"/>
      <c r="B79" t="str">
        <f>'Quick View_ Sample Data'!P80</f>
        <v>MgO</v>
      </c>
      <c r="C79">
        <f>'Quick View_ Sample Data'!O80</f>
        <v>55</v>
      </c>
      <c r="D79">
        <f>'Quick View_ Sample Data'!AN80</f>
        <v>167.00094284198502</v>
      </c>
      <c r="E79">
        <f>'Quick View_ Sample Data'!O80</f>
        <v>55</v>
      </c>
      <c r="F79">
        <f>'Quick View_ Sample Data'!AO80</f>
        <v>17869.100884092393</v>
      </c>
      <c r="G79">
        <f>'Quick View_ Sample Data'!O80</f>
        <v>55</v>
      </c>
      <c r="H79">
        <f>'Quick View_ Sample Data'!AP80</f>
        <v>5.2338461538461534</v>
      </c>
      <c r="I79">
        <f>'Quick View_ Sample Data'!AF80</f>
        <v>5.67</v>
      </c>
      <c r="J79">
        <f>'Quick View_ Sample Data'!AJ80</f>
        <v>10.7</v>
      </c>
      <c r="K79">
        <f>'Quick View_ Sample Data'!AH80</f>
        <v>294.53429072660498</v>
      </c>
      <c r="L79">
        <f t="shared" si="1"/>
        <v>60.668999999999997</v>
      </c>
    </row>
    <row r="80" spans="1:12" ht="12.75" customHeight="1">
      <c r="A80" s="321"/>
      <c r="B80" t="str">
        <f>'Quick View_ Sample Data'!P81</f>
        <v>MgO</v>
      </c>
      <c r="C80">
        <f>'Quick View_ Sample Data'!O81</f>
        <v>55</v>
      </c>
      <c r="D80">
        <f>'Quick View_ Sample Data'!AN81</f>
        <v>165.96182586430137</v>
      </c>
      <c r="E80">
        <f>'Quick View_ Sample Data'!O81</f>
        <v>55</v>
      </c>
      <c r="F80">
        <f>'Quick View_ Sample Data'!AO81</f>
        <v>18089.839019208848</v>
      </c>
      <c r="G80">
        <f>'Quick View_ Sample Data'!O81</f>
        <v>55</v>
      </c>
      <c r="H80">
        <f>'Quick View_ Sample Data'!AP81</f>
        <v>5.04</v>
      </c>
      <c r="I80">
        <f>'Quick View_ Sample Data'!AF81</f>
        <v>5.46</v>
      </c>
      <c r="J80">
        <f>'Quick View_ Sample Data'!AJ81</f>
        <v>10.9</v>
      </c>
      <c r="K80">
        <f>'Quick View_ Sample Data'!AH81</f>
        <v>303.95938802985597</v>
      </c>
      <c r="L80">
        <f t="shared" si="1"/>
        <v>59.514000000000003</v>
      </c>
    </row>
    <row r="81" spans="1:12" ht="12.75" customHeight="1">
      <c r="A81" s="321"/>
      <c r="B81" t="str">
        <f>'Quick View_ Sample Data'!P82</f>
        <v>MgO</v>
      </c>
      <c r="C81">
        <f>'Quick View_ Sample Data'!O82</f>
        <v>55</v>
      </c>
      <c r="D81">
        <f>'Quick View_ Sample Data'!AN82</f>
        <v>163.77049074129533</v>
      </c>
      <c r="E81">
        <f>'Quick View_ Sample Data'!O82</f>
        <v>55</v>
      </c>
      <c r="F81">
        <f>'Quick View_ Sample Data'!AO82</f>
        <v>17523.4425093186</v>
      </c>
      <c r="G81">
        <f>'Quick View_ Sample Data'!O82</f>
        <v>55</v>
      </c>
      <c r="H81">
        <f>'Quick View_ Sample Data'!AP82</f>
        <v>5.0123076923076919</v>
      </c>
      <c r="I81">
        <f>'Quick View_ Sample Data'!AF82</f>
        <v>5.43</v>
      </c>
      <c r="J81">
        <f>'Quick View_ Sample Data'!AJ82</f>
        <v>10.7</v>
      </c>
      <c r="K81">
        <f>'Quick View_ Sample Data'!AH82</f>
        <v>301.60311370404298</v>
      </c>
      <c r="L81">
        <f t="shared" si="1"/>
        <v>58.100999999999992</v>
      </c>
    </row>
    <row r="82" spans="1:12" ht="12.75" customHeight="1">
      <c r="A82" s="321"/>
      <c r="B82" t="str">
        <f>'Quick View_ Sample Data'!P83</f>
        <v>MgO</v>
      </c>
      <c r="C82">
        <f>'Quick View_ Sample Data'!O83</f>
        <v>55</v>
      </c>
      <c r="D82">
        <f>'Quick View_ Sample Data'!AN83</f>
        <v>161.48093618323443</v>
      </c>
      <c r="E82">
        <f>'Quick View_ Sample Data'!O83</f>
        <v>55</v>
      </c>
      <c r="F82">
        <f>'Quick View_ Sample Data'!AO83</f>
        <v>18247.345788705494</v>
      </c>
      <c r="G82">
        <f>'Quick View_ Sample Data'!O83</f>
        <v>55</v>
      </c>
      <c r="H82">
        <f>'Quick View_ Sample Data'!AP83</f>
        <v>5.0123076923076919</v>
      </c>
      <c r="I82">
        <f>'Quick View_ Sample Data'!AF83</f>
        <v>5.43</v>
      </c>
      <c r="J82">
        <f>'Quick View_ Sample Data'!AJ83</f>
        <v>11.3</v>
      </c>
      <c r="K82">
        <f>'Quick View_ Sample Data'!AH83</f>
        <v>297.38662280521999</v>
      </c>
      <c r="L82">
        <f t="shared" si="1"/>
        <v>61.359000000000002</v>
      </c>
    </row>
    <row r="83" spans="1:12" ht="12.75" customHeight="1">
      <c r="A83" s="321"/>
      <c r="B83" t="str">
        <f>'Quick View_ Sample Data'!P84</f>
        <v>MgO</v>
      </c>
      <c r="C83">
        <f>'Quick View_ Sample Data'!O84</f>
        <v>56</v>
      </c>
      <c r="D83">
        <f>'Quick View_ Sample Data'!AN84</f>
        <v>143.16226745886001</v>
      </c>
      <c r="E83">
        <f>'Quick View_ Sample Data'!O84</f>
        <v>56</v>
      </c>
      <c r="F83">
        <f>'Quick View_ Sample Data'!AO84</f>
        <v>16463.660757768903</v>
      </c>
      <c r="G83">
        <f>'Quick View_ Sample Data'!O84</f>
        <v>56</v>
      </c>
      <c r="H83">
        <f>'Quick View_ Sample Data'!AP84</f>
        <v>4.8</v>
      </c>
      <c r="I83">
        <f>'Quick View_ Sample Data'!AF84</f>
        <v>5.2</v>
      </c>
      <c r="J83">
        <f>'Quick View_ Sample Data'!AJ84</f>
        <v>11.5</v>
      </c>
      <c r="K83">
        <f>'Quick View_ Sample Data'!AH84</f>
        <v>275.3120528055</v>
      </c>
      <c r="L83">
        <f t="shared" si="1"/>
        <v>59.800000000000004</v>
      </c>
    </row>
    <row r="84" spans="1:12" ht="12.75" customHeight="1">
      <c r="A84" s="321"/>
      <c r="B84" t="str">
        <f>'Quick View_ Sample Data'!P85</f>
        <v>MgO</v>
      </c>
      <c r="C84">
        <f>'Quick View_ Sample Data'!O85</f>
        <v>56</v>
      </c>
      <c r="D84">
        <f>'Quick View_ Sample Data'!AN85</f>
        <v>144.22283893435218</v>
      </c>
      <c r="E84">
        <f>'Quick View_ Sample Data'!O85</f>
        <v>56</v>
      </c>
      <c r="F84">
        <f>'Quick View_ Sample Data'!AO85</f>
        <v>16874.072155319202</v>
      </c>
      <c r="G84">
        <f>'Quick View_ Sample Data'!O85</f>
        <v>56</v>
      </c>
      <c r="H84">
        <f>'Quick View_ Sample Data'!AP85</f>
        <v>4.9107692307692306</v>
      </c>
      <c r="I84">
        <f>'Quick View_ Sample Data'!AF85</f>
        <v>5.32</v>
      </c>
      <c r="J84">
        <f>'Quick View_ Sample Data'!AJ85</f>
        <v>11.7</v>
      </c>
      <c r="K84">
        <f>'Quick View_ Sample Data'!AH85</f>
        <v>271.09556190667701</v>
      </c>
      <c r="L84">
        <f t="shared" si="1"/>
        <v>62.244</v>
      </c>
    </row>
    <row r="85" spans="1:12" ht="12.75" customHeight="1">
      <c r="A85" s="321"/>
      <c r="B85" t="str">
        <f>'Quick View_ Sample Data'!P86</f>
        <v>MgO</v>
      </c>
      <c r="C85">
        <f>'Quick View_ Sample Data'!O86</f>
        <v>56</v>
      </c>
      <c r="D85">
        <f>'Quick View_ Sample Data'!AN86</f>
        <v>131.0485371354178</v>
      </c>
      <c r="E85">
        <f>'Quick View_ Sample Data'!O86</f>
        <v>56</v>
      </c>
      <c r="F85">
        <f>'Quick View_ Sample Data'!AO86</f>
        <v>15129.553612283984</v>
      </c>
      <c r="G85">
        <f>'Quick View_ Sample Data'!O86</f>
        <v>56</v>
      </c>
      <c r="H85">
        <f>'Quick View_ Sample Data'!AP86</f>
        <v>4.7815384615384611</v>
      </c>
      <c r="I85">
        <f>'Quick View_ Sample Data'!AF86</f>
        <v>5.18</v>
      </c>
      <c r="J85">
        <f>'Quick View_ Sample Data'!AJ86</f>
        <v>11.545</v>
      </c>
      <c r="K85">
        <f>'Quick View_ Sample Data'!AH86</f>
        <v>252.98945392937799</v>
      </c>
      <c r="L85">
        <f t="shared" si="1"/>
        <v>59.803099999999993</v>
      </c>
    </row>
    <row r="86" spans="1:12" ht="12.75" customHeight="1">
      <c r="A86" s="321"/>
      <c r="B86" t="str">
        <f>'Quick View_ Sample Data'!P87</f>
        <v>MgO</v>
      </c>
      <c r="C86">
        <f>'Quick View_ Sample Data'!O87</f>
        <v>56</v>
      </c>
      <c r="D86">
        <f>'Quick View_ Sample Data'!AN87</f>
        <v>136.52786705843872</v>
      </c>
      <c r="E86">
        <f>'Quick View_ Sample Data'!O87</f>
        <v>56</v>
      </c>
      <c r="F86">
        <f>'Quick View_ Sample Data'!AO87</f>
        <v>15789.447825308436</v>
      </c>
      <c r="G86">
        <f>'Quick View_ Sample Data'!O87</f>
        <v>56</v>
      </c>
      <c r="H86">
        <f>'Quick View_ Sample Data'!AP87</f>
        <v>4.8646153846153846</v>
      </c>
      <c r="I86">
        <f>'Quick View_ Sample Data'!AF87</f>
        <v>5.27</v>
      </c>
      <c r="J86">
        <f>'Quick View_ Sample Data'!AJ87</f>
        <v>11.565</v>
      </c>
      <c r="K86">
        <f>'Quick View_ Sample Data'!AH87</f>
        <v>259.06616140121201</v>
      </c>
      <c r="L86">
        <f t="shared" si="1"/>
        <v>60.947549999999993</v>
      </c>
    </row>
    <row r="87" spans="1:12" ht="12.75" customHeight="1">
      <c r="A87" s="321"/>
      <c r="B87" t="str">
        <f>'Quick View_ Sample Data'!P88</f>
        <v>MgO</v>
      </c>
      <c r="C87" t="str">
        <f>'Quick View_ Sample Data'!O88</f>
        <v>57-58</v>
      </c>
      <c r="D87">
        <f>'Quick View_ Sample Data'!AN88</f>
        <v>0</v>
      </c>
      <c r="E87" t="str">
        <f>'Quick View_ Sample Data'!O88</f>
        <v>57-58</v>
      </c>
      <c r="F87">
        <f>'Quick View_ Sample Data'!AO88</f>
        <v>0</v>
      </c>
      <c r="G87" t="str">
        <f>'Quick View_ Sample Data'!O88</f>
        <v>57-58</v>
      </c>
      <c r="H87" t="e">
        <f>'Quick View_ Sample Data'!AP88</f>
        <v>#VALUE!</v>
      </c>
      <c r="I87">
        <f>'Quick View_ Sample Data'!AF88</f>
        <v>0</v>
      </c>
      <c r="J87">
        <f>'Quick View_ Sample Data'!AJ88</f>
        <v>0</v>
      </c>
      <c r="K87">
        <f>'Quick View_ Sample Data'!AH88</f>
        <v>550.624105611</v>
      </c>
      <c r="L87">
        <f t="shared" si="1"/>
        <v>0</v>
      </c>
    </row>
    <row r="88" spans="1:12" ht="12.75" customHeight="1">
      <c r="A88" s="321"/>
      <c r="B88" t="str">
        <f>'Quick View_ Sample Data'!P89</f>
        <v>MgO</v>
      </c>
      <c r="C88" t="str">
        <f>'Quick View_ Sample Data'!O89</f>
        <v>57-58</v>
      </c>
      <c r="D88">
        <f>'Quick View_ Sample Data'!AN89</f>
        <v>0</v>
      </c>
      <c r="E88" t="str">
        <f>'Quick View_ Sample Data'!O89</f>
        <v>57-58</v>
      </c>
      <c r="F88">
        <f>'Quick View_ Sample Data'!AO89</f>
        <v>0</v>
      </c>
      <c r="G88" t="str">
        <f>'Quick View_ Sample Data'!O89</f>
        <v>57-58</v>
      </c>
      <c r="H88" t="e">
        <f>'Quick View_ Sample Data'!AP89</f>
        <v>#VALUE!</v>
      </c>
      <c r="I88">
        <f>'Quick View_ Sample Data'!AF89</f>
        <v>0</v>
      </c>
      <c r="J88">
        <f>'Quick View_ Sample Data'!AJ89</f>
        <v>0</v>
      </c>
      <c r="K88">
        <f>'Quick View_ Sample Data'!AH89</f>
        <v>589.68865364421299</v>
      </c>
      <c r="L88">
        <f t="shared" si="1"/>
        <v>0</v>
      </c>
    </row>
    <row r="89" spans="1:12" ht="12.75" customHeight="1">
      <c r="A89" s="321"/>
      <c r="B89" t="str">
        <f>'Quick View_ Sample Data'!P90</f>
        <v>MgO</v>
      </c>
      <c r="C89" t="str">
        <f>'Quick View_ Sample Data'!O90</f>
        <v>57-58</v>
      </c>
      <c r="D89">
        <f>'Quick View_ Sample Data'!AN90</f>
        <v>0</v>
      </c>
      <c r="E89" t="str">
        <f>'Quick View_ Sample Data'!O90</f>
        <v>57-58</v>
      </c>
      <c r="F89">
        <f>'Quick View_ Sample Data'!AO90</f>
        <v>0</v>
      </c>
      <c r="G89" t="str">
        <f>'Quick View_ Sample Data'!O90</f>
        <v>57-58</v>
      </c>
      <c r="H89" t="e">
        <f>'Quick View_ Sample Data'!AP90</f>
        <v>#VALUE!</v>
      </c>
      <c r="I89">
        <f>'Quick View_ Sample Data'!AF90</f>
        <v>0</v>
      </c>
      <c r="J89">
        <f>'Quick View_ Sample Data'!AJ90</f>
        <v>0</v>
      </c>
      <c r="K89">
        <f>'Quick View_ Sample Data'!AH90</f>
        <v>513.047730836195</v>
      </c>
      <c r="L89">
        <f t="shared" si="1"/>
        <v>0</v>
      </c>
    </row>
    <row r="90" spans="1:12" ht="12.75" customHeight="1">
      <c r="A90" s="321"/>
      <c r="B90" t="str">
        <f>'Quick View_ Sample Data'!P91</f>
        <v>MgO</v>
      </c>
      <c r="C90" t="str">
        <f>'Quick View_ Sample Data'!O91</f>
        <v>57-58</v>
      </c>
      <c r="D90">
        <f>'Quick View_ Sample Data'!AN91</f>
        <v>0</v>
      </c>
      <c r="E90" t="str">
        <f>'Quick View_ Sample Data'!O91</f>
        <v>57-58</v>
      </c>
      <c r="F90">
        <f>'Quick View_ Sample Data'!AO91</f>
        <v>0</v>
      </c>
      <c r="G90" t="str">
        <f>'Quick View_ Sample Data'!O91</f>
        <v>57-58</v>
      </c>
      <c r="H90" t="e">
        <f>'Quick View_ Sample Data'!AP91</f>
        <v>#VALUE!</v>
      </c>
      <c r="I90">
        <f>'Quick View_ Sample Data'!AF91</f>
        <v>0</v>
      </c>
      <c r="J90">
        <f>'Quick View_ Sample Data'!AJ91</f>
        <v>0</v>
      </c>
      <c r="K90">
        <f>'Quick View_ Sample Data'!AH91</f>
        <v>524.20903027425595</v>
      </c>
      <c r="L90">
        <f t="shared" si="1"/>
        <v>0</v>
      </c>
    </row>
    <row r="91" spans="1:12" ht="12.75" customHeight="1">
      <c r="A91" s="321"/>
      <c r="B91" t="str">
        <f>'Quick View_ Sample Data'!P92</f>
        <v>MgO</v>
      </c>
      <c r="C91" t="str">
        <f>'Quick View_ Sample Data'!O92</f>
        <v>59-60</v>
      </c>
      <c r="D91">
        <f>'Quick View_ Sample Data'!AN92</f>
        <v>0</v>
      </c>
      <c r="E91" t="str">
        <f>'Quick View_ Sample Data'!O92</f>
        <v>59-60</v>
      </c>
      <c r="F91">
        <f>'Quick View_ Sample Data'!AO92</f>
        <v>0</v>
      </c>
      <c r="G91" t="str">
        <f>'Quick View_ Sample Data'!O92</f>
        <v>59-60</v>
      </c>
      <c r="H91" t="e">
        <f>'Quick View_ Sample Data'!AP92</f>
        <v>#VALUE!</v>
      </c>
      <c r="I91">
        <f>'Quick View_ Sample Data'!AF92</f>
        <v>0</v>
      </c>
      <c r="J91">
        <f>'Quick View_ Sample Data'!AJ92</f>
        <v>0</v>
      </c>
      <c r="K91">
        <f>'Quick View_ Sample Data'!AH92</f>
        <v>343.02393606306902</v>
      </c>
      <c r="L91">
        <f t="shared" si="1"/>
        <v>0</v>
      </c>
    </row>
    <row r="92" spans="1:12" ht="12.75" customHeight="1">
      <c r="A92" s="321"/>
      <c r="B92" t="str">
        <f>'Quick View_ Sample Data'!P93</f>
        <v>MgO</v>
      </c>
      <c r="C92" t="str">
        <f>'Quick View_ Sample Data'!O93</f>
        <v>59-60</v>
      </c>
      <c r="D92">
        <f>'Quick View_ Sample Data'!AN93</f>
        <v>0</v>
      </c>
      <c r="E92" t="str">
        <f>'Quick View_ Sample Data'!O93</f>
        <v>59-60</v>
      </c>
      <c r="F92">
        <f>'Quick View_ Sample Data'!AO93</f>
        <v>0</v>
      </c>
      <c r="G92" t="str">
        <f>'Quick View_ Sample Data'!O93</f>
        <v>59-60</v>
      </c>
      <c r="H92" t="e">
        <f>'Quick View_ Sample Data'!AP93</f>
        <v>#VALUE!</v>
      </c>
      <c r="I92">
        <f>'Quick View_ Sample Data'!AF93</f>
        <v>0</v>
      </c>
      <c r="J92">
        <f>'Quick View_ Sample Data'!AJ93</f>
        <v>0</v>
      </c>
      <c r="K92">
        <f>'Quick View_ Sample Data'!AH93</f>
        <v>319.46119280494099</v>
      </c>
      <c r="L92">
        <f t="shared" si="1"/>
        <v>0</v>
      </c>
    </row>
    <row r="93" spans="1:12" ht="12.75" customHeight="1">
      <c r="A93" s="321"/>
      <c r="B93" t="str">
        <f>'Quick View_ Sample Data'!P94</f>
        <v>MgO</v>
      </c>
      <c r="C93" t="str">
        <f>'Quick View_ Sample Data'!O94</f>
        <v>59-60</v>
      </c>
      <c r="D93">
        <f>'Quick View_ Sample Data'!AN94</f>
        <v>0</v>
      </c>
      <c r="E93" t="str">
        <f>'Quick View_ Sample Data'!O94</f>
        <v>59-60</v>
      </c>
      <c r="F93">
        <f>'Quick View_ Sample Data'!AO94</f>
        <v>0</v>
      </c>
      <c r="G93" t="str">
        <f>'Quick View_ Sample Data'!O94</f>
        <v>59-60</v>
      </c>
      <c r="H93" t="e">
        <f>'Quick View_ Sample Data'!AP94</f>
        <v>#VALUE!</v>
      </c>
      <c r="I93">
        <f>'Quick View_ Sample Data'!AF94</f>
        <v>0</v>
      </c>
      <c r="J93">
        <f>'Quick View_ Sample Data'!AJ94</f>
        <v>0</v>
      </c>
      <c r="K93">
        <f>'Quick View_ Sample Data'!AH94</f>
        <v>352.32501892812002</v>
      </c>
      <c r="L93">
        <f t="shared" si="1"/>
        <v>0</v>
      </c>
    </row>
    <row r="94" spans="1:12" ht="12.75" customHeight="1">
      <c r="A94" s="321"/>
      <c r="B94" t="str">
        <f>'Quick View_ Sample Data'!P95</f>
        <v>MgO</v>
      </c>
      <c r="C94" t="str">
        <f>'Quick View_ Sample Data'!O95</f>
        <v>59-60</v>
      </c>
      <c r="D94">
        <f>'Quick View_ Sample Data'!AN95</f>
        <v>0</v>
      </c>
      <c r="E94" t="str">
        <f>'Quick View_ Sample Data'!O95</f>
        <v>59-60</v>
      </c>
      <c r="F94">
        <f>'Quick View_ Sample Data'!AO95</f>
        <v>0</v>
      </c>
      <c r="G94" t="str">
        <f>'Quick View_ Sample Data'!O95</f>
        <v>59-60</v>
      </c>
      <c r="H94" t="e">
        <f>'Quick View_ Sample Data'!AP95</f>
        <v>#VALUE!</v>
      </c>
      <c r="I94">
        <f>'Quick View_ Sample Data'!AF95</f>
        <v>0</v>
      </c>
      <c r="J94">
        <f>'Quick View_ Sample Data'!AJ95</f>
        <v>0</v>
      </c>
      <c r="K94">
        <f>'Quick View_ Sample Data'!AH95</f>
        <v>372.787401231231</v>
      </c>
      <c r="L94">
        <f t="shared" si="1"/>
        <v>0</v>
      </c>
    </row>
    <row r="95" spans="1:12" ht="12.75" customHeight="1">
      <c r="A95" s="321"/>
      <c r="B95" t="str">
        <f>'Quick View_ Sample Data'!P96</f>
        <v>MgO</v>
      </c>
      <c r="C95" t="str">
        <f>'Quick View_ Sample Data'!O96</f>
        <v>61-62</v>
      </c>
      <c r="D95">
        <f>'Quick View_ Sample Data'!AN96</f>
        <v>0</v>
      </c>
      <c r="E95" t="str">
        <f>'Quick View_ Sample Data'!O96</f>
        <v>61-62</v>
      </c>
      <c r="F95">
        <f>'Quick View_ Sample Data'!AO96</f>
        <v>0</v>
      </c>
      <c r="G95" t="str">
        <f>'Quick View_ Sample Data'!O96</f>
        <v>61-62</v>
      </c>
      <c r="H95" t="e">
        <f>'Quick View_ Sample Data'!AP96</f>
        <v>#VALUE!</v>
      </c>
      <c r="I95">
        <f>'Quick View_ Sample Data'!AF96</f>
        <v>0</v>
      </c>
      <c r="J95">
        <f>'Quick View_ Sample Data'!AJ96</f>
        <v>0</v>
      </c>
      <c r="K95">
        <f>'Quick View_ Sample Data'!AH96</f>
        <v>330.002420051998</v>
      </c>
      <c r="L95">
        <f t="shared" si="1"/>
        <v>0</v>
      </c>
    </row>
    <row r="96" spans="1:12" ht="12.75" customHeight="1">
      <c r="A96" s="321"/>
      <c r="B96" t="str">
        <f>'Quick View_ Sample Data'!P97</f>
        <v>MgO</v>
      </c>
      <c r="C96" t="str">
        <f>'Quick View_ Sample Data'!O97</f>
        <v>61-62</v>
      </c>
      <c r="D96">
        <f>'Quick View_ Sample Data'!AN97</f>
        <v>0</v>
      </c>
      <c r="E96" t="str">
        <f>'Quick View_ Sample Data'!O97</f>
        <v>61-62</v>
      </c>
      <c r="F96">
        <f>'Quick View_ Sample Data'!AO97</f>
        <v>0</v>
      </c>
      <c r="G96" t="str">
        <f>'Quick View_ Sample Data'!O97</f>
        <v>61-62</v>
      </c>
      <c r="H96" t="e">
        <f>'Quick View_ Sample Data'!AP97</f>
        <v>#VALUE!</v>
      </c>
      <c r="I96">
        <f>'Quick View_ Sample Data'!AF97</f>
        <v>0</v>
      </c>
      <c r="J96">
        <f>'Quick View_ Sample Data'!AJ97</f>
        <v>0</v>
      </c>
      <c r="K96">
        <f>'Quick View_ Sample Data'!AH97</f>
        <v>326.28198690597799</v>
      </c>
      <c r="L96">
        <f t="shared" si="1"/>
        <v>0</v>
      </c>
    </row>
    <row r="97" spans="1:12" ht="12.75" customHeight="1">
      <c r="A97" s="321"/>
      <c r="B97" t="str">
        <f>'Quick View_ Sample Data'!P98</f>
        <v>MgO</v>
      </c>
      <c r="C97" t="str">
        <f>'Quick View_ Sample Data'!O98</f>
        <v>61-62</v>
      </c>
      <c r="D97">
        <f>'Quick View_ Sample Data'!AN98</f>
        <v>0</v>
      </c>
      <c r="E97" t="str">
        <f>'Quick View_ Sample Data'!O98</f>
        <v>61-62</v>
      </c>
      <c r="F97">
        <f>'Quick View_ Sample Data'!AO98</f>
        <v>0</v>
      </c>
      <c r="G97" t="str">
        <f>'Quick View_ Sample Data'!O98</f>
        <v>61-62</v>
      </c>
      <c r="H97" t="e">
        <f>'Quick View_ Sample Data'!AP98</f>
        <v>#VALUE!</v>
      </c>
      <c r="I97">
        <f>'Quick View_ Sample Data'!AF98</f>
        <v>0</v>
      </c>
      <c r="J97">
        <f>'Quick View_ Sample Data'!AJ98</f>
        <v>0</v>
      </c>
      <c r="K97">
        <f>'Quick View_ Sample Data'!AH98</f>
        <v>366.09062156839502</v>
      </c>
      <c r="L97">
        <f t="shared" si="1"/>
        <v>0</v>
      </c>
    </row>
    <row r="98" spans="1:12" ht="12.75" customHeight="1">
      <c r="A98" s="321"/>
      <c r="B98" t="str">
        <f>'Quick View_ Sample Data'!P99</f>
        <v>MgO</v>
      </c>
      <c r="C98" t="str">
        <f>'Quick View_ Sample Data'!O99</f>
        <v>61-62</v>
      </c>
      <c r="D98">
        <f>'Quick View_ Sample Data'!AN99</f>
        <v>0</v>
      </c>
      <c r="E98" t="str">
        <f>'Quick View_ Sample Data'!O99</f>
        <v>61-62</v>
      </c>
      <c r="F98">
        <f>'Quick View_ Sample Data'!AO99</f>
        <v>0</v>
      </c>
      <c r="G98" t="str">
        <f>'Quick View_ Sample Data'!O99</f>
        <v>61-62</v>
      </c>
      <c r="H98" t="e">
        <f>'Quick View_ Sample Data'!AP99</f>
        <v>#VALUE!</v>
      </c>
      <c r="I98">
        <f>'Quick View_ Sample Data'!AF99</f>
        <v>0</v>
      </c>
      <c r="J98">
        <f>'Quick View_ Sample Data'!AJ99</f>
        <v>0</v>
      </c>
      <c r="K98">
        <f>'Quick View_ Sample Data'!AH99</f>
        <v>366.21463600659501</v>
      </c>
      <c r="L98">
        <f t="shared" si="1"/>
        <v>0</v>
      </c>
    </row>
    <row r="99" spans="1:12" ht="12.75" customHeight="1">
      <c r="A99" s="321"/>
      <c r="B99" t="str">
        <f>'Quick View_ Sample Data'!P100</f>
        <v>SiNx</v>
      </c>
      <c r="C99">
        <f>'Quick View_ Sample Data'!O100</f>
        <v>63</v>
      </c>
      <c r="D99">
        <f>'Quick View_ Sample Data'!AN100</f>
        <v>0</v>
      </c>
      <c r="E99">
        <f>'Quick View_ Sample Data'!O100</f>
        <v>63</v>
      </c>
      <c r="F99">
        <f>'Quick View_ Sample Data'!AO100</f>
        <v>0</v>
      </c>
      <c r="G99">
        <f>'Quick View_ Sample Data'!O100</f>
        <v>63</v>
      </c>
      <c r="H99">
        <f>'Quick View_ Sample Data'!AP100</f>
        <v>0</v>
      </c>
      <c r="I99">
        <f>'Quick View_ Sample Data'!AF100</f>
        <v>0</v>
      </c>
      <c r="J99">
        <f>'Quick View_ Sample Data'!AJ100</f>
        <v>0</v>
      </c>
      <c r="K99">
        <f>'Quick View_ Sample Data'!AH100</f>
        <v>646.239237463721</v>
      </c>
      <c r="L99">
        <f t="shared" si="1"/>
        <v>0</v>
      </c>
    </row>
    <row r="100" spans="1:12" ht="12.75" customHeight="1">
      <c r="A100" s="321"/>
      <c r="B100" t="str">
        <f>'Quick View_ Sample Data'!P101</f>
        <v>SiNx</v>
      </c>
      <c r="C100">
        <f>'Quick View_ Sample Data'!O101</f>
        <v>63</v>
      </c>
      <c r="D100">
        <f>'Quick View_ Sample Data'!AN101</f>
        <v>0</v>
      </c>
      <c r="E100">
        <f>'Quick View_ Sample Data'!O101</f>
        <v>63</v>
      </c>
      <c r="F100">
        <f>'Quick View_ Sample Data'!AO101</f>
        <v>0</v>
      </c>
      <c r="G100">
        <f>'Quick View_ Sample Data'!O101</f>
        <v>63</v>
      </c>
      <c r="H100">
        <f>'Quick View_ Sample Data'!AP101</f>
        <v>0</v>
      </c>
      <c r="I100">
        <f>'Quick View_ Sample Data'!AF101</f>
        <v>0</v>
      </c>
      <c r="J100">
        <f>'Quick View_ Sample Data'!AJ101</f>
        <v>0</v>
      </c>
      <c r="K100">
        <f>'Quick View_ Sample Data'!AH101</f>
        <v>650.08368504794203</v>
      </c>
      <c r="L100">
        <f t="shared" si="1"/>
        <v>0</v>
      </c>
    </row>
    <row r="101" spans="1:12" ht="12.75" customHeight="1">
      <c r="A101" s="321"/>
      <c r="B101" t="str">
        <f>'Quick View_ Sample Data'!P102</f>
        <v>SiNx</v>
      </c>
      <c r="C101">
        <f>'Quick View_ Sample Data'!O102</f>
        <v>63</v>
      </c>
      <c r="D101">
        <f>'Quick View_ Sample Data'!AN102</f>
        <v>0</v>
      </c>
      <c r="E101">
        <f>'Quick View_ Sample Data'!O102</f>
        <v>63</v>
      </c>
      <c r="F101">
        <f>'Quick View_ Sample Data'!AO102</f>
        <v>0</v>
      </c>
      <c r="G101">
        <f>'Quick View_ Sample Data'!O102</f>
        <v>63</v>
      </c>
      <c r="H101">
        <f>'Quick View_ Sample Data'!AP102</f>
        <v>0</v>
      </c>
      <c r="I101">
        <f>'Quick View_ Sample Data'!AF102</f>
        <v>0</v>
      </c>
      <c r="J101">
        <f>'Quick View_ Sample Data'!AJ102</f>
        <v>0</v>
      </c>
      <c r="K101">
        <f>'Quick View_ Sample Data'!AH102</f>
        <v>660.74892673320005</v>
      </c>
      <c r="L101">
        <f t="shared" si="1"/>
        <v>0</v>
      </c>
    </row>
    <row r="102" spans="1:12" ht="12.75" customHeight="1">
      <c r="A102" s="321"/>
      <c r="B102" t="str">
        <f>'Quick View_ Sample Data'!P103</f>
        <v>SiNx</v>
      </c>
      <c r="C102">
        <f>'Quick View_ Sample Data'!O103</f>
        <v>63</v>
      </c>
      <c r="D102">
        <f>'Quick View_ Sample Data'!AN103</f>
        <v>0</v>
      </c>
      <c r="E102">
        <f>'Quick View_ Sample Data'!O103</f>
        <v>63</v>
      </c>
      <c r="F102">
        <f>'Quick View_ Sample Data'!AO103</f>
        <v>0</v>
      </c>
      <c r="G102">
        <f>'Quick View_ Sample Data'!O103</f>
        <v>63</v>
      </c>
      <c r="H102">
        <f>'Quick View_ Sample Data'!AP103</f>
        <v>0</v>
      </c>
      <c r="I102">
        <f>'Quick View_ Sample Data'!AF103</f>
        <v>0</v>
      </c>
      <c r="J102">
        <f>'Quick View_ Sample Data'!AJ103</f>
        <v>0</v>
      </c>
      <c r="K102">
        <f>'Quick View_ Sample Data'!AH103</f>
        <v>656.78046471077903</v>
      </c>
      <c r="L102">
        <f t="shared" si="1"/>
        <v>0</v>
      </c>
    </row>
    <row r="103" spans="1:12" ht="12.75" customHeight="1">
      <c r="A103" s="321"/>
      <c r="B103" t="str">
        <f>'Quick View_ Sample Data'!P104</f>
        <v>MgO</v>
      </c>
      <c r="C103" t="str">
        <f>'Quick View_ Sample Data'!O104</f>
        <v>64-65</v>
      </c>
      <c r="D103">
        <f>'Quick View_ Sample Data'!AN104</f>
        <v>0</v>
      </c>
      <c r="E103" t="str">
        <f>'Quick View_ Sample Data'!O104</f>
        <v>64-65</v>
      </c>
      <c r="F103">
        <f>'Quick View_ Sample Data'!AO104</f>
        <v>0</v>
      </c>
      <c r="G103" t="str">
        <f>'Quick View_ Sample Data'!O104</f>
        <v>64-65</v>
      </c>
      <c r="H103" t="e">
        <f>'Quick View_ Sample Data'!AP104</f>
        <v>#VALUE!</v>
      </c>
      <c r="I103">
        <f>'Quick View_ Sample Data'!AF104</f>
        <v>0</v>
      </c>
      <c r="J103">
        <f>'Quick View_ Sample Data'!AJ104</f>
        <v>0</v>
      </c>
      <c r="K103">
        <f>'Quick View_ Sample Data'!AH104</f>
        <v>304.20741690625698</v>
      </c>
      <c r="L103">
        <f t="shared" si="1"/>
        <v>0</v>
      </c>
    </row>
    <row r="104" spans="1:12" ht="12.75" customHeight="1">
      <c r="A104" s="321"/>
      <c r="B104" t="str">
        <f>'Quick View_ Sample Data'!P105</f>
        <v>MgO</v>
      </c>
      <c r="C104" t="str">
        <f>'Quick View_ Sample Data'!O105</f>
        <v>64-65</v>
      </c>
      <c r="D104">
        <f>'Quick View_ Sample Data'!AN105</f>
        <v>0</v>
      </c>
      <c r="E104" t="str">
        <f>'Quick View_ Sample Data'!O105</f>
        <v>64-65</v>
      </c>
      <c r="F104">
        <f>'Quick View_ Sample Data'!AO105</f>
        <v>0</v>
      </c>
      <c r="G104" t="str">
        <f>'Quick View_ Sample Data'!O105</f>
        <v>64-65</v>
      </c>
      <c r="H104" t="e">
        <f>'Quick View_ Sample Data'!AP105</f>
        <v>#VALUE!</v>
      </c>
      <c r="I104">
        <f>'Quick View_ Sample Data'!AF105</f>
        <v>0</v>
      </c>
      <c r="J104">
        <f>'Quick View_ Sample Data'!AJ105</f>
        <v>0</v>
      </c>
      <c r="K104">
        <f>'Quick View_ Sample Data'!AH105</f>
        <v>264.435986575301</v>
      </c>
      <c r="L104">
        <f t="shared" si="1"/>
        <v>0</v>
      </c>
    </row>
    <row r="105" spans="1:12" ht="12.75" customHeight="1">
      <c r="A105" s="321"/>
      <c r="B105" t="str">
        <f>'Quick View_ Sample Data'!P106</f>
        <v>MgO</v>
      </c>
      <c r="C105" t="str">
        <f>'Quick View_ Sample Data'!O106</f>
        <v>64-65</v>
      </c>
      <c r="D105">
        <f>'Quick View_ Sample Data'!AN106</f>
        <v>0</v>
      </c>
      <c r="E105" t="str">
        <f>'Quick View_ Sample Data'!O106</f>
        <v>64-65</v>
      </c>
      <c r="F105">
        <f>'Quick View_ Sample Data'!AO106</f>
        <v>0</v>
      </c>
      <c r="G105" t="str">
        <f>'Quick View_ Sample Data'!O106</f>
        <v>64-65</v>
      </c>
      <c r="H105" t="e">
        <f>'Quick View_ Sample Data'!AP106</f>
        <v>#VALUE!</v>
      </c>
      <c r="I105">
        <f>'Quick View_ Sample Data'!AF106</f>
        <v>0</v>
      </c>
      <c r="J105">
        <f>'Quick View_ Sample Data'!AJ106</f>
        <v>0</v>
      </c>
      <c r="K105">
        <f>'Quick View_ Sample Data'!AH106</f>
        <v>298.82519028834798</v>
      </c>
      <c r="L105">
        <f t="shared" si="1"/>
        <v>0</v>
      </c>
    </row>
    <row r="106" spans="1:12" ht="12.75" customHeight="1">
      <c r="A106" s="321"/>
      <c r="B106" t="str">
        <f>'Quick View_ Sample Data'!P107</f>
        <v>MgO</v>
      </c>
      <c r="C106" t="str">
        <f>'Quick View_ Sample Data'!O107</f>
        <v>64-65</v>
      </c>
      <c r="D106">
        <f>'Quick View_ Sample Data'!AN107</f>
        <v>0</v>
      </c>
      <c r="E106" t="str">
        <f>'Quick View_ Sample Data'!O107</f>
        <v>64-65</v>
      </c>
      <c r="F106">
        <f>'Quick View_ Sample Data'!AO107</f>
        <v>0</v>
      </c>
      <c r="G106" t="str">
        <f>'Quick View_ Sample Data'!O107</f>
        <v>64-65</v>
      </c>
      <c r="H106" t="e">
        <f>'Quick View_ Sample Data'!AP107</f>
        <v>#VALUE!</v>
      </c>
      <c r="I106">
        <f>'Quick View_ Sample Data'!AF107</f>
        <v>0</v>
      </c>
      <c r="J106">
        <f>'Quick View_ Sample Data'!AJ107</f>
        <v>0</v>
      </c>
      <c r="K106">
        <f>'Quick View_ Sample Data'!AH107</f>
        <v>304.49265011411899</v>
      </c>
      <c r="L106">
        <f t="shared" si="1"/>
        <v>0</v>
      </c>
    </row>
    <row r="107" spans="1:12" ht="12.75" customHeight="1">
      <c r="A107" s="321"/>
      <c r="B107" t="str">
        <f>'Quick View_ Sample Data'!P108</f>
        <v>MgO</v>
      </c>
      <c r="C107">
        <f>'Quick View_ Sample Data'!O108</f>
        <v>66</v>
      </c>
      <c r="D107">
        <f>'Quick View_ Sample Data'!AN108</f>
        <v>0</v>
      </c>
      <c r="E107">
        <f>'Quick View_ Sample Data'!O108</f>
        <v>66</v>
      </c>
      <c r="F107">
        <f>'Quick View_ Sample Data'!AO108</f>
        <v>0</v>
      </c>
      <c r="G107">
        <f>'Quick View_ Sample Data'!O108</f>
        <v>66</v>
      </c>
      <c r="H107">
        <f>'Quick View_ Sample Data'!AP108</f>
        <v>0</v>
      </c>
      <c r="I107">
        <f>'Quick View_ Sample Data'!AF108</f>
        <v>0</v>
      </c>
      <c r="J107">
        <f>'Quick View_ Sample Data'!AJ108</f>
        <v>0</v>
      </c>
      <c r="K107">
        <f>'Quick View_ Sample Data'!AH108</f>
        <v>0</v>
      </c>
      <c r="L107">
        <f t="shared" si="1"/>
        <v>0</v>
      </c>
    </row>
    <row r="108" spans="1:12" ht="12.75" customHeight="1">
      <c r="A108" s="321"/>
      <c r="B108" t="str">
        <f>'Quick View_ Sample Data'!P109</f>
        <v>MgO</v>
      </c>
      <c r="C108">
        <f>'Quick View_ Sample Data'!O109</f>
        <v>66</v>
      </c>
      <c r="D108">
        <f>'Quick View_ Sample Data'!AN109</f>
        <v>0</v>
      </c>
      <c r="E108">
        <f>'Quick View_ Sample Data'!O109</f>
        <v>66</v>
      </c>
      <c r="F108">
        <f>'Quick View_ Sample Data'!AO109</f>
        <v>0</v>
      </c>
      <c r="G108">
        <f>'Quick View_ Sample Data'!O109</f>
        <v>66</v>
      </c>
      <c r="H108">
        <f>'Quick View_ Sample Data'!AP109</f>
        <v>0</v>
      </c>
      <c r="I108">
        <f>'Quick View_ Sample Data'!AF109</f>
        <v>0</v>
      </c>
      <c r="J108">
        <f>'Quick View_ Sample Data'!AJ109</f>
        <v>0</v>
      </c>
      <c r="K108">
        <f>'Quick View_ Sample Data'!AH109</f>
        <v>0</v>
      </c>
      <c r="L108">
        <f t="shared" si="1"/>
        <v>0</v>
      </c>
    </row>
    <row r="109" spans="1:12" ht="12.75" customHeight="1">
      <c r="A109" s="321"/>
      <c r="B109" t="str">
        <f>'Quick View_ Sample Data'!P110</f>
        <v>MgO</v>
      </c>
      <c r="C109">
        <f>'Quick View_ Sample Data'!O110</f>
        <v>66</v>
      </c>
      <c r="D109">
        <f>'Quick View_ Sample Data'!AN110</f>
        <v>0</v>
      </c>
      <c r="E109">
        <f>'Quick View_ Sample Data'!O110</f>
        <v>66</v>
      </c>
      <c r="F109">
        <f>'Quick View_ Sample Data'!AO110</f>
        <v>0</v>
      </c>
      <c r="G109">
        <f>'Quick View_ Sample Data'!O110</f>
        <v>66</v>
      </c>
      <c r="H109">
        <f>'Quick View_ Sample Data'!AP110</f>
        <v>0</v>
      </c>
      <c r="I109">
        <f>'Quick View_ Sample Data'!AF110</f>
        <v>0</v>
      </c>
      <c r="J109">
        <f>'Quick View_ Sample Data'!AJ110</f>
        <v>0</v>
      </c>
      <c r="K109">
        <f>'Quick View_ Sample Data'!AH110</f>
        <v>0</v>
      </c>
      <c r="L109">
        <f t="shared" si="1"/>
        <v>0</v>
      </c>
    </row>
    <row r="110" spans="1:12" ht="12.75" customHeight="1">
      <c r="A110" s="321"/>
      <c r="B110" t="str">
        <f>'Quick View_ Sample Data'!P111</f>
        <v>MgO</v>
      </c>
      <c r="C110">
        <f>'Quick View_ Sample Data'!O111</f>
        <v>66</v>
      </c>
      <c r="D110">
        <f>'Quick View_ Sample Data'!AN111</f>
        <v>0</v>
      </c>
      <c r="E110">
        <f>'Quick View_ Sample Data'!O111</f>
        <v>66</v>
      </c>
      <c r="F110">
        <f>'Quick View_ Sample Data'!AO111</f>
        <v>0</v>
      </c>
      <c r="G110">
        <f>'Quick View_ Sample Data'!O111</f>
        <v>66</v>
      </c>
      <c r="H110">
        <f>'Quick View_ Sample Data'!AP111</f>
        <v>0</v>
      </c>
      <c r="I110">
        <f>'Quick View_ Sample Data'!AF111</f>
        <v>0</v>
      </c>
      <c r="J110">
        <f>'Quick View_ Sample Data'!AJ111</f>
        <v>0</v>
      </c>
      <c r="K110">
        <f>'Quick View_ Sample Data'!AH111</f>
        <v>0</v>
      </c>
      <c r="L110">
        <f t="shared" si="1"/>
        <v>0</v>
      </c>
    </row>
    <row r="111" spans="1:12" ht="12.75" customHeight="1">
      <c r="A111" s="321"/>
      <c r="B111" t="str">
        <f>'Quick View_ Sample Data'!P112</f>
        <v>MgO</v>
      </c>
      <c r="C111">
        <f>'Quick View_ Sample Data'!O112</f>
        <v>67</v>
      </c>
      <c r="D111">
        <f>'Quick View_ Sample Data'!AN112</f>
        <v>0</v>
      </c>
      <c r="E111">
        <f>'Quick View_ Sample Data'!O112</f>
        <v>67</v>
      </c>
      <c r="F111">
        <f>'Quick View_ Sample Data'!AO112</f>
        <v>0</v>
      </c>
      <c r="G111">
        <f>'Quick View_ Sample Data'!O112</f>
        <v>67</v>
      </c>
      <c r="H111">
        <f>'Quick View_ Sample Data'!AP112</f>
        <v>0</v>
      </c>
      <c r="I111">
        <f>'Quick View_ Sample Data'!AF112</f>
        <v>0</v>
      </c>
      <c r="J111">
        <f>'Quick View_ Sample Data'!AJ112</f>
        <v>0</v>
      </c>
      <c r="K111">
        <f>'Quick View_ Sample Data'!AH112</f>
        <v>903.94124004472496</v>
      </c>
      <c r="L111">
        <f t="shared" si="1"/>
        <v>0</v>
      </c>
    </row>
    <row r="112" spans="1:12" ht="12.75" customHeight="1">
      <c r="A112" s="321"/>
      <c r="B112" t="str">
        <f>'Quick View_ Sample Data'!P113</f>
        <v>MgO</v>
      </c>
      <c r="C112">
        <f>'Quick View_ Sample Data'!O113</f>
        <v>67</v>
      </c>
      <c r="D112">
        <f>'Quick View_ Sample Data'!AN113</f>
        <v>0</v>
      </c>
      <c r="E112">
        <f>'Quick View_ Sample Data'!O113</f>
        <v>67</v>
      </c>
      <c r="F112">
        <f>'Quick View_ Sample Data'!AO113</f>
        <v>0</v>
      </c>
      <c r="G112">
        <f>'Quick View_ Sample Data'!O113</f>
        <v>67</v>
      </c>
      <c r="H112">
        <f>'Quick View_ Sample Data'!AP113</f>
        <v>0</v>
      </c>
      <c r="I112">
        <f>'Quick View_ Sample Data'!AF113</f>
        <v>0</v>
      </c>
      <c r="J112">
        <f>'Quick View_ Sample Data'!AJ113</f>
        <v>0</v>
      </c>
      <c r="K112">
        <f>'Quick View_ Sample Data'!AH113</f>
        <v>916.59071274119401</v>
      </c>
      <c r="L112">
        <f t="shared" si="1"/>
        <v>0</v>
      </c>
    </row>
    <row r="113" spans="1:12" ht="12.75" customHeight="1">
      <c r="A113" s="321"/>
      <c r="B113" t="str">
        <f>'Quick View_ Sample Data'!P114</f>
        <v>MgO</v>
      </c>
      <c r="C113">
        <f>'Quick View_ Sample Data'!O114</f>
        <v>67</v>
      </c>
      <c r="D113">
        <f>'Quick View_ Sample Data'!AN114</f>
        <v>0</v>
      </c>
      <c r="E113">
        <f>'Quick View_ Sample Data'!O114</f>
        <v>67</v>
      </c>
      <c r="F113">
        <f>'Quick View_ Sample Data'!AO114</f>
        <v>0</v>
      </c>
      <c r="G113">
        <f>'Quick View_ Sample Data'!O114</f>
        <v>67</v>
      </c>
      <c r="H113">
        <f>'Quick View_ Sample Data'!AP114</f>
        <v>0</v>
      </c>
      <c r="I113">
        <f>'Quick View_ Sample Data'!AF114</f>
        <v>0</v>
      </c>
      <c r="J113">
        <f>'Quick View_ Sample Data'!AJ114</f>
        <v>0</v>
      </c>
      <c r="K113">
        <f>'Quick View_ Sample Data'!AH114</f>
        <v>904.437297797528</v>
      </c>
      <c r="L113">
        <f t="shared" si="1"/>
        <v>0</v>
      </c>
    </row>
    <row r="114" spans="1:12" ht="12.75" customHeight="1">
      <c r="A114" s="321"/>
      <c r="B114" t="str">
        <f>'Quick View_ Sample Data'!P115</f>
        <v>MgO</v>
      </c>
      <c r="C114">
        <f>'Quick View_ Sample Data'!O115</f>
        <v>67</v>
      </c>
      <c r="D114">
        <f>'Quick View_ Sample Data'!AN115</f>
        <v>0</v>
      </c>
      <c r="E114">
        <f>'Quick View_ Sample Data'!O115</f>
        <v>67</v>
      </c>
      <c r="F114">
        <f>'Quick View_ Sample Data'!AO115</f>
        <v>0</v>
      </c>
      <c r="G114">
        <f>'Quick View_ Sample Data'!O115</f>
        <v>67</v>
      </c>
      <c r="H114">
        <f>'Quick View_ Sample Data'!AP115</f>
        <v>0</v>
      </c>
      <c r="I114">
        <f>'Quick View_ Sample Data'!AF115</f>
        <v>0</v>
      </c>
      <c r="J114">
        <f>'Quick View_ Sample Data'!AJ115</f>
        <v>0</v>
      </c>
      <c r="K114">
        <f>'Quick View_ Sample Data'!AH115</f>
        <v>900.964893527909</v>
      </c>
      <c r="L114">
        <f t="shared" si="1"/>
        <v>0</v>
      </c>
    </row>
    <row r="115" spans="1:12" ht="12.75" customHeight="1">
      <c r="A115" s="321"/>
      <c r="B115" t="str">
        <f>'Quick View_ Sample Data'!P116</f>
        <v>MgO</v>
      </c>
      <c r="C115">
        <f>'Quick View_ Sample Data'!O116</f>
        <v>68</v>
      </c>
      <c r="D115">
        <f>'Quick View_ Sample Data'!AN116</f>
        <v>0</v>
      </c>
      <c r="E115">
        <f>'Quick View_ Sample Data'!O116</f>
        <v>68</v>
      </c>
      <c r="F115">
        <f>'Quick View_ Sample Data'!AO116</f>
        <v>0</v>
      </c>
      <c r="G115">
        <f>'Quick View_ Sample Data'!O116</f>
        <v>68</v>
      </c>
      <c r="H115">
        <f>'Quick View_ Sample Data'!AP116</f>
        <v>0</v>
      </c>
      <c r="I115">
        <f>'Quick View_ Sample Data'!AF116</f>
        <v>0</v>
      </c>
      <c r="J115">
        <f>'Quick View_ Sample Data'!AJ116</f>
        <v>0</v>
      </c>
      <c r="K115">
        <f>'Quick View_ Sample Data'!AH116</f>
        <v>508.70722549917201</v>
      </c>
      <c r="L115">
        <f t="shared" si="1"/>
        <v>0</v>
      </c>
    </row>
    <row r="116" spans="1:12" ht="12.75" customHeight="1">
      <c r="A116" s="321"/>
      <c r="B116" t="str">
        <f>'Quick View_ Sample Data'!P117</f>
        <v>MgO</v>
      </c>
      <c r="C116">
        <f>'Quick View_ Sample Data'!O117</f>
        <v>68</v>
      </c>
      <c r="D116">
        <f>'Quick View_ Sample Data'!AN117</f>
        <v>0</v>
      </c>
      <c r="E116">
        <f>'Quick View_ Sample Data'!O117</f>
        <v>68</v>
      </c>
      <c r="F116">
        <f>'Quick View_ Sample Data'!AO117</f>
        <v>0</v>
      </c>
      <c r="G116">
        <f>'Quick View_ Sample Data'!O117</f>
        <v>68</v>
      </c>
      <c r="H116">
        <f>'Quick View_ Sample Data'!AP117</f>
        <v>0</v>
      </c>
      <c r="I116">
        <f>'Quick View_ Sample Data'!AF117</f>
        <v>0</v>
      </c>
      <c r="J116">
        <f>'Quick View_ Sample Data'!AJ117</f>
        <v>0</v>
      </c>
      <c r="K116">
        <f>'Quick View_ Sample Data'!AH117</f>
        <v>495.685709488101</v>
      </c>
      <c r="L116">
        <f t="shared" si="1"/>
        <v>0</v>
      </c>
    </row>
    <row r="117" spans="1:12" ht="12.75" customHeight="1">
      <c r="A117" s="321"/>
      <c r="B117" t="str">
        <f>'Quick View_ Sample Data'!P118</f>
        <v>MgO</v>
      </c>
      <c r="C117">
        <f>'Quick View_ Sample Data'!O118</f>
        <v>68</v>
      </c>
      <c r="D117">
        <f>'Quick View_ Sample Data'!AN118</f>
        <v>0</v>
      </c>
      <c r="E117">
        <f>'Quick View_ Sample Data'!O118</f>
        <v>68</v>
      </c>
      <c r="F117">
        <f>'Quick View_ Sample Data'!AO118</f>
        <v>0</v>
      </c>
      <c r="G117">
        <f>'Quick View_ Sample Data'!O118</f>
        <v>68</v>
      </c>
      <c r="H117">
        <f>'Quick View_ Sample Data'!AP118</f>
        <v>0</v>
      </c>
      <c r="I117">
        <f>'Quick View_ Sample Data'!AF118</f>
        <v>0</v>
      </c>
      <c r="J117">
        <f>'Quick View_ Sample Data'!AJ118</f>
        <v>0</v>
      </c>
      <c r="K117">
        <f>'Quick View_ Sample Data'!AH118</f>
        <v>529.789679993287</v>
      </c>
      <c r="L117">
        <f t="shared" si="1"/>
        <v>0</v>
      </c>
    </row>
    <row r="118" spans="1:12" ht="12.75" customHeight="1">
      <c r="A118" s="321"/>
      <c r="B118" t="str">
        <f>'Quick View_ Sample Data'!P119</f>
        <v>MgO</v>
      </c>
      <c r="C118">
        <f>'Quick View_ Sample Data'!O119</f>
        <v>68</v>
      </c>
      <c r="D118" t="e">
        <f>'Quick View_ Sample Data'!AN119</f>
        <v>#VALUE!</v>
      </c>
      <c r="E118">
        <f>'Quick View_ Sample Data'!O119</f>
        <v>68</v>
      </c>
      <c r="F118" t="e">
        <f>'Quick View_ Sample Data'!AO119</f>
        <v>#VALUE!</v>
      </c>
      <c r="G118">
        <f>'Quick View_ Sample Data'!O119</f>
        <v>68</v>
      </c>
      <c r="H118" t="e">
        <f>'Quick View_ Sample Data'!AP119</f>
        <v>#VALUE!</v>
      </c>
      <c r="I118" t="str">
        <f>'Quick View_ Sample Data'!AF119</f>
        <v>2.8218, 2.7289</v>
      </c>
      <c r="J118">
        <f>'Quick View_ Sample Data'!AJ119</f>
        <v>10.119638139999999</v>
      </c>
      <c r="K118">
        <f>'Quick View_ Sample Data'!AH119</f>
        <v>495.56169504989998</v>
      </c>
      <c r="L118" t="e">
        <f t="shared" si="1"/>
        <v>#VALUE!</v>
      </c>
    </row>
    <row r="119" spans="1:12" ht="12.75" customHeight="1">
      <c r="A119" s="321"/>
      <c r="B119" t="str">
        <f>'Quick View_ Sample Data'!P120</f>
        <v>SiNx</v>
      </c>
      <c r="C119">
        <f>'Quick View_ Sample Data'!O120</f>
        <v>69</v>
      </c>
      <c r="D119">
        <f>'Quick View_ Sample Data'!AN120</f>
        <v>0</v>
      </c>
      <c r="E119">
        <f>'Quick View_ Sample Data'!O120</f>
        <v>69</v>
      </c>
      <c r="F119">
        <f>'Quick View_ Sample Data'!AO120</f>
        <v>0</v>
      </c>
      <c r="G119">
        <f>'Quick View_ Sample Data'!O120</f>
        <v>69</v>
      </c>
      <c r="H119">
        <f>'Quick View_ Sample Data'!AP120</f>
        <v>0</v>
      </c>
      <c r="I119">
        <f>'Quick View_ Sample Data'!AF120</f>
        <v>0</v>
      </c>
      <c r="J119">
        <f>'Quick View_ Sample Data'!AJ120</f>
        <v>0</v>
      </c>
      <c r="K119">
        <f>'Quick View_ Sample Data'!AH120</f>
        <v>705.27011004724295</v>
      </c>
      <c r="L119">
        <f t="shared" si="1"/>
        <v>0</v>
      </c>
    </row>
    <row r="120" spans="1:12" ht="12.75" customHeight="1">
      <c r="A120" s="321"/>
      <c r="B120" t="str">
        <f>'Quick View_ Sample Data'!P121</f>
        <v>SiNx</v>
      </c>
      <c r="C120">
        <f>'Quick View_ Sample Data'!O121</f>
        <v>69</v>
      </c>
      <c r="D120">
        <f>'Quick View_ Sample Data'!AN121</f>
        <v>0</v>
      </c>
      <c r="E120">
        <f>'Quick View_ Sample Data'!O121</f>
        <v>69</v>
      </c>
      <c r="F120">
        <f>'Quick View_ Sample Data'!AO121</f>
        <v>0</v>
      </c>
      <c r="G120">
        <f>'Quick View_ Sample Data'!O121</f>
        <v>69</v>
      </c>
      <c r="H120">
        <f>'Quick View_ Sample Data'!AP121</f>
        <v>0</v>
      </c>
      <c r="I120">
        <f>'Quick View_ Sample Data'!AF121</f>
        <v>0</v>
      </c>
      <c r="J120">
        <f>'Quick View_ Sample Data'!AJ121</f>
        <v>0</v>
      </c>
      <c r="K120">
        <f>'Quick View_ Sample Data'!AH121</f>
        <v>713.45506296848703</v>
      </c>
      <c r="L120">
        <f t="shared" si="1"/>
        <v>0</v>
      </c>
    </row>
    <row r="121" spans="1:12" ht="12.75" customHeight="1">
      <c r="A121" s="321"/>
      <c r="B121" t="str">
        <f>'Quick View_ Sample Data'!P122</f>
        <v>SiNx</v>
      </c>
      <c r="C121">
        <f>'Quick View_ Sample Data'!O122</f>
        <v>69</v>
      </c>
      <c r="D121">
        <f>'Quick View_ Sample Data'!AN122</f>
        <v>0</v>
      </c>
      <c r="E121">
        <f>'Quick View_ Sample Data'!O122</f>
        <v>69</v>
      </c>
      <c r="F121">
        <f>'Quick View_ Sample Data'!AO122</f>
        <v>0</v>
      </c>
      <c r="G121">
        <f>'Quick View_ Sample Data'!O122</f>
        <v>69</v>
      </c>
      <c r="H121">
        <f>'Quick View_ Sample Data'!AP122</f>
        <v>0</v>
      </c>
      <c r="I121">
        <f>'Quick View_ Sample Data'!AF122</f>
        <v>0</v>
      </c>
      <c r="J121">
        <f>'Quick View_ Sample Data'!AJ122</f>
        <v>0</v>
      </c>
      <c r="K121">
        <f>'Quick View_ Sample Data'!AH122</f>
        <v>713.083019653885</v>
      </c>
      <c r="L121">
        <f t="shared" si="1"/>
        <v>0</v>
      </c>
    </row>
    <row r="122" spans="1:12" ht="12.75" customHeight="1">
      <c r="A122" s="321"/>
      <c r="B122" t="str">
        <f>'Quick View_ Sample Data'!P123</f>
        <v>SiNx</v>
      </c>
      <c r="C122">
        <f>'Quick View_ Sample Data'!O123</f>
        <v>69</v>
      </c>
      <c r="D122">
        <f>'Quick View_ Sample Data'!AN123</f>
        <v>0</v>
      </c>
      <c r="E122">
        <f>'Quick View_ Sample Data'!O123</f>
        <v>69</v>
      </c>
      <c r="F122">
        <f>'Quick View_ Sample Data'!AO123</f>
        <v>0</v>
      </c>
      <c r="G122">
        <f>'Quick View_ Sample Data'!O123</f>
        <v>69</v>
      </c>
      <c r="H122">
        <f>'Quick View_ Sample Data'!AP123</f>
        <v>0</v>
      </c>
      <c r="I122">
        <f>'Quick View_ Sample Data'!AF123</f>
        <v>0</v>
      </c>
      <c r="J122">
        <f>'Quick View_ Sample Data'!AJ123</f>
        <v>0</v>
      </c>
      <c r="K122">
        <f>'Quick View_ Sample Data'!AH123</f>
        <v>704.27799454163699</v>
      </c>
      <c r="L122">
        <f t="shared" si="1"/>
        <v>0</v>
      </c>
    </row>
    <row r="123" spans="1:12" ht="12.75" customHeight="1">
      <c r="A123" s="321"/>
      <c r="B123" t="str">
        <f>'Quick View_ Sample Data'!P124</f>
        <v>MgO</v>
      </c>
      <c r="C123">
        <f>'Quick View_ Sample Data'!O124</f>
        <v>71</v>
      </c>
      <c r="D123">
        <f>'Quick View_ Sample Data'!AN124</f>
        <v>209.06105962993496</v>
      </c>
      <c r="E123">
        <f>'Quick View_ Sample Data'!O124</f>
        <v>71</v>
      </c>
      <c r="F123">
        <f>'Quick View_ Sample Data'!AO124</f>
        <v>17352.067949284603</v>
      </c>
      <c r="G123">
        <f>'Quick View_ Sample Data'!O124</f>
        <v>71</v>
      </c>
      <c r="H123">
        <f>'Quick View_ Sample Data'!AP124</f>
        <v>3.9157894736842107</v>
      </c>
      <c r="I123">
        <f>'Quick View_ Sample Data'!AF124</f>
        <v>6.2</v>
      </c>
      <c r="J123">
        <f>'Quick View_ Sample Data'!AJ124</f>
        <v>8.3000000000000007</v>
      </c>
      <c r="K123">
        <f>'Quick View_ Sample Data'!AH124</f>
        <v>337.19525746763702</v>
      </c>
      <c r="L123">
        <f t="shared" si="1"/>
        <v>51.460000000000008</v>
      </c>
    </row>
    <row r="124" spans="1:12" ht="12.75" customHeight="1">
      <c r="A124" s="321"/>
      <c r="B124" t="str">
        <f>'Quick View_ Sample Data'!P125</f>
        <v>MgO</v>
      </c>
      <c r="C124">
        <f>'Quick View_ Sample Data'!O125</f>
        <v>71</v>
      </c>
      <c r="D124">
        <f>'Quick View_ Sample Data'!AN125</f>
        <v>0</v>
      </c>
      <c r="E124">
        <f>'Quick View_ Sample Data'!O125</f>
        <v>71</v>
      </c>
      <c r="F124">
        <f>'Quick View_ Sample Data'!AO125</f>
        <v>0</v>
      </c>
      <c r="G124">
        <f>'Quick View_ Sample Data'!O125</f>
        <v>71</v>
      </c>
      <c r="H124">
        <f>'Quick View_ Sample Data'!AP125</f>
        <v>0</v>
      </c>
      <c r="I124">
        <f>'Quick View_ Sample Data'!AF125</f>
        <v>0</v>
      </c>
      <c r="J124">
        <f>'Quick View_ Sample Data'!AJ125</f>
        <v>0</v>
      </c>
      <c r="K124">
        <f>'Quick View_ Sample Data'!AH125</f>
        <v>386.05694611870399</v>
      </c>
      <c r="L124">
        <f t="shared" si="1"/>
        <v>0</v>
      </c>
    </row>
    <row r="125" spans="1:12" ht="12.75" customHeight="1">
      <c r="A125" s="321"/>
      <c r="B125" t="str">
        <f>'Quick View_ Sample Data'!P126</f>
        <v>MgO</v>
      </c>
      <c r="C125">
        <f>'Quick View_ Sample Data'!O126</f>
        <v>71</v>
      </c>
      <c r="D125">
        <f>'Quick View_ Sample Data'!AN126</f>
        <v>0</v>
      </c>
      <c r="E125">
        <f>'Quick View_ Sample Data'!O126</f>
        <v>71</v>
      </c>
      <c r="F125">
        <f>'Quick View_ Sample Data'!AO126</f>
        <v>0</v>
      </c>
      <c r="G125">
        <f>'Quick View_ Sample Data'!O126</f>
        <v>71</v>
      </c>
      <c r="H125">
        <f>'Quick View_ Sample Data'!AP126</f>
        <v>0</v>
      </c>
      <c r="I125">
        <f>'Quick View_ Sample Data'!AF126</f>
        <v>0</v>
      </c>
      <c r="J125">
        <f>'Quick View_ Sample Data'!AJ126</f>
        <v>0</v>
      </c>
      <c r="K125">
        <f>'Quick View_ Sample Data'!AH126</f>
        <v>354.68129325393301</v>
      </c>
      <c r="L125">
        <f t="shared" si="1"/>
        <v>0</v>
      </c>
    </row>
    <row r="126" spans="1:12" ht="12.75" customHeight="1">
      <c r="A126" s="321"/>
      <c r="B126" t="str">
        <f>'Quick View_ Sample Data'!P127</f>
        <v>MgO</v>
      </c>
      <c r="C126">
        <f>'Quick View_ Sample Data'!O127</f>
        <v>71</v>
      </c>
      <c r="D126">
        <f>'Quick View_ Sample Data'!AN127</f>
        <v>0</v>
      </c>
      <c r="E126">
        <f>'Quick View_ Sample Data'!O127</f>
        <v>71</v>
      </c>
      <c r="F126">
        <f>'Quick View_ Sample Data'!AO127</f>
        <v>0</v>
      </c>
      <c r="G126">
        <f>'Quick View_ Sample Data'!O127</f>
        <v>71</v>
      </c>
      <c r="H126">
        <f>'Quick View_ Sample Data'!AP127</f>
        <v>0</v>
      </c>
      <c r="I126">
        <f>'Quick View_ Sample Data'!AF127</f>
        <v>0</v>
      </c>
      <c r="J126">
        <f>'Quick View_ Sample Data'!AJ127</f>
        <v>0</v>
      </c>
      <c r="K126">
        <f>'Quick View_ Sample Data'!AH127</f>
        <v>329.63037673739598</v>
      </c>
      <c r="L126">
        <f t="shared" si="1"/>
        <v>0</v>
      </c>
    </row>
    <row r="127" spans="1:12" ht="12.75" customHeight="1">
      <c r="A127" s="321"/>
      <c r="B127" t="str">
        <f>'Quick View_ Sample Data'!P128</f>
        <v>MgO</v>
      </c>
      <c r="C127">
        <f>'Quick View_ Sample Data'!O128</f>
        <v>72</v>
      </c>
      <c r="D127">
        <f>'Quick View_ Sample Data'!AN128</f>
        <v>114.91678609038861</v>
      </c>
      <c r="E127">
        <f>'Quick View_ Sample Data'!O128</f>
        <v>72</v>
      </c>
      <c r="F127">
        <f>'Quick View_ Sample Data'!AO128</f>
        <v>0</v>
      </c>
      <c r="G127">
        <f>'Quick View_ Sample Data'!O128</f>
        <v>72</v>
      </c>
      <c r="H127">
        <f>'Quick View_ Sample Data'!AP128</f>
        <v>4.12</v>
      </c>
      <c r="I127">
        <f>'Quick View_ Sample Data'!AF128</f>
        <v>10.3</v>
      </c>
      <c r="J127">
        <f>'Quick View_ Sample Data'!AJ128</f>
        <v>0</v>
      </c>
      <c r="K127">
        <f>'Quick View_ Sample Data'!AH128</f>
        <v>111.56969523338699</v>
      </c>
      <c r="L127">
        <f t="shared" si="1"/>
        <v>0</v>
      </c>
    </row>
    <row r="128" spans="1:12" ht="12.75" customHeight="1">
      <c r="A128" s="321"/>
      <c r="B128" t="str">
        <f>'Quick View_ Sample Data'!P129</f>
        <v>MgO</v>
      </c>
      <c r="C128">
        <f>'Quick View_ Sample Data'!O129</f>
        <v>72</v>
      </c>
      <c r="D128">
        <f>'Quick View_ Sample Data'!AN129</f>
        <v>0</v>
      </c>
      <c r="E128">
        <f>'Quick View_ Sample Data'!O129</f>
        <v>72</v>
      </c>
      <c r="F128">
        <f>'Quick View_ Sample Data'!AO129</f>
        <v>0</v>
      </c>
      <c r="G128">
        <f>'Quick View_ Sample Data'!O129</f>
        <v>72</v>
      </c>
      <c r="H128">
        <f>'Quick View_ Sample Data'!AP129</f>
        <v>0</v>
      </c>
      <c r="I128">
        <f>'Quick View_ Sample Data'!AF129</f>
        <v>0</v>
      </c>
      <c r="J128">
        <f>'Quick View_ Sample Data'!AJ129</f>
        <v>0</v>
      </c>
      <c r="K128">
        <f>'Quick View_ Sample Data'!AH129</f>
        <v>110.023420139534</v>
      </c>
      <c r="L128">
        <f t="shared" si="1"/>
        <v>0</v>
      </c>
    </row>
    <row r="129" spans="1:12" ht="12.75" customHeight="1">
      <c r="A129" s="321"/>
      <c r="B129" t="str">
        <f>'Quick View_ Sample Data'!P130</f>
        <v>MgO</v>
      </c>
      <c r="C129">
        <f>'Quick View_ Sample Data'!O130</f>
        <v>72</v>
      </c>
      <c r="D129">
        <f>'Quick View_ Sample Data'!AN130</f>
        <v>0</v>
      </c>
      <c r="E129">
        <f>'Quick View_ Sample Data'!O130</f>
        <v>72</v>
      </c>
      <c r="F129">
        <f>'Quick View_ Sample Data'!AO130</f>
        <v>0</v>
      </c>
      <c r="G129">
        <f>'Quick View_ Sample Data'!O130</f>
        <v>72</v>
      </c>
      <c r="H129">
        <f>'Quick View_ Sample Data'!AP130</f>
        <v>0</v>
      </c>
      <c r="I129">
        <f>'Quick View_ Sample Data'!AF130</f>
        <v>0</v>
      </c>
      <c r="J129">
        <f>'Quick View_ Sample Data'!AJ130</f>
        <v>0</v>
      </c>
      <c r="K129">
        <f>'Quick View_ Sample Data'!AH130</f>
        <v>110.974974043443</v>
      </c>
      <c r="L129">
        <f t="shared" si="1"/>
        <v>0</v>
      </c>
    </row>
    <row r="130" spans="1:12" ht="12.75" customHeight="1">
      <c r="A130" s="321"/>
      <c r="B130" t="str">
        <f>'Quick View_ Sample Data'!P131</f>
        <v>MgO</v>
      </c>
      <c r="C130">
        <f>'Quick View_ Sample Data'!O131</f>
        <v>72</v>
      </c>
      <c r="D130">
        <f>'Quick View_ Sample Data'!AN131</f>
        <v>0</v>
      </c>
      <c r="E130">
        <f>'Quick View_ Sample Data'!O131</f>
        <v>72</v>
      </c>
      <c r="F130">
        <f>'Quick View_ Sample Data'!AO131</f>
        <v>0</v>
      </c>
      <c r="G130">
        <f>'Quick View_ Sample Data'!O131</f>
        <v>72</v>
      </c>
      <c r="H130">
        <f>'Quick View_ Sample Data'!AP131</f>
        <v>0</v>
      </c>
      <c r="I130">
        <f>'Quick View_ Sample Data'!AF131</f>
        <v>0</v>
      </c>
      <c r="J130">
        <f>'Quick View_ Sample Data'!AJ131</f>
        <v>0</v>
      </c>
      <c r="K130">
        <f>'Quick View_ Sample Data'!AH131</f>
        <v>113.472803041205</v>
      </c>
      <c r="L130">
        <f t="shared" ref="L130:L193" si="2">I130*J130</f>
        <v>0</v>
      </c>
    </row>
    <row r="131" spans="1:12" ht="12.75" customHeight="1">
      <c r="A131" s="321"/>
      <c r="B131" t="str">
        <f>'Quick View_ Sample Data'!P132</f>
        <v>MgO</v>
      </c>
      <c r="C131">
        <f>'Quick View_ Sample Data'!O132</f>
        <v>73</v>
      </c>
      <c r="D131">
        <f>'Quick View_ Sample Data'!AN132</f>
        <v>242.27157114725316</v>
      </c>
      <c r="E131">
        <f>'Quick View_ Sample Data'!O132</f>
        <v>73</v>
      </c>
      <c r="F131">
        <f>'Quick View_ Sample Data'!AO132</f>
        <v>0</v>
      </c>
      <c r="G131">
        <f>'Quick View_ Sample Data'!O132</f>
        <v>73</v>
      </c>
      <c r="H131">
        <f>'Quick View_ Sample Data'!AP132</f>
        <v>7.3400000000000007</v>
      </c>
      <c r="I131">
        <f>'Quick View_ Sample Data'!AF132</f>
        <v>36.700000000000003</v>
      </c>
      <c r="J131">
        <f>'Quick View_ Sample Data'!AJ132</f>
        <v>0</v>
      </c>
      <c r="K131">
        <f>'Quick View_ Sample Data'!AH132</f>
        <v>66.014052083720202</v>
      </c>
      <c r="L131">
        <f t="shared" si="2"/>
        <v>0</v>
      </c>
    </row>
    <row r="132" spans="1:12" ht="12.75" customHeight="1">
      <c r="A132" s="321"/>
      <c r="B132" t="str">
        <f>'Quick View_ Sample Data'!P133</f>
        <v>MgO</v>
      </c>
      <c r="C132">
        <f>'Quick View_ Sample Data'!O133</f>
        <v>73</v>
      </c>
      <c r="D132">
        <f>'Quick View_ Sample Data'!AN133</f>
        <v>0</v>
      </c>
      <c r="E132">
        <f>'Quick View_ Sample Data'!O133</f>
        <v>73</v>
      </c>
      <c r="F132">
        <f>'Quick View_ Sample Data'!AO133</f>
        <v>0</v>
      </c>
      <c r="G132">
        <f>'Quick View_ Sample Data'!O133</f>
        <v>73</v>
      </c>
      <c r="H132">
        <f>'Quick View_ Sample Data'!AP133</f>
        <v>0</v>
      </c>
      <c r="I132">
        <f>'Quick View_ Sample Data'!AF133</f>
        <v>0</v>
      </c>
      <c r="J132">
        <f>'Quick View_ Sample Data'!AJ133</f>
        <v>0</v>
      </c>
      <c r="K132">
        <f>'Quick View_ Sample Data'!AH133</f>
        <v>66.132996321708902</v>
      </c>
      <c r="L132">
        <f t="shared" si="2"/>
        <v>0</v>
      </c>
    </row>
    <row r="133" spans="1:12" ht="12.75" customHeight="1">
      <c r="A133" s="321"/>
      <c r="B133" t="str">
        <f>'Quick View_ Sample Data'!P134</f>
        <v>MgO</v>
      </c>
      <c r="C133">
        <f>'Quick View_ Sample Data'!O134</f>
        <v>73</v>
      </c>
      <c r="D133">
        <f>'Quick View_ Sample Data'!AN134</f>
        <v>241.3854365742371</v>
      </c>
      <c r="E133">
        <f>'Quick View_ Sample Data'!O134</f>
        <v>73</v>
      </c>
      <c r="F133">
        <f>'Quick View_ Sample Data'!AO134</f>
        <v>0</v>
      </c>
      <c r="G133">
        <f>'Quick View_ Sample Data'!O134</f>
        <v>73</v>
      </c>
      <c r="H133">
        <f>'Quick View_ Sample Data'!AP134</f>
        <v>7.3000000000000007</v>
      </c>
      <c r="I133">
        <f>'Quick View_ Sample Data'!AF134</f>
        <v>36.5</v>
      </c>
      <c r="J133">
        <f>'Quick View_ Sample Data'!AJ134</f>
        <v>0</v>
      </c>
      <c r="K133">
        <f>'Quick View_ Sample Data'!AH134</f>
        <v>66.132996321708802</v>
      </c>
      <c r="L133">
        <f t="shared" si="2"/>
        <v>0</v>
      </c>
    </row>
    <row r="134" spans="1:12" ht="12.75" customHeight="1">
      <c r="A134" s="321"/>
      <c r="B134" t="str">
        <f>'Quick View_ Sample Data'!P135</f>
        <v>MgO</v>
      </c>
      <c r="C134">
        <f>'Quick View_ Sample Data'!O135</f>
        <v>73</v>
      </c>
      <c r="D134">
        <f>'Quick View_ Sample Data'!AN135</f>
        <v>0</v>
      </c>
      <c r="E134">
        <f>'Quick View_ Sample Data'!O135</f>
        <v>73</v>
      </c>
      <c r="F134">
        <f>'Quick View_ Sample Data'!AO135</f>
        <v>0</v>
      </c>
      <c r="G134">
        <f>'Quick View_ Sample Data'!O135</f>
        <v>73</v>
      </c>
      <c r="H134">
        <f>'Quick View_ Sample Data'!AP135</f>
        <v>0</v>
      </c>
      <c r="I134">
        <f>'Quick View_ Sample Data'!AF135</f>
        <v>0</v>
      </c>
      <c r="J134">
        <f>'Quick View_ Sample Data'!AJ135</f>
        <v>0</v>
      </c>
      <c r="K134">
        <f>'Quick View_ Sample Data'!AH135</f>
        <v>66.251940559697601</v>
      </c>
      <c r="L134">
        <f t="shared" si="2"/>
        <v>0</v>
      </c>
    </row>
    <row r="135" spans="1:12" ht="12.75" customHeight="1">
      <c r="A135" s="321"/>
      <c r="B135" t="str">
        <f>'Quick View_ Sample Data'!P136</f>
        <v>MgO</v>
      </c>
      <c r="C135">
        <f>'Quick View_ Sample Data'!O136</f>
        <v>74</v>
      </c>
      <c r="D135">
        <f>'Quick View_ Sample Data'!AN136</f>
        <v>118.21154148267468</v>
      </c>
      <c r="E135">
        <f>'Quick View_ Sample Data'!O136</f>
        <v>74</v>
      </c>
      <c r="F135">
        <f>'Quick View_ Sample Data'!AO136</f>
        <v>0</v>
      </c>
      <c r="G135">
        <f>'Quick View_ Sample Data'!O136</f>
        <v>74</v>
      </c>
      <c r="H135">
        <f>'Quick View_ Sample Data'!AP136</f>
        <v>3.28</v>
      </c>
      <c r="I135">
        <f>'Quick View_ Sample Data'!AF136</f>
        <v>16.399999999999999</v>
      </c>
      <c r="J135">
        <f>'Quick View_ Sample Data'!AJ136</f>
        <v>0</v>
      </c>
      <c r="K135">
        <f>'Quick View_ Sample Data'!AH136</f>
        <v>72.080208221143096</v>
      </c>
      <c r="L135">
        <f t="shared" si="2"/>
        <v>0</v>
      </c>
    </row>
    <row r="136" spans="1:12" ht="12.75" customHeight="1">
      <c r="A136" s="321"/>
      <c r="B136" t="str">
        <f>'Quick View_ Sample Data'!P137</f>
        <v>MgO</v>
      </c>
      <c r="C136">
        <f>'Quick View_ Sample Data'!O137</f>
        <v>74</v>
      </c>
      <c r="D136">
        <f>'Quick View_ Sample Data'!AN137</f>
        <v>0</v>
      </c>
      <c r="E136">
        <f>'Quick View_ Sample Data'!O137</f>
        <v>74</v>
      </c>
      <c r="F136">
        <f>'Quick View_ Sample Data'!AO137</f>
        <v>0</v>
      </c>
      <c r="G136">
        <f>'Quick View_ Sample Data'!O137</f>
        <v>74</v>
      </c>
      <c r="H136">
        <f>'Quick View_ Sample Data'!AP137</f>
        <v>0</v>
      </c>
      <c r="I136">
        <f>'Quick View_ Sample Data'!AF137</f>
        <v>0</v>
      </c>
      <c r="J136">
        <f>'Quick View_ Sample Data'!AJ137</f>
        <v>0</v>
      </c>
      <c r="K136">
        <f>'Quick View_ Sample Data'!AH137</f>
        <v>69.939211937346798</v>
      </c>
      <c r="L136">
        <f t="shared" si="2"/>
        <v>0</v>
      </c>
    </row>
    <row r="137" spans="1:12" ht="12.75" customHeight="1">
      <c r="A137" s="321"/>
      <c r="B137" t="str">
        <f>'Quick View_ Sample Data'!P138</f>
        <v>MgO</v>
      </c>
      <c r="C137">
        <f>'Quick View_ Sample Data'!O138</f>
        <v>74</v>
      </c>
      <c r="D137">
        <f>'Quick View_ Sample Data'!AN138</f>
        <v>109.61900973037216</v>
      </c>
      <c r="E137">
        <f>'Quick View_ Sample Data'!O138</f>
        <v>74</v>
      </c>
      <c r="F137">
        <f>'Quick View_ Sample Data'!AO138</f>
        <v>0</v>
      </c>
      <c r="G137">
        <f>'Quick View_ Sample Data'!O138</f>
        <v>74</v>
      </c>
      <c r="H137">
        <f>'Quick View_ Sample Data'!AP138</f>
        <v>3.2</v>
      </c>
      <c r="I137">
        <f>'Quick View_ Sample Data'!AF138</f>
        <v>16</v>
      </c>
      <c r="J137">
        <f>'Quick View_ Sample Data'!AJ138</f>
        <v>0</v>
      </c>
      <c r="K137">
        <f>'Quick View_ Sample Data'!AH138</f>
        <v>68.511881081482599</v>
      </c>
      <c r="L137">
        <f t="shared" si="2"/>
        <v>0</v>
      </c>
    </row>
    <row r="138" spans="1:12" ht="12.75" customHeight="1">
      <c r="A138" s="321"/>
      <c r="B138" t="str">
        <f>'Quick View_ Sample Data'!P139</f>
        <v>MgO</v>
      </c>
      <c r="C138">
        <f>'Quick View_ Sample Data'!O139</f>
        <v>74</v>
      </c>
      <c r="D138">
        <f>'Quick View_ Sample Data'!AN139</f>
        <v>0</v>
      </c>
      <c r="E138">
        <f>'Quick View_ Sample Data'!O139</f>
        <v>74</v>
      </c>
      <c r="F138">
        <f>'Quick View_ Sample Data'!AO139</f>
        <v>0</v>
      </c>
      <c r="G138">
        <f>'Quick View_ Sample Data'!O139</f>
        <v>74</v>
      </c>
      <c r="H138">
        <f>'Quick View_ Sample Data'!AP139</f>
        <v>0</v>
      </c>
      <c r="I138">
        <f>'Quick View_ Sample Data'!AF139</f>
        <v>0</v>
      </c>
      <c r="J138">
        <f>'Quick View_ Sample Data'!AJ139</f>
        <v>0</v>
      </c>
      <c r="K138">
        <f>'Quick View_ Sample Data'!AH139</f>
        <v>72.555985173097795</v>
      </c>
      <c r="L138">
        <f t="shared" si="2"/>
        <v>0</v>
      </c>
    </row>
    <row r="139" spans="1:12" ht="12.75" customHeight="1">
      <c r="A139" s="321"/>
      <c r="B139">
        <f>'Quick View_ Sample Data'!P140</f>
        <v>0</v>
      </c>
      <c r="C139">
        <f>'Quick View_ Sample Data'!O140</f>
        <v>0</v>
      </c>
      <c r="D139">
        <f>'Quick View_ Sample Data'!AN140</f>
        <v>0</v>
      </c>
      <c r="E139">
        <f>'Quick View_ Sample Data'!O140</f>
        <v>0</v>
      </c>
      <c r="F139">
        <f>'Quick View_ Sample Data'!AO140</f>
        <v>0</v>
      </c>
      <c r="G139">
        <f>'Quick View_ Sample Data'!O140</f>
        <v>0</v>
      </c>
      <c r="H139" t="e">
        <f>'Quick View_ Sample Data'!AP140</f>
        <v>#DIV/0!</v>
      </c>
      <c r="I139">
        <f>'Quick View_ Sample Data'!AF140</f>
        <v>0</v>
      </c>
      <c r="J139">
        <f>'Quick View_ Sample Data'!AJ140</f>
        <v>0</v>
      </c>
      <c r="K139">
        <f>'Quick View_ Sample Data'!AH140</f>
        <v>480</v>
      </c>
      <c r="L139">
        <f t="shared" si="2"/>
        <v>0</v>
      </c>
    </row>
    <row r="140" spans="1:12" ht="12.75" customHeight="1">
      <c r="A140" s="321"/>
      <c r="B140" t="str">
        <f>'Quick View_ Sample Data'!P141</f>
        <v>MgO</v>
      </c>
      <c r="C140">
        <f>'Quick View_ Sample Data'!O141</f>
        <v>75</v>
      </c>
      <c r="D140">
        <f>'Quick View_ Sample Data'!AN141</f>
        <v>102.36816898258189</v>
      </c>
      <c r="E140">
        <f>'Quick View_ Sample Data'!O141</f>
        <v>75</v>
      </c>
      <c r="F140">
        <f>'Quick View_ Sample Data'!AO141</f>
        <v>0</v>
      </c>
      <c r="G140">
        <f>'Quick View_ Sample Data'!O141</f>
        <v>75</v>
      </c>
      <c r="H140">
        <f>'Quick View_ Sample Data'!AP141</f>
        <v>3.2600000000000002</v>
      </c>
      <c r="I140">
        <f>'Quick View_ Sample Data'!AF141</f>
        <v>16.3</v>
      </c>
      <c r="J140">
        <f>'Quick View_ Sample Data'!AJ141</f>
        <v>0</v>
      </c>
      <c r="K140">
        <f>'Quick View_ Sample Data'!AH141</f>
        <v>62.802557658025698</v>
      </c>
      <c r="L140">
        <f t="shared" si="2"/>
        <v>0</v>
      </c>
    </row>
    <row r="141" spans="1:12" ht="12.75" customHeight="1">
      <c r="A141" s="321"/>
      <c r="B141" t="str">
        <f>'Quick View_ Sample Data'!P142</f>
        <v>MgO</v>
      </c>
      <c r="C141">
        <f>'Quick View_ Sample Data'!O142</f>
        <v>75</v>
      </c>
      <c r="D141">
        <f>'Quick View_ Sample Data'!AN142</f>
        <v>0</v>
      </c>
      <c r="E141">
        <f>'Quick View_ Sample Data'!O142</f>
        <v>75</v>
      </c>
      <c r="F141">
        <f>'Quick View_ Sample Data'!AO142</f>
        <v>0</v>
      </c>
      <c r="G141">
        <f>'Quick View_ Sample Data'!O142</f>
        <v>75</v>
      </c>
      <c r="H141">
        <f>'Quick View_ Sample Data'!AP142</f>
        <v>0</v>
      </c>
      <c r="I141">
        <f>'Quick View_ Sample Data'!AF142</f>
        <v>0</v>
      </c>
      <c r="J141">
        <f>'Quick View_ Sample Data'!AJ142</f>
        <v>0</v>
      </c>
      <c r="K141">
        <f>'Quick View_ Sample Data'!AH142</f>
        <v>63.873055799923797</v>
      </c>
      <c r="L141">
        <f t="shared" si="2"/>
        <v>0</v>
      </c>
    </row>
    <row r="142" spans="1:12" ht="12.75" customHeight="1">
      <c r="A142" s="321"/>
      <c r="B142" t="str">
        <f>'Quick View_ Sample Data'!P143</f>
        <v>MgO</v>
      </c>
      <c r="C142">
        <f>'Quick View_ Sample Data'!O143</f>
        <v>75</v>
      </c>
      <c r="D142" t="e">
        <f>'Quick View_ Sample Data'!AN143</f>
        <v>#VALUE!</v>
      </c>
      <c r="E142">
        <f>'Quick View_ Sample Data'!O143</f>
        <v>75</v>
      </c>
      <c r="F142" t="e">
        <f>'Quick View_ Sample Data'!AO143</f>
        <v>#VALUE!</v>
      </c>
      <c r="G142">
        <f>'Quick View_ Sample Data'!O143</f>
        <v>75</v>
      </c>
      <c r="H142" t="e">
        <f>'Quick View_ Sample Data'!AP143</f>
        <v>#VALUE!</v>
      </c>
      <c r="I142" t="str">
        <f>'Quick View_ Sample Data'!AF143</f>
        <v>16,6</v>
      </c>
      <c r="J142">
        <f>'Quick View_ Sample Data'!AJ143</f>
        <v>0</v>
      </c>
      <c r="K142">
        <f>'Quick View_ Sample Data'!AH143</f>
        <v>65.419330893776802</v>
      </c>
      <c r="L142" t="e">
        <f t="shared" si="2"/>
        <v>#VALUE!</v>
      </c>
    </row>
    <row r="143" spans="1:12" ht="12.75" customHeight="1">
      <c r="A143" s="321"/>
      <c r="B143" t="str">
        <f>'Quick View_ Sample Data'!P144</f>
        <v>MgO</v>
      </c>
      <c r="C143">
        <f>'Quick View_ Sample Data'!O144</f>
        <v>75</v>
      </c>
      <c r="D143">
        <f>'Quick View_ Sample Data'!AN144</f>
        <v>0</v>
      </c>
      <c r="E143">
        <f>'Quick View_ Sample Data'!O144</f>
        <v>75</v>
      </c>
      <c r="F143">
        <f>'Quick View_ Sample Data'!AO144</f>
        <v>0</v>
      </c>
      <c r="G143">
        <f>'Quick View_ Sample Data'!O144</f>
        <v>75</v>
      </c>
      <c r="H143">
        <f>'Quick View_ Sample Data'!AP144</f>
        <v>0</v>
      </c>
      <c r="I143">
        <f>'Quick View_ Sample Data'!AF144</f>
        <v>0</v>
      </c>
      <c r="J143">
        <f>'Quick View_ Sample Data'!AJ144</f>
        <v>0</v>
      </c>
      <c r="K143">
        <f>'Quick View_ Sample Data'!AH144</f>
        <v>66.608773273663601</v>
      </c>
      <c r="L143">
        <f t="shared" si="2"/>
        <v>0</v>
      </c>
    </row>
    <row r="144" spans="1:12" ht="12.75" customHeight="1">
      <c r="A144" s="321"/>
      <c r="B144" t="str">
        <f>'Quick View_ Sample Data'!P145</f>
        <v>MgO</v>
      </c>
      <c r="C144">
        <f>'Quick View_ Sample Data'!O145</f>
        <v>76</v>
      </c>
      <c r="D144">
        <f>'Quick View_ Sample Data'!AN145</f>
        <v>0</v>
      </c>
      <c r="E144">
        <f>'Quick View_ Sample Data'!O145</f>
        <v>76</v>
      </c>
      <c r="F144">
        <f>'Quick View_ Sample Data'!AO145</f>
        <v>0</v>
      </c>
      <c r="G144">
        <f>'Quick View_ Sample Data'!O145</f>
        <v>76</v>
      </c>
      <c r="H144">
        <f>'Quick View_ Sample Data'!AP145</f>
        <v>0</v>
      </c>
      <c r="I144">
        <f>'Quick View_ Sample Data'!AF145</f>
        <v>0</v>
      </c>
      <c r="J144">
        <f>'Quick View_ Sample Data'!AJ145</f>
        <v>0</v>
      </c>
      <c r="K144">
        <f>'Quick View_ Sample Data'!AH145</f>
        <v>48.410304861394799</v>
      </c>
      <c r="L144">
        <f t="shared" si="2"/>
        <v>0</v>
      </c>
    </row>
    <row r="145" spans="1:12" ht="12.75" customHeight="1">
      <c r="A145" s="321"/>
      <c r="B145" t="str">
        <f>'Quick View_ Sample Data'!P146</f>
        <v>MgO</v>
      </c>
      <c r="C145">
        <f>'Quick View_ Sample Data'!O146</f>
        <v>76</v>
      </c>
      <c r="D145">
        <f>'Quick View_ Sample Data'!AN146</f>
        <v>0</v>
      </c>
      <c r="E145">
        <f>'Quick View_ Sample Data'!O146</f>
        <v>76</v>
      </c>
      <c r="F145">
        <f>'Quick View_ Sample Data'!AO146</f>
        <v>0</v>
      </c>
      <c r="G145">
        <f>'Quick View_ Sample Data'!O146</f>
        <v>76</v>
      </c>
      <c r="H145">
        <f>'Quick View_ Sample Data'!AP146</f>
        <v>0</v>
      </c>
      <c r="I145">
        <f>'Quick View_ Sample Data'!AF146</f>
        <v>0</v>
      </c>
      <c r="J145">
        <f>'Quick View_ Sample Data'!AJ146</f>
        <v>0</v>
      </c>
      <c r="K145">
        <f>'Quick View_ Sample Data'!AH146</f>
        <v>47.6966394334627</v>
      </c>
      <c r="L145">
        <f t="shared" si="2"/>
        <v>0</v>
      </c>
    </row>
    <row r="146" spans="1:12" ht="12.75" customHeight="1">
      <c r="A146" s="321"/>
      <c r="B146" t="str">
        <f>'Quick View_ Sample Data'!P147</f>
        <v>MgO</v>
      </c>
      <c r="C146">
        <f>'Quick View_ Sample Data'!O147</f>
        <v>76</v>
      </c>
      <c r="D146">
        <f>'Quick View_ Sample Data'!AN147</f>
        <v>0</v>
      </c>
      <c r="E146">
        <f>'Quick View_ Sample Data'!O147</f>
        <v>76</v>
      </c>
      <c r="F146">
        <f>'Quick View_ Sample Data'!AO147</f>
        <v>0</v>
      </c>
      <c r="G146">
        <f>'Quick View_ Sample Data'!O147</f>
        <v>76</v>
      </c>
      <c r="H146">
        <f>'Quick View_ Sample Data'!AP147</f>
        <v>0</v>
      </c>
      <c r="I146">
        <f>'Quick View_ Sample Data'!AF147</f>
        <v>0</v>
      </c>
      <c r="J146">
        <f>'Quick View_ Sample Data'!AJ147</f>
        <v>0</v>
      </c>
      <c r="K146">
        <f>'Quick View_ Sample Data'!AH147</f>
        <v>47.8155836714514</v>
      </c>
      <c r="L146">
        <f t="shared" si="2"/>
        <v>0</v>
      </c>
    </row>
    <row r="147" spans="1:12" ht="12.75" customHeight="1">
      <c r="A147" s="321"/>
      <c r="B147" t="str">
        <f>'Quick View_ Sample Data'!P148</f>
        <v>MgO</v>
      </c>
      <c r="C147">
        <f>'Quick View_ Sample Data'!O148</f>
        <v>76</v>
      </c>
      <c r="D147">
        <f>'Quick View_ Sample Data'!AN148</f>
        <v>0</v>
      </c>
      <c r="E147">
        <f>'Quick View_ Sample Data'!O148</f>
        <v>76</v>
      </c>
      <c r="F147">
        <f>'Quick View_ Sample Data'!AO148</f>
        <v>0</v>
      </c>
      <c r="G147">
        <f>'Quick View_ Sample Data'!O148</f>
        <v>76</v>
      </c>
      <c r="H147">
        <f>'Quick View_ Sample Data'!AP148</f>
        <v>0</v>
      </c>
      <c r="I147">
        <f>'Quick View_ Sample Data'!AF148</f>
        <v>0</v>
      </c>
      <c r="J147">
        <f>'Quick View_ Sample Data'!AJ148</f>
        <v>0</v>
      </c>
      <c r="K147">
        <f>'Quick View_ Sample Data'!AH148</f>
        <v>47.6966394334627</v>
      </c>
      <c r="L147">
        <f t="shared" si="2"/>
        <v>0</v>
      </c>
    </row>
    <row r="148" spans="1:12" ht="12.75" customHeight="1">
      <c r="A148" s="321"/>
      <c r="B148" t="str">
        <f>'Quick View_ Sample Data'!P149</f>
        <v>MgO</v>
      </c>
      <c r="C148">
        <f>'Quick View_ Sample Data'!O149</f>
        <v>77</v>
      </c>
      <c r="D148">
        <f>'Quick View_ Sample Data'!AN149</f>
        <v>156.16807515571958</v>
      </c>
      <c r="E148">
        <f>'Quick View_ Sample Data'!O149</f>
        <v>77</v>
      </c>
      <c r="F148">
        <f>'Quick View_ Sample Data'!AO149</f>
        <v>0</v>
      </c>
      <c r="G148">
        <f>'Quick View_ Sample Data'!O149</f>
        <v>77</v>
      </c>
      <c r="H148">
        <f>'Quick View_ Sample Data'!AP149</f>
        <v>3.8959999999999999</v>
      </c>
      <c r="I148">
        <f>'Quick View_ Sample Data'!AF149</f>
        <v>9.74</v>
      </c>
      <c r="J148">
        <f>'Quick View_ Sample Data'!AJ149</f>
        <v>0</v>
      </c>
      <c r="K148">
        <f>'Quick View_ Sample Data'!AH149</f>
        <v>160.336832808747</v>
      </c>
      <c r="L148">
        <f t="shared" si="2"/>
        <v>0</v>
      </c>
    </row>
    <row r="149" spans="1:12" ht="12.75" customHeight="1">
      <c r="A149" s="321"/>
      <c r="B149" t="str">
        <f>'Quick View_ Sample Data'!P150</f>
        <v>MgO</v>
      </c>
      <c r="C149">
        <f>'Quick View_ Sample Data'!O150</f>
        <v>77</v>
      </c>
      <c r="D149">
        <f>'Quick View_ Sample Data'!AN150</f>
        <v>0</v>
      </c>
      <c r="E149">
        <f>'Quick View_ Sample Data'!O150</f>
        <v>77</v>
      </c>
      <c r="F149">
        <f>'Quick View_ Sample Data'!AO150</f>
        <v>0</v>
      </c>
      <c r="G149">
        <f>'Quick View_ Sample Data'!O150</f>
        <v>77</v>
      </c>
      <c r="H149">
        <f>'Quick View_ Sample Data'!AP150</f>
        <v>0</v>
      </c>
      <c r="I149">
        <f>'Quick View_ Sample Data'!AF150</f>
        <v>0</v>
      </c>
      <c r="J149">
        <f>'Quick View_ Sample Data'!AJ150</f>
        <v>0</v>
      </c>
      <c r="K149">
        <f>'Quick View_ Sample Data'!AH150</f>
        <v>162.12099637857801</v>
      </c>
      <c r="L149">
        <f t="shared" si="2"/>
        <v>0</v>
      </c>
    </row>
    <row r="150" spans="1:12" ht="12.75" customHeight="1">
      <c r="A150" s="321"/>
      <c r="B150" t="str">
        <f>'Quick View_ Sample Data'!P151</f>
        <v>MgO</v>
      </c>
      <c r="C150">
        <f>'Quick View_ Sample Data'!O151</f>
        <v>77</v>
      </c>
      <c r="D150">
        <f>'Quick View_ Sample Data'!AN151</f>
        <v>0</v>
      </c>
      <c r="E150">
        <f>'Quick View_ Sample Data'!O151</f>
        <v>77</v>
      </c>
      <c r="F150">
        <f>'Quick View_ Sample Data'!AO151</f>
        <v>0</v>
      </c>
      <c r="G150">
        <f>'Quick View_ Sample Data'!O151</f>
        <v>77</v>
      </c>
      <c r="H150">
        <f>'Quick View_ Sample Data'!AP151</f>
        <v>0</v>
      </c>
      <c r="I150">
        <f>'Quick View_ Sample Data'!AF151</f>
        <v>0</v>
      </c>
      <c r="J150">
        <f>'Quick View_ Sample Data'!AJ151</f>
        <v>0</v>
      </c>
      <c r="K150">
        <f>'Quick View_ Sample Data'!AH151</f>
        <v>171.63653541767201</v>
      </c>
      <c r="L150">
        <f t="shared" si="2"/>
        <v>0</v>
      </c>
    </row>
    <row r="151" spans="1:12" ht="12.75" customHeight="1">
      <c r="A151" s="321"/>
      <c r="B151" t="str">
        <f>'Quick View_ Sample Data'!P152</f>
        <v>MgO</v>
      </c>
      <c r="C151">
        <f>'Quick View_ Sample Data'!O152</f>
        <v>77</v>
      </c>
      <c r="D151">
        <f>'Quick View_ Sample Data'!AN152</f>
        <v>0</v>
      </c>
      <c r="E151">
        <f>'Quick View_ Sample Data'!O152</f>
        <v>77</v>
      </c>
      <c r="F151">
        <f>'Quick View_ Sample Data'!AO152</f>
        <v>0</v>
      </c>
      <c r="G151">
        <f>'Quick View_ Sample Data'!O152</f>
        <v>77</v>
      </c>
      <c r="H151">
        <f>'Quick View_ Sample Data'!AP152</f>
        <v>0</v>
      </c>
      <c r="I151">
        <f>'Quick View_ Sample Data'!AF152</f>
        <v>0</v>
      </c>
      <c r="J151">
        <f>'Quick View_ Sample Data'!AJ152</f>
        <v>0</v>
      </c>
      <c r="K151">
        <f>'Quick View_ Sample Data'!AH152</f>
        <v>162.668139873326</v>
      </c>
      <c r="L151">
        <f t="shared" si="2"/>
        <v>0</v>
      </c>
    </row>
    <row r="152" spans="1:12" ht="12.75" customHeight="1">
      <c r="A152" s="321"/>
      <c r="B152" t="str">
        <f>'Quick View_ Sample Data'!P153</f>
        <v>MgO</v>
      </c>
      <c r="C152">
        <f>'Quick View_ Sample Data'!O153</f>
        <v>78</v>
      </c>
      <c r="D152">
        <f>'Quick View_ Sample Data'!AN153</f>
        <v>0</v>
      </c>
      <c r="E152">
        <f>'Quick View_ Sample Data'!O153</f>
        <v>78</v>
      </c>
      <c r="F152">
        <f>'Quick View_ Sample Data'!AO153</f>
        <v>0</v>
      </c>
      <c r="G152">
        <f>'Quick View_ Sample Data'!O153</f>
        <v>78</v>
      </c>
      <c r="H152">
        <f>'Quick View_ Sample Data'!AP153</f>
        <v>0</v>
      </c>
      <c r="I152">
        <f>'Quick View_ Sample Data'!AF153</f>
        <v>0</v>
      </c>
      <c r="J152">
        <f>'Quick View_ Sample Data'!AJ153</f>
        <v>0</v>
      </c>
      <c r="K152">
        <f>'Quick View_ Sample Data'!AH153</f>
        <v>1749.43185233758</v>
      </c>
      <c r="L152">
        <f t="shared" si="2"/>
        <v>0</v>
      </c>
    </row>
    <row r="153" spans="1:12" ht="12.75" customHeight="1">
      <c r="A153" s="321"/>
      <c r="B153" t="str">
        <f>'Quick View_ Sample Data'!P154</f>
        <v>MgO</v>
      </c>
      <c r="C153">
        <f>'Quick View_ Sample Data'!O154</f>
        <v>78</v>
      </c>
      <c r="D153">
        <f>'Quick View_ Sample Data'!AN154</f>
        <v>0</v>
      </c>
      <c r="E153">
        <f>'Quick View_ Sample Data'!O154</f>
        <v>78</v>
      </c>
      <c r="F153">
        <f>'Quick View_ Sample Data'!AO154</f>
        <v>0</v>
      </c>
      <c r="G153">
        <f>'Quick View_ Sample Data'!O154</f>
        <v>78</v>
      </c>
      <c r="H153">
        <f>'Quick View_ Sample Data'!AP154</f>
        <v>0</v>
      </c>
      <c r="I153">
        <f>'Quick View_ Sample Data'!AF154</f>
        <v>0</v>
      </c>
      <c r="J153">
        <f>'Quick View_ Sample Data'!AJ154</f>
        <v>0</v>
      </c>
      <c r="K153">
        <f>'Quick View_ Sample Data'!AH154</f>
        <v>1456.82902688541</v>
      </c>
      <c r="L153">
        <f t="shared" si="2"/>
        <v>0</v>
      </c>
    </row>
    <row r="154" spans="1:12" ht="12.75" customHeight="1">
      <c r="A154" s="321"/>
      <c r="B154" t="str">
        <f>'Quick View_ Sample Data'!P155</f>
        <v>MgO</v>
      </c>
      <c r="C154">
        <f>'Quick View_ Sample Data'!O155</f>
        <v>78</v>
      </c>
      <c r="D154">
        <f>'Quick View_ Sample Data'!AN155</f>
        <v>0</v>
      </c>
      <c r="E154">
        <f>'Quick View_ Sample Data'!O155</f>
        <v>78</v>
      </c>
      <c r="F154">
        <f>'Quick View_ Sample Data'!AO155</f>
        <v>0</v>
      </c>
      <c r="G154">
        <f>'Quick View_ Sample Data'!O155</f>
        <v>78</v>
      </c>
      <c r="H154">
        <f>'Quick View_ Sample Data'!AP155</f>
        <v>0</v>
      </c>
      <c r="I154">
        <f>'Quick View_ Sample Data'!AF155</f>
        <v>0</v>
      </c>
      <c r="J154">
        <f>'Quick View_ Sample Data'!AJ155</f>
        <v>0</v>
      </c>
      <c r="K154">
        <f>'Quick View_ Sample Data'!AH155</f>
        <v>1486.80297485856</v>
      </c>
      <c r="L154">
        <f t="shared" si="2"/>
        <v>0</v>
      </c>
    </row>
    <row r="155" spans="1:12" ht="12.75" customHeight="1">
      <c r="A155" s="321"/>
      <c r="B155" t="str">
        <f>'Quick View_ Sample Data'!P156</f>
        <v>MgO</v>
      </c>
      <c r="C155">
        <f>'Quick View_ Sample Data'!O156</f>
        <v>78</v>
      </c>
      <c r="D155">
        <f>'Quick View_ Sample Data'!AN156</f>
        <v>0</v>
      </c>
      <c r="E155">
        <f>'Quick View_ Sample Data'!O156</f>
        <v>78</v>
      </c>
      <c r="F155">
        <f>'Quick View_ Sample Data'!AO156</f>
        <v>0</v>
      </c>
      <c r="G155">
        <f>'Quick View_ Sample Data'!O156</f>
        <v>78</v>
      </c>
      <c r="H155">
        <f>'Quick View_ Sample Data'!AP156</f>
        <v>0</v>
      </c>
      <c r="I155">
        <f>'Quick View_ Sample Data'!AF156</f>
        <v>0</v>
      </c>
      <c r="J155">
        <f>'Quick View_ Sample Data'!AJ156</f>
        <v>0</v>
      </c>
      <c r="K155">
        <f>'Quick View_ Sample Data'!AH156</f>
        <v>1467.7718967803701</v>
      </c>
      <c r="L155">
        <f t="shared" si="2"/>
        <v>0</v>
      </c>
    </row>
    <row r="156" spans="1:12" ht="12.75" customHeight="1">
      <c r="A156" s="321"/>
      <c r="B156" t="str">
        <f>'Quick View_ Sample Data'!P157</f>
        <v>MgO</v>
      </c>
      <c r="C156">
        <f>'Quick View_ Sample Data'!O157</f>
        <v>79</v>
      </c>
      <c r="D156">
        <f>'Quick View_ Sample Data'!AN157</f>
        <v>0</v>
      </c>
      <c r="E156">
        <f>'Quick View_ Sample Data'!O157</f>
        <v>79</v>
      </c>
      <c r="F156">
        <f>'Quick View_ Sample Data'!AO157</f>
        <v>0</v>
      </c>
      <c r="G156">
        <f>'Quick View_ Sample Data'!O157</f>
        <v>79</v>
      </c>
      <c r="H156">
        <f>'Quick View_ Sample Data'!AP157</f>
        <v>0</v>
      </c>
      <c r="I156">
        <f>'Quick View_ Sample Data'!AF157</f>
        <v>0</v>
      </c>
      <c r="J156">
        <f>'Quick View_ Sample Data'!AJ157</f>
        <v>0</v>
      </c>
      <c r="K156">
        <f>'Quick View_ Sample Data'!AH157</f>
        <v>738.40582943375603</v>
      </c>
      <c r="L156">
        <f t="shared" si="2"/>
        <v>0</v>
      </c>
    </row>
    <row r="157" spans="1:12" ht="12.75" customHeight="1">
      <c r="A157" s="321"/>
      <c r="B157" t="str">
        <f>'Quick View_ Sample Data'!P158</f>
        <v>MgO</v>
      </c>
      <c r="C157">
        <f>'Quick View_ Sample Data'!O158</f>
        <v>79</v>
      </c>
      <c r="D157">
        <f>'Quick View_ Sample Data'!AN158</f>
        <v>0</v>
      </c>
      <c r="E157">
        <f>'Quick View_ Sample Data'!O158</f>
        <v>79</v>
      </c>
      <c r="F157">
        <f>'Quick View_ Sample Data'!AO158</f>
        <v>0</v>
      </c>
      <c r="G157">
        <f>'Quick View_ Sample Data'!O158</f>
        <v>79</v>
      </c>
      <c r="H157">
        <f>'Quick View_ Sample Data'!AP158</f>
        <v>0</v>
      </c>
      <c r="I157">
        <f>'Quick View_ Sample Data'!AF158</f>
        <v>0</v>
      </c>
      <c r="J157">
        <f>'Quick View_ Sample Data'!AJ158</f>
        <v>0</v>
      </c>
      <c r="K157">
        <f>'Quick View_ Sample Data'!AH158</f>
        <v>564.86618620826505</v>
      </c>
      <c r="L157">
        <f t="shared" si="2"/>
        <v>0</v>
      </c>
    </row>
    <row r="158" spans="1:12" ht="12.75" customHeight="1">
      <c r="A158" s="321"/>
      <c r="B158" t="str">
        <f>'Quick View_ Sample Data'!P159</f>
        <v>MgO</v>
      </c>
      <c r="C158">
        <f>'Quick View_ Sample Data'!O159</f>
        <v>79</v>
      </c>
      <c r="D158">
        <f>'Quick View_ Sample Data'!AN159</f>
        <v>173.02675567128421</v>
      </c>
      <c r="E158">
        <f>'Quick View_ Sample Data'!O159</f>
        <v>79</v>
      </c>
      <c r="F158">
        <f>'Quick View_ Sample Data'!AO159</f>
        <v>17129.648811457137</v>
      </c>
      <c r="G158">
        <f>'Quick View_ Sample Data'!O159</f>
        <v>79</v>
      </c>
      <c r="H158">
        <f>'Quick View_ Sample Data'!AP159</f>
        <v>3.84</v>
      </c>
      <c r="I158">
        <f>'Quick View_ Sample Data'!AF159</f>
        <v>2.88</v>
      </c>
      <c r="J158">
        <f>'Quick View_ Sample Data'!AJ159</f>
        <v>9.9</v>
      </c>
      <c r="K158">
        <f>'Quick View_ Sample Data'!AH159</f>
        <v>600.78734608084801</v>
      </c>
      <c r="L158">
        <f t="shared" si="2"/>
        <v>28.512</v>
      </c>
    </row>
    <row r="159" spans="1:12" ht="12.75" customHeight="1">
      <c r="A159" s="321"/>
      <c r="B159" t="str">
        <f>'Quick View_ Sample Data'!P160</f>
        <v>MgO</v>
      </c>
      <c r="C159">
        <f>'Quick View_ Sample Data'!O160</f>
        <v>79</v>
      </c>
      <c r="D159">
        <f>'Quick View_ Sample Data'!AN160</f>
        <v>0</v>
      </c>
      <c r="E159">
        <f>'Quick View_ Sample Data'!O160</f>
        <v>79</v>
      </c>
      <c r="F159">
        <f>'Quick View_ Sample Data'!AO160</f>
        <v>0</v>
      </c>
      <c r="G159">
        <f>'Quick View_ Sample Data'!O160</f>
        <v>79</v>
      </c>
      <c r="H159">
        <f>'Quick View_ Sample Data'!AP160</f>
        <v>0</v>
      </c>
      <c r="I159">
        <f>'Quick View_ Sample Data'!AF160</f>
        <v>0</v>
      </c>
      <c r="J159">
        <f>'Quick View_ Sample Data'!AJ160</f>
        <v>0</v>
      </c>
      <c r="K159">
        <f>'Quick View_ Sample Data'!AH160</f>
        <v>647.41348737241196</v>
      </c>
      <c r="L159">
        <f t="shared" si="2"/>
        <v>0</v>
      </c>
    </row>
    <row r="160" spans="1:12" ht="12.75" customHeight="1">
      <c r="A160" s="321"/>
      <c r="B160" t="str">
        <f>'Quick View_ Sample Data'!P161</f>
        <v>MgO</v>
      </c>
      <c r="C160">
        <f>'Quick View_ Sample Data'!O161</f>
        <v>80</v>
      </c>
      <c r="D160">
        <f>'Quick View_ Sample Data'!AN161</f>
        <v>0</v>
      </c>
      <c r="E160">
        <f>'Quick View_ Sample Data'!O161</f>
        <v>80</v>
      </c>
      <c r="F160">
        <f>'Quick View_ Sample Data'!AO161</f>
        <v>0</v>
      </c>
      <c r="G160">
        <f>'Quick View_ Sample Data'!O161</f>
        <v>80</v>
      </c>
      <c r="H160">
        <f>'Quick View_ Sample Data'!AP161</f>
        <v>0</v>
      </c>
      <c r="I160">
        <f>'Quick View_ Sample Data'!AF161</f>
        <v>0</v>
      </c>
      <c r="J160">
        <f>'Quick View_ Sample Data'!AJ161</f>
        <v>0</v>
      </c>
      <c r="K160">
        <f>'Quick View_ Sample Data'!AH161</f>
        <v>67.6792714155618</v>
      </c>
      <c r="L160">
        <f t="shared" si="2"/>
        <v>0</v>
      </c>
    </row>
    <row r="161" spans="1:12" ht="12.75" customHeight="1">
      <c r="A161" s="321"/>
      <c r="B161" t="str">
        <f>'Quick View_ Sample Data'!P162</f>
        <v>MgO</v>
      </c>
      <c r="C161">
        <f>'Quick View_ Sample Data'!O162</f>
        <v>80</v>
      </c>
      <c r="D161">
        <f>'Quick View_ Sample Data'!AN162</f>
        <v>0</v>
      </c>
      <c r="E161">
        <f>'Quick View_ Sample Data'!O162</f>
        <v>80</v>
      </c>
      <c r="F161">
        <f>'Quick View_ Sample Data'!AO162</f>
        <v>0</v>
      </c>
      <c r="G161">
        <f>'Quick View_ Sample Data'!O162</f>
        <v>80</v>
      </c>
      <c r="H161">
        <f>'Quick View_ Sample Data'!AP162</f>
        <v>0</v>
      </c>
      <c r="I161">
        <f>'Quick View_ Sample Data'!AF162</f>
        <v>0</v>
      </c>
      <c r="J161">
        <f>'Quick View_ Sample Data'!AJ162</f>
        <v>0</v>
      </c>
      <c r="K161">
        <f>'Quick View_ Sample Data'!AH162</f>
        <v>67.6792714155618</v>
      </c>
      <c r="L161">
        <f t="shared" si="2"/>
        <v>0</v>
      </c>
    </row>
    <row r="162" spans="1:12" ht="12.75" customHeight="1">
      <c r="A162" s="321"/>
      <c r="B162" t="str">
        <f>'Quick View_ Sample Data'!P163</f>
        <v>MgO</v>
      </c>
      <c r="C162">
        <f>'Quick View_ Sample Data'!O163</f>
        <v>80</v>
      </c>
      <c r="D162">
        <f>'Quick View_ Sample Data'!AN163</f>
        <v>0</v>
      </c>
      <c r="E162">
        <f>'Quick View_ Sample Data'!O163</f>
        <v>80</v>
      </c>
      <c r="F162">
        <f>'Quick View_ Sample Data'!AO163</f>
        <v>0</v>
      </c>
      <c r="G162">
        <f>'Quick View_ Sample Data'!O163</f>
        <v>80</v>
      </c>
      <c r="H162">
        <f>'Quick View_ Sample Data'!AP163</f>
        <v>0</v>
      </c>
      <c r="I162">
        <f>'Quick View_ Sample Data'!AF163</f>
        <v>0</v>
      </c>
      <c r="J162">
        <f>'Quick View_ Sample Data'!AJ163</f>
        <v>0</v>
      </c>
      <c r="K162">
        <f>'Quick View_ Sample Data'!AH163</f>
        <v>68.749769557459899</v>
      </c>
      <c r="L162">
        <f t="shared" si="2"/>
        <v>0</v>
      </c>
    </row>
    <row r="163" spans="1:12" ht="12.75" customHeight="1">
      <c r="A163" s="321"/>
      <c r="B163" t="str">
        <f>'Quick View_ Sample Data'!P164</f>
        <v>MgO</v>
      </c>
      <c r="C163">
        <f>'Quick View_ Sample Data'!O164</f>
        <v>80</v>
      </c>
      <c r="D163">
        <f>'Quick View_ Sample Data'!AN164</f>
        <v>0</v>
      </c>
      <c r="E163">
        <f>'Quick View_ Sample Data'!O164</f>
        <v>80</v>
      </c>
      <c r="F163">
        <f>'Quick View_ Sample Data'!AO164</f>
        <v>0</v>
      </c>
      <c r="G163">
        <f>'Quick View_ Sample Data'!O164</f>
        <v>80</v>
      </c>
      <c r="H163">
        <f>'Quick View_ Sample Data'!AP164</f>
        <v>0</v>
      </c>
      <c r="I163">
        <f>'Quick View_ Sample Data'!AF164</f>
        <v>0</v>
      </c>
      <c r="J163">
        <f>'Quick View_ Sample Data'!AJ164</f>
        <v>0</v>
      </c>
      <c r="K163">
        <f>'Quick View_ Sample Data'!AH164</f>
        <v>68.511881081482599</v>
      </c>
      <c r="L163">
        <f t="shared" si="2"/>
        <v>0</v>
      </c>
    </row>
    <row r="164" spans="1:12" ht="12.75" customHeight="1">
      <c r="A164" s="321"/>
      <c r="B164" t="str">
        <f>'Quick View_ Sample Data'!P165</f>
        <v>MgO</v>
      </c>
      <c r="C164">
        <f>'Quick View_ Sample Data'!O165</f>
        <v>81</v>
      </c>
      <c r="D164">
        <f>'Quick View_ Sample Data'!AN165</f>
        <v>0</v>
      </c>
      <c r="E164">
        <f>'Quick View_ Sample Data'!O165</f>
        <v>81</v>
      </c>
      <c r="F164">
        <f>'Quick View_ Sample Data'!AO165</f>
        <v>0</v>
      </c>
      <c r="G164">
        <f>'Quick View_ Sample Data'!O165</f>
        <v>81</v>
      </c>
      <c r="H164">
        <f>'Quick View_ Sample Data'!AP165</f>
        <v>0</v>
      </c>
      <c r="I164">
        <f>'Quick View_ Sample Data'!AF165</f>
        <v>0</v>
      </c>
      <c r="J164">
        <f>'Quick View_ Sample Data'!AJ165</f>
        <v>0</v>
      </c>
      <c r="K164">
        <f>'Quick View_ Sample Data'!AH165</f>
        <v>50.551301145191097</v>
      </c>
      <c r="L164">
        <f t="shared" si="2"/>
        <v>0</v>
      </c>
    </row>
    <row r="165" spans="1:12" ht="12.75" customHeight="1">
      <c r="A165" s="321"/>
      <c r="B165" t="str">
        <f>'Quick View_ Sample Data'!P166</f>
        <v>MgO</v>
      </c>
      <c r="C165">
        <f>'Quick View_ Sample Data'!O166</f>
        <v>81</v>
      </c>
      <c r="D165">
        <f>'Quick View_ Sample Data'!AN166</f>
        <v>0</v>
      </c>
      <c r="E165">
        <f>'Quick View_ Sample Data'!O166</f>
        <v>81</v>
      </c>
      <c r="F165">
        <f>'Quick View_ Sample Data'!AO166</f>
        <v>0</v>
      </c>
      <c r="G165">
        <f>'Quick View_ Sample Data'!O166</f>
        <v>81</v>
      </c>
      <c r="H165">
        <f>'Quick View_ Sample Data'!AP166</f>
        <v>0</v>
      </c>
      <c r="I165">
        <f>'Quick View_ Sample Data'!AF166</f>
        <v>0</v>
      </c>
      <c r="J165">
        <f>'Quick View_ Sample Data'!AJ166</f>
        <v>0</v>
      </c>
      <c r="K165">
        <f>'Quick View_ Sample Data'!AH166</f>
        <v>50.789189621168497</v>
      </c>
      <c r="L165">
        <f t="shared" si="2"/>
        <v>0</v>
      </c>
    </row>
    <row r="166" spans="1:12" ht="12.75" customHeight="1">
      <c r="A166" s="321"/>
      <c r="B166" t="str">
        <f>'Quick View_ Sample Data'!P167</f>
        <v>MgO</v>
      </c>
      <c r="C166">
        <f>'Quick View_ Sample Data'!O167</f>
        <v>81</v>
      </c>
      <c r="D166">
        <f>'Quick View_ Sample Data'!AN167</f>
        <v>0</v>
      </c>
      <c r="E166">
        <f>'Quick View_ Sample Data'!O167</f>
        <v>81</v>
      </c>
      <c r="F166">
        <f>'Quick View_ Sample Data'!AO167</f>
        <v>0</v>
      </c>
      <c r="G166">
        <f>'Quick View_ Sample Data'!O167</f>
        <v>81</v>
      </c>
      <c r="H166">
        <f>'Quick View_ Sample Data'!AP167</f>
        <v>0</v>
      </c>
      <c r="I166">
        <f>'Quick View_ Sample Data'!AF167</f>
        <v>0</v>
      </c>
      <c r="J166">
        <f>'Quick View_ Sample Data'!AJ167</f>
        <v>0</v>
      </c>
      <c r="K166">
        <f>'Quick View_ Sample Data'!AH167</f>
        <v>51.146022335134496</v>
      </c>
      <c r="L166">
        <f t="shared" si="2"/>
        <v>0</v>
      </c>
    </row>
    <row r="167" spans="1:12" ht="12.75" customHeight="1">
      <c r="A167" s="321"/>
      <c r="B167" t="str">
        <f>'Quick View_ Sample Data'!P168</f>
        <v>MgO</v>
      </c>
      <c r="C167">
        <f>'Quick View_ Sample Data'!O168</f>
        <v>81</v>
      </c>
      <c r="D167">
        <f>'Quick View_ Sample Data'!AN168</f>
        <v>0</v>
      </c>
      <c r="E167">
        <f>'Quick View_ Sample Data'!O168</f>
        <v>81</v>
      </c>
      <c r="F167">
        <f>'Quick View_ Sample Data'!AO168</f>
        <v>0</v>
      </c>
      <c r="G167">
        <f>'Quick View_ Sample Data'!O168</f>
        <v>81</v>
      </c>
      <c r="H167">
        <f>'Quick View_ Sample Data'!AP168</f>
        <v>0</v>
      </c>
      <c r="I167">
        <f>'Quick View_ Sample Data'!AF168</f>
        <v>0</v>
      </c>
      <c r="J167">
        <f>'Quick View_ Sample Data'!AJ168</f>
        <v>0</v>
      </c>
      <c r="K167">
        <f>'Quick View_ Sample Data'!AH168</f>
        <v>52.811241666976102</v>
      </c>
      <c r="L167">
        <f t="shared" si="2"/>
        <v>0</v>
      </c>
    </row>
    <row r="168" spans="1:12" ht="12.75" customHeight="1">
      <c r="A168" s="321"/>
      <c r="B168" t="str">
        <f>'Quick View_ Sample Data'!P169</f>
        <v>MgO</v>
      </c>
      <c r="C168">
        <f>'Quick View_ Sample Data'!O169</f>
        <v>82</v>
      </c>
      <c r="D168">
        <f>'Quick View_ Sample Data'!AN169</f>
        <v>125.95481137573809</v>
      </c>
      <c r="E168">
        <f>'Quick View_ Sample Data'!O169</f>
        <v>82</v>
      </c>
      <c r="F168">
        <f>'Quick View_ Sample Data'!AO169</f>
        <v>13855.029251331189</v>
      </c>
      <c r="G168">
        <f>'Quick View_ Sample Data'!O169</f>
        <v>82</v>
      </c>
      <c r="H168">
        <f>'Quick View_ Sample Data'!AP169</f>
        <v>4.24</v>
      </c>
      <c r="I168">
        <f>'Quick View_ Sample Data'!AF169</f>
        <v>3.18</v>
      </c>
      <c r="J168">
        <f>'Quick View_ Sample Data'!AJ169</f>
        <v>11</v>
      </c>
      <c r="K168">
        <f>'Quick View_ Sample Data'!AH169</f>
        <v>396.08431250232098</v>
      </c>
      <c r="L168">
        <f t="shared" si="2"/>
        <v>34.980000000000004</v>
      </c>
    </row>
    <row r="169" spans="1:12" ht="12.75" customHeight="1">
      <c r="A169" s="321"/>
      <c r="B169" t="str">
        <f>'Quick View_ Sample Data'!P170</f>
        <v>MgO</v>
      </c>
      <c r="C169">
        <f>'Quick View_ Sample Data'!O170</f>
        <v>82</v>
      </c>
      <c r="D169">
        <f>'Quick View_ Sample Data'!AN170</f>
        <v>0</v>
      </c>
      <c r="E169">
        <f>'Quick View_ Sample Data'!O170</f>
        <v>82</v>
      </c>
      <c r="F169">
        <f>'Quick View_ Sample Data'!AO170</f>
        <v>0</v>
      </c>
      <c r="G169">
        <f>'Quick View_ Sample Data'!O170</f>
        <v>82</v>
      </c>
      <c r="H169">
        <f>'Quick View_ Sample Data'!AP170</f>
        <v>0</v>
      </c>
      <c r="I169">
        <f>'Quick View_ Sample Data'!AF170</f>
        <v>0</v>
      </c>
      <c r="J169">
        <f>'Quick View_ Sample Data'!AJ170</f>
        <v>0</v>
      </c>
      <c r="K169">
        <f>'Quick View_ Sample Data'!AH170</f>
        <v>394.18120469450201</v>
      </c>
      <c r="L169">
        <f t="shared" si="2"/>
        <v>0</v>
      </c>
    </row>
    <row r="170" spans="1:12" ht="12.75" customHeight="1">
      <c r="A170" s="321"/>
      <c r="B170" t="str">
        <f>'Quick View_ Sample Data'!P171</f>
        <v>MgO</v>
      </c>
      <c r="C170">
        <f>'Quick View_ Sample Data'!O171</f>
        <v>82</v>
      </c>
      <c r="D170">
        <f>'Quick View_ Sample Data'!AN171</f>
        <v>0</v>
      </c>
      <c r="E170">
        <f>'Quick View_ Sample Data'!O171</f>
        <v>82</v>
      </c>
      <c r="F170">
        <f>'Quick View_ Sample Data'!AO171</f>
        <v>0</v>
      </c>
      <c r="G170">
        <f>'Quick View_ Sample Data'!O171</f>
        <v>82</v>
      </c>
      <c r="H170">
        <f>'Quick View_ Sample Data'!AP171</f>
        <v>0</v>
      </c>
      <c r="I170">
        <f>'Quick View_ Sample Data'!AF171</f>
        <v>0</v>
      </c>
      <c r="J170">
        <f>'Quick View_ Sample Data'!AJ171</f>
        <v>0</v>
      </c>
      <c r="K170">
        <f>'Quick View_ Sample Data'!AH171</f>
        <v>462.21730882403</v>
      </c>
      <c r="L170">
        <f t="shared" si="2"/>
        <v>0</v>
      </c>
    </row>
    <row r="171" spans="1:12" ht="12.75" customHeight="1">
      <c r="A171" s="321"/>
      <c r="B171" t="str">
        <f>'Quick View_ Sample Data'!P172</f>
        <v>MgO</v>
      </c>
      <c r="C171">
        <f>'Quick View_ Sample Data'!O172</f>
        <v>82</v>
      </c>
      <c r="D171">
        <f>'Quick View_ Sample Data'!AN172</f>
        <v>0</v>
      </c>
      <c r="E171">
        <f>'Quick View_ Sample Data'!O172</f>
        <v>82</v>
      </c>
      <c r="F171">
        <f>'Quick View_ Sample Data'!AO172</f>
        <v>0</v>
      </c>
      <c r="G171">
        <f>'Quick View_ Sample Data'!O172</f>
        <v>82</v>
      </c>
      <c r="H171">
        <f>'Quick View_ Sample Data'!AP172</f>
        <v>0</v>
      </c>
      <c r="I171">
        <f>'Quick View_ Sample Data'!AF172</f>
        <v>0</v>
      </c>
      <c r="J171">
        <f>'Quick View_ Sample Data'!AJ172</f>
        <v>0</v>
      </c>
      <c r="K171">
        <f>'Quick View_ Sample Data'!AH172</f>
        <v>417.25638686430699</v>
      </c>
      <c r="L171">
        <f t="shared" si="2"/>
        <v>0</v>
      </c>
    </row>
    <row r="172" spans="1:12" ht="12.75" customHeight="1">
      <c r="A172" s="321"/>
      <c r="B172" t="str">
        <f>'Quick View_ Sample Data'!P173</f>
        <v>MgO</v>
      </c>
      <c r="C172">
        <f>'Quick View_ Sample Data'!O173</f>
        <v>83</v>
      </c>
      <c r="D172">
        <f>'Quick View_ Sample Data'!AN173</f>
        <v>0</v>
      </c>
      <c r="E172">
        <f>'Quick View_ Sample Data'!O173</f>
        <v>83</v>
      </c>
      <c r="F172">
        <f>'Quick View_ Sample Data'!AO173</f>
        <v>0</v>
      </c>
      <c r="G172">
        <f>'Quick View_ Sample Data'!O173</f>
        <v>83</v>
      </c>
      <c r="H172">
        <f>'Quick View_ Sample Data'!AP173</f>
        <v>0</v>
      </c>
      <c r="I172">
        <f>'Quick View_ Sample Data'!AF173</f>
        <v>0</v>
      </c>
      <c r="J172">
        <f>'Quick View_ Sample Data'!AJ173</f>
        <v>0</v>
      </c>
      <c r="K172">
        <f>'Quick View_ Sample Data'!AH173</f>
        <v>0</v>
      </c>
      <c r="L172">
        <f t="shared" si="2"/>
        <v>0</v>
      </c>
    </row>
    <row r="173" spans="1:12" ht="12.75" customHeight="1">
      <c r="A173" s="321"/>
      <c r="B173" t="str">
        <f>'Quick View_ Sample Data'!P174</f>
        <v>MgO</v>
      </c>
      <c r="C173">
        <f>'Quick View_ Sample Data'!O174</f>
        <v>83</v>
      </c>
      <c r="D173">
        <f>'Quick View_ Sample Data'!AN174</f>
        <v>0</v>
      </c>
      <c r="E173">
        <f>'Quick View_ Sample Data'!O174</f>
        <v>83</v>
      </c>
      <c r="F173">
        <f>'Quick View_ Sample Data'!AO174</f>
        <v>0</v>
      </c>
      <c r="G173">
        <f>'Quick View_ Sample Data'!O174</f>
        <v>83</v>
      </c>
      <c r="H173">
        <f>'Quick View_ Sample Data'!AP174</f>
        <v>0</v>
      </c>
      <c r="I173">
        <f>'Quick View_ Sample Data'!AF174</f>
        <v>0</v>
      </c>
      <c r="J173">
        <f>'Quick View_ Sample Data'!AJ174</f>
        <v>0</v>
      </c>
      <c r="K173">
        <f>'Quick View_ Sample Data'!AH174</f>
        <v>0</v>
      </c>
      <c r="L173">
        <f t="shared" si="2"/>
        <v>0</v>
      </c>
    </row>
    <row r="174" spans="1:12" ht="12.75" customHeight="1">
      <c r="A174" s="321"/>
      <c r="B174" t="str">
        <f>'Quick View_ Sample Data'!P175</f>
        <v>MgO</v>
      </c>
      <c r="C174">
        <f>'Quick View_ Sample Data'!O175</f>
        <v>83</v>
      </c>
      <c r="D174">
        <f>'Quick View_ Sample Data'!AN175</f>
        <v>0</v>
      </c>
      <c r="E174">
        <f>'Quick View_ Sample Data'!O175</f>
        <v>83</v>
      </c>
      <c r="F174">
        <f>'Quick View_ Sample Data'!AO175</f>
        <v>0</v>
      </c>
      <c r="G174">
        <f>'Quick View_ Sample Data'!O175</f>
        <v>83</v>
      </c>
      <c r="H174">
        <f>'Quick View_ Sample Data'!AP175</f>
        <v>0</v>
      </c>
      <c r="I174">
        <f>'Quick View_ Sample Data'!AF175</f>
        <v>0</v>
      </c>
      <c r="J174">
        <f>'Quick View_ Sample Data'!AJ175</f>
        <v>0</v>
      </c>
      <c r="K174">
        <f>'Quick View_ Sample Data'!AH175</f>
        <v>0</v>
      </c>
      <c r="L174">
        <f t="shared" si="2"/>
        <v>0</v>
      </c>
    </row>
    <row r="175" spans="1:12" ht="12.75" customHeight="1">
      <c r="A175" s="321"/>
      <c r="B175" t="str">
        <f>'Quick View_ Sample Data'!P176</f>
        <v>MgO</v>
      </c>
      <c r="C175">
        <f>'Quick View_ Sample Data'!O176</f>
        <v>83</v>
      </c>
      <c r="D175">
        <f>'Quick View_ Sample Data'!AN176</f>
        <v>0</v>
      </c>
      <c r="E175">
        <f>'Quick View_ Sample Data'!O176</f>
        <v>83</v>
      </c>
      <c r="F175">
        <f>'Quick View_ Sample Data'!AO176</f>
        <v>0</v>
      </c>
      <c r="G175">
        <f>'Quick View_ Sample Data'!O176</f>
        <v>83</v>
      </c>
      <c r="H175">
        <f>'Quick View_ Sample Data'!AP176</f>
        <v>0</v>
      </c>
      <c r="I175">
        <f>'Quick View_ Sample Data'!AF176</f>
        <v>0</v>
      </c>
      <c r="J175">
        <f>'Quick View_ Sample Data'!AJ176</f>
        <v>0</v>
      </c>
      <c r="K175">
        <f>'Quick View_ Sample Data'!AH176</f>
        <v>0</v>
      </c>
      <c r="L175">
        <f t="shared" si="2"/>
        <v>0</v>
      </c>
    </row>
    <row r="176" spans="1:12" ht="12.75" customHeight="1">
      <c r="A176" s="321"/>
      <c r="B176" t="str">
        <f>'Quick View_ Sample Data'!P177</f>
        <v>MgO</v>
      </c>
      <c r="C176">
        <f>'Quick View_ Sample Data'!O177</f>
        <v>84</v>
      </c>
      <c r="D176">
        <f>'Quick View_ Sample Data'!AN177</f>
        <v>0</v>
      </c>
      <c r="E176">
        <f>'Quick View_ Sample Data'!O177</f>
        <v>84</v>
      </c>
      <c r="F176">
        <f>'Quick View_ Sample Data'!AO177</f>
        <v>0</v>
      </c>
      <c r="G176">
        <f>'Quick View_ Sample Data'!O177</f>
        <v>84</v>
      </c>
      <c r="H176">
        <f>'Quick View_ Sample Data'!AP177</f>
        <v>0</v>
      </c>
      <c r="I176">
        <f>'Quick View_ Sample Data'!AF177</f>
        <v>0</v>
      </c>
      <c r="J176">
        <f>'Quick View_ Sample Data'!AJ177</f>
        <v>0</v>
      </c>
      <c r="K176">
        <f>'Quick View_ Sample Data'!AH177</f>
        <v>0</v>
      </c>
      <c r="L176">
        <f t="shared" si="2"/>
        <v>0</v>
      </c>
    </row>
    <row r="177" spans="1:12" ht="12.75" customHeight="1">
      <c r="A177" s="321"/>
      <c r="B177" t="str">
        <f>'Quick View_ Sample Data'!P178</f>
        <v>MgO</v>
      </c>
      <c r="C177">
        <f>'Quick View_ Sample Data'!O178</f>
        <v>84</v>
      </c>
      <c r="D177">
        <f>'Quick View_ Sample Data'!AN178</f>
        <v>0</v>
      </c>
      <c r="E177">
        <f>'Quick View_ Sample Data'!O178</f>
        <v>84</v>
      </c>
      <c r="F177">
        <f>'Quick View_ Sample Data'!AO178</f>
        <v>0</v>
      </c>
      <c r="G177">
        <f>'Quick View_ Sample Data'!O178</f>
        <v>84</v>
      </c>
      <c r="H177">
        <f>'Quick View_ Sample Data'!AP178</f>
        <v>0</v>
      </c>
      <c r="I177">
        <f>'Quick View_ Sample Data'!AF178</f>
        <v>0</v>
      </c>
      <c r="J177">
        <f>'Quick View_ Sample Data'!AJ178</f>
        <v>0</v>
      </c>
      <c r="K177">
        <f>'Quick View_ Sample Data'!AH178</f>
        <v>0</v>
      </c>
      <c r="L177">
        <f t="shared" si="2"/>
        <v>0</v>
      </c>
    </row>
    <row r="178" spans="1:12" ht="12.75" customHeight="1">
      <c r="A178" s="321"/>
      <c r="B178" t="str">
        <f>'Quick View_ Sample Data'!P179</f>
        <v>MgO</v>
      </c>
      <c r="C178">
        <f>'Quick View_ Sample Data'!O179</f>
        <v>84</v>
      </c>
      <c r="D178">
        <f>'Quick View_ Sample Data'!AN179</f>
        <v>0</v>
      </c>
      <c r="E178">
        <f>'Quick View_ Sample Data'!O179</f>
        <v>84</v>
      </c>
      <c r="F178">
        <f>'Quick View_ Sample Data'!AO179</f>
        <v>0</v>
      </c>
      <c r="G178">
        <f>'Quick View_ Sample Data'!O179</f>
        <v>84</v>
      </c>
      <c r="H178">
        <f>'Quick View_ Sample Data'!AP179</f>
        <v>0</v>
      </c>
      <c r="I178">
        <f>'Quick View_ Sample Data'!AF179</f>
        <v>0</v>
      </c>
      <c r="J178">
        <f>'Quick View_ Sample Data'!AJ179</f>
        <v>0</v>
      </c>
      <c r="K178">
        <f>'Quick View_ Sample Data'!AH179</f>
        <v>0</v>
      </c>
      <c r="L178">
        <f t="shared" si="2"/>
        <v>0</v>
      </c>
    </row>
    <row r="179" spans="1:12" ht="12.75" customHeight="1">
      <c r="A179" s="321"/>
      <c r="B179" t="str">
        <f>'Quick View_ Sample Data'!P180</f>
        <v>MgO</v>
      </c>
      <c r="C179">
        <f>'Quick View_ Sample Data'!O180</f>
        <v>84</v>
      </c>
      <c r="D179">
        <f>'Quick View_ Sample Data'!AN180</f>
        <v>0</v>
      </c>
      <c r="E179">
        <f>'Quick View_ Sample Data'!O180</f>
        <v>84</v>
      </c>
      <c r="F179">
        <f>'Quick View_ Sample Data'!AO180</f>
        <v>0</v>
      </c>
      <c r="G179">
        <f>'Quick View_ Sample Data'!O180</f>
        <v>84</v>
      </c>
      <c r="H179">
        <f>'Quick View_ Sample Data'!AP180</f>
        <v>0</v>
      </c>
      <c r="I179">
        <f>'Quick View_ Sample Data'!AF180</f>
        <v>0</v>
      </c>
      <c r="J179">
        <f>'Quick View_ Sample Data'!AJ180</f>
        <v>0</v>
      </c>
      <c r="K179">
        <f>'Quick View_ Sample Data'!AH180</f>
        <v>0</v>
      </c>
      <c r="L179">
        <f t="shared" si="2"/>
        <v>0</v>
      </c>
    </row>
    <row r="180" spans="1:12" ht="12.75" customHeight="1">
      <c r="A180" s="321"/>
      <c r="B180" t="str">
        <f>'Quick View_ Sample Data'!P181</f>
        <v>Glass</v>
      </c>
      <c r="C180">
        <f>'Quick View_ Sample Data'!O181</f>
        <v>85</v>
      </c>
      <c r="D180">
        <f>'Quick View_ Sample Data'!AN181</f>
        <v>0</v>
      </c>
      <c r="E180">
        <f>'Quick View_ Sample Data'!O181</f>
        <v>85</v>
      </c>
      <c r="F180">
        <f>'Quick View_ Sample Data'!AO181</f>
        <v>0</v>
      </c>
      <c r="G180">
        <f>'Quick View_ Sample Data'!O181</f>
        <v>85</v>
      </c>
      <c r="H180">
        <f>'Quick View_ Sample Data'!AP181</f>
        <v>0</v>
      </c>
      <c r="I180">
        <f>'Quick View_ Sample Data'!AF181</f>
        <v>0</v>
      </c>
      <c r="J180">
        <f>'Quick View_ Sample Data'!AJ181</f>
        <v>0</v>
      </c>
      <c r="K180">
        <f>'Quick View_ Sample Data'!AH181</f>
        <v>3537.04480506953</v>
      </c>
      <c r="L180">
        <f t="shared" si="2"/>
        <v>0</v>
      </c>
    </row>
    <row r="181" spans="1:12" ht="12.75" customHeight="1">
      <c r="A181" s="321"/>
      <c r="B181" t="str">
        <f>'Quick View_ Sample Data'!P182</f>
        <v>Glass</v>
      </c>
      <c r="C181">
        <f>'Quick View_ Sample Data'!O182</f>
        <v>85</v>
      </c>
      <c r="D181">
        <f>'Quick View_ Sample Data'!AN182</f>
        <v>0</v>
      </c>
      <c r="E181">
        <f>'Quick View_ Sample Data'!O182</f>
        <v>85</v>
      </c>
      <c r="F181">
        <f>'Quick View_ Sample Data'!AO182</f>
        <v>0</v>
      </c>
      <c r="G181">
        <f>'Quick View_ Sample Data'!O182</f>
        <v>85</v>
      </c>
      <c r="H181">
        <f>'Quick View_ Sample Data'!AP182</f>
        <v>0</v>
      </c>
      <c r="I181">
        <f>'Quick View_ Sample Data'!AF182</f>
        <v>0</v>
      </c>
      <c r="J181">
        <f>'Quick View_ Sample Data'!AJ182</f>
        <v>0</v>
      </c>
      <c r="K181">
        <f>'Quick View_ Sample Data'!AH182</f>
        <v>4125.1051176855799</v>
      </c>
      <c r="L181">
        <f t="shared" si="2"/>
        <v>0</v>
      </c>
    </row>
    <row r="182" spans="1:12" ht="12.75" customHeight="1">
      <c r="A182" s="321"/>
      <c r="B182" t="str">
        <f>'Quick View_ Sample Data'!P183</f>
        <v>Glass</v>
      </c>
      <c r="C182">
        <f>'Quick View_ Sample Data'!O183</f>
        <v>85</v>
      </c>
      <c r="D182">
        <f>'Quick View_ Sample Data'!AN183</f>
        <v>0</v>
      </c>
      <c r="E182">
        <f>'Quick View_ Sample Data'!O183</f>
        <v>85</v>
      </c>
      <c r="F182">
        <f>'Quick View_ Sample Data'!AO183</f>
        <v>0</v>
      </c>
      <c r="G182">
        <f>'Quick View_ Sample Data'!O183</f>
        <v>85</v>
      </c>
      <c r="H182">
        <f>'Quick View_ Sample Data'!AP183</f>
        <v>0</v>
      </c>
      <c r="I182">
        <f>'Quick View_ Sample Data'!AF183</f>
        <v>0</v>
      </c>
      <c r="J182">
        <f>'Quick View_ Sample Data'!AJ183</f>
        <v>0</v>
      </c>
      <c r="K182">
        <f>'Quick View_ Sample Data'!AH183</f>
        <v>4095.7258909023799</v>
      </c>
      <c r="L182">
        <f t="shared" si="2"/>
        <v>0</v>
      </c>
    </row>
    <row r="183" spans="1:12" ht="12.75" customHeight="1">
      <c r="A183" s="321"/>
      <c r="B183" t="str">
        <f>'Quick View_ Sample Data'!P184</f>
        <v>Glass</v>
      </c>
      <c r="C183">
        <f>'Quick View_ Sample Data'!O184</f>
        <v>85</v>
      </c>
      <c r="D183">
        <f>'Quick View_ Sample Data'!AN184</f>
        <v>0</v>
      </c>
      <c r="E183">
        <f>'Quick View_ Sample Data'!O184</f>
        <v>85</v>
      </c>
      <c r="F183">
        <f>'Quick View_ Sample Data'!AO184</f>
        <v>0</v>
      </c>
      <c r="G183">
        <f>'Quick View_ Sample Data'!O184</f>
        <v>85</v>
      </c>
      <c r="H183">
        <f>'Quick View_ Sample Data'!AP184</f>
        <v>0</v>
      </c>
      <c r="I183">
        <f>'Quick View_ Sample Data'!AF184</f>
        <v>0</v>
      </c>
      <c r="J183">
        <f>'Quick View_ Sample Data'!AJ184</f>
        <v>0</v>
      </c>
      <c r="K183">
        <f>'Quick View_ Sample Data'!AH184</f>
        <v>4214.4322404150898</v>
      </c>
      <c r="L183">
        <f t="shared" si="2"/>
        <v>0</v>
      </c>
    </row>
    <row r="184" spans="1:12" ht="12.75" customHeight="1">
      <c r="A184" s="321"/>
      <c r="B184" t="str">
        <f>'Quick View_ Sample Data'!P185</f>
        <v>Glass</v>
      </c>
      <c r="C184">
        <f>'Quick View_ Sample Data'!O185</f>
        <v>86</v>
      </c>
      <c r="D184">
        <f>'Quick View_ Sample Data'!AN185</f>
        <v>0</v>
      </c>
      <c r="E184">
        <f>'Quick View_ Sample Data'!O185</f>
        <v>86</v>
      </c>
      <c r="F184">
        <f>'Quick View_ Sample Data'!AO185</f>
        <v>0</v>
      </c>
      <c r="G184">
        <f>'Quick View_ Sample Data'!O185</f>
        <v>86</v>
      </c>
      <c r="H184">
        <f>'Quick View_ Sample Data'!AP185</f>
        <v>0</v>
      </c>
      <c r="I184">
        <f>'Quick View_ Sample Data'!AF185</f>
        <v>0</v>
      </c>
      <c r="J184">
        <f>'Quick View_ Sample Data'!AJ185</f>
        <v>0</v>
      </c>
      <c r="K184">
        <f>'Quick View_ Sample Data'!AH185</f>
        <v>833.68016406269305</v>
      </c>
      <c r="L184">
        <f t="shared" si="2"/>
        <v>0</v>
      </c>
    </row>
    <row r="185" spans="1:12" ht="12.75" customHeight="1">
      <c r="A185" s="321"/>
      <c r="B185" t="str">
        <f>'Quick View_ Sample Data'!P186</f>
        <v>Glass</v>
      </c>
      <c r="C185">
        <f>'Quick View_ Sample Data'!O186</f>
        <v>86</v>
      </c>
      <c r="D185">
        <f>'Quick View_ Sample Data'!AN186</f>
        <v>0</v>
      </c>
      <c r="E185">
        <f>'Quick View_ Sample Data'!O186</f>
        <v>86</v>
      </c>
      <c r="F185">
        <f>'Quick View_ Sample Data'!AO186</f>
        <v>0</v>
      </c>
      <c r="G185">
        <f>'Quick View_ Sample Data'!O186</f>
        <v>86</v>
      </c>
      <c r="H185">
        <f>'Quick View_ Sample Data'!AP186</f>
        <v>0</v>
      </c>
      <c r="I185">
        <f>'Quick View_ Sample Data'!AF186</f>
        <v>0</v>
      </c>
      <c r="J185">
        <f>'Quick View_ Sample Data'!AJ186</f>
        <v>0</v>
      </c>
      <c r="K185">
        <f>'Quick View_ Sample Data'!AH186</f>
        <v>803.34938337557799</v>
      </c>
      <c r="L185">
        <f t="shared" si="2"/>
        <v>0</v>
      </c>
    </row>
    <row r="186" spans="1:12" ht="12.75" customHeight="1">
      <c r="A186" s="321"/>
      <c r="B186" t="str">
        <f>'Quick View_ Sample Data'!P187</f>
        <v>Glass</v>
      </c>
      <c r="C186">
        <f>'Quick View_ Sample Data'!O187</f>
        <v>86</v>
      </c>
      <c r="D186">
        <f>'Quick View_ Sample Data'!AN187</f>
        <v>0</v>
      </c>
      <c r="E186">
        <f>'Quick View_ Sample Data'!O187</f>
        <v>86</v>
      </c>
      <c r="F186">
        <f>'Quick View_ Sample Data'!AO187</f>
        <v>0</v>
      </c>
      <c r="G186">
        <f>'Quick View_ Sample Data'!O187</f>
        <v>86</v>
      </c>
      <c r="H186">
        <f>'Quick View_ Sample Data'!AP187</f>
        <v>0</v>
      </c>
      <c r="I186">
        <f>'Quick View_ Sample Data'!AF187</f>
        <v>0</v>
      </c>
      <c r="J186">
        <f>'Quick View_ Sample Data'!AJ187</f>
        <v>0</v>
      </c>
      <c r="K186">
        <f>'Quick View_ Sample Data'!AH187</f>
        <v>806.56087780127302</v>
      </c>
      <c r="L186">
        <f t="shared" si="2"/>
        <v>0</v>
      </c>
    </row>
    <row r="187" spans="1:12" ht="12.75" customHeight="1">
      <c r="A187" s="321"/>
      <c r="B187" t="str">
        <f>'Quick View_ Sample Data'!P188</f>
        <v>Glass</v>
      </c>
      <c r="C187">
        <f>'Quick View_ Sample Data'!O188</f>
        <v>86</v>
      </c>
      <c r="D187">
        <f>'Quick View_ Sample Data'!AN188</f>
        <v>0</v>
      </c>
      <c r="E187">
        <f>'Quick View_ Sample Data'!O188</f>
        <v>86</v>
      </c>
      <c r="F187">
        <f>'Quick View_ Sample Data'!AO188</f>
        <v>0</v>
      </c>
      <c r="G187">
        <f>'Quick View_ Sample Data'!O188</f>
        <v>86</v>
      </c>
      <c r="H187">
        <f>'Quick View_ Sample Data'!AP188</f>
        <v>0</v>
      </c>
      <c r="I187">
        <f>'Quick View_ Sample Data'!AF188</f>
        <v>0</v>
      </c>
      <c r="J187">
        <f>'Quick View_ Sample Data'!AJ188</f>
        <v>0</v>
      </c>
      <c r="K187">
        <f>'Quick View_ Sample Data'!AH188</f>
        <v>836.41588153643295</v>
      </c>
      <c r="L187">
        <f t="shared" si="2"/>
        <v>0</v>
      </c>
    </row>
    <row r="188" spans="1:12" ht="12.75" customHeight="1">
      <c r="A188" s="321"/>
      <c r="B188" t="str">
        <f>'Quick View_ Sample Data'!P189</f>
        <v>Glass</v>
      </c>
      <c r="C188">
        <f>'Quick View_ Sample Data'!O189</f>
        <v>87</v>
      </c>
      <c r="D188">
        <f>'Quick View_ Sample Data'!AN189</f>
        <v>0</v>
      </c>
      <c r="E188">
        <f>'Quick View_ Sample Data'!O189</f>
        <v>87</v>
      </c>
      <c r="F188">
        <f>'Quick View_ Sample Data'!AO189</f>
        <v>0</v>
      </c>
      <c r="G188">
        <f>'Quick View_ Sample Data'!O189</f>
        <v>87</v>
      </c>
      <c r="H188">
        <f>'Quick View_ Sample Data'!AP189</f>
        <v>0</v>
      </c>
      <c r="I188">
        <f>'Quick View_ Sample Data'!AF189</f>
        <v>0</v>
      </c>
      <c r="J188">
        <f>'Quick View_ Sample Data'!AJ189</f>
        <v>0</v>
      </c>
      <c r="K188">
        <f>'Quick View_ Sample Data'!AH189</f>
        <v>453.53437945085602</v>
      </c>
      <c r="L188">
        <f t="shared" si="2"/>
        <v>0</v>
      </c>
    </row>
    <row r="189" spans="1:12" ht="12.75" customHeight="1">
      <c r="A189" s="321"/>
      <c r="B189" t="str">
        <f>'Quick View_ Sample Data'!P190</f>
        <v>Glass</v>
      </c>
      <c r="C189">
        <f>'Quick View_ Sample Data'!O190</f>
        <v>87</v>
      </c>
      <c r="D189">
        <f>'Quick View_ Sample Data'!AN190</f>
        <v>0</v>
      </c>
      <c r="E189">
        <f>'Quick View_ Sample Data'!O190</f>
        <v>87</v>
      </c>
      <c r="F189">
        <f>'Quick View_ Sample Data'!AO190</f>
        <v>0</v>
      </c>
      <c r="G189">
        <f>'Quick View_ Sample Data'!O190</f>
        <v>87</v>
      </c>
      <c r="H189">
        <f>'Quick View_ Sample Data'!AP190</f>
        <v>0</v>
      </c>
      <c r="I189">
        <f>'Quick View_ Sample Data'!AF190</f>
        <v>0</v>
      </c>
      <c r="J189">
        <f>'Quick View_ Sample Data'!AJ190</f>
        <v>0</v>
      </c>
      <c r="K189">
        <f>'Quick View_ Sample Data'!AH190</f>
        <v>459.71947982626801</v>
      </c>
      <c r="L189">
        <f t="shared" si="2"/>
        <v>0</v>
      </c>
    </row>
    <row r="190" spans="1:12" ht="12.75" customHeight="1">
      <c r="A190" s="321"/>
      <c r="B190" t="str">
        <f>'Quick View_ Sample Data'!P191</f>
        <v>Glass</v>
      </c>
      <c r="C190">
        <f>'Quick View_ Sample Data'!O191</f>
        <v>87</v>
      </c>
      <c r="D190">
        <f>'Quick View_ Sample Data'!AN191</f>
        <v>0</v>
      </c>
      <c r="E190">
        <f>'Quick View_ Sample Data'!O191</f>
        <v>87</v>
      </c>
      <c r="F190">
        <f>'Quick View_ Sample Data'!AO191</f>
        <v>0</v>
      </c>
      <c r="G190">
        <f>'Quick View_ Sample Data'!O191</f>
        <v>87</v>
      </c>
      <c r="H190">
        <f>'Quick View_ Sample Data'!AP191</f>
        <v>0</v>
      </c>
      <c r="I190">
        <f>'Quick View_ Sample Data'!AF191</f>
        <v>0</v>
      </c>
      <c r="J190">
        <f>'Quick View_ Sample Data'!AJ191</f>
        <v>0</v>
      </c>
      <c r="K190">
        <f>'Quick View_ Sample Data'!AH191</f>
        <v>454.01015640281099</v>
      </c>
      <c r="L190">
        <f t="shared" si="2"/>
        <v>0</v>
      </c>
    </row>
    <row r="191" spans="1:12" ht="12.75" customHeight="1">
      <c r="A191" s="321"/>
      <c r="B191" t="str">
        <f>'Quick View_ Sample Data'!P192</f>
        <v>Glass</v>
      </c>
      <c r="C191">
        <f>'Quick View_ Sample Data'!O192</f>
        <v>87</v>
      </c>
      <c r="D191">
        <f>'Quick View_ Sample Data'!AN192</f>
        <v>0</v>
      </c>
      <c r="E191">
        <f>'Quick View_ Sample Data'!O192</f>
        <v>87</v>
      </c>
      <c r="F191">
        <f>'Quick View_ Sample Data'!AO192</f>
        <v>0</v>
      </c>
      <c r="G191">
        <f>'Quick View_ Sample Data'!O192</f>
        <v>87</v>
      </c>
      <c r="H191">
        <f>'Quick View_ Sample Data'!AP192</f>
        <v>0</v>
      </c>
      <c r="I191">
        <f>'Quick View_ Sample Data'!AF192</f>
        <v>0</v>
      </c>
      <c r="J191">
        <f>'Quick View_ Sample Data'!AJ192</f>
        <v>0</v>
      </c>
      <c r="K191">
        <f>'Quick View_ Sample Data'!AH192</f>
        <v>458.173204732415</v>
      </c>
      <c r="L191">
        <f t="shared" si="2"/>
        <v>0</v>
      </c>
    </row>
    <row r="192" spans="1:12" ht="12.75" customHeight="1">
      <c r="A192" s="321"/>
      <c r="B192" t="str">
        <f>'Quick View_ Sample Data'!P193</f>
        <v>Glass</v>
      </c>
      <c r="C192">
        <f>'Quick View_ Sample Data'!O193</f>
        <v>88</v>
      </c>
      <c r="D192">
        <f>'Quick View_ Sample Data'!AN193</f>
        <v>0</v>
      </c>
      <c r="E192">
        <f>'Quick View_ Sample Data'!O193</f>
        <v>88</v>
      </c>
      <c r="F192">
        <f>'Quick View_ Sample Data'!AO193</f>
        <v>0</v>
      </c>
      <c r="G192">
        <f>'Quick View_ Sample Data'!O193</f>
        <v>88</v>
      </c>
      <c r="H192">
        <f>'Quick View_ Sample Data'!AP193</f>
        <v>0</v>
      </c>
      <c r="I192">
        <f>'Quick View_ Sample Data'!AF193</f>
        <v>0</v>
      </c>
      <c r="J192">
        <f>'Quick View_ Sample Data'!AJ193</f>
        <v>0</v>
      </c>
      <c r="K192">
        <f>'Quick View_ Sample Data'!AH193</f>
        <v>1487.8734730004601</v>
      </c>
      <c r="L192">
        <f t="shared" si="2"/>
        <v>0</v>
      </c>
    </row>
    <row r="193" spans="1:12" ht="12.75" customHeight="1">
      <c r="A193" s="321"/>
      <c r="B193" t="str">
        <f>'Quick View_ Sample Data'!P194</f>
        <v>Glass</v>
      </c>
      <c r="C193">
        <f>'Quick View_ Sample Data'!O194</f>
        <v>88</v>
      </c>
      <c r="D193">
        <f>'Quick View_ Sample Data'!AN194</f>
        <v>0</v>
      </c>
      <c r="E193">
        <f>'Quick View_ Sample Data'!O194</f>
        <v>88</v>
      </c>
      <c r="F193">
        <f>'Quick View_ Sample Data'!AO194</f>
        <v>0</v>
      </c>
      <c r="G193">
        <f>'Quick View_ Sample Data'!O194</f>
        <v>88</v>
      </c>
      <c r="H193">
        <f>'Quick View_ Sample Data'!AP194</f>
        <v>0</v>
      </c>
      <c r="I193">
        <f>'Quick View_ Sample Data'!AF194</f>
        <v>0</v>
      </c>
      <c r="J193">
        <f>'Quick View_ Sample Data'!AJ194</f>
        <v>0</v>
      </c>
      <c r="K193">
        <f>'Quick View_ Sample Data'!AH194</f>
        <v>1341.3341717983999</v>
      </c>
      <c r="L193">
        <f t="shared" si="2"/>
        <v>0</v>
      </c>
    </row>
    <row r="194" spans="1:12" ht="12.75" customHeight="1">
      <c r="A194" s="321"/>
      <c r="B194" t="str">
        <f>'Quick View_ Sample Data'!P195</f>
        <v>Glass</v>
      </c>
      <c r="C194">
        <f>'Quick View_ Sample Data'!O195</f>
        <v>88</v>
      </c>
      <c r="D194">
        <f>'Quick View_ Sample Data'!AN195</f>
        <v>0</v>
      </c>
      <c r="E194">
        <f>'Quick View_ Sample Data'!O195</f>
        <v>88</v>
      </c>
      <c r="F194">
        <f>'Quick View_ Sample Data'!AO195</f>
        <v>0</v>
      </c>
      <c r="G194">
        <f>'Quick View_ Sample Data'!O195</f>
        <v>88</v>
      </c>
      <c r="H194">
        <f>'Quick View_ Sample Data'!AP195</f>
        <v>0</v>
      </c>
      <c r="I194">
        <f>'Quick View_ Sample Data'!AF195</f>
        <v>0</v>
      </c>
      <c r="J194">
        <f>'Quick View_ Sample Data'!AJ195</f>
        <v>0</v>
      </c>
      <c r="K194">
        <f>'Quick View_ Sample Data'!AH195</f>
        <v>1424.7140826284699</v>
      </c>
      <c r="L194">
        <f t="shared" ref="L194:L257" si="3">I194*J194</f>
        <v>0</v>
      </c>
    </row>
    <row r="195" spans="1:12" ht="12.75" customHeight="1">
      <c r="A195" s="321"/>
      <c r="B195" t="str">
        <f>'Quick View_ Sample Data'!P196</f>
        <v>Glass</v>
      </c>
      <c r="C195">
        <f>'Quick View_ Sample Data'!O196</f>
        <v>88</v>
      </c>
      <c r="D195">
        <f>'Quick View_ Sample Data'!AN196</f>
        <v>0</v>
      </c>
      <c r="E195">
        <f>'Quick View_ Sample Data'!O196</f>
        <v>88</v>
      </c>
      <c r="F195">
        <f>'Quick View_ Sample Data'!AO196</f>
        <v>0</v>
      </c>
      <c r="G195">
        <f>'Quick View_ Sample Data'!O196</f>
        <v>88</v>
      </c>
      <c r="H195">
        <f>'Quick View_ Sample Data'!AP196</f>
        <v>0</v>
      </c>
      <c r="I195">
        <f>'Quick View_ Sample Data'!AF196</f>
        <v>0</v>
      </c>
      <c r="J195">
        <f>'Quick View_ Sample Data'!AJ196</f>
        <v>0</v>
      </c>
      <c r="K195">
        <f>'Quick View_ Sample Data'!AH196</f>
        <v>1334.67329447103</v>
      </c>
      <c r="L195">
        <f t="shared" si="3"/>
        <v>0</v>
      </c>
    </row>
    <row r="196" spans="1:12" ht="12.75" customHeight="1">
      <c r="A196" s="321"/>
      <c r="B196" t="str">
        <f>'Quick View_ Sample Data'!P197</f>
        <v>Glass</v>
      </c>
      <c r="C196">
        <f>'Quick View_ Sample Data'!O197</f>
        <v>89</v>
      </c>
      <c r="D196">
        <f>'Quick View_ Sample Data'!AN197</f>
        <v>0</v>
      </c>
      <c r="E196">
        <f>'Quick View_ Sample Data'!O197</f>
        <v>89</v>
      </c>
      <c r="F196">
        <f>'Quick View_ Sample Data'!AO197</f>
        <v>0</v>
      </c>
      <c r="G196">
        <f>'Quick View_ Sample Data'!O197</f>
        <v>89</v>
      </c>
      <c r="H196">
        <f>'Quick View_ Sample Data'!AP197</f>
        <v>0</v>
      </c>
      <c r="I196">
        <f>'Quick View_ Sample Data'!AF197</f>
        <v>0</v>
      </c>
      <c r="J196">
        <f>'Quick View_ Sample Data'!AJ197</f>
        <v>0</v>
      </c>
      <c r="K196">
        <f>'Quick View_ Sample Data'!AH197</f>
        <v>184.95829007240499</v>
      </c>
      <c r="L196">
        <f t="shared" si="3"/>
        <v>0</v>
      </c>
    </row>
    <row r="197" spans="1:12" ht="12.75" customHeight="1">
      <c r="A197" s="321"/>
      <c r="B197" t="str">
        <f>'Quick View_ Sample Data'!P198</f>
        <v>Glass</v>
      </c>
      <c r="C197">
        <f>'Quick View_ Sample Data'!O198</f>
        <v>89</v>
      </c>
      <c r="D197">
        <f>'Quick View_ Sample Data'!AN198</f>
        <v>0</v>
      </c>
      <c r="E197">
        <f>'Quick View_ Sample Data'!O198</f>
        <v>89</v>
      </c>
      <c r="F197">
        <f>'Quick View_ Sample Data'!AO198</f>
        <v>0</v>
      </c>
      <c r="G197">
        <f>'Quick View_ Sample Data'!O198</f>
        <v>89</v>
      </c>
      <c r="H197">
        <f>'Quick View_ Sample Data'!AP198</f>
        <v>0</v>
      </c>
      <c r="I197">
        <f>'Quick View_ Sample Data'!AF198</f>
        <v>0</v>
      </c>
      <c r="J197">
        <f>'Quick View_ Sample Data'!AJ198</f>
        <v>0</v>
      </c>
      <c r="K197">
        <f>'Quick View_ Sample Data'!AH198</f>
        <v>185.790899738326</v>
      </c>
      <c r="L197">
        <f t="shared" si="3"/>
        <v>0</v>
      </c>
    </row>
    <row r="198" spans="1:12" ht="12.75" customHeight="1">
      <c r="A198" s="321"/>
      <c r="B198" t="str">
        <f>'Quick View_ Sample Data'!P199</f>
        <v>Glass</v>
      </c>
      <c r="C198">
        <f>'Quick View_ Sample Data'!O199</f>
        <v>89</v>
      </c>
      <c r="D198">
        <f>'Quick View_ Sample Data'!AN199</f>
        <v>0</v>
      </c>
      <c r="E198">
        <f>'Quick View_ Sample Data'!O199</f>
        <v>89</v>
      </c>
      <c r="F198">
        <f>'Quick View_ Sample Data'!AO199</f>
        <v>0</v>
      </c>
      <c r="G198">
        <f>'Quick View_ Sample Data'!O199</f>
        <v>89</v>
      </c>
      <c r="H198">
        <f>'Quick View_ Sample Data'!AP199</f>
        <v>0</v>
      </c>
      <c r="I198">
        <f>'Quick View_ Sample Data'!AF199</f>
        <v>0</v>
      </c>
      <c r="J198">
        <f>'Quick View_ Sample Data'!AJ199</f>
        <v>0</v>
      </c>
      <c r="K198">
        <f>'Quick View_ Sample Data'!AH199</f>
        <v>185.077234310394</v>
      </c>
      <c r="L198">
        <f t="shared" si="3"/>
        <v>0</v>
      </c>
    </row>
    <row r="199" spans="1:12" ht="12.75" customHeight="1">
      <c r="A199" s="321"/>
      <c r="B199" t="str">
        <f>'Quick View_ Sample Data'!P200</f>
        <v>Glass</v>
      </c>
      <c r="C199">
        <f>'Quick View_ Sample Data'!O200</f>
        <v>89</v>
      </c>
      <c r="D199">
        <f>'Quick View_ Sample Data'!AN200</f>
        <v>0</v>
      </c>
      <c r="E199">
        <f>'Quick View_ Sample Data'!O200</f>
        <v>89</v>
      </c>
      <c r="F199">
        <f>'Quick View_ Sample Data'!AO200</f>
        <v>0</v>
      </c>
      <c r="G199">
        <f>'Quick View_ Sample Data'!O200</f>
        <v>89</v>
      </c>
      <c r="H199">
        <f>'Quick View_ Sample Data'!AP200</f>
        <v>0</v>
      </c>
      <c r="I199">
        <f>'Quick View_ Sample Data'!AF200</f>
        <v>0</v>
      </c>
      <c r="J199">
        <f>'Quick View_ Sample Data'!AJ200</f>
        <v>10.3</v>
      </c>
      <c r="K199">
        <f>'Quick View_ Sample Data'!AH200</f>
        <v>191.024446209828</v>
      </c>
      <c r="L199">
        <f t="shared" si="3"/>
        <v>0</v>
      </c>
    </row>
    <row r="200" spans="1:12" ht="12.75" customHeight="1">
      <c r="A200" s="321"/>
      <c r="B200" t="str">
        <f>'Quick View_ Sample Data'!P201</f>
        <v>Glass</v>
      </c>
      <c r="C200">
        <f>'Quick View_ Sample Data'!O201</f>
        <v>91</v>
      </c>
      <c r="D200">
        <f>'Quick View_ Sample Data'!AN201</f>
        <v>0</v>
      </c>
      <c r="E200">
        <f>'Quick View_ Sample Data'!O201</f>
        <v>91</v>
      </c>
      <c r="F200">
        <f>'Quick View_ Sample Data'!AO201</f>
        <v>0</v>
      </c>
      <c r="G200">
        <f>'Quick View_ Sample Data'!O201</f>
        <v>91</v>
      </c>
      <c r="H200">
        <f>'Quick View_ Sample Data'!AP201</f>
        <v>0</v>
      </c>
      <c r="I200">
        <f>'Quick View_ Sample Data'!AF201</f>
        <v>0</v>
      </c>
      <c r="J200">
        <f>'Quick View_ Sample Data'!AJ201</f>
        <v>0</v>
      </c>
      <c r="K200">
        <f>'Quick View_ Sample Data'!AH201</f>
        <v>12565.982966552599</v>
      </c>
      <c r="L200">
        <f t="shared" si="3"/>
        <v>0</v>
      </c>
    </row>
    <row r="201" spans="1:12" ht="12.75" customHeight="1">
      <c r="A201" s="321"/>
      <c r="B201" t="str">
        <f>'Quick View_ Sample Data'!P202</f>
        <v>Glass</v>
      </c>
      <c r="C201">
        <f>'Quick View_ Sample Data'!O202</f>
        <v>91</v>
      </c>
      <c r="D201">
        <f>'Quick View_ Sample Data'!AN202</f>
        <v>0</v>
      </c>
      <c r="E201">
        <f>'Quick View_ Sample Data'!O202</f>
        <v>91</v>
      </c>
      <c r="F201">
        <f>'Quick View_ Sample Data'!AO202</f>
        <v>0</v>
      </c>
      <c r="G201">
        <f>'Quick View_ Sample Data'!O202</f>
        <v>91</v>
      </c>
      <c r="H201">
        <f>'Quick View_ Sample Data'!AP202</f>
        <v>0</v>
      </c>
      <c r="I201">
        <f>'Quick View_ Sample Data'!AF202</f>
        <v>0</v>
      </c>
      <c r="J201">
        <f>'Quick View_ Sample Data'!AJ202</f>
        <v>0</v>
      </c>
      <c r="K201">
        <f>'Quick View_ Sample Data'!AH202</f>
        <v>10977.720556689699</v>
      </c>
      <c r="L201">
        <f t="shared" si="3"/>
        <v>0</v>
      </c>
    </row>
    <row r="202" spans="1:12" ht="12.75" customHeight="1">
      <c r="A202" s="321"/>
      <c r="B202" t="str">
        <f>'Quick View_ Sample Data'!P203</f>
        <v>Glass</v>
      </c>
      <c r="C202">
        <f>'Quick View_ Sample Data'!O203</f>
        <v>91</v>
      </c>
      <c r="D202">
        <f>'Quick View_ Sample Data'!AN203</f>
        <v>0</v>
      </c>
      <c r="E202">
        <f>'Quick View_ Sample Data'!O203</f>
        <v>91</v>
      </c>
      <c r="F202">
        <f>'Quick View_ Sample Data'!AO203</f>
        <v>0</v>
      </c>
      <c r="G202">
        <f>'Quick View_ Sample Data'!O203</f>
        <v>91</v>
      </c>
      <c r="H202">
        <f>'Quick View_ Sample Data'!AP203</f>
        <v>0</v>
      </c>
      <c r="I202">
        <f>'Quick View_ Sample Data'!AF203</f>
        <v>0</v>
      </c>
      <c r="J202">
        <f>'Quick View_ Sample Data'!AJ203</f>
        <v>0</v>
      </c>
      <c r="K202">
        <f>'Quick View_ Sample Data'!AH203</f>
        <v>14943.083562756499</v>
      </c>
      <c r="L202">
        <f t="shared" si="3"/>
        <v>0</v>
      </c>
    </row>
    <row r="203" spans="1:12" ht="12.75" customHeight="1">
      <c r="A203" s="321"/>
      <c r="B203" t="str">
        <f>'Quick View_ Sample Data'!P204</f>
        <v>Glass</v>
      </c>
      <c r="C203">
        <f>'Quick View_ Sample Data'!O204</f>
        <v>91</v>
      </c>
      <c r="D203">
        <f>'Quick View_ Sample Data'!AN204</f>
        <v>0</v>
      </c>
      <c r="E203">
        <f>'Quick View_ Sample Data'!O204</f>
        <v>91</v>
      </c>
      <c r="F203">
        <f>'Quick View_ Sample Data'!AO204</f>
        <v>0</v>
      </c>
      <c r="G203">
        <f>'Quick View_ Sample Data'!O204</f>
        <v>91</v>
      </c>
      <c r="H203">
        <f>'Quick View_ Sample Data'!AP204</f>
        <v>0</v>
      </c>
      <c r="I203">
        <f>'Quick View_ Sample Data'!AF204</f>
        <v>0</v>
      </c>
      <c r="J203">
        <f>'Quick View_ Sample Data'!AJ204</f>
        <v>0</v>
      </c>
      <c r="K203">
        <f>'Quick View_ Sample Data'!AH204</f>
        <v>14734.0985366104</v>
      </c>
      <c r="L203">
        <f t="shared" si="3"/>
        <v>0</v>
      </c>
    </row>
    <row r="204" spans="1:12" ht="12.75" customHeight="1">
      <c r="A204" s="321"/>
      <c r="B204" t="str">
        <f>'Quick View_ Sample Data'!P205</f>
        <v>Glass</v>
      </c>
      <c r="C204">
        <f>'Quick View_ Sample Data'!O205</f>
        <v>92</v>
      </c>
      <c r="D204">
        <f>'Quick View_ Sample Data'!AN205</f>
        <v>0</v>
      </c>
      <c r="E204">
        <f>'Quick View_ Sample Data'!O205</f>
        <v>92</v>
      </c>
      <c r="F204">
        <f>'Quick View_ Sample Data'!AO205</f>
        <v>0</v>
      </c>
      <c r="G204">
        <f>'Quick View_ Sample Data'!O205</f>
        <v>92</v>
      </c>
      <c r="H204">
        <f>'Quick View_ Sample Data'!AP205</f>
        <v>0</v>
      </c>
      <c r="I204">
        <f>'Quick View_ Sample Data'!AF205</f>
        <v>0</v>
      </c>
      <c r="J204">
        <f>'Quick View_ Sample Data'!AJ205</f>
        <v>0</v>
      </c>
      <c r="K204">
        <f>'Quick View_ Sample Data'!AH205</f>
        <v>1620.0205214058899</v>
      </c>
      <c r="L204">
        <f t="shared" si="3"/>
        <v>0</v>
      </c>
    </row>
    <row r="205" spans="1:12" ht="12.75" customHeight="1">
      <c r="A205" s="321"/>
      <c r="B205" t="str">
        <f>'Quick View_ Sample Data'!P206</f>
        <v>Glass</v>
      </c>
      <c r="C205">
        <f>'Quick View_ Sample Data'!O206</f>
        <v>92</v>
      </c>
      <c r="D205">
        <f>'Quick View_ Sample Data'!AN206</f>
        <v>0</v>
      </c>
      <c r="E205">
        <f>'Quick View_ Sample Data'!O206</f>
        <v>92</v>
      </c>
      <c r="F205">
        <f>'Quick View_ Sample Data'!AO206</f>
        <v>0</v>
      </c>
      <c r="G205">
        <f>'Quick View_ Sample Data'!O206</f>
        <v>92</v>
      </c>
      <c r="H205">
        <f>'Quick View_ Sample Data'!AP206</f>
        <v>0</v>
      </c>
      <c r="I205">
        <f>'Quick View_ Sample Data'!AF206</f>
        <v>0</v>
      </c>
      <c r="J205">
        <f>'Quick View_ Sample Data'!AJ206</f>
        <v>0</v>
      </c>
      <c r="K205">
        <f>'Quick View_ Sample Data'!AH206</f>
        <v>1644.99881138351</v>
      </c>
      <c r="L205">
        <f t="shared" si="3"/>
        <v>0</v>
      </c>
    </row>
    <row r="206" spans="1:12" ht="12.75" customHeight="1">
      <c r="A206" s="321"/>
      <c r="B206" t="str">
        <f>'Quick View_ Sample Data'!P207</f>
        <v>Glass</v>
      </c>
      <c r="C206">
        <f>'Quick View_ Sample Data'!O207</f>
        <v>92</v>
      </c>
      <c r="D206">
        <f>'Quick View_ Sample Data'!AN207</f>
        <v>0</v>
      </c>
      <c r="E206">
        <f>'Quick View_ Sample Data'!O207</f>
        <v>92</v>
      </c>
      <c r="F206">
        <f>'Quick View_ Sample Data'!AO207</f>
        <v>0</v>
      </c>
      <c r="G206">
        <f>'Quick View_ Sample Data'!O207</f>
        <v>92</v>
      </c>
      <c r="H206">
        <f>'Quick View_ Sample Data'!AP207</f>
        <v>0</v>
      </c>
      <c r="I206">
        <f>'Quick View_ Sample Data'!AF207</f>
        <v>0</v>
      </c>
      <c r="J206">
        <f>'Quick View_ Sample Data'!AJ207</f>
        <v>0</v>
      </c>
      <c r="K206">
        <f>'Quick View_ Sample Data'!AH207</f>
        <v>1570.6586626405899</v>
      </c>
      <c r="L206">
        <f t="shared" si="3"/>
        <v>0</v>
      </c>
    </row>
    <row r="207" spans="1:12" ht="12.75" customHeight="1">
      <c r="A207" s="321"/>
      <c r="B207" t="str">
        <f>'Quick View_ Sample Data'!P208</f>
        <v>Glass</v>
      </c>
      <c r="C207">
        <f>'Quick View_ Sample Data'!O208</f>
        <v>92</v>
      </c>
      <c r="D207">
        <f>'Quick View_ Sample Data'!AN208</f>
        <v>0</v>
      </c>
      <c r="E207">
        <f>'Quick View_ Sample Data'!O208</f>
        <v>92</v>
      </c>
      <c r="F207">
        <f>'Quick View_ Sample Data'!AO208</f>
        <v>0</v>
      </c>
      <c r="G207">
        <f>'Quick View_ Sample Data'!O208</f>
        <v>92</v>
      </c>
      <c r="H207">
        <f>'Quick View_ Sample Data'!AP208</f>
        <v>0</v>
      </c>
      <c r="I207">
        <f>'Quick View_ Sample Data'!AF208</f>
        <v>0</v>
      </c>
      <c r="J207">
        <f>'Quick View_ Sample Data'!AJ208</f>
        <v>0</v>
      </c>
      <c r="K207">
        <f>'Quick View_ Sample Data'!AH208</f>
        <v>1582.43414220147</v>
      </c>
      <c r="L207">
        <f t="shared" si="3"/>
        <v>0</v>
      </c>
    </row>
    <row r="208" spans="1:12" ht="12.75" customHeight="1">
      <c r="A208" s="321"/>
      <c r="B208" t="str">
        <f>'Quick View_ Sample Data'!P209</f>
        <v>Glass</v>
      </c>
      <c r="C208">
        <f>'Quick View_ Sample Data'!O209</f>
        <v>93</v>
      </c>
      <c r="D208">
        <f>'Quick View_ Sample Data'!AN209</f>
        <v>0</v>
      </c>
      <c r="E208">
        <f>'Quick View_ Sample Data'!O209</f>
        <v>93</v>
      </c>
      <c r="F208">
        <f>'Quick View_ Sample Data'!AO209</f>
        <v>0</v>
      </c>
      <c r="G208">
        <f>'Quick View_ Sample Data'!O209</f>
        <v>93</v>
      </c>
      <c r="H208">
        <f>'Quick View_ Sample Data'!AP209</f>
        <v>0</v>
      </c>
      <c r="I208">
        <f>'Quick View_ Sample Data'!AF209</f>
        <v>0</v>
      </c>
      <c r="J208">
        <f>'Quick View_ Sample Data'!AJ209</f>
        <v>0</v>
      </c>
      <c r="K208">
        <f>'Quick View_ Sample Data'!AH209</f>
        <v>780.03631272979601</v>
      </c>
      <c r="L208">
        <f t="shared" si="3"/>
        <v>0</v>
      </c>
    </row>
    <row r="209" spans="1:12" ht="12.75" customHeight="1">
      <c r="A209" s="321"/>
      <c r="B209" t="str">
        <f>'Quick View_ Sample Data'!P210</f>
        <v>Glass</v>
      </c>
      <c r="C209">
        <f>'Quick View_ Sample Data'!O210</f>
        <v>93</v>
      </c>
      <c r="D209">
        <f>'Quick View_ Sample Data'!AN210</f>
        <v>0</v>
      </c>
      <c r="E209">
        <f>'Quick View_ Sample Data'!O210</f>
        <v>93</v>
      </c>
      <c r="F209">
        <f>'Quick View_ Sample Data'!AO210</f>
        <v>0</v>
      </c>
      <c r="G209">
        <f>'Quick View_ Sample Data'!O210</f>
        <v>93</v>
      </c>
      <c r="H209">
        <f>'Quick View_ Sample Data'!AP210</f>
        <v>0</v>
      </c>
      <c r="I209">
        <f>'Quick View_ Sample Data'!AF210</f>
        <v>0</v>
      </c>
      <c r="J209">
        <f>'Quick View_ Sample Data'!AJ210</f>
        <v>0</v>
      </c>
      <c r="K209">
        <f>'Quick View_ Sample Data'!AH210</f>
        <v>784.43724953537696</v>
      </c>
      <c r="L209">
        <f t="shared" si="3"/>
        <v>0</v>
      </c>
    </row>
    <row r="210" spans="1:12" ht="12.75" customHeight="1">
      <c r="A210" s="321"/>
      <c r="B210" t="str">
        <f>'Quick View_ Sample Data'!P211</f>
        <v>Glass</v>
      </c>
      <c r="C210">
        <f>'Quick View_ Sample Data'!O211</f>
        <v>93</v>
      </c>
      <c r="D210">
        <f>'Quick View_ Sample Data'!AN211</f>
        <v>0</v>
      </c>
      <c r="E210">
        <f>'Quick View_ Sample Data'!O211</f>
        <v>93</v>
      </c>
      <c r="F210">
        <f>'Quick View_ Sample Data'!AO211</f>
        <v>0</v>
      </c>
      <c r="G210">
        <f>'Quick View_ Sample Data'!O211</f>
        <v>93</v>
      </c>
      <c r="H210">
        <f>'Quick View_ Sample Data'!AP211</f>
        <v>0</v>
      </c>
      <c r="I210">
        <f>'Quick View_ Sample Data'!AF211</f>
        <v>0</v>
      </c>
      <c r="J210">
        <f>'Quick View_ Sample Data'!AJ211</f>
        <v>0</v>
      </c>
      <c r="K210">
        <f>'Quick View_ Sample Data'!AH211</f>
        <v>764.09778483931302</v>
      </c>
      <c r="L210">
        <f t="shared" si="3"/>
        <v>0</v>
      </c>
    </row>
    <row r="211" spans="1:12" ht="12.75" customHeight="1">
      <c r="A211" s="321"/>
      <c r="B211" t="str">
        <f>'Quick View_ Sample Data'!P212</f>
        <v>Glass</v>
      </c>
      <c r="C211">
        <f>'Quick View_ Sample Data'!O212</f>
        <v>93</v>
      </c>
      <c r="D211">
        <f>'Quick View_ Sample Data'!AN212</f>
        <v>0</v>
      </c>
      <c r="E211">
        <f>'Quick View_ Sample Data'!O212</f>
        <v>93</v>
      </c>
      <c r="F211">
        <f>'Quick View_ Sample Data'!AO212</f>
        <v>0</v>
      </c>
      <c r="G211">
        <f>'Quick View_ Sample Data'!O212</f>
        <v>93</v>
      </c>
      <c r="H211">
        <f>'Quick View_ Sample Data'!AP212</f>
        <v>0</v>
      </c>
      <c r="I211">
        <f>'Quick View_ Sample Data'!AF212</f>
        <v>0</v>
      </c>
      <c r="J211">
        <f>'Quick View_ Sample Data'!AJ212</f>
        <v>0</v>
      </c>
      <c r="K211">
        <f>'Quick View_ Sample Data'!AH212</f>
        <v>792.16862500464197</v>
      </c>
      <c r="L211">
        <f t="shared" si="3"/>
        <v>0</v>
      </c>
    </row>
    <row r="212" spans="1:12" ht="12.75" customHeight="1">
      <c r="A212" s="321"/>
      <c r="B212" t="str">
        <f>'Quick View_ Sample Data'!P213</f>
        <v>Glass</v>
      </c>
      <c r="C212">
        <f>'Quick View_ Sample Data'!O213</f>
        <v>94</v>
      </c>
      <c r="D212">
        <f>'Quick View_ Sample Data'!AN213</f>
        <v>0</v>
      </c>
      <c r="E212">
        <f>'Quick View_ Sample Data'!O213</f>
        <v>94</v>
      </c>
      <c r="F212">
        <f>'Quick View_ Sample Data'!AO213</f>
        <v>0</v>
      </c>
      <c r="G212">
        <f>'Quick View_ Sample Data'!O213</f>
        <v>94</v>
      </c>
      <c r="H212">
        <f>'Quick View_ Sample Data'!AP213</f>
        <v>0</v>
      </c>
      <c r="I212">
        <f>'Quick View_ Sample Data'!AF213</f>
        <v>0</v>
      </c>
      <c r="J212">
        <f>'Quick View_ Sample Data'!AJ213</f>
        <v>0</v>
      </c>
      <c r="K212">
        <f>'Quick View_ Sample Data'!AH213</f>
        <v>517.64532372675706</v>
      </c>
      <c r="L212">
        <f t="shared" si="3"/>
        <v>0</v>
      </c>
    </row>
    <row r="213" spans="1:12" ht="12.75" customHeight="1">
      <c r="A213" s="321"/>
      <c r="B213" t="str">
        <f>'Quick View_ Sample Data'!P214</f>
        <v>Glass</v>
      </c>
      <c r="C213">
        <f>'Quick View_ Sample Data'!O214</f>
        <v>94</v>
      </c>
      <c r="D213">
        <f>'Quick View_ Sample Data'!AN214</f>
        <v>0</v>
      </c>
      <c r="E213">
        <f>'Quick View_ Sample Data'!O214</f>
        <v>94</v>
      </c>
      <c r="F213">
        <f>'Quick View_ Sample Data'!AO214</f>
        <v>0</v>
      </c>
      <c r="G213">
        <f>'Quick View_ Sample Data'!O214</f>
        <v>94</v>
      </c>
      <c r="H213">
        <f>'Quick View_ Sample Data'!AP214</f>
        <v>0</v>
      </c>
      <c r="I213">
        <f>'Quick View_ Sample Data'!AF214</f>
        <v>0</v>
      </c>
      <c r="J213">
        <f>'Quick View_ Sample Data'!AJ214</f>
        <v>8.1999999999999993</v>
      </c>
      <c r="K213">
        <f>'Quick View_ Sample Data'!AH214</f>
        <v>520.49998543848596</v>
      </c>
      <c r="L213">
        <f t="shared" si="3"/>
        <v>0</v>
      </c>
    </row>
    <row r="214" spans="1:12" ht="12.75" customHeight="1">
      <c r="A214" s="321"/>
      <c r="B214" t="str">
        <f>'Quick View_ Sample Data'!P215</f>
        <v>Glass</v>
      </c>
      <c r="C214">
        <f>'Quick View_ Sample Data'!O215</f>
        <v>94</v>
      </c>
      <c r="D214">
        <f>'Quick View_ Sample Data'!AN215</f>
        <v>0</v>
      </c>
      <c r="E214">
        <f>'Quick View_ Sample Data'!O215</f>
        <v>94</v>
      </c>
      <c r="F214">
        <f>'Quick View_ Sample Data'!AO215</f>
        <v>0</v>
      </c>
      <c r="G214">
        <f>'Quick View_ Sample Data'!O215</f>
        <v>94</v>
      </c>
      <c r="H214">
        <f>'Quick View_ Sample Data'!AP215</f>
        <v>0</v>
      </c>
      <c r="I214">
        <f>'Quick View_ Sample Data'!AF215</f>
        <v>0</v>
      </c>
      <c r="J214">
        <f>'Quick View_ Sample Data'!AJ215</f>
        <v>0</v>
      </c>
      <c r="K214">
        <f>'Quick View_ Sample Data'!AH215</f>
        <v>508.36767316364001</v>
      </c>
      <c r="L214">
        <f t="shared" si="3"/>
        <v>0</v>
      </c>
    </row>
    <row r="215" spans="1:12" ht="12.75" customHeight="1">
      <c r="A215" s="321"/>
      <c r="B215" t="str">
        <f>'Quick View_ Sample Data'!P216</f>
        <v>Glass</v>
      </c>
      <c r="C215">
        <f>'Quick View_ Sample Data'!O216</f>
        <v>94</v>
      </c>
      <c r="D215">
        <f>'Quick View_ Sample Data'!AN216</f>
        <v>0</v>
      </c>
      <c r="E215">
        <f>'Quick View_ Sample Data'!O216</f>
        <v>94</v>
      </c>
      <c r="F215">
        <f>'Quick View_ Sample Data'!AO216</f>
        <v>0</v>
      </c>
      <c r="G215">
        <f>'Quick View_ Sample Data'!O216</f>
        <v>94</v>
      </c>
      <c r="H215">
        <f>'Quick View_ Sample Data'!AP216</f>
        <v>0</v>
      </c>
      <c r="I215">
        <f>'Quick View_ Sample Data'!AF216</f>
        <v>0</v>
      </c>
      <c r="J215">
        <f>'Quick View_ Sample Data'!AJ216</f>
        <v>0</v>
      </c>
      <c r="K215">
        <f>'Quick View_ Sample Data'!AH216</f>
        <v>513.601219635142</v>
      </c>
      <c r="L215">
        <f t="shared" si="3"/>
        <v>0</v>
      </c>
    </row>
    <row r="216" spans="1:12" ht="12.75" customHeight="1">
      <c r="A216" s="321"/>
      <c r="B216" t="str">
        <f>'Quick View_ Sample Data'!P217</f>
        <v>MgO</v>
      </c>
      <c r="C216">
        <f>'Quick View_ Sample Data'!O217</f>
        <v>90</v>
      </c>
      <c r="D216">
        <f>'Quick View_ Sample Data'!AN217</f>
        <v>0</v>
      </c>
      <c r="E216">
        <f>'Quick View_ Sample Data'!O217</f>
        <v>90</v>
      </c>
      <c r="F216">
        <f>'Quick View_ Sample Data'!AO217</f>
        <v>0</v>
      </c>
      <c r="G216">
        <f>'Quick View_ Sample Data'!O217</f>
        <v>90</v>
      </c>
      <c r="H216">
        <f>'Quick View_ Sample Data'!AP217</f>
        <v>0</v>
      </c>
      <c r="I216">
        <f>'Quick View_ Sample Data'!AF217</f>
        <v>0</v>
      </c>
      <c r="J216">
        <f>'Quick View_ Sample Data'!AJ217</f>
        <v>0</v>
      </c>
      <c r="K216">
        <f>'Quick View_ Sample Data'!AH217</f>
        <v>182.69834955062001</v>
      </c>
      <c r="L216">
        <f t="shared" si="3"/>
        <v>0</v>
      </c>
    </row>
    <row r="217" spans="1:12" ht="12.75" customHeight="1">
      <c r="A217" s="321"/>
      <c r="B217" t="str">
        <f>'Quick View_ Sample Data'!P218</f>
        <v>MgO</v>
      </c>
      <c r="C217">
        <f>'Quick View_ Sample Data'!O218</f>
        <v>90</v>
      </c>
      <c r="D217">
        <f>'Quick View_ Sample Data'!AN218</f>
        <v>0</v>
      </c>
      <c r="E217">
        <f>'Quick View_ Sample Data'!O218</f>
        <v>90</v>
      </c>
      <c r="F217">
        <f>'Quick View_ Sample Data'!AO218</f>
        <v>0</v>
      </c>
      <c r="G217">
        <f>'Quick View_ Sample Data'!O218</f>
        <v>90</v>
      </c>
      <c r="H217">
        <f>'Quick View_ Sample Data'!AP218</f>
        <v>0</v>
      </c>
      <c r="I217">
        <f>'Quick View_ Sample Data'!AF218</f>
        <v>0</v>
      </c>
      <c r="J217">
        <f>'Quick View_ Sample Data'!AJ218</f>
        <v>0</v>
      </c>
      <c r="K217">
        <f>'Quick View_ Sample Data'!AH218</f>
        <v>166.521933184159</v>
      </c>
      <c r="L217">
        <f t="shared" si="3"/>
        <v>0</v>
      </c>
    </row>
    <row r="218" spans="1:12" ht="12.75" customHeight="1">
      <c r="A218" s="321"/>
      <c r="B218" t="str">
        <f>'Quick View_ Sample Data'!P219</f>
        <v>MgO</v>
      </c>
      <c r="C218">
        <f>'Quick View_ Sample Data'!O219</f>
        <v>90</v>
      </c>
      <c r="D218">
        <f>'Quick View_ Sample Data'!AN219</f>
        <v>0</v>
      </c>
      <c r="E218">
        <f>'Quick View_ Sample Data'!O219</f>
        <v>90</v>
      </c>
      <c r="F218">
        <f>'Quick View_ Sample Data'!AO219</f>
        <v>0</v>
      </c>
      <c r="G218">
        <f>'Quick View_ Sample Data'!O219</f>
        <v>90</v>
      </c>
      <c r="H218">
        <f>'Quick View_ Sample Data'!AP219</f>
        <v>0</v>
      </c>
      <c r="I218">
        <f>'Quick View_ Sample Data'!AF219</f>
        <v>0</v>
      </c>
      <c r="J218">
        <f>'Quick View_ Sample Data'!AJ219</f>
        <v>0</v>
      </c>
      <c r="K218">
        <f>'Quick View_ Sample Data'!AH219</f>
        <v>157.244282621042</v>
      </c>
      <c r="L218">
        <f t="shared" si="3"/>
        <v>0</v>
      </c>
    </row>
    <row r="219" spans="1:12" ht="12.75" customHeight="1">
      <c r="A219" s="321"/>
      <c r="B219" t="str">
        <f>'Quick View_ Sample Data'!P220</f>
        <v>MgO</v>
      </c>
      <c r="C219">
        <f>'Quick View_ Sample Data'!O220</f>
        <v>90</v>
      </c>
      <c r="D219">
        <f>'Quick View_ Sample Data'!AN220</f>
        <v>0</v>
      </c>
      <c r="E219">
        <f>'Quick View_ Sample Data'!O220</f>
        <v>90</v>
      </c>
      <c r="F219">
        <f>'Quick View_ Sample Data'!AO220</f>
        <v>0</v>
      </c>
      <c r="G219">
        <f>'Quick View_ Sample Data'!O220</f>
        <v>90</v>
      </c>
      <c r="H219">
        <f>'Quick View_ Sample Data'!AP220</f>
        <v>0</v>
      </c>
      <c r="I219">
        <f>'Quick View_ Sample Data'!AF220</f>
        <v>0</v>
      </c>
      <c r="J219">
        <f>'Quick View_ Sample Data'!AJ220</f>
        <v>0</v>
      </c>
      <c r="K219">
        <f>'Quick View_ Sample Data'!AH220</f>
        <v>159.861055856793</v>
      </c>
      <c r="L219">
        <f t="shared" si="3"/>
        <v>0</v>
      </c>
    </row>
    <row r="220" spans="1:12" ht="12.75" customHeight="1">
      <c r="A220" s="321"/>
      <c r="B220" t="str">
        <f>'Quick View_ Sample Data'!P221</f>
        <v>MgO</v>
      </c>
      <c r="C220">
        <f>'Quick View_ Sample Data'!O221</f>
        <v>95</v>
      </c>
      <c r="D220">
        <f>'Quick View_ Sample Data'!AN221</f>
        <v>0</v>
      </c>
      <c r="E220">
        <f>'Quick View_ Sample Data'!O221</f>
        <v>95</v>
      </c>
      <c r="F220">
        <f>'Quick View_ Sample Data'!AO221</f>
        <v>0</v>
      </c>
      <c r="G220">
        <f>'Quick View_ Sample Data'!O221</f>
        <v>95</v>
      </c>
      <c r="H220">
        <f>'Quick View_ Sample Data'!AP221</f>
        <v>0</v>
      </c>
      <c r="I220">
        <f>'Quick View_ Sample Data'!AF221</f>
        <v>0</v>
      </c>
      <c r="J220">
        <f>'Quick View_ Sample Data'!AJ221</f>
        <v>0</v>
      </c>
      <c r="K220">
        <f>'Quick View_ Sample Data'!AH221</f>
        <v>188.52661721206599</v>
      </c>
      <c r="L220">
        <f t="shared" si="3"/>
        <v>0</v>
      </c>
    </row>
    <row r="221" spans="1:12" ht="12.75" customHeight="1">
      <c r="A221" s="321"/>
      <c r="B221" t="str">
        <f>'Quick View_ Sample Data'!P222</f>
        <v>MgO</v>
      </c>
      <c r="C221">
        <f>'Quick View_ Sample Data'!O222</f>
        <v>95</v>
      </c>
      <c r="D221">
        <f>'Quick View_ Sample Data'!AN222</f>
        <v>0</v>
      </c>
      <c r="E221">
        <f>'Quick View_ Sample Data'!O222</f>
        <v>95</v>
      </c>
      <c r="F221">
        <f>'Quick View_ Sample Data'!AO222</f>
        <v>0</v>
      </c>
      <c r="G221">
        <f>'Quick View_ Sample Data'!O222</f>
        <v>95</v>
      </c>
      <c r="H221">
        <f>'Quick View_ Sample Data'!AP222</f>
        <v>0</v>
      </c>
      <c r="I221">
        <f>'Quick View_ Sample Data'!AF222</f>
        <v>0</v>
      </c>
      <c r="J221">
        <f>'Quick View_ Sample Data'!AJ222</f>
        <v>0</v>
      </c>
      <c r="K221">
        <f>'Quick View_ Sample Data'!AH222</f>
        <v>178.89213393498201</v>
      </c>
      <c r="L221">
        <f t="shared" si="3"/>
        <v>0</v>
      </c>
    </row>
    <row r="222" spans="1:12" ht="12.75" customHeight="1">
      <c r="A222" s="321"/>
      <c r="B222" t="str">
        <f>'Quick View_ Sample Data'!P223</f>
        <v>MgO</v>
      </c>
      <c r="C222">
        <f>'Quick View_ Sample Data'!O223</f>
        <v>95</v>
      </c>
      <c r="D222">
        <f>'Quick View_ Sample Data'!AN223</f>
        <v>0</v>
      </c>
      <c r="E222">
        <f>'Quick View_ Sample Data'!O223</f>
        <v>95</v>
      </c>
      <c r="F222">
        <f>'Quick View_ Sample Data'!AO223</f>
        <v>0</v>
      </c>
      <c r="G222">
        <f>'Quick View_ Sample Data'!O223</f>
        <v>95</v>
      </c>
      <c r="H222">
        <f>'Quick View_ Sample Data'!AP223</f>
        <v>0</v>
      </c>
      <c r="I222">
        <f>'Quick View_ Sample Data'!AF223</f>
        <v>0</v>
      </c>
      <c r="J222">
        <f>'Quick View_ Sample Data'!AJ223</f>
        <v>0</v>
      </c>
      <c r="K222">
        <f>'Quick View_ Sample Data'!AH223</f>
        <v>166.521933184159</v>
      </c>
      <c r="L222">
        <f t="shared" si="3"/>
        <v>0</v>
      </c>
    </row>
    <row r="223" spans="1:12" ht="12.75" customHeight="1">
      <c r="A223" s="321"/>
      <c r="B223" t="str">
        <f>'Quick View_ Sample Data'!P224</f>
        <v>MgO</v>
      </c>
      <c r="C223">
        <f>'Quick View_ Sample Data'!O224</f>
        <v>95</v>
      </c>
      <c r="D223">
        <f>'Quick View_ Sample Data'!AN224</f>
        <v>0</v>
      </c>
      <c r="E223">
        <f>'Quick View_ Sample Data'!O224</f>
        <v>95</v>
      </c>
      <c r="F223">
        <f>'Quick View_ Sample Data'!AO224</f>
        <v>0</v>
      </c>
      <c r="G223">
        <f>'Quick View_ Sample Data'!O224</f>
        <v>95</v>
      </c>
      <c r="H223">
        <f>'Quick View_ Sample Data'!AP224</f>
        <v>0</v>
      </c>
      <c r="I223">
        <f>'Quick View_ Sample Data'!AF224</f>
        <v>0</v>
      </c>
      <c r="J223">
        <f>'Quick View_ Sample Data'!AJ224</f>
        <v>0</v>
      </c>
      <c r="K223">
        <f>'Quick View_ Sample Data'!AH224</f>
        <v>164.61882537634</v>
      </c>
      <c r="L223">
        <f t="shared" si="3"/>
        <v>0</v>
      </c>
    </row>
    <row r="224" spans="1:12" ht="12.75" customHeight="1">
      <c r="A224" s="321"/>
      <c r="B224" t="str">
        <f>'Quick View_ Sample Data'!P225</f>
        <v>Sapphire</v>
      </c>
      <c r="C224" t="str">
        <f>'Quick View_ Sample Data'!O225</f>
        <v>96-97</v>
      </c>
      <c r="D224">
        <f>'Quick View_ Sample Data'!AN225</f>
        <v>0</v>
      </c>
      <c r="E224" t="str">
        <f>'Quick View_ Sample Data'!O225</f>
        <v>96-97</v>
      </c>
      <c r="F224">
        <f>'Quick View_ Sample Data'!AO225</f>
        <v>0</v>
      </c>
      <c r="G224" t="str">
        <f>'Quick View_ Sample Data'!O225</f>
        <v>96-97</v>
      </c>
      <c r="H224" t="e">
        <f>'Quick View_ Sample Data'!AP225</f>
        <v>#VALUE!</v>
      </c>
      <c r="I224">
        <f>'Quick View_ Sample Data'!AF225</f>
        <v>0</v>
      </c>
      <c r="J224">
        <f>'Quick View_ Sample Data'!AJ225</f>
        <v>0</v>
      </c>
      <c r="K224">
        <f>'Quick View_ Sample Data'!AH225</f>
        <v>205.654587482436</v>
      </c>
      <c r="L224">
        <f t="shared" si="3"/>
        <v>0</v>
      </c>
    </row>
    <row r="225" spans="1:12" ht="12.75" customHeight="1">
      <c r="A225" s="321"/>
      <c r="B225" t="str">
        <f>'Quick View_ Sample Data'!P226</f>
        <v>Sapphire</v>
      </c>
      <c r="C225" t="str">
        <f>'Quick View_ Sample Data'!O226</f>
        <v>96-97</v>
      </c>
      <c r="D225">
        <f>'Quick View_ Sample Data'!AN226</f>
        <v>0</v>
      </c>
      <c r="E225" t="str">
        <f>'Quick View_ Sample Data'!O226</f>
        <v>96-97</v>
      </c>
      <c r="F225">
        <f>'Quick View_ Sample Data'!AO226</f>
        <v>0</v>
      </c>
      <c r="G225" t="str">
        <f>'Quick View_ Sample Data'!O226</f>
        <v>96-97</v>
      </c>
      <c r="H225" t="e">
        <f>'Quick View_ Sample Data'!AP226</f>
        <v>#VALUE!</v>
      </c>
      <c r="I225">
        <f>'Quick View_ Sample Data'!AF226</f>
        <v>0</v>
      </c>
      <c r="J225">
        <f>'Quick View_ Sample Data'!AJ226</f>
        <v>0</v>
      </c>
      <c r="K225">
        <f>'Quick View_ Sample Data'!AH226</f>
        <v>204.82197781651601</v>
      </c>
      <c r="L225">
        <f t="shared" si="3"/>
        <v>0</v>
      </c>
    </row>
    <row r="226" spans="1:12" ht="12.75" customHeight="1">
      <c r="A226" s="321"/>
      <c r="B226" t="str">
        <f>'Quick View_ Sample Data'!P227</f>
        <v>Sapphire</v>
      </c>
      <c r="C226" t="str">
        <f>'Quick View_ Sample Data'!O227</f>
        <v>96-97</v>
      </c>
      <c r="D226">
        <f>'Quick View_ Sample Data'!AN227</f>
        <v>0</v>
      </c>
      <c r="E226" t="str">
        <f>'Quick View_ Sample Data'!O227</f>
        <v>96-97</v>
      </c>
      <c r="F226">
        <f>'Quick View_ Sample Data'!AO227</f>
        <v>0</v>
      </c>
      <c r="G226" t="str">
        <f>'Quick View_ Sample Data'!O227</f>
        <v>96-97</v>
      </c>
      <c r="H226" t="e">
        <f>'Quick View_ Sample Data'!AP227</f>
        <v>#VALUE!</v>
      </c>
      <c r="I226">
        <f>'Quick View_ Sample Data'!AF227</f>
        <v>0</v>
      </c>
      <c r="J226">
        <f>'Quick View_ Sample Data'!AJ227</f>
        <v>0</v>
      </c>
      <c r="K226">
        <f>'Quick View_ Sample Data'!AH227</f>
        <v>198.51793320311501</v>
      </c>
      <c r="L226">
        <f t="shared" si="3"/>
        <v>0</v>
      </c>
    </row>
    <row r="227" spans="1:12" ht="12.75" customHeight="1">
      <c r="A227" s="321"/>
      <c r="B227" t="str">
        <f>'Quick View_ Sample Data'!P228</f>
        <v>Sapphire</v>
      </c>
      <c r="C227" t="str">
        <f>'Quick View_ Sample Data'!O228</f>
        <v>96-97</v>
      </c>
      <c r="D227">
        <f>'Quick View_ Sample Data'!AN228</f>
        <v>0</v>
      </c>
      <c r="E227" t="str">
        <f>'Quick View_ Sample Data'!O228</f>
        <v>96-97</v>
      </c>
      <c r="F227">
        <f>'Quick View_ Sample Data'!AO228</f>
        <v>0</v>
      </c>
      <c r="G227" t="str">
        <f>'Quick View_ Sample Data'!O228</f>
        <v>96-97</v>
      </c>
      <c r="H227" t="e">
        <f>'Quick View_ Sample Data'!AP228</f>
        <v>#VALUE!</v>
      </c>
      <c r="I227">
        <f>'Quick View_ Sample Data'!AF228</f>
        <v>0</v>
      </c>
      <c r="J227">
        <f>'Quick View_ Sample Data'!AJ228</f>
        <v>0</v>
      </c>
      <c r="K227">
        <f>'Quick View_ Sample Data'!AH228</f>
        <v>194.94960606345501</v>
      </c>
      <c r="L227">
        <f t="shared" si="3"/>
        <v>0</v>
      </c>
    </row>
    <row r="228" spans="1:12" ht="12.75" customHeight="1">
      <c r="A228" s="321"/>
      <c r="B228" t="str">
        <f>'Quick View_ Sample Data'!P229</f>
        <v>MgO</v>
      </c>
      <c r="C228" t="str">
        <f>'Quick View_ Sample Data'!O229</f>
        <v>98-99</v>
      </c>
      <c r="D228">
        <f>'Quick View_ Sample Data'!AN229</f>
        <v>0</v>
      </c>
      <c r="E228" t="str">
        <f>'Quick View_ Sample Data'!O229</f>
        <v>98-99</v>
      </c>
      <c r="F228">
        <f>'Quick View_ Sample Data'!AO229</f>
        <v>0</v>
      </c>
      <c r="G228" t="str">
        <f>'Quick View_ Sample Data'!O229</f>
        <v>98-99</v>
      </c>
      <c r="H228" t="e">
        <f>'Quick View_ Sample Data'!AP229</f>
        <v>#VALUE!</v>
      </c>
      <c r="I228">
        <f>'Quick View_ Sample Data'!AF229</f>
        <v>0</v>
      </c>
      <c r="J228">
        <f>'Quick View_ Sample Data'!AJ229</f>
        <v>0</v>
      </c>
      <c r="K228">
        <f>'Quick View_ Sample Data'!AH229</f>
        <v>181.03313021877901</v>
      </c>
      <c r="L228">
        <f t="shared" si="3"/>
        <v>0</v>
      </c>
    </row>
    <row r="229" spans="1:12" ht="12.75" customHeight="1">
      <c r="A229" s="321"/>
      <c r="B229" t="str">
        <f>'Quick View_ Sample Data'!P230</f>
        <v>MgO</v>
      </c>
      <c r="C229" t="str">
        <f>'Quick View_ Sample Data'!O230</f>
        <v>98-99</v>
      </c>
      <c r="D229">
        <f>'Quick View_ Sample Data'!AN230</f>
        <v>0</v>
      </c>
      <c r="E229" t="str">
        <f>'Quick View_ Sample Data'!O230</f>
        <v>98-99</v>
      </c>
      <c r="F229">
        <f>'Quick View_ Sample Data'!AO230</f>
        <v>0</v>
      </c>
      <c r="G229" t="str">
        <f>'Quick View_ Sample Data'!O230</f>
        <v>98-99</v>
      </c>
      <c r="H229" t="e">
        <f>'Quick View_ Sample Data'!AP230</f>
        <v>#VALUE!</v>
      </c>
      <c r="I229">
        <f>'Quick View_ Sample Data'!AF230</f>
        <v>0</v>
      </c>
      <c r="J229">
        <f>'Quick View_ Sample Data'!AJ230</f>
        <v>0</v>
      </c>
      <c r="K229">
        <f>'Quick View_ Sample Data'!AH230</f>
        <v>191.262334685806</v>
      </c>
      <c r="L229">
        <f t="shared" si="3"/>
        <v>0</v>
      </c>
    </row>
    <row r="230" spans="1:12" ht="12.75" customHeight="1">
      <c r="A230" s="321"/>
      <c r="B230" t="str">
        <f>'Quick View_ Sample Data'!P231</f>
        <v>MgO</v>
      </c>
      <c r="C230" t="str">
        <f>'Quick View_ Sample Data'!O231</f>
        <v>98-99</v>
      </c>
      <c r="D230">
        <f>'Quick View_ Sample Data'!AN231</f>
        <v>0</v>
      </c>
      <c r="E230" t="str">
        <f>'Quick View_ Sample Data'!O231</f>
        <v>98-99</v>
      </c>
      <c r="F230">
        <f>'Quick View_ Sample Data'!AO231</f>
        <v>0</v>
      </c>
      <c r="G230" t="str">
        <f>'Quick View_ Sample Data'!O231</f>
        <v>98-99</v>
      </c>
      <c r="H230" t="e">
        <f>'Quick View_ Sample Data'!AP231</f>
        <v>#VALUE!</v>
      </c>
      <c r="I230">
        <f>'Quick View_ Sample Data'!AF231</f>
        <v>0</v>
      </c>
      <c r="J230">
        <f>'Quick View_ Sample Data'!AJ231</f>
        <v>0</v>
      </c>
      <c r="K230">
        <f>'Quick View_ Sample Data'!AH231</f>
        <v>165.094602328295</v>
      </c>
      <c r="L230">
        <f t="shared" si="3"/>
        <v>0</v>
      </c>
    </row>
    <row r="231" spans="1:12" ht="12.75" customHeight="1">
      <c r="A231" s="321"/>
      <c r="B231" t="str">
        <f>'Quick View_ Sample Data'!P232</f>
        <v>MgO</v>
      </c>
      <c r="C231" t="str">
        <f>'Quick View_ Sample Data'!O232</f>
        <v>98-99</v>
      </c>
      <c r="D231">
        <f>'Quick View_ Sample Data'!AN232</f>
        <v>0</v>
      </c>
      <c r="E231" t="str">
        <f>'Quick View_ Sample Data'!O232</f>
        <v>98-99</v>
      </c>
      <c r="F231">
        <f>'Quick View_ Sample Data'!AO232</f>
        <v>0</v>
      </c>
      <c r="G231" t="str">
        <f>'Quick View_ Sample Data'!O232</f>
        <v>98-99</v>
      </c>
      <c r="H231" t="e">
        <f>'Quick View_ Sample Data'!AP232</f>
        <v>#VALUE!</v>
      </c>
      <c r="I231">
        <f>'Quick View_ Sample Data'!AF232</f>
        <v>0</v>
      </c>
      <c r="J231">
        <f>'Quick View_ Sample Data'!AJ232</f>
        <v>0</v>
      </c>
      <c r="K231">
        <f>'Quick View_ Sample Data'!AH232</f>
        <v>194.71171758747701</v>
      </c>
      <c r="L231">
        <f t="shared" si="3"/>
        <v>0</v>
      </c>
    </row>
    <row r="232" spans="1:12" ht="12.75" customHeight="1">
      <c r="A232" s="321"/>
      <c r="B232" t="str">
        <f>'Quick View_ Sample Data'!P233</f>
        <v>Sapphire</v>
      </c>
      <c r="C232" t="str">
        <f>'Quick View_ Sample Data'!O233</f>
        <v>100-101</v>
      </c>
      <c r="D232">
        <f>'Quick View_ Sample Data'!AN233</f>
        <v>0</v>
      </c>
      <c r="E232" t="str">
        <f>'Quick View_ Sample Data'!O233</f>
        <v>100-101</v>
      </c>
      <c r="F232">
        <f>'Quick View_ Sample Data'!AO233</f>
        <v>0</v>
      </c>
      <c r="G232" t="str">
        <f>'Quick View_ Sample Data'!O233</f>
        <v>100-101</v>
      </c>
      <c r="H232" t="e">
        <f>'Quick View_ Sample Data'!AP233</f>
        <v>#VALUE!</v>
      </c>
      <c r="I232">
        <f>'Quick View_ Sample Data'!AF233</f>
        <v>0</v>
      </c>
      <c r="J232">
        <f>'Quick View_ Sample Data'!AJ233</f>
        <v>0</v>
      </c>
      <c r="K232">
        <f>'Quick View_ Sample Data'!AH233</f>
        <v>208.747137670142</v>
      </c>
      <c r="L232">
        <f t="shared" si="3"/>
        <v>0</v>
      </c>
    </row>
    <row r="233" spans="1:12" ht="12.75" customHeight="1">
      <c r="A233" s="321"/>
      <c r="B233" t="str">
        <f>'Quick View_ Sample Data'!P234</f>
        <v>Sapphire</v>
      </c>
      <c r="C233" t="str">
        <f>'Quick View_ Sample Data'!O234</f>
        <v>100-101</v>
      </c>
      <c r="D233">
        <f>'Quick View_ Sample Data'!AN234</f>
        <v>0</v>
      </c>
      <c r="E233" t="str">
        <f>'Quick View_ Sample Data'!O234</f>
        <v>100-101</v>
      </c>
      <c r="F233">
        <f>'Quick View_ Sample Data'!AO234</f>
        <v>0</v>
      </c>
      <c r="G233" t="str">
        <f>'Quick View_ Sample Data'!O234</f>
        <v>100-101</v>
      </c>
      <c r="H233" t="e">
        <f>'Quick View_ Sample Data'!AP234</f>
        <v>#VALUE!</v>
      </c>
      <c r="I233">
        <f>'Quick View_ Sample Data'!AF234</f>
        <v>0</v>
      </c>
      <c r="J233">
        <f>'Quick View_ Sample Data'!AJ234</f>
        <v>0</v>
      </c>
      <c r="K233">
        <f>'Quick View_ Sample Data'!AH234</f>
        <v>205.416699006459</v>
      </c>
      <c r="L233">
        <f t="shared" si="3"/>
        <v>0</v>
      </c>
    </row>
    <row r="234" spans="1:12" ht="12.75" customHeight="1">
      <c r="A234" s="321"/>
      <c r="B234" t="str">
        <f>'Quick View_ Sample Data'!P235</f>
        <v>Sapphire</v>
      </c>
      <c r="C234" t="str">
        <f>'Quick View_ Sample Data'!O235</f>
        <v>100-101</v>
      </c>
      <c r="D234">
        <f>'Quick View_ Sample Data'!AN235</f>
        <v>0</v>
      </c>
      <c r="E234" t="str">
        <f>'Quick View_ Sample Data'!O235</f>
        <v>100-101</v>
      </c>
      <c r="F234">
        <f>'Quick View_ Sample Data'!AO235</f>
        <v>0</v>
      </c>
      <c r="G234" t="str">
        <f>'Quick View_ Sample Data'!O235</f>
        <v>100-101</v>
      </c>
      <c r="H234" t="e">
        <f>'Quick View_ Sample Data'!AP235</f>
        <v>#VALUE!</v>
      </c>
      <c r="I234">
        <f>'Quick View_ Sample Data'!AF235</f>
        <v>0</v>
      </c>
      <c r="J234">
        <f>'Quick View_ Sample Data'!AJ235</f>
        <v>0</v>
      </c>
      <c r="K234">
        <f>'Quick View_ Sample Data'!AH235</f>
        <v>201.01576220087799</v>
      </c>
      <c r="L234">
        <f t="shared" si="3"/>
        <v>0</v>
      </c>
    </row>
    <row r="235" spans="1:12" ht="12.75" customHeight="1">
      <c r="A235" s="321"/>
      <c r="B235" t="str">
        <f>'Quick View_ Sample Data'!P236</f>
        <v>Sapphire</v>
      </c>
      <c r="C235" t="str">
        <f>'Quick View_ Sample Data'!O236</f>
        <v>100-101</v>
      </c>
      <c r="D235">
        <f>'Quick View_ Sample Data'!AN236</f>
        <v>0</v>
      </c>
      <c r="E235" t="str">
        <f>'Quick View_ Sample Data'!O236</f>
        <v>100-101</v>
      </c>
      <c r="F235">
        <f>'Quick View_ Sample Data'!AO236</f>
        <v>0</v>
      </c>
      <c r="G235" t="str">
        <f>'Quick View_ Sample Data'!O236</f>
        <v>100-101</v>
      </c>
      <c r="H235" t="e">
        <f>'Quick View_ Sample Data'!AP236</f>
        <v>#VALUE!</v>
      </c>
      <c r="I235">
        <f>'Quick View_ Sample Data'!AF236</f>
        <v>0</v>
      </c>
      <c r="J235">
        <f>'Quick View_ Sample Data'!AJ236</f>
        <v>0</v>
      </c>
      <c r="K235">
        <f>'Quick View_ Sample Data'!AH236</f>
        <v>199.469487107025</v>
      </c>
      <c r="L235">
        <f t="shared" si="3"/>
        <v>0</v>
      </c>
    </row>
    <row r="236" spans="1:12" ht="12.75" customHeight="1">
      <c r="A236" s="321"/>
      <c r="B236" t="str">
        <f>'Quick View_ Sample Data'!P237</f>
        <v>Sapphire</v>
      </c>
      <c r="C236" t="str">
        <f>'Quick View_ Sample Data'!O237</f>
        <v>102-103</v>
      </c>
      <c r="D236">
        <f>'Quick View_ Sample Data'!AN237</f>
        <v>0</v>
      </c>
      <c r="E236" t="str">
        <f>'Quick View_ Sample Data'!O237</f>
        <v>102-103</v>
      </c>
      <c r="F236">
        <f>'Quick View_ Sample Data'!AO237</f>
        <v>0</v>
      </c>
      <c r="G236" t="str">
        <f>'Quick View_ Sample Data'!O237</f>
        <v>102-103</v>
      </c>
      <c r="H236" t="e">
        <f>'Quick View_ Sample Data'!AP237</f>
        <v>#VALUE!</v>
      </c>
      <c r="I236">
        <f>'Quick View_ Sample Data'!AF237</f>
        <v>0</v>
      </c>
      <c r="J236">
        <f>'Quick View_ Sample Data'!AJ237</f>
        <v>0</v>
      </c>
      <c r="K236">
        <f>'Quick View_ Sample Data'!AH237</f>
        <v>0</v>
      </c>
      <c r="L236">
        <f t="shared" si="3"/>
        <v>0</v>
      </c>
    </row>
    <row r="237" spans="1:12" ht="12.75" customHeight="1">
      <c r="A237" s="321"/>
      <c r="B237" t="str">
        <f>'Quick View_ Sample Data'!P238</f>
        <v>Sapphire</v>
      </c>
      <c r="C237" t="str">
        <f>'Quick View_ Sample Data'!O238</f>
        <v>102-103</v>
      </c>
      <c r="D237">
        <f>'Quick View_ Sample Data'!AN238</f>
        <v>0</v>
      </c>
      <c r="E237" t="str">
        <f>'Quick View_ Sample Data'!O238</f>
        <v>102-103</v>
      </c>
      <c r="F237">
        <f>'Quick View_ Sample Data'!AO238</f>
        <v>0</v>
      </c>
      <c r="G237" t="str">
        <f>'Quick View_ Sample Data'!O238</f>
        <v>102-103</v>
      </c>
      <c r="H237" t="e">
        <f>'Quick View_ Sample Data'!AP238</f>
        <v>#VALUE!</v>
      </c>
      <c r="I237">
        <f>'Quick View_ Sample Data'!AF238</f>
        <v>0</v>
      </c>
      <c r="J237">
        <f>'Quick View_ Sample Data'!AJ238</f>
        <v>0</v>
      </c>
      <c r="K237">
        <f>'Quick View_ Sample Data'!AH238</f>
        <v>0</v>
      </c>
      <c r="L237">
        <f t="shared" si="3"/>
        <v>0</v>
      </c>
    </row>
    <row r="238" spans="1:12" ht="12.75" customHeight="1">
      <c r="A238" s="321"/>
      <c r="B238" t="str">
        <f>'Quick View_ Sample Data'!P239</f>
        <v>Sapphire</v>
      </c>
      <c r="C238" t="str">
        <f>'Quick View_ Sample Data'!O239</f>
        <v>102-103</v>
      </c>
      <c r="D238">
        <f>'Quick View_ Sample Data'!AN239</f>
        <v>0</v>
      </c>
      <c r="E238" t="str">
        <f>'Quick View_ Sample Data'!O239</f>
        <v>102-103</v>
      </c>
      <c r="F238">
        <f>'Quick View_ Sample Data'!AO239</f>
        <v>0</v>
      </c>
      <c r="G238" t="str">
        <f>'Quick View_ Sample Data'!O239</f>
        <v>102-103</v>
      </c>
      <c r="H238" t="e">
        <f>'Quick View_ Sample Data'!AP239</f>
        <v>#VALUE!</v>
      </c>
      <c r="I238">
        <f>'Quick View_ Sample Data'!AF239</f>
        <v>0</v>
      </c>
      <c r="J238">
        <f>'Quick View_ Sample Data'!AJ239</f>
        <v>0</v>
      </c>
      <c r="K238">
        <f>'Quick View_ Sample Data'!AH239</f>
        <v>0</v>
      </c>
      <c r="L238">
        <f t="shared" si="3"/>
        <v>0</v>
      </c>
    </row>
    <row r="239" spans="1:12" ht="12.75" customHeight="1">
      <c r="A239" s="321"/>
      <c r="B239" t="str">
        <f>'Quick View_ Sample Data'!P240</f>
        <v>Sapphire</v>
      </c>
      <c r="C239" t="str">
        <f>'Quick View_ Sample Data'!O240</f>
        <v>102-103</v>
      </c>
      <c r="D239">
        <f>'Quick View_ Sample Data'!AN240</f>
        <v>0</v>
      </c>
      <c r="E239" t="str">
        <f>'Quick View_ Sample Data'!O240</f>
        <v>102-103</v>
      </c>
      <c r="F239">
        <f>'Quick View_ Sample Data'!AO240</f>
        <v>0</v>
      </c>
      <c r="G239" t="str">
        <f>'Quick View_ Sample Data'!O240</f>
        <v>102-103</v>
      </c>
      <c r="H239" t="e">
        <f>'Quick View_ Sample Data'!AP240</f>
        <v>#VALUE!</v>
      </c>
      <c r="I239">
        <f>'Quick View_ Sample Data'!AF240</f>
        <v>0</v>
      </c>
      <c r="J239">
        <f>'Quick View_ Sample Data'!AJ240</f>
        <v>0</v>
      </c>
      <c r="K239">
        <f>'Quick View_ Sample Data'!AH240</f>
        <v>0</v>
      </c>
      <c r="L239">
        <f t="shared" si="3"/>
        <v>0</v>
      </c>
    </row>
    <row r="240" spans="1:12" ht="12.75" customHeight="1">
      <c r="A240" s="321"/>
      <c r="B240" t="str">
        <f>'Quick View_ Sample Data'!P241</f>
        <v>Sapphire</v>
      </c>
      <c r="C240" t="str">
        <f>'Quick View_ Sample Data'!O241</f>
        <v>104-105</v>
      </c>
      <c r="D240">
        <f>'Quick View_ Sample Data'!AN241</f>
        <v>0</v>
      </c>
      <c r="E240" t="str">
        <f>'Quick View_ Sample Data'!O241</f>
        <v>104-105</v>
      </c>
      <c r="F240">
        <f>'Quick View_ Sample Data'!AO241</f>
        <v>0</v>
      </c>
      <c r="G240" t="str">
        <f>'Quick View_ Sample Data'!O241</f>
        <v>104-105</v>
      </c>
      <c r="H240" t="e">
        <f>'Quick View_ Sample Data'!AP241</f>
        <v>#VALUE!</v>
      </c>
      <c r="I240">
        <f>'Quick View_ Sample Data'!AF241</f>
        <v>0</v>
      </c>
      <c r="J240">
        <f>'Quick View_ Sample Data'!AJ241</f>
        <v>0</v>
      </c>
      <c r="K240">
        <f>'Quick View_ Sample Data'!AH241</f>
        <v>763.74095212534598</v>
      </c>
      <c r="L240">
        <f t="shared" si="3"/>
        <v>0</v>
      </c>
    </row>
    <row r="241" spans="1:12" ht="12.75" customHeight="1">
      <c r="A241" s="321"/>
      <c r="B241" t="str">
        <f>'Quick View_ Sample Data'!P242</f>
        <v>Sapphire</v>
      </c>
      <c r="C241" t="str">
        <f>'Quick View_ Sample Data'!O242</f>
        <v>104-105</v>
      </c>
      <c r="D241">
        <f>'Quick View_ Sample Data'!AN242</f>
        <v>0</v>
      </c>
      <c r="E241" t="str">
        <f>'Quick View_ Sample Data'!O242</f>
        <v>104-105</v>
      </c>
      <c r="F241">
        <f>'Quick View_ Sample Data'!AO242</f>
        <v>0</v>
      </c>
      <c r="G241" t="str">
        <f>'Quick View_ Sample Data'!O242</f>
        <v>104-105</v>
      </c>
      <c r="H241" t="e">
        <f>'Quick View_ Sample Data'!AP242</f>
        <v>#VALUE!</v>
      </c>
      <c r="I241">
        <f>'Quick View_ Sample Data'!AF242</f>
        <v>0</v>
      </c>
      <c r="J241">
        <f>'Quick View_ Sample Data'!AJ242</f>
        <v>0</v>
      </c>
      <c r="K241">
        <f>'Quick View_ Sample Data'!AH242</f>
        <v>770.40182945271295</v>
      </c>
      <c r="L241">
        <f t="shared" si="3"/>
        <v>0</v>
      </c>
    </row>
    <row r="242" spans="1:12" ht="12.75" customHeight="1">
      <c r="A242" s="321"/>
      <c r="B242" t="str">
        <f>'Quick View_ Sample Data'!P243</f>
        <v>Sapphire</v>
      </c>
      <c r="C242" t="str">
        <f>'Quick View_ Sample Data'!O243</f>
        <v>104-105</v>
      </c>
      <c r="D242">
        <f>'Quick View_ Sample Data'!AN243</f>
        <v>0</v>
      </c>
      <c r="E242" t="str">
        <f>'Quick View_ Sample Data'!O243</f>
        <v>104-105</v>
      </c>
      <c r="F242">
        <f>'Quick View_ Sample Data'!AO243</f>
        <v>0</v>
      </c>
      <c r="G242" t="str">
        <f>'Quick View_ Sample Data'!O243</f>
        <v>104-105</v>
      </c>
      <c r="H242" t="e">
        <f>'Quick View_ Sample Data'!AP243</f>
        <v>#VALUE!</v>
      </c>
      <c r="I242">
        <f>'Quick View_ Sample Data'!AF243</f>
        <v>0</v>
      </c>
      <c r="J242">
        <f>'Quick View_ Sample Data'!AJ243</f>
        <v>0</v>
      </c>
      <c r="K242">
        <f>'Quick View_ Sample Data'!AH243</f>
        <v>707.95610450865297</v>
      </c>
      <c r="L242">
        <f t="shared" si="3"/>
        <v>0</v>
      </c>
    </row>
    <row r="243" spans="1:12" ht="12.75" customHeight="1">
      <c r="A243" s="321"/>
      <c r="B243" t="str">
        <f>'Quick View_ Sample Data'!P244</f>
        <v>Sapphire</v>
      </c>
      <c r="C243" t="str">
        <f>'Quick View_ Sample Data'!O244</f>
        <v>104-105</v>
      </c>
      <c r="D243">
        <f>'Quick View_ Sample Data'!AN244</f>
        <v>0</v>
      </c>
      <c r="E243" t="str">
        <f>'Quick View_ Sample Data'!O244</f>
        <v>104-105</v>
      </c>
      <c r="F243">
        <f>'Quick View_ Sample Data'!AO244</f>
        <v>0</v>
      </c>
      <c r="G243" t="str">
        <f>'Quick View_ Sample Data'!O244</f>
        <v>104-105</v>
      </c>
      <c r="H243" t="e">
        <f>'Quick View_ Sample Data'!AP244</f>
        <v>#VALUE!</v>
      </c>
      <c r="I243">
        <f>'Quick View_ Sample Data'!AF244</f>
        <v>0</v>
      </c>
      <c r="J243">
        <f>'Quick View_ Sample Data'!AJ244</f>
        <v>0</v>
      </c>
      <c r="K243">
        <f>'Quick View_ Sample Data'!AH244</f>
        <v>709.26449112652904</v>
      </c>
      <c r="L243">
        <f t="shared" si="3"/>
        <v>0</v>
      </c>
    </row>
    <row r="244" spans="1:12" ht="12.75" customHeight="1">
      <c r="A244" s="321"/>
      <c r="B244" t="str">
        <f>'Quick View_ Sample Data'!P245</f>
        <v>Glass</v>
      </c>
      <c r="C244">
        <f>'Quick View_ Sample Data'!O245</f>
        <v>106</v>
      </c>
      <c r="D244">
        <f>'Quick View_ Sample Data'!AN245</f>
        <v>0</v>
      </c>
      <c r="E244">
        <f>'Quick View_ Sample Data'!O245</f>
        <v>106</v>
      </c>
      <c r="F244">
        <f>'Quick View_ Sample Data'!AO245</f>
        <v>0</v>
      </c>
      <c r="G244">
        <f>'Quick View_ Sample Data'!O245</f>
        <v>106</v>
      </c>
      <c r="H244">
        <f>'Quick View_ Sample Data'!AP245</f>
        <v>0</v>
      </c>
      <c r="I244">
        <f>'Quick View_ Sample Data'!AF245</f>
        <v>0</v>
      </c>
      <c r="J244">
        <f>'Quick View_ Sample Data'!AJ245</f>
        <v>0</v>
      </c>
      <c r="K244">
        <f>'Quick View_ Sample Data'!AH245</f>
        <v>382</v>
      </c>
      <c r="L244">
        <f t="shared" si="3"/>
        <v>0</v>
      </c>
    </row>
    <row r="245" spans="1:12" ht="12.75" customHeight="1">
      <c r="A245" s="321"/>
      <c r="B245" t="str">
        <f>'Quick View_ Sample Data'!P246</f>
        <v>Glass</v>
      </c>
      <c r="C245">
        <f>'Quick View_ Sample Data'!O246</f>
        <v>106</v>
      </c>
      <c r="D245">
        <f>'Quick View_ Sample Data'!AN246</f>
        <v>0</v>
      </c>
      <c r="E245">
        <f>'Quick View_ Sample Data'!O246</f>
        <v>106</v>
      </c>
      <c r="F245">
        <f>'Quick View_ Sample Data'!AO246</f>
        <v>0</v>
      </c>
      <c r="G245">
        <f>'Quick View_ Sample Data'!O246</f>
        <v>106</v>
      </c>
      <c r="H245">
        <f>'Quick View_ Sample Data'!AP246</f>
        <v>0</v>
      </c>
      <c r="I245">
        <f>'Quick View_ Sample Data'!AF246</f>
        <v>0</v>
      </c>
      <c r="J245">
        <f>'Quick View_ Sample Data'!AJ246</f>
        <v>0</v>
      </c>
      <c r="K245">
        <f>'Quick View_ Sample Data'!AH246</f>
        <v>372</v>
      </c>
      <c r="L245">
        <f t="shared" si="3"/>
        <v>0</v>
      </c>
    </row>
    <row r="246" spans="1:12" ht="12.75" customHeight="1">
      <c r="A246" s="321"/>
      <c r="B246" t="str">
        <f>'Quick View_ Sample Data'!P247</f>
        <v>Glass</v>
      </c>
      <c r="C246">
        <f>'Quick View_ Sample Data'!O247</f>
        <v>106</v>
      </c>
      <c r="D246">
        <f>'Quick View_ Sample Data'!AN247</f>
        <v>0</v>
      </c>
      <c r="E246">
        <f>'Quick View_ Sample Data'!O247</f>
        <v>106</v>
      </c>
      <c r="F246">
        <f>'Quick View_ Sample Data'!AO247</f>
        <v>0</v>
      </c>
      <c r="G246">
        <f>'Quick View_ Sample Data'!O247</f>
        <v>106</v>
      </c>
      <c r="H246">
        <f>'Quick View_ Sample Data'!AP247</f>
        <v>0</v>
      </c>
      <c r="I246">
        <f>'Quick View_ Sample Data'!AF247</f>
        <v>0</v>
      </c>
      <c r="J246">
        <f>'Quick View_ Sample Data'!AJ247</f>
        <v>0</v>
      </c>
      <c r="K246">
        <f>'Quick View_ Sample Data'!AH247</f>
        <v>380</v>
      </c>
      <c r="L246">
        <f t="shared" si="3"/>
        <v>0</v>
      </c>
    </row>
    <row r="247" spans="1:12" ht="12.75" customHeight="1">
      <c r="A247" s="321"/>
      <c r="B247" t="str">
        <f>'Quick View_ Sample Data'!P248</f>
        <v>Glass</v>
      </c>
      <c r="C247">
        <f>'Quick View_ Sample Data'!O248</f>
        <v>106</v>
      </c>
      <c r="D247">
        <f>'Quick View_ Sample Data'!AN248</f>
        <v>0</v>
      </c>
      <c r="E247">
        <f>'Quick View_ Sample Data'!O248</f>
        <v>106</v>
      </c>
      <c r="F247">
        <f>'Quick View_ Sample Data'!AO248</f>
        <v>0</v>
      </c>
      <c r="G247">
        <f>'Quick View_ Sample Data'!O248</f>
        <v>106</v>
      </c>
      <c r="H247">
        <f>'Quick View_ Sample Data'!AP248</f>
        <v>0</v>
      </c>
      <c r="I247">
        <f>'Quick View_ Sample Data'!AF248</f>
        <v>0</v>
      </c>
      <c r="J247">
        <f>'Quick View_ Sample Data'!AJ248</f>
        <v>0</v>
      </c>
      <c r="K247">
        <f>'Quick View_ Sample Data'!AH248</f>
        <v>401</v>
      </c>
      <c r="L247">
        <f t="shared" si="3"/>
        <v>0</v>
      </c>
    </row>
    <row r="248" spans="1:12" ht="12.75" customHeight="1">
      <c r="A248" s="321"/>
      <c r="B248" t="str">
        <f>'Quick View_ Sample Data'!P249</f>
        <v>MgO</v>
      </c>
      <c r="C248">
        <f>'Quick View_ Sample Data'!O249</f>
        <v>107</v>
      </c>
      <c r="D248">
        <f>'Quick View_ Sample Data'!AN249</f>
        <v>0</v>
      </c>
      <c r="E248">
        <f>'Quick View_ Sample Data'!O249</f>
        <v>107</v>
      </c>
      <c r="F248">
        <f>'Quick View_ Sample Data'!AO249</f>
        <v>0</v>
      </c>
      <c r="G248">
        <f>'Quick View_ Sample Data'!O249</f>
        <v>107</v>
      </c>
      <c r="H248">
        <f>'Quick View_ Sample Data'!AP249</f>
        <v>0</v>
      </c>
      <c r="I248">
        <f>'Quick View_ Sample Data'!AF249</f>
        <v>0</v>
      </c>
      <c r="J248">
        <f>'Quick View_ Sample Data'!AJ249</f>
        <v>10.521325450000001</v>
      </c>
      <c r="K248">
        <f>'Quick View_ Sample Data'!AH249</f>
        <v>773.49437964041897</v>
      </c>
      <c r="L248">
        <f t="shared" si="3"/>
        <v>0</v>
      </c>
    </row>
    <row r="249" spans="1:12" ht="12.75" customHeight="1">
      <c r="A249" s="321"/>
      <c r="B249" t="str">
        <f>'Quick View_ Sample Data'!P250</f>
        <v>MgO</v>
      </c>
      <c r="C249">
        <f>'Quick View_ Sample Data'!O250</f>
        <v>107</v>
      </c>
      <c r="D249">
        <f>'Quick View_ Sample Data'!AN250</f>
        <v>0</v>
      </c>
      <c r="E249">
        <f>'Quick View_ Sample Data'!O250</f>
        <v>107</v>
      </c>
      <c r="F249">
        <f>'Quick View_ Sample Data'!AO250</f>
        <v>0</v>
      </c>
      <c r="G249">
        <f>'Quick View_ Sample Data'!O250</f>
        <v>107</v>
      </c>
      <c r="H249">
        <f>'Quick View_ Sample Data'!AP250</f>
        <v>0</v>
      </c>
      <c r="I249">
        <f>'Quick View_ Sample Data'!AF250</f>
        <v>0</v>
      </c>
      <c r="J249">
        <f>'Quick View_ Sample Data'!AJ250</f>
        <v>11.38074411</v>
      </c>
      <c r="K249">
        <f>'Quick View_ Sample Data'!AH250</f>
        <v>528.11241666976105</v>
      </c>
      <c r="L249">
        <f t="shared" si="3"/>
        <v>0</v>
      </c>
    </row>
    <row r="250" spans="1:12" ht="12.75" customHeight="1">
      <c r="A250" s="321"/>
      <c r="B250" t="str">
        <f>'Quick View_ Sample Data'!P251</f>
        <v>MgO</v>
      </c>
      <c r="C250">
        <f>'Quick View_ Sample Data'!O251</f>
        <v>107</v>
      </c>
      <c r="D250">
        <f>'Quick View_ Sample Data'!AN251</f>
        <v>0</v>
      </c>
      <c r="E250">
        <f>'Quick View_ Sample Data'!O251</f>
        <v>107</v>
      </c>
      <c r="F250">
        <f>'Quick View_ Sample Data'!AO251</f>
        <v>0</v>
      </c>
      <c r="G250">
        <f>'Quick View_ Sample Data'!O251</f>
        <v>107</v>
      </c>
      <c r="H250">
        <f>'Quick View_ Sample Data'!AP251</f>
        <v>0</v>
      </c>
      <c r="I250">
        <f>'Quick View_ Sample Data'!AF251</f>
        <v>0</v>
      </c>
      <c r="J250">
        <f>'Quick View_ Sample Data'!AJ251</f>
        <v>10.30697267</v>
      </c>
      <c r="K250">
        <f>'Quick View_ Sample Data'!AH251</f>
        <v>838.20004510626302</v>
      </c>
      <c r="L250">
        <f t="shared" si="3"/>
        <v>0</v>
      </c>
    </row>
    <row r="251" spans="1:12" ht="12.75" customHeight="1">
      <c r="A251" s="321"/>
      <c r="B251" t="str">
        <f>'Quick View_ Sample Data'!P252</f>
        <v>MgO</v>
      </c>
      <c r="C251">
        <f>'Quick View_ Sample Data'!O252</f>
        <v>107</v>
      </c>
      <c r="D251">
        <f>'Quick View_ Sample Data'!AN252</f>
        <v>0</v>
      </c>
      <c r="E251">
        <f>'Quick View_ Sample Data'!O252</f>
        <v>107</v>
      </c>
      <c r="F251">
        <f>'Quick View_ Sample Data'!AO252</f>
        <v>0</v>
      </c>
      <c r="G251">
        <f>'Quick View_ Sample Data'!O252</f>
        <v>107</v>
      </c>
      <c r="H251">
        <f>'Quick View_ Sample Data'!AP252</f>
        <v>0</v>
      </c>
      <c r="I251">
        <f>'Quick View_ Sample Data'!AF252</f>
        <v>0</v>
      </c>
      <c r="J251">
        <f>'Quick View_ Sample Data'!AJ252</f>
        <v>10.51431122</v>
      </c>
      <c r="K251">
        <f>'Quick View_ Sample Data'!AH252</f>
        <v>778.72792611192097</v>
      </c>
      <c r="L251">
        <f t="shared" si="3"/>
        <v>0</v>
      </c>
    </row>
    <row r="252" spans="1:12" ht="12.75" customHeight="1">
      <c r="A252" s="321"/>
      <c r="B252" t="str">
        <f>'Quick View_ Sample Data'!P253</f>
        <v>MgO</v>
      </c>
      <c r="C252">
        <f>'Quick View_ Sample Data'!O253</f>
        <v>108</v>
      </c>
      <c r="D252">
        <f>'Quick View_ Sample Data'!AN253</f>
        <v>0</v>
      </c>
      <c r="E252">
        <f>'Quick View_ Sample Data'!O253</f>
        <v>108</v>
      </c>
      <c r="F252">
        <f>'Quick View_ Sample Data'!AO253</f>
        <v>0</v>
      </c>
      <c r="G252">
        <f>'Quick View_ Sample Data'!O253</f>
        <v>108</v>
      </c>
      <c r="H252">
        <f>'Quick View_ Sample Data'!AP253</f>
        <v>0</v>
      </c>
      <c r="I252">
        <f>'Quick View_ Sample Data'!AF253</f>
        <v>0</v>
      </c>
      <c r="J252">
        <f>'Quick View_ Sample Data'!AJ253</f>
        <v>0</v>
      </c>
      <c r="K252">
        <f>'Quick View_ Sample Data'!AH253</f>
        <v>326.620877516929</v>
      </c>
      <c r="L252">
        <f t="shared" si="3"/>
        <v>0</v>
      </c>
    </row>
    <row r="253" spans="1:12" ht="12.75" customHeight="1">
      <c r="A253" s="321"/>
      <c r="B253" t="str">
        <f>'Quick View_ Sample Data'!P254</f>
        <v>MgO</v>
      </c>
      <c r="C253">
        <f>'Quick View_ Sample Data'!O254</f>
        <v>108</v>
      </c>
      <c r="D253">
        <f>'Quick View_ Sample Data'!AN254</f>
        <v>0</v>
      </c>
      <c r="E253">
        <f>'Quick View_ Sample Data'!O254</f>
        <v>108</v>
      </c>
      <c r="F253">
        <f>'Quick View_ Sample Data'!AO254</f>
        <v>0</v>
      </c>
      <c r="G253">
        <f>'Quick View_ Sample Data'!O254</f>
        <v>108</v>
      </c>
      <c r="H253">
        <f>'Quick View_ Sample Data'!AP254</f>
        <v>0</v>
      </c>
      <c r="I253">
        <f>'Quick View_ Sample Data'!AF254</f>
        <v>0</v>
      </c>
      <c r="J253">
        <f>'Quick View_ Sample Data'!AJ254</f>
        <v>0</v>
      </c>
      <c r="K253">
        <f>'Quick View_ Sample Data'!AH254</f>
        <v>330.78392584653301</v>
      </c>
      <c r="L253">
        <f t="shared" si="3"/>
        <v>0</v>
      </c>
    </row>
    <row r="254" spans="1:12" ht="12.75" customHeight="1">
      <c r="A254" s="321"/>
      <c r="B254" t="str">
        <f>'Quick View_ Sample Data'!P255</f>
        <v>MgO</v>
      </c>
      <c r="C254">
        <f>'Quick View_ Sample Data'!O255</f>
        <v>108</v>
      </c>
      <c r="D254">
        <f>'Quick View_ Sample Data'!AN255</f>
        <v>0</v>
      </c>
      <c r="E254">
        <f>'Quick View_ Sample Data'!O255</f>
        <v>108</v>
      </c>
      <c r="F254">
        <f>'Quick View_ Sample Data'!AO255</f>
        <v>0</v>
      </c>
      <c r="G254">
        <f>'Quick View_ Sample Data'!O255</f>
        <v>108</v>
      </c>
      <c r="H254">
        <f>'Quick View_ Sample Data'!AP255</f>
        <v>0</v>
      </c>
      <c r="I254">
        <f>'Quick View_ Sample Data'!AF255</f>
        <v>0</v>
      </c>
      <c r="J254">
        <f>'Quick View_ Sample Data'!AJ255</f>
        <v>0</v>
      </c>
      <c r="K254">
        <f>'Quick View_ Sample Data'!AH255</f>
        <v>335.18486265211402</v>
      </c>
      <c r="L254">
        <f t="shared" si="3"/>
        <v>0</v>
      </c>
    </row>
    <row r="255" spans="1:12" ht="12.75" customHeight="1">
      <c r="A255" s="321"/>
      <c r="B255" t="str">
        <f>'Quick View_ Sample Data'!P256</f>
        <v>MgO</v>
      </c>
      <c r="C255">
        <f>'Quick View_ Sample Data'!O256</f>
        <v>108</v>
      </c>
      <c r="D255">
        <f>'Quick View_ Sample Data'!AN256</f>
        <v>0</v>
      </c>
      <c r="E255">
        <f>'Quick View_ Sample Data'!O256</f>
        <v>108</v>
      </c>
      <c r="F255">
        <f>'Quick View_ Sample Data'!AO256</f>
        <v>0</v>
      </c>
      <c r="G255">
        <f>'Quick View_ Sample Data'!O256</f>
        <v>108</v>
      </c>
      <c r="H255">
        <f>'Quick View_ Sample Data'!AP256</f>
        <v>0</v>
      </c>
      <c r="I255">
        <f>'Quick View_ Sample Data'!AF256</f>
        <v>0</v>
      </c>
      <c r="J255">
        <f>'Quick View_ Sample Data'!AJ256</f>
        <v>12.67</v>
      </c>
      <c r="K255">
        <f>'Quick View_ Sample Data'!AH256</f>
        <v>309.49290724655799</v>
      </c>
      <c r="L255">
        <f t="shared" si="3"/>
        <v>0</v>
      </c>
    </row>
    <row r="256" spans="1:12" ht="12.75" customHeight="1">
      <c r="A256" s="321"/>
      <c r="B256" t="str">
        <f>'Quick View_ Sample Data'!P257</f>
        <v>MgO</v>
      </c>
      <c r="C256">
        <f>'Quick View_ Sample Data'!O257</f>
        <v>109</v>
      </c>
      <c r="D256">
        <f>'Quick View_ Sample Data'!AN257</f>
        <v>159.01298343993344</v>
      </c>
      <c r="E256">
        <f>'Quick View_ Sample Data'!O257</f>
        <v>109</v>
      </c>
      <c r="F256">
        <f>'Quick View_ Sample Data'!AO257</f>
        <v>16855.376244632946</v>
      </c>
      <c r="G256">
        <f>'Quick View_ Sample Data'!O257</f>
        <v>109</v>
      </c>
      <c r="H256">
        <f>'Quick View_ Sample Data'!AP257</f>
        <v>5.1599999999999993</v>
      </c>
      <c r="I256">
        <f>'Quick View_ Sample Data'!AF257</f>
        <v>4.3</v>
      </c>
      <c r="J256">
        <f>'Quick View_ Sample Data'!AJ257</f>
        <v>10.6</v>
      </c>
      <c r="K256">
        <f>'Quick View_ Sample Data'!AH257</f>
        <v>369.79763590682199</v>
      </c>
      <c r="L256">
        <f t="shared" si="3"/>
        <v>45.58</v>
      </c>
    </row>
    <row r="257" spans="1:12" ht="12.75" customHeight="1">
      <c r="A257" s="321"/>
      <c r="B257" t="str">
        <f>'Quick View_ Sample Data'!P258</f>
        <v>MgO</v>
      </c>
      <c r="C257">
        <f>'Quick View_ Sample Data'!O258</f>
        <v>109</v>
      </c>
      <c r="D257">
        <f>'Quick View_ Sample Data'!AN258</f>
        <v>0</v>
      </c>
      <c r="E257">
        <f>'Quick View_ Sample Data'!O258</f>
        <v>109</v>
      </c>
      <c r="F257">
        <f>'Quick View_ Sample Data'!AO258</f>
        <v>0</v>
      </c>
      <c r="G257">
        <f>'Quick View_ Sample Data'!O258</f>
        <v>109</v>
      </c>
      <c r="H257">
        <f>'Quick View_ Sample Data'!AP258</f>
        <v>0</v>
      </c>
      <c r="I257">
        <f>'Quick View_ Sample Data'!AF258</f>
        <v>0</v>
      </c>
      <c r="J257">
        <f>'Quick View_ Sample Data'!AJ258</f>
        <v>11.4</v>
      </c>
      <c r="K257">
        <f>'Quick View_ Sample Data'!AH258</f>
        <v>370.273412858776</v>
      </c>
      <c r="L257">
        <f t="shared" si="3"/>
        <v>0</v>
      </c>
    </row>
    <row r="258" spans="1:12" ht="12.75" customHeight="1">
      <c r="A258" s="321"/>
      <c r="B258" t="str">
        <f>'Quick View_ Sample Data'!P259</f>
        <v>MgO</v>
      </c>
      <c r="C258">
        <f>'Quick View_ Sample Data'!O259</f>
        <v>109</v>
      </c>
      <c r="D258">
        <f>'Quick View_ Sample Data'!AN259</f>
        <v>0</v>
      </c>
      <c r="E258">
        <f>'Quick View_ Sample Data'!O259</f>
        <v>109</v>
      </c>
      <c r="F258">
        <f>'Quick View_ Sample Data'!AO259</f>
        <v>0</v>
      </c>
      <c r="G258">
        <f>'Quick View_ Sample Data'!O259</f>
        <v>109</v>
      </c>
      <c r="H258">
        <f>'Quick View_ Sample Data'!AP259</f>
        <v>0</v>
      </c>
      <c r="I258">
        <f>'Quick View_ Sample Data'!AF259</f>
        <v>0</v>
      </c>
      <c r="J258">
        <f>'Quick View_ Sample Data'!AJ259</f>
        <v>10.3</v>
      </c>
      <c r="K258">
        <f>'Quick View_ Sample Data'!AH259</f>
        <v>403.69674373359697</v>
      </c>
      <c r="L258">
        <f t="shared" ref="L258:L321" si="4">I258*J258</f>
        <v>0</v>
      </c>
    </row>
    <row r="259" spans="1:12" ht="12.75" customHeight="1">
      <c r="A259" s="321"/>
      <c r="B259" t="str">
        <f>'Quick View_ Sample Data'!P260</f>
        <v>MgO</v>
      </c>
      <c r="C259">
        <f>'Quick View_ Sample Data'!O260</f>
        <v>109</v>
      </c>
      <c r="D259">
        <f>'Quick View_ Sample Data'!AN260</f>
        <v>0</v>
      </c>
      <c r="E259">
        <f>'Quick View_ Sample Data'!O260</f>
        <v>109</v>
      </c>
      <c r="F259">
        <f>'Quick View_ Sample Data'!AO260</f>
        <v>0</v>
      </c>
      <c r="G259">
        <f>'Quick View_ Sample Data'!O260</f>
        <v>109</v>
      </c>
      <c r="H259">
        <f>'Quick View_ Sample Data'!AP260</f>
        <v>0</v>
      </c>
      <c r="I259">
        <f>'Quick View_ Sample Data'!AF260</f>
        <v>0</v>
      </c>
      <c r="J259">
        <f>'Quick View_ Sample Data'!AJ260</f>
        <v>10.5</v>
      </c>
      <c r="K259">
        <f>'Quick View_ Sample Data'!AH260</f>
        <v>406.43246120733698</v>
      </c>
      <c r="L259">
        <f t="shared" si="4"/>
        <v>0</v>
      </c>
    </row>
    <row r="260" spans="1:12" ht="12.75" customHeight="1">
      <c r="A260" s="321"/>
      <c r="B260" t="str">
        <f>'Quick View_ Sample Data'!P261</f>
        <v>MgO</v>
      </c>
      <c r="C260">
        <f>'Quick View_ Sample Data'!O261</f>
        <v>110</v>
      </c>
      <c r="D260">
        <f>'Quick View_ Sample Data'!AN261</f>
        <v>176.1802053088403</v>
      </c>
      <c r="E260">
        <f>'Quick View_ Sample Data'!O261</f>
        <v>110</v>
      </c>
      <c r="F260">
        <f>'Quick View_ Sample Data'!AO261</f>
        <v>0</v>
      </c>
      <c r="G260">
        <f>'Quick View_ Sample Data'!O261</f>
        <v>110</v>
      </c>
      <c r="H260">
        <f>'Quick View_ Sample Data'!AP261</f>
        <v>5.25</v>
      </c>
      <c r="I260">
        <f>'Quick View_ Sample Data'!AF261</f>
        <v>5.6</v>
      </c>
      <c r="J260">
        <f>'Quick View_ Sample Data'!AJ261</f>
        <v>0</v>
      </c>
      <c r="K260">
        <f>'Quick View_ Sample Data'!AH261</f>
        <v>314.607509480072</v>
      </c>
      <c r="L260">
        <f t="shared" si="4"/>
        <v>0</v>
      </c>
    </row>
    <row r="261" spans="1:12" ht="12.75" customHeight="1">
      <c r="A261" s="321"/>
      <c r="B261" t="str">
        <f>'Quick View_ Sample Data'!P262</f>
        <v>MgO</v>
      </c>
      <c r="C261">
        <f>'Quick View_ Sample Data'!O262</f>
        <v>110</v>
      </c>
      <c r="D261">
        <f>'Quick View_ Sample Data'!AN262</f>
        <v>177.5635267966486</v>
      </c>
      <c r="E261">
        <f>'Quick View_ Sample Data'!O262</f>
        <v>110</v>
      </c>
      <c r="F261">
        <f>'Quick View_ Sample Data'!AO262</f>
        <v>17046.098572478266</v>
      </c>
      <c r="G261">
        <f>'Quick View_ Sample Data'!O262</f>
        <v>110</v>
      </c>
      <c r="H261">
        <f>'Quick View_ Sample Data'!AP262</f>
        <v>5.34375</v>
      </c>
      <c r="I261">
        <f>'Quick View_ Sample Data'!AF262</f>
        <v>5.7</v>
      </c>
      <c r="J261">
        <f>'Quick View_ Sample Data'!AJ262</f>
        <v>9.6</v>
      </c>
      <c r="K261">
        <f>'Quick View_ Sample Data'!AH262</f>
        <v>311.51495929236597</v>
      </c>
      <c r="L261">
        <f t="shared" si="4"/>
        <v>54.72</v>
      </c>
    </row>
    <row r="262" spans="1:12" ht="12.75" customHeight="1">
      <c r="A262" s="321"/>
      <c r="B262" t="str">
        <f>'Quick View_ Sample Data'!P263</f>
        <v>MgO</v>
      </c>
      <c r="C262">
        <f>'Quick View_ Sample Data'!O263</f>
        <v>110</v>
      </c>
      <c r="D262">
        <f>'Quick View_ Sample Data'!AN263</f>
        <v>170.78727355843301</v>
      </c>
      <c r="E262">
        <f>'Quick View_ Sample Data'!O263</f>
        <v>110</v>
      </c>
      <c r="F262">
        <f>'Quick View_ Sample Data'!AO263</f>
        <v>16737.152808726438</v>
      </c>
      <c r="G262">
        <f>'Quick View_ Sample Data'!O263</f>
        <v>110</v>
      </c>
      <c r="H262">
        <f>'Quick View_ Sample Data'!AP263</f>
        <v>5.0625</v>
      </c>
      <c r="I262">
        <f>'Quick View_ Sample Data'!AF263</f>
        <v>5.4</v>
      </c>
      <c r="J262">
        <f>'Quick View_ Sample Data'!AJ263</f>
        <v>9.8000000000000007</v>
      </c>
      <c r="K262">
        <f>'Quick View_ Sample Data'!AH263</f>
        <v>316.272728811913</v>
      </c>
      <c r="L262">
        <f t="shared" si="4"/>
        <v>52.920000000000009</v>
      </c>
    </row>
    <row r="263" spans="1:12" ht="12.75" customHeight="1">
      <c r="A263" s="321"/>
      <c r="B263" t="str">
        <f>'Quick View_ Sample Data'!P264</f>
        <v>MgO</v>
      </c>
      <c r="C263">
        <f>'Quick View_ Sample Data'!O264</f>
        <v>110</v>
      </c>
      <c r="D263">
        <f>'Quick View_ Sample Data'!AN264</f>
        <v>168.08961824085009</v>
      </c>
      <c r="E263">
        <f>'Quick View_ Sample Data'!O264</f>
        <v>110</v>
      </c>
      <c r="F263">
        <f>'Quick View_ Sample Data'!AO264</f>
        <v>0</v>
      </c>
      <c r="G263">
        <f>'Quick View_ Sample Data'!O264</f>
        <v>110</v>
      </c>
      <c r="H263">
        <f>'Quick View_ Sample Data'!AP264</f>
        <v>5.0625</v>
      </c>
      <c r="I263">
        <f>'Quick View_ Sample Data'!AF264</f>
        <v>5.4</v>
      </c>
      <c r="J263">
        <f>'Quick View_ Sample Data'!AJ264</f>
        <v>0</v>
      </c>
      <c r="K263">
        <f>'Quick View_ Sample Data'!AH264</f>
        <v>311.27707081638903</v>
      </c>
      <c r="L263">
        <f t="shared" si="4"/>
        <v>0</v>
      </c>
    </row>
    <row r="264" spans="1:12" ht="12.75" customHeight="1">
      <c r="A264" s="321"/>
      <c r="B264" t="str">
        <f>'Quick View_ Sample Data'!P265</f>
        <v>SiNx</v>
      </c>
      <c r="C264">
        <f>'Quick View_ Sample Data'!O265</f>
        <v>111</v>
      </c>
      <c r="D264">
        <f>'Quick View_ Sample Data'!AN265</f>
        <v>0</v>
      </c>
      <c r="E264">
        <f>'Quick View_ Sample Data'!O265</f>
        <v>111</v>
      </c>
      <c r="F264">
        <f>'Quick View_ Sample Data'!AO265</f>
        <v>0</v>
      </c>
      <c r="G264">
        <f>'Quick View_ Sample Data'!O265</f>
        <v>111</v>
      </c>
      <c r="H264">
        <f>'Quick View_ Sample Data'!AP265</f>
        <v>0</v>
      </c>
      <c r="I264">
        <f>'Quick View_ Sample Data'!AF265</f>
        <v>0</v>
      </c>
      <c r="J264">
        <f>'Quick View_ Sample Data'!AJ265</f>
        <v>0</v>
      </c>
      <c r="K264">
        <f>'Quick View_ Sample Data'!AH265</f>
        <v>635.043286621589</v>
      </c>
      <c r="L264">
        <f t="shared" si="4"/>
        <v>0</v>
      </c>
    </row>
    <row r="265" spans="1:12" ht="12.75" customHeight="1">
      <c r="A265" s="321"/>
      <c r="B265" t="str">
        <f>'Quick View_ Sample Data'!P266</f>
        <v>SiNx</v>
      </c>
      <c r="C265">
        <f>'Quick View_ Sample Data'!O266</f>
        <v>111</v>
      </c>
      <c r="D265">
        <f>'Quick View_ Sample Data'!AN266</f>
        <v>0</v>
      </c>
      <c r="E265">
        <f>'Quick View_ Sample Data'!O266</f>
        <v>111</v>
      </c>
      <c r="F265">
        <f>'Quick View_ Sample Data'!AO266</f>
        <v>0</v>
      </c>
      <c r="G265">
        <f>'Quick View_ Sample Data'!O266</f>
        <v>111</v>
      </c>
      <c r="H265">
        <f>'Quick View_ Sample Data'!AP266</f>
        <v>0</v>
      </c>
      <c r="I265">
        <f>'Quick View_ Sample Data'!AF266</f>
        <v>0</v>
      </c>
      <c r="J265">
        <f>'Quick View_ Sample Data'!AJ266</f>
        <v>0</v>
      </c>
      <c r="K265">
        <f>'Quick View_ Sample Data'!AH266</f>
        <v>624.81408215456202</v>
      </c>
      <c r="L265">
        <f t="shared" si="4"/>
        <v>0</v>
      </c>
    </row>
    <row r="266" spans="1:12" ht="12.75" customHeight="1">
      <c r="A266" s="321"/>
      <c r="B266" t="str">
        <f>'Quick View_ Sample Data'!P267</f>
        <v>SiNx</v>
      </c>
      <c r="C266">
        <f>'Quick View_ Sample Data'!O267</f>
        <v>111</v>
      </c>
      <c r="D266">
        <f>'Quick View_ Sample Data'!AN267</f>
        <v>0</v>
      </c>
      <c r="E266">
        <f>'Quick View_ Sample Data'!O267</f>
        <v>111</v>
      </c>
      <c r="F266">
        <f>'Quick View_ Sample Data'!AO267</f>
        <v>0</v>
      </c>
      <c r="G266">
        <f>'Quick View_ Sample Data'!O267</f>
        <v>111</v>
      </c>
      <c r="H266">
        <f>'Quick View_ Sample Data'!AP267</f>
        <v>0</v>
      </c>
      <c r="I266">
        <f>'Quick View_ Sample Data'!AF267</f>
        <v>0</v>
      </c>
      <c r="J266">
        <f>'Quick View_ Sample Data'!AJ267</f>
        <v>0</v>
      </c>
      <c r="K266">
        <f>'Quick View_ Sample Data'!AH267</f>
        <v>626.36035724841497</v>
      </c>
      <c r="L266">
        <f t="shared" si="4"/>
        <v>0</v>
      </c>
    </row>
    <row r="267" spans="1:12" ht="12.75" customHeight="1">
      <c r="A267" s="321"/>
      <c r="B267" t="str">
        <f>'Quick View_ Sample Data'!P268</f>
        <v>SiNx</v>
      </c>
      <c r="C267">
        <f>'Quick View_ Sample Data'!O268</f>
        <v>111</v>
      </c>
      <c r="D267">
        <f>'Quick View_ Sample Data'!AN268</f>
        <v>0</v>
      </c>
      <c r="E267">
        <f>'Quick View_ Sample Data'!O268</f>
        <v>111</v>
      </c>
      <c r="F267">
        <f>'Quick View_ Sample Data'!AO268</f>
        <v>0</v>
      </c>
      <c r="G267">
        <f>'Quick View_ Sample Data'!O268</f>
        <v>111</v>
      </c>
      <c r="H267">
        <f>'Quick View_ Sample Data'!AP268</f>
        <v>0</v>
      </c>
      <c r="I267">
        <f>'Quick View_ Sample Data'!AF268</f>
        <v>0</v>
      </c>
      <c r="J267">
        <f>'Quick View_ Sample Data'!AJ268</f>
        <v>0</v>
      </c>
      <c r="K267">
        <f>'Quick View_ Sample Data'!AH268</f>
        <v>635.99484052549894</v>
      </c>
      <c r="L267">
        <f t="shared" si="4"/>
        <v>0</v>
      </c>
    </row>
    <row r="268" spans="1:12" ht="12.75" customHeight="1">
      <c r="A268" s="321"/>
      <c r="B268" t="str">
        <f>'Quick View_ Sample Data'!P269</f>
        <v>MgO</v>
      </c>
      <c r="C268">
        <f>'Quick View_ Sample Data'!O269</f>
        <v>112</v>
      </c>
      <c r="D268">
        <f>'Quick View_ Sample Data'!AN269</f>
        <v>278.84335600163394</v>
      </c>
      <c r="E268">
        <f>'Quick View_ Sample Data'!O269</f>
        <v>112</v>
      </c>
      <c r="F268">
        <f>'Quick View_ Sample Data'!AO269</f>
        <v>0</v>
      </c>
      <c r="G268">
        <f>'Quick View_ Sample Data'!O269</f>
        <v>112</v>
      </c>
      <c r="H268">
        <f>'Quick View_ Sample Data'!AP269</f>
        <v>4</v>
      </c>
      <c r="I268">
        <f>'Quick View_ Sample Data'!AF269</f>
        <v>6.4</v>
      </c>
      <c r="J268">
        <f>'Quick View_ Sample Data'!AJ269</f>
        <v>0</v>
      </c>
      <c r="K268">
        <f>'Quick View_ Sample Data'!AH269</f>
        <v>435.69274375255299</v>
      </c>
      <c r="L268">
        <f t="shared" si="4"/>
        <v>0</v>
      </c>
    </row>
    <row r="269" spans="1:12" ht="12.75" customHeight="1">
      <c r="A269" s="321"/>
      <c r="B269" t="str">
        <f>'Quick View_ Sample Data'!P270</f>
        <v>MgO</v>
      </c>
      <c r="C269">
        <f>'Quick View_ Sample Data'!O270</f>
        <v>112</v>
      </c>
      <c r="D269">
        <f>'Quick View_ Sample Data'!AN270</f>
        <v>275.64613488449794</v>
      </c>
      <c r="E269">
        <f>'Quick View_ Sample Data'!O270</f>
        <v>112</v>
      </c>
      <c r="F269">
        <f>'Quick View_ Sample Data'!AO270</f>
        <v>36660.935939638228</v>
      </c>
      <c r="G269">
        <f>'Quick View_ Sample Data'!O270</f>
        <v>112</v>
      </c>
      <c r="H269">
        <f>'Quick View_ Sample Data'!AP270</f>
        <v>4</v>
      </c>
      <c r="I269">
        <f>'Quick View_ Sample Data'!AF270</f>
        <v>6.4</v>
      </c>
      <c r="J269">
        <f>'Quick View_ Sample Data'!AJ270</f>
        <v>13.3</v>
      </c>
      <c r="K269">
        <f>'Quick View_ Sample Data'!AH270</f>
        <v>430.69708575702799</v>
      </c>
      <c r="L269">
        <f t="shared" si="4"/>
        <v>85.12</v>
      </c>
    </row>
    <row r="270" spans="1:12" ht="12.75" customHeight="1">
      <c r="A270" s="321"/>
      <c r="B270" t="str">
        <f>'Quick View_ Sample Data'!P271</f>
        <v>MgO</v>
      </c>
      <c r="C270">
        <f>'Quick View_ Sample Data'!O271</f>
        <v>112</v>
      </c>
      <c r="D270">
        <f>'Quick View_ Sample Data'!AN271</f>
        <v>270.46968164723074</v>
      </c>
      <c r="E270">
        <f>'Quick View_ Sample Data'!O271</f>
        <v>112</v>
      </c>
      <c r="F270">
        <f>'Quick View_ Sample Data'!AO271</f>
        <v>0</v>
      </c>
      <c r="G270">
        <f>'Quick View_ Sample Data'!O271</f>
        <v>112</v>
      </c>
      <c r="H270">
        <f>'Quick View_ Sample Data'!AP271</f>
        <v>4</v>
      </c>
      <c r="I270">
        <f>'Quick View_ Sample Data'!AF271</f>
        <v>6.4</v>
      </c>
      <c r="J270">
        <f>'Quick View_ Sample Data'!AJ271</f>
        <v>0</v>
      </c>
      <c r="K270">
        <f>'Quick View_ Sample Data'!AH271</f>
        <v>422.608877573798</v>
      </c>
      <c r="L270">
        <f t="shared" si="4"/>
        <v>0</v>
      </c>
    </row>
    <row r="271" spans="1:12" ht="12.75" customHeight="1">
      <c r="A271" s="321"/>
      <c r="B271" t="str">
        <f>'Quick View_ Sample Data'!P272</f>
        <v>MgO</v>
      </c>
      <c r="C271">
        <f>'Quick View_ Sample Data'!O272</f>
        <v>112</v>
      </c>
      <c r="D271">
        <f>'Quick View_ Sample Data'!AN272</f>
        <v>278.69110737700868</v>
      </c>
      <c r="E271">
        <f>'Quick View_ Sample Data'!O272</f>
        <v>112</v>
      </c>
      <c r="F271">
        <f>'Quick View_ Sample Data'!AO272</f>
        <v>0</v>
      </c>
      <c r="G271">
        <f>'Quick View_ Sample Data'!O272</f>
        <v>112</v>
      </c>
      <c r="H271">
        <f>'Quick View_ Sample Data'!AP272</f>
        <v>4</v>
      </c>
      <c r="I271">
        <f>'Quick View_ Sample Data'!AF272</f>
        <v>6.4</v>
      </c>
      <c r="J271">
        <f>'Quick View_ Sample Data'!AJ272</f>
        <v>0</v>
      </c>
      <c r="K271">
        <f>'Quick View_ Sample Data'!AH272</f>
        <v>435.45485527657598</v>
      </c>
      <c r="L271">
        <f t="shared" si="4"/>
        <v>0</v>
      </c>
    </row>
    <row r="272" spans="1:12" ht="12.75" customHeight="1">
      <c r="A272" s="321"/>
      <c r="B272" t="str">
        <f>'Quick View_ Sample Data'!P273</f>
        <v>MgO</v>
      </c>
      <c r="C272">
        <f>'Quick View_ Sample Data'!O273</f>
        <v>113</v>
      </c>
      <c r="D272">
        <f>'Quick View_ Sample Data'!AN273</f>
        <v>0</v>
      </c>
      <c r="E272">
        <f>'Quick View_ Sample Data'!O273</f>
        <v>113</v>
      </c>
      <c r="F272">
        <f>'Quick View_ Sample Data'!AO273</f>
        <v>0</v>
      </c>
      <c r="G272">
        <f>'Quick View_ Sample Data'!O273</f>
        <v>113</v>
      </c>
      <c r="H272">
        <f>'Quick View_ Sample Data'!AP273</f>
        <v>0</v>
      </c>
      <c r="I272">
        <f>'Quick View_ Sample Data'!AF273</f>
        <v>0</v>
      </c>
      <c r="J272">
        <f>'Quick View_ Sample Data'!AJ273</f>
        <v>0</v>
      </c>
      <c r="K272">
        <f>'Quick View_ Sample Data'!AH273</f>
        <v>265.84037190471099</v>
      </c>
      <c r="L272">
        <f t="shared" si="4"/>
        <v>0</v>
      </c>
    </row>
    <row r="273" spans="1:12" ht="12.75" customHeight="1">
      <c r="A273" s="321"/>
      <c r="B273" t="str">
        <f>'Quick View_ Sample Data'!P274</f>
        <v>MgO</v>
      </c>
      <c r="C273">
        <f>'Quick View_ Sample Data'!O274</f>
        <v>113</v>
      </c>
      <c r="D273">
        <f>'Quick View_ Sample Data'!AN274</f>
        <v>0</v>
      </c>
      <c r="E273">
        <f>'Quick View_ Sample Data'!O274</f>
        <v>113</v>
      </c>
      <c r="F273">
        <f>'Quick View_ Sample Data'!AO274</f>
        <v>0</v>
      </c>
      <c r="G273">
        <f>'Quick View_ Sample Data'!O274</f>
        <v>113</v>
      </c>
      <c r="H273">
        <f>'Quick View_ Sample Data'!AP274</f>
        <v>0</v>
      </c>
      <c r="I273">
        <f>'Quick View_ Sample Data'!AF274</f>
        <v>0</v>
      </c>
      <c r="J273">
        <f>'Quick View_ Sample Data'!AJ274</f>
        <v>0</v>
      </c>
      <c r="K273">
        <f>'Quick View_ Sample Data'!AH274</f>
        <v>287.13139050468601</v>
      </c>
      <c r="L273">
        <f t="shared" si="4"/>
        <v>0</v>
      </c>
    </row>
    <row r="274" spans="1:12" ht="12.75" customHeight="1">
      <c r="A274" s="321"/>
      <c r="B274" t="str">
        <f>'Quick View_ Sample Data'!P275</f>
        <v>MgO</v>
      </c>
      <c r="C274">
        <f>'Quick View_ Sample Data'!O275</f>
        <v>113</v>
      </c>
      <c r="D274">
        <f>'Quick View_ Sample Data'!AN275</f>
        <v>0</v>
      </c>
      <c r="E274">
        <f>'Quick View_ Sample Data'!O275</f>
        <v>113</v>
      </c>
      <c r="F274">
        <f>'Quick View_ Sample Data'!AO275</f>
        <v>0</v>
      </c>
      <c r="G274">
        <f>'Quick View_ Sample Data'!O275</f>
        <v>113</v>
      </c>
      <c r="H274">
        <f>'Quick View_ Sample Data'!AP275</f>
        <v>0</v>
      </c>
      <c r="I274">
        <f>'Quick View_ Sample Data'!AF275</f>
        <v>0</v>
      </c>
      <c r="J274">
        <f>'Quick View_ Sample Data'!AJ275</f>
        <v>0</v>
      </c>
      <c r="K274">
        <f>'Quick View_ Sample Data'!AH275</f>
        <v>288.79660983652701</v>
      </c>
      <c r="L274">
        <f t="shared" si="4"/>
        <v>0</v>
      </c>
    </row>
    <row r="275" spans="1:12" ht="12.75" customHeight="1">
      <c r="A275" s="321"/>
      <c r="B275" t="str">
        <f>'Quick View_ Sample Data'!P276</f>
        <v>MgO</v>
      </c>
      <c r="C275">
        <f>'Quick View_ Sample Data'!O276</f>
        <v>113</v>
      </c>
      <c r="D275">
        <f>'Quick View_ Sample Data'!AN276</f>
        <v>0</v>
      </c>
      <c r="E275">
        <f>'Quick View_ Sample Data'!O276</f>
        <v>113</v>
      </c>
      <c r="F275">
        <f>'Quick View_ Sample Data'!AO276</f>
        <v>0</v>
      </c>
      <c r="G275">
        <f>'Quick View_ Sample Data'!O276</f>
        <v>113</v>
      </c>
      <c r="H275">
        <f>'Quick View_ Sample Data'!AP276</f>
        <v>0</v>
      </c>
      <c r="I275">
        <f>'Quick View_ Sample Data'!AF276</f>
        <v>0</v>
      </c>
      <c r="J275">
        <f>'Quick View_ Sample Data'!AJ276</f>
        <v>13.27</v>
      </c>
      <c r="K275">
        <f>'Quick View_ Sample Data'!AH276</f>
        <v>270.95497413822397</v>
      </c>
      <c r="L275">
        <f t="shared" si="4"/>
        <v>0</v>
      </c>
    </row>
    <row r="276" spans="1:12" ht="12.75" customHeight="1">
      <c r="A276" s="321"/>
      <c r="B276" t="str">
        <f>'Quick View_ Sample Data'!P277</f>
        <v>SiNx</v>
      </c>
      <c r="C276">
        <f>'Quick View_ Sample Data'!O277</f>
        <v>114</v>
      </c>
      <c r="D276">
        <f>'Quick View_ Sample Data'!AN277</f>
        <v>0</v>
      </c>
      <c r="E276">
        <f>'Quick View_ Sample Data'!O277</f>
        <v>114</v>
      </c>
      <c r="F276">
        <f>'Quick View_ Sample Data'!AO277</f>
        <v>0</v>
      </c>
      <c r="G276">
        <f>'Quick View_ Sample Data'!O277</f>
        <v>114</v>
      </c>
      <c r="H276">
        <f>'Quick View_ Sample Data'!AP277</f>
        <v>0</v>
      </c>
      <c r="I276">
        <f>'Quick View_ Sample Data'!AF277</f>
        <v>0</v>
      </c>
      <c r="J276">
        <f>'Quick View_ Sample Data'!AJ277</f>
        <v>0</v>
      </c>
      <c r="K276">
        <f>'Quick View_ Sample Data'!AH277</f>
        <v>654.19330893776805</v>
      </c>
      <c r="L276">
        <f t="shared" si="4"/>
        <v>0</v>
      </c>
    </row>
    <row r="277" spans="1:12" ht="12.75" customHeight="1">
      <c r="A277" s="321"/>
      <c r="B277" t="str">
        <f>'Quick View_ Sample Data'!P278</f>
        <v>SiNx</v>
      </c>
      <c r="C277">
        <f>'Quick View_ Sample Data'!O278</f>
        <v>114</v>
      </c>
      <c r="D277">
        <f>'Quick View_ Sample Data'!AN278</f>
        <v>0</v>
      </c>
      <c r="E277">
        <f>'Quick View_ Sample Data'!O278</f>
        <v>114</v>
      </c>
      <c r="F277">
        <f>'Quick View_ Sample Data'!AO278</f>
        <v>0</v>
      </c>
      <c r="G277">
        <f>'Quick View_ Sample Data'!O278</f>
        <v>114</v>
      </c>
      <c r="H277">
        <f>'Quick View_ Sample Data'!AP278</f>
        <v>0</v>
      </c>
      <c r="I277">
        <f>'Quick View_ Sample Data'!AF278</f>
        <v>0</v>
      </c>
      <c r="J277">
        <f>'Quick View_ Sample Data'!AJ278</f>
        <v>0</v>
      </c>
      <c r="K277">
        <f>'Quick View_ Sample Data'!AH278</f>
        <v>655.97747250759801</v>
      </c>
      <c r="L277">
        <f t="shared" si="4"/>
        <v>0</v>
      </c>
    </row>
    <row r="278" spans="1:12" ht="12.75" customHeight="1">
      <c r="A278" s="321"/>
      <c r="B278" t="str">
        <f>'Quick View_ Sample Data'!P279</f>
        <v>SiNx</v>
      </c>
      <c r="C278">
        <f>'Quick View_ Sample Data'!O279</f>
        <v>114</v>
      </c>
      <c r="D278">
        <f>'Quick View_ Sample Data'!AN279</f>
        <v>0</v>
      </c>
      <c r="E278">
        <f>'Quick View_ Sample Data'!O279</f>
        <v>114</v>
      </c>
      <c r="F278">
        <f>'Quick View_ Sample Data'!AO279</f>
        <v>0</v>
      </c>
      <c r="G278">
        <f>'Quick View_ Sample Data'!O279</f>
        <v>114</v>
      </c>
      <c r="H278">
        <f>'Quick View_ Sample Data'!AP279</f>
        <v>0</v>
      </c>
      <c r="I278">
        <f>'Quick View_ Sample Data'!AF279</f>
        <v>0</v>
      </c>
      <c r="J278">
        <f>'Quick View_ Sample Data'!AJ279</f>
        <v>0</v>
      </c>
      <c r="K278">
        <f>'Quick View_ Sample Data'!AH279</f>
        <v>652.76597808190297</v>
      </c>
      <c r="L278">
        <f t="shared" si="4"/>
        <v>0</v>
      </c>
    </row>
    <row r="279" spans="1:12" ht="12.75" customHeight="1">
      <c r="A279" s="321"/>
      <c r="B279" t="str">
        <f>'Quick View_ Sample Data'!P280</f>
        <v>SiNx</v>
      </c>
      <c r="C279">
        <f>'Quick View_ Sample Data'!O280</f>
        <v>114</v>
      </c>
      <c r="D279">
        <f>'Quick View_ Sample Data'!AN280</f>
        <v>0</v>
      </c>
      <c r="E279">
        <f>'Quick View_ Sample Data'!O280</f>
        <v>114</v>
      </c>
      <c r="F279">
        <f>'Quick View_ Sample Data'!AO280</f>
        <v>0</v>
      </c>
      <c r="G279">
        <f>'Quick View_ Sample Data'!O280</f>
        <v>114</v>
      </c>
      <c r="H279">
        <f>'Quick View_ Sample Data'!AP280</f>
        <v>0</v>
      </c>
      <c r="I279">
        <f>'Quick View_ Sample Data'!AF280</f>
        <v>0</v>
      </c>
      <c r="J279">
        <f>'Quick View_ Sample Data'!AJ280</f>
        <v>0</v>
      </c>
      <c r="K279">
        <f>'Quick View_ Sample Data'!AH280</f>
        <v>654.78803012771095</v>
      </c>
      <c r="L279">
        <f t="shared" si="4"/>
        <v>0</v>
      </c>
    </row>
    <row r="280" spans="1:12" ht="12.75" customHeight="1">
      <c r="A280" s="321"/>
      <c r="B280" t="str">
        <f>'Quick View_ Sample Data'!P281</f>
        <v>MgO</v>
      </c>
      <c r="C280">
        <f>'Quick View_ Sample Data'!O281</f>
        <v>115</v>
      </c>
      <c r="D280">
        <f>'Quick View_ Sample Data'!AN281</f>
        <v>95.830993662723728</v>
      </c>
      <c r="E280">
        <f>'Quick View_ Sample Data'!O281</f>
        <v>115</v>
      </c>
      <c r="F280">
        <f>'Quick View_ Sample Data'!AO281</f>
        <v>13608.001100106769</v>
      </c>
      <c r="G280">
        <f>'Quick View_ Sample Data'!O281</f>
        <v>115</v>
      </c>
      <c r="H280">
        <f>'Quick View_ Sample Data'!AP281</f>
        <v>3.8571428571428577</v>
      </c>
      <c r="I280">
        <f>'Quick View_ Sample Data'!AF281</f>
        <v>5.4</v>
      </c>
      <c r="J280">
        <f>'Quick View_ Sample Data'!AJ281</f>
        <v>14.2</v>
      </c>
      <c r="K280">
        <f>'Quick View_ Sample Data'!AH281</f>
        <v>177.46480307911801</v>
      </c>
      <c r="L280">
        <f t="shared" si="4"/>
        <v>76.680000000000007</v>
      </c>
    </row>
    <row r="281" spans="1:12" ht="12.75" customHeight="1">
      <c r="A281" s="321"/>
      <c r="B281" t="str">
        <f>'Quick View_ Sample Data'!P282</f>
        <v>MgO</v>
      </c>
      <c r="C281">
        <f>'Quick View_ Sample Data'!O282</f>
        <v>115</v>
      </c>
      <c r="D281">
        <f>'Quick View_ Sample Data'!AN282</f>
        <v>94.875871431674625</v>
      </c>
      <c r="E281">
        <f>'Quick View_ Sample Data'!O282</f>
        <v>115</v>
      </c>
      <c r="F281">
        <f>'Quick View_ Sample Data'!AO282</f>
        <v>0</v>
      </c>
      <c r="G281">
        <f>'Quick View_ Sample Data'!O282</f>
        <v>115</v>
      </c>
      <c r="H281">
        <f>'Quick View_ Sample Data'!AP282</f>
        <v>3.7857142857142856</v>
      </c>
      <c r="I281">
        <f>'Quick View_ Sample Data'!AF282</f>
        <v>5.3</v>
      </c>
      <c r="J281">
        <f>'Quick View_ Sample Data'!AJ282</f>
        <v>0</v>
      </c>
      <c r="K281">
        <f>'Quick View_ Sample Data'!AH282</f>
        <v>179.011078172971</v>
      </c>
      <c r="L281">
        <f t="shared" si="4"/>
        <v>0</v>
      </c>
    </row>
    <row r="282" spans="1:12" ht="12.75" customHeight="1">
      <c r="A282" s="321"/>
      <c r="B282" t="str">
        <f>'Quick View_ Sample Data'!P283</f>
        <v>MgO</v>
      </c>
      <c r="C282">
        <f>'Quick View_ Sample Data'!O283</f>
        <v>115</v>
      </c>
      <c r="D282">
        <f>'Quick View_ Sample Data'!AN283</f>
        <v>116.40953627714605</v>
      </c>
      <c r="E282">
        <f>'Quick View_ Sample Data'!O283</f>
        <v>115</v>
      </c>
      <c r="F282">
        <f>'Quick View_ Sample Data'!AO283</f>
        <v>15715.287397414717</v>
      </c>
      <c r="G282">
        <f>'Quick View_ Sample Data'!O283</f>
        <v>115</v>
      </c>
      <c r="H282">
        <f>'Quick View_ Sample Data'!AP283</f>
        <v>4.0714285714285721</v>
      </c>
      <c r="I282">
        <f>'Quick View_ Sample Data'!AF283</f>
        <v>5.7</v>
      </c>
      <c r="J282">
        <f>'Quick View_ Sample Data'!AJ283</f>
        <v>13.5</v>
      </c>
      <c r="K282">
        <f>'Quick View_ Sample Data'!AH283</f>
        <v>204.227256626572</v>
      </c>
      <c r="L282">
        <f t="shared" si="4"/>
        <v>76.95</v>
      </c>
    </row>
    <row r="283" spans="1:12" ht="12.75" customHeight="1">
      <c r="A283" s="321"/>
      <c r="B283" t="str">
        <f>'Quick View_ Sample Data'!P284</f>
        <v>MgO</v>
      </c>
      <c r="C283">
        <f>'Quick View_ Sample Data'!O284</f>
        <v>115</v>
      </c>
      <c r="D283">
        <f>'Quick View_ Sample Data'!AN284</f>
        <v>96.537522436376761</v>
      </c>
      <c r="E283">
        <f>'Quick View_ Sample Data'!O284</f>
        <v>115</v>
      </c>
      <c r="F283">
        <f>'Quick View_ Sample Data'!AO284</f>
        <v>0</v>
      </c>
      <c r="G283">
        <f>'Quick View_ Sample Data'!O284</f>
        <v>115</v>
      </c>
      <c r="H283">
        <f>'Quick View_ Sample Data'!AP284</f>
        <v>3.8571428571428577</v>
      </c>
      <c r="I283">
        <f>'Quick View_ Sample Data'!AF284</f>
        <v>5.4</v>
      </c>
      <c r="J283">
        <f>'Quick View_ Sample Data'!AJ284</f>
        <v>0</v>
      </c>
      <c r="K283">
        <f>'Quick View_ Sample Data'!AH284</f>
        <v>178.773189696994</v>
      </c>
      <c r="L283">
        <f t="shared" si="4"/>
        <v>0</v>
      </c>
    </row>
    <row r="284" spans="1:12" ht="12.75" customHeight="1">
      <c r="A284" s="321"/>
      <c r="B284" t="str">
        <f>'Quick View_ Sample Data'!P285</f>
        <v>MgO</v>
      </c>
      <c r="C284">
        <f>'Quick View_ Sample Data'!O285</f>
        <v>116</v>
      </c>
      <c r="D284">
        <f>'Quick View_ Sample Data'!AN285</f>
        <v>163.9658215097821</v>
      </c>
      <c r="E284">
        <f>'Quick View_ Sample Data'!O285</f>
        <v>116</v>
      </c>
      <c r="F284">
        <f>'Quick View_ Sample Data'!AO285</f>
        <v>0</v>
      </c>
      <c r="G284">
        <f>'Quick View_ Sample Data'!O285</f>
        <v>116</v>
      </c>
      <c r="H284">
        <f>'Quick View_ Sample Data'!AP285</f>
        <v>3.0652173913043481</v>
      </c>
      <c r="I284">
        <f>'Quick View_ Sample Data'!AF285</f>
        <v>4.7</v>
      </c>
      <c r="J284">
        <f>'Quick View_ Sample Data'!AJ285</f>
        <v>0</v>
      </c>
      <c r="K284">
        <f>'Quick View_ Sample Data'!AH285</f>
        <v>348.86345002081299</v>
      </c>
      <c r="L284">
        <f t="shared" si="4"/>
        <v>0</v>
      </c>
    </row>
    <row r="285" spans="1:12" ht="12.75" customHeight="1">
      <c r="A285" s="321"/>
      <c r="B285" t="str">
        <f>'Quick View_ Sample Data'!P286</f>
        <v>MgO</v>
      </c>
      <c r="C285">
        <f>'Quick View_ Sample Data'!O286</f>
        <v>116</v>
      </c>
      <c r="D285">
        <f>'Quick View_ Sample Data'!AN286</f>
        <v>0</v>
      </c>
      <c r="E285">
        <f>'Quick View_ Sample Data'!O286</f>
        <v>116</v>
      </c>
      <c r="F285">
        <f>'Quick View_ Sample Data'!AO286</f>
        <v>0</v>
      </c>
      <c r="G285">
        <f>'Quick View_ Sample Data'!O286</f>
        <v>116</v>
      </c>
      <c r="H285">
        <f>'Quick View_ Sample Data'!AP286</f>
        <v>0</v>
      </c>
      <c r="I285">
        <f>'Quick View_ Sample Data'!AF286</f>
        <v>0</v>
      </c>
      <c r="J285">
        <f>'Quick View_ Sample Data'!AJ286</f>
        <v>0</v>
      </c>
      <c r="K285">
        <f>'Quick View_ Sample Data'!AH286</f>
        <v>354.81066192024701</v>
      </c>
      <c r="L285">
        <f t="shared" si="4"/>
        <v>0</v>
      </c>
    </row>
    <row r="286" spans="1:12" ht="12.75" customHeight="1">
      <c r="A286" s="321"/>
      <c r="B286" t="str">
        <f>'Quick View_ Sample Data'!P287</f>
        <v>MgO</v>
      </c>
      <c r="C286">
        <f>'Quick View_ Sample Data'!O287</f>
        <v>116</v>
      </c>
      <c r="D286">
        <f>'Quick View_ Sample Data'!AN287</f>
        <v>0</v>
      </c>
      <c r="E286">
        <f>'Quick View_ Sample Data'!O287</f>
        <v>116</v>
      </c>
      <c r="F286">
        <f>'Quick View_ Sample Data'!AO287</f>
        <v>0</v>
      </c>
      <c r="G286">
        <f>'Quick View_ Sample Data'!O287</f>
        <v>116</v>
      </c>
      <c r="H286">
        <f>'Quick View_ Sample Data'!AP287</f>
        <v>0</v>
      </c>
      <c r="I286">
        <f>'Quick View_ Sample Data'!AF287</f>
        <v>0</v>
      </c>
      <c r="J286">
        <f>'Quick View_ Sample Data'!AJ287</f>
        <v>0</v>
      </c>
      <c r="K286">
        <f>'Quick View_ Sample Data'!AH287</f>
        <v>365.991420291184</v>
      </c>
      <c r="L286">
        <f t="shared" si="4"/>
        <v>0</v>
      </c>
    </row>
    <row r="287" spans="1:12" ht="12.75" customHeight="1">
      <c r="A287" s="321"/>
      <c r="B287" t="str">
        <f>'Quick View_ Sample Data'!P288</f>
        <v>MgO</v>
      </c>
      <c r="C287">
        <f>'Quick View_ Sample Data'!O288</f>
        <v>116</v>
      </c>
      <c r="D287">
        <f>'Quick View_ Sample Data'!AN288</f>
        <v>0</v>
      </c>
      <c r="E287">
        <f>'Quick View_ Sample Data'!O288</f>
        <v>116</v>
      </c>
      <c r="F287">
        <f>'Quick View_ Sample Data'!AO288</f>
        <v>0</v>
      </c>
      <c r="G287">
        <f>'Quick View_ Sample Data'!O288</f>
        <v>116</v>
      </c>
      <c r="H287">
        <f>'Quick View_ Sample Data'!AP288</f>
        <v>0</v>
      </c>
      <c r="I287">
        <f>'Quick View_ Sample Data'!AF288</f>
        <v>0</v>
      </c>
      <c r="J287">
        <f>'Quick View_ Sample Data'!AJ288</f>
        <v>0</v>
      </c>
      <c r="K287">
        <f>'Quick View_ Sample Data'!AH288</f>
        <v>356.35693701410003</v>
      </c>
      <c r="L287">
        <f t="shared" si="4"/>
        <v>0</v>
      </c>
    </row>
    <row r="288" spans="1:12" ht="12.75" customHeight="1">
      <c r="A288" s="321"/>
      <c r="B288" t="str">
        <f>'Quick View_ Sample Data'!P289</f>
        <v>MgO</v>
      </c>
      <c r="C288">
        <f>'Quick View_ Sample Data'!O289</f>
        <v>117</v>
      </c>
      <c r="D288">
        <f>'Quick View_ Sample Data'!AN289</f>
        <v>161.82839355312575</v>
      </c>
      <c r="E288">
        <f>'Quick View_ Sample Data'!O289</f>
        <v>117</v>
      </c>
      <c r="F288">
        <f>'Quick View_ Sample Data'!AO289</f>
        <v>18286.608471503208</v>
      </c>
      <c r="G288">
        <f>'Quick View_ Sample Data'!O289</f>
        <v>117</v>
      </c>
      <c r="H288">
        <f>'Quick View_ Sample Data'!AP289</f>
        <v>3.1607142857142856</v>
      </c>
      <c r="I288">
        <f>'Quick View_ Sample Data'!AF289</f>
        <v>5.9</v>
      </c>
      <c r="J288">
        <f>'Quick View_ Sample Data'!AJ289</f>
        <v>11.3</v>
      </c>
      <c r="K288">
        <f>'Quick View_ Sample Data'!AH289</f>
        <v>274.28541280190802</v>
      </c>
      <c r="L288">
        <f t="shared" si="4"/>
        <v>66.67</v>
      </c>
    </row>
    <row r="289" spans="1:12" ht="12.75" customHeight="1">
      <c r="A289" s="321"/>
      <c r="B289" t="str">
        <f>'Quick View_ Sample Data'!P290</f>
        <v>MgO</v>
      </c>
      <c r="C289">
        <f>'Quick View_ Sample Data'!O290</f>
        <v>117</v>
      </c>
      <c r="D289">
        <f>'Quick View_ Sample Data'!AN290</f>
        <v>159.4994653733072</v>
      </c>
      <c r="E289">
        <f>'Quick View_ Sample Data'!O290</f>
        <v>117</v>
      </c>
      <c r="F289">
        <f>'Quick View_ Sample Data'!AO290</f>
        <v>18023.439587183715</v>
      </c>
      <c r="G289">
        <f>'Quick View_ Sample Data'!O290</f>
        <v>117</v>
      </c>
      <c r="H289">
        <f>'Quick View_ Sample Data'!AP290</f>
        <v>3.1071428571428568</v>
      </c>
      <c r="I289">
        <f>'Quick View_ Sample Data'!AF290</f>
        <v>5.8</v>
      </c>
      <c r="J289">
        <f>'Quick View_ Sample Data'!AJ290</f>
        <v>11.3</v>
      </c>
      <c r="K289">
        <f>'Quick View_ Sample Data'!AH290</f>
        <v>274.99907822983999</v>
      </c>
      <c r="L289">
        <f t="shared" si="4"/>
        <v>65.540000000000006</v>
      </c>
    </row>
    <row r="290" spans="1:12" ht="12.75" customHeight="1">
      <c r="A290" s="321"/>
      <c r="B290" t="str">
        <f>'Quick View_ Sample Data'!P291</f>
        <v>MgO</v>
      </c>
      <c r="C290">
        <f>'Quick View_ Sample Data'!O291</f>
        <v>117</v>
      </c>
      <c r="D290">
        <f>'Quick View_ Sample Data'!AN291</f>
        <v>0</v>
      </c>
      <c r="E290">
        <f>'Quick View_ Sample Data'!O291</f>
        <v>117</v>
      </c>
      <c r="F290">
        <f>'Quick View_ Sample Data'!AO291</f>
        <v>0</v>
      </c>
      <c r="G290">
        <f>'Quick View_ Sample Data'!O291</f>
        <v>117</v>
      </c>
      <c r="H290">
        <f>'Quick View_ Sample Data'!AP291</f>
        <v>0</v>
      </c>
      <c r="I290">
        <f>'Quick View_ Sample Data'!AF291</f>
        <v>0</v>
      </c>
      <c r="J290">
        <f>'Quick View_ Sample Data'!AJ291</f>
        <v>0</v>
      </c>
      <c r="K290">
        <f>'Quick View_ Sample Data'!AH291</f>
        <v>254.421725057797</v>
      </c>
      <c r="L290">
        <f t="shared" si="4"/>
        <v>0</v>
      </c>
    </row>
    <row r="291" spans="1:12" ht="12.75" customHeight="1">
      <c r="A291" s="321"/>
      <c r="B291" t="str">
        <f>'Quick View_ Sample Data'!P292</f>
        <v>MgO</v>
      </c>
      <c r="C291">
        <f>'Quick View_ Sample Data'!O292</f>
        <v>117</v>
      </c>
      <c r="D291">
        <f>'Quick View_ Sample Data'!AN292</f>
        <v>0</v>
      </c>
      <c r="E291">
        <f>'Quick View_ Sample Data'!O292</f>
        <v>117</v>
      </c>
      <c r="F291">
        <f>'Quick View_ Sample Data'!AO292</f>
        <v>0</v>
      </c>
      <c r="G291">
        <f>'Quick View_ Sample Data'!O292</f>
        <v>117</v>
      </c>
      <c r="H291">
        <f>'Quick View_ Sample Data'!AP292</f>
        <v>0</v>
      </c>
      <c r="I291">
        <f>'Quick View_ Sample Data'!AF292</f>
        <v>0</v>
      </c>
      <c r="J291">
        <f>'Quick View_ Sample Data'!AJ292</f>
        <v>0</v>
      </c>
      <c r="K291">
        <f>'Quick View_ Sample Data'!AH292</f>
        <v>270.47919718627003</v>
      </c>
      <c r="L291">
        <f t="shared" si="4"/>
        <v>0</v>
      </c>
    </row>
    <row r="292" spans="1:12" ht="12.75" customHeight="1">
      <c r="A292" s="321"/>
      <c r="B292" t="str">
        <f>'Quick View_ Sample Data'!P293</f>
        <v>MgO</v>
      </c>
      <c r="C292">
        <f>'Quick View_ Sample Data'!O293</f>
        <v>118</v>
      </c>
      <c r="D292">
        <f>'Quick View_ Sample Data'!AN293</f>
        <v>0</v>
      </c>
      <c r="E292">
        <f>'Quick View_ Sample Data'!O293</f>
        <v>118</v>
      </c>
      <c r="F292">
        <f>'Quick View_ Sample Data'!AO293</f>
        <v>0</v>
      </c>
      <c r="G292">
        <f>'Quick View_ Sample Data'!O293</f>
        <v>118</v>
      </c>
      <c r="H292">
        <f>'Quick View_ Sample Data'!AP293</f>
        <v>8.647058823529413</v>
      </c>
      <c r="I292">
        <f>'Quick View_ Sample Data'!AF293</f>
        <v>9.8000000000000007</v>
      </c>
      <c r="J292">
        <f>'Quick View_ Sample Data'!AJ293</f>
        <v>0</v>
      </c>
      <c r="K292">
        <f>'Quick View_ Sample Data'!AH293</f>
        <v>0</v>
      </c>
      <c r="L292">
        <f t="shared" si="4"/>
        <v>0</v>
      </c>
    </row>
    <row r="293" spans="1:12" ht="12.75" customHeight="1">
      <c r="A293" s="321"/>
      <c r="B293" t="str">
        <f>'Quick View_ Sample Data'!P294</f>
        <v>MgO</v>
      </c>
      <c r="C293">
        <f>'Quick View_ Sample Data'!O294</f>
        <v>118</v>
      </c>
      <c r="D293">
        <f>'Quick View_ Sample Data'!AN294</f>
        <v>0</v>
      </c>
      <c r="E293">
        <f>'Quick View_ Sample Data'!O294</f>
        <v>118</v>
      </c>
      <c r="F293">
        <f>'Quick View_ Sample Data'!AO294</f>
        <v>0</v>
      </c>
      <c r="G293">
        <f>'Quick View_ Sample Data'!O294</f>
        <v>118</v>
      </c>
      <c r="H293">
        <f>'Quick View_ Sample Data'!AP294</f>
        <v>0</v>
      </c>
      <c r="I293">
        <f>'Quick View_ Sample Data'!AF294</f>
        <v>0</v>
      </c>
      <c r="J293">
        <f>'Quick View_ Sample Data'!AJ294</f>
        <v>0</v>
      </c>
      <c r="K293">
        <f>'Quick View_ Sample Data'!AH294</f>
        <v>0</v>
      </c>
      <c r="L293">
        <f t="shared" si="4"/>
        <v>0</v>
      </c>
    </row>
    <row r="294" spans="1:12" ht="12.75" customHeight="1">
      <c r="A294" s="321"/>
      <c r="B294" t="str">
        <f>'Quick View_ Sample Data'!P295</f>
        <v>MgO</v>
      </c>
      <c r="C294">
        <f>'Quick View_ Sample Data'!O295</f>
        <v>118</v>
      </c>
      <c r="D294">
        <f>'Quick View_ Sample Data'!AN295</f>
        <v>0</v>
      </c>
      <c r="E294">
        <f>'Quick View_ Sample Data'!O295</f>
        <v>118</v>
      </c>
      <c r="F294">
        <f>'Quick View_ Sample Data'!AO295</f>
        <v>0</v>
      </c>
      <c r="G294">
        <f>'Quick View_ Sample Data'!O295</f>
        <v>118</v>
      </c>
      <c r="H294">
        <f>'Quick View_ Sample Data'!AP295</f>
        <v>0</v>
      </c>
      <c r="I294">
        <f>'Quick View_ Sample Data'!AF295</f>
        <v>0</v>
      </c>
      <c r="J294">
        <f>'Quick View_ Sample Data'!AJ295</f>
        <v>0</v>
      </c>
      <c r="K294">
        <f>'Quick View_ Sample Data'!AH295</f>
        <v>0</v>
      </c>
      <c r="L294">
        <f t="shared" si="4"/>
        <v>0</v>
      </c>
    </row>
    <row r="295" spans="1:12" ht="12.75" customHeight="1">
      <c r="A295" s="321"/>
      <c r="B295" t="str">
        <f>'Quick View_ Sample Data'!P296</f>
        <v>MgO</v>
      </c>
      <c r="C295">
        <f>'Quick View_ Sample Data'!O296</f>
        <v>118</v>
      </c>
      <c r="D295">
        <f>'Quick View_ Sample Data'!AN296</f>
        <v>0</v>
      </c>
      <c r="E295">
        <f>'Quick View_ Sample Data'!O296</f>
        <v>118</v>
      </c>
      <c r="F295">
        <f>'Quick View_ Sample Data'!AO296</f>
        <v>0</v>
      </c>
      <c r="G295">
        <f>'Quick View_ Sample Data'!O296</f>
        <v>118</v>
      </c>
      <c r="H295">
        <f>'Quick View_ Sample Data'!AP296</f>
        <v>0</v>
      </c>
      <c r="I295">
        <f>'Quick View_ Sample Data'!AF296</f>
        <v>0</v>
      </c>
      <c r="J295">
        <f>'Quick View_ Sample Data'!AJ296</f>
        <v>0</v>
      </c>
      <c r="K295">
        <f>'Quick View_ Sample Data'!AH296</f>
        <v>0</v>
      </c>
      <c r="L295">
        <f t="shared" si="4"/>
        <v>0</v>
      </c>
    </row>
    <row r="296" spans="1:12" ht="12.75" customHeight="1">
      <c r="A296" s="321"/>
      <c r="B296" t="str">
        <f>'Quick View_ Sample Data'!P297</f>
        <v>MgO</v>
      </c>
      <c r="C296">
        <f>'Quick View_ Sample Data'!O297</f>
        <v>119</v>
      </c>
      <c r="D296">
        <f>'Quick View_ Sample Data'!AN297</f>
        <v>319.86841312631134</v>
      </c>
      <c r="E296">
        <f>'Quick View_ Sample Data'!O297</f>
        <v>119</v>
      </c>
      <c r="F296" t="e">
        <f>'Quick View_ Sample Data'!AO297</f>
        <v>#VALUE!</v>
      </c>
      <c r="G296">
        <f>'Quick View_ Sample Data'!O297</f>
        <v>119</v>
      </c>
      <c r="H296">
        <f>'Quick View_ Sample Data'!AP297</f>
        <v>6.375</v>
      </c>
      <c r="I296">
        <f>'Quick View_ Sample Data'!AF297</f>
        <v>5.0999999999999996</v>
      </c>
      <c r="J296" t="str">
        <f>'Quick View_ Sample Data'!AJ297</f>
        <v>&lt; 4.2</v>
      </c>
      <c r="K296">
        <f>'Quick View_ Sample Data'!AH297</f>
        <v>627.19296691433601</v>
      </c>
      <c r="L296" t="e">
        <f t="shared" si="4"/>
        <v>#VALUE!</v>
      </c>
    </row>
    <row r="297" spans="1:12" ht="12.75" customHeight="1">
      <c r="A297" s="321"/>
      <c r="B297" t="str">
        <f>'Quick View_ Sample Data'!P298</f>
        <v>MgO</v>
      </c>
      <c r="C297">
        <f>'Quick View_ Sample Data'!O298</f>
        <v>119</v>
      </c>
      <c r="D297">
        <f>'Quick View_ Sample Data'!AN298</f>
        <v>361.38114162674185</v>
      </c>
      <c r="E297">
        <f>'Quick View_ Sample Data'!O298</f>
        <v>119</v>
      </c>
      <c r="F297">
        <f>'Quick View_ Sample Data'!AO298</f>
        <v>0</v>
      </c>
      <c r="G297">
        <f>'Quick View_ Sample Data'!O298</f>
        <v>119</v>
      </c>
      <c r="H297">
        <f>'Quick View_ Sample Data'!AP298</f>
        <v>8.5</v>
      </c>
      <c r="I297">
        <f>'Quick View_ Sample Data'!AF298</f>
        <v>6.8</v>
      </c>
      <c r="J297">
        <f>'Quick View_ Sample Data'!AJ298</f>
        <v>0</v>
      </c>
      <c r="K297">
        <f>'Quick View_ Sample Data'!AH298</f>
        <v>531.44285533344396</v>
      </c>
      <c r="L297">
        <f t="shared" si="4"/>
        <v>0</v>
      </c>
    </row>
    <row r="298" spans="1:12" ht="12.75" customHeight="1">
      <c r="A298" s="321"/>
      <c r="B298" t="str">
        <f>'Quick View_ Sample Data'!P299</f>
        <v>MgO</v>
      </c>
      <c r="C298">
        <f>'Quick View_ Sample Data'!O299</f>
        <v>119</v>
      </c>
      <c r="D298">
        <f>'Quick View_ Sample Data'!AN299</f>
        <v>344.78604154256129</v>
      </c>
      <c r="E298">
        <f>'Quick View_ Sample Data'!O299</f>
        <v>119</v>
      </c>
      <c r="F298" t="e">
        <f>'Quick View_ Sample Data'!AO299</f>
        <v>#VALUE!</v>
      </c>
      <c r="G298">
        <f>'Quick View_ Sample Data'!O299</f>
        <v>119</v>
      </c>
      <c r="H298">
        <f>'Quick View_ Sample Data'!AP299</f>
        <v>8.2499999999999982</v>
      </c>
      <c r="I298">
        <f>'Quick View_ Sample Data'!AF299</f>
        <v>6.6</v>
      </c>
      <c r="J298" t="str">
        <f>'Quick View_ Sample Data'!AJ299</f>
        <v>&lt; 4.2</v>
      </c>
      <c r="K298">
        <f>'Quick View_ Sample Data'!AH299</f>
        <v>522.40309324630505</v>
      </c>
      <c r="L298" t="e">
        <f t="shared" si="4"/>
        <v>#VALUE!</v>
      </c>
    </row>
    <row r="299" spans="1:12" ht="12.75" customHeight="1">
      <c r="A299" s="321"/>
      <c r="B299" t="str">
        <f>'Quick View_ Sample Data'!P300</f>
        <v>MgO</v>
      </c>
      <c r="C299">
        <f>'Quick View_ Sample Data'!O300</f>
        <v>119</v>
      </c>
      <c r="D299">
        <f>'Quick View_ Sample Data'!AN300</f>
        <v>353.11808541366821</v>
      </c>
      <c r="E299">
        <f>'Quick View_ Sample Data'!O300</f>
        <v>119</v>
      </c>
      <c r="F299">
        <f>'Quick View_ Sample Data'!AO300</f>
        <v>0</v>
      </c>
      <c r="G299">
        <f>'Quick View_ Sample Data'!O300</f>
        <v>119</v>
      </c>
      <c r="H299">
        <f>'Quick View_ Sample Data'!AP300</f>
        <v>8.375</v>
      </c>
      <c r="I299">
        <f>'Quick View_ Sample Data'!AF300</f>
        <v>6.7</v>
      </c>
      <c r="J299">
        <f>'Quick View_ Sample Data'!AJ300</f>
        <v>0</v>
      </c>
      <c r="K299">
        <f>'Quick View_ Sample Data'!AH300</f>
        <v>527.041918527863</v>
      </c>
      <c r="L299">
        <f t="shared" si="4"/>
        <v>0</v>
      </c>
    </row>
    <row r="300" spans="1:12" ht="12.75" customHeight="1">
      <c r="A300" s="321"/>
      <c r="B300" t="str">
        <f>'Quick View_ Sample Data'!P301</f>
        <v>MgO</v>
      </c>
      <c r="C300">
        <f>'Quick View_ Sample Data'!O301</f>
        <v>120</v>
      </c>
      <c r="D300">
        <f>'Quick View_ Sample Data'!AN301</f>
        <v>0</v>
      </c>
      <c r="E300">
        <f>'Quick View_ Sample Data'!O301</f>
        <v>120</v>
      </c>
      <c r="F300">
        <f>'Quick View_ Sample Data'!AO301</f>
        <v>0</v>
      </c>
      <c r="G300">
        <f>'Quick View_ Sample Data'!O301</f>
        <v>120</v>
      </c>
      <c r="H300">
        <f>'Quick View_ Sample Data'!AP301</f>
        <v>0</v>
      </c>
      <c r="I300">
        <f>'Quick View_ Sample Data'!AF301</f>
        <v>0</v>
      </c>
      <c r="J300">
        <f>'Quick View_ Sample Data'!AJ301</f>
        <v>0</v>
      </c>
      <c r="K300">
        <f>'Quick View_ Sample Data'!AH301</f>
        <v>324.47988123313303</v>
      </c>
      <c r="L300">
        <f t="shared" si="4"/>
        <v>0</v>
      </c>
    </row>
    <row r="301" spans="1:12" ht="12.75" customHeight="1">
      <c r="A301" s="321"/>
      <c r="B301" t="str">
        <f>'Quick View_ Sample Data'!P302</f>
        <v>MgO</v>
      </c>
      <c r="C301">
        <f>'Quick View_ Sample Data'!O302</f>
        <v>120</v>
      </c>
      <c r="D301">
        <f>'Quick View_ Sample Data'!AN302</f>
        <v>0</v>
      </c>
      <c r="E301">
        <f>'Quick View_ Sample Data'!O302</f>
        <v>120</v>
      </c>
      <c r="F301">
        <f>'Quick View_ Sample Data'!AO302</f>
        <v>0</v>
      </c>
      <c r="G301">
        <f>'Quick View_ Sample Data'!O302</f>
        <v>120</v>
      </c>
      <c r="H301">
        <f>'Quick View_ Sample Data'!AP302</f>
        <v>0</v>
      </c>
      <c r="I301">
        <f>'Quick View_ Sample Data'!AF302</f>
        <v>0</v>
      </c>
      <c r="J301">
        <f>'Quick View_ Sample Data'!AJ302</f>
        <v>13.29</v>
      </c>
      <c r="K301">
        <f>'Quick View_ Sample Data'!AH302</f>
        <v>291.29443883429002</v>
      </c>
      <c r="L301">
        <f t="shared" si="4"/>
        <v>0</v>
      </c>
    </row>
    <row r="302" spans="1:12" ht="12.75" customHeight="1">
      <c r="A302" s="321"/>
      <c r="B302" t="str">
        <f>'Quick View_ Sample Data'!P303</f>
        <v>MgO</v>
      </c>
      <c r="C302">
        <f>'Quick View_ Sample Data'!O303</f>
        <v>120</v>
      </c>
      <c r="D302">
        <f>'Quick View_ Sample Data'!AN303</f>
        <v>0</v>
      </c>
      <c r="E302">
        <f>'Quick View_ Sample Data'!O303</f>
        <v>120</v>
      </c>
      <c r="F302">
        <f>'Quick View_ Sample Data'!AO303</f>
        <v>0</v>
      </c>
      <c r="G302">
        <f>'Quick View_ Sample Data'!O303</f>
        <v>120</v>
      </c>
      <c r="H302">
        <f>'Quick View_ Sample Data'!AP303</f>
        <v>0</v>
      </c>
      <c r="I302">
        <f>'Quick View_ Sample Data'!AF303</f>
        <v>0</v>
      </c>
      <c r="J302">
        <f>'Quick View_ Sample Data'!AJ303</f>
        <v>0</v>
      </c>
      <c r="K302">
        <f>'Quick View_ Sample Data'!AH303</f>
        <v>311.990736244321</v>
      </c>
      <c r="L302">
        <f t="shared" si="4"/>
        <v>0</v>
      </c>
    </row>
    <row r="303" spans="1:12" ht="12.75" customHeight="1">
      <c r="A303" s="321"/>
      <c r="B303" t="str">
        <f>'Quick View_ Sample Data'!P304</f>
        <v>MgO</v>
      </c>
      <c r="C303">
        <f>'Quick View_ Sample Data'!O304</f>
        <v>120</v>
      </c>
      <c r="D303">
        <f>'Quick View_ Sample Data'!AN304</f>
        <v>0</v>
      </c>
      <c r="E303">
        <f>'Quick View_ Sample Data'!O304</f>
        <v>120</v>
      </c>
      <c r="F303">
        <f>'Quick View_ Sample Data'!AO304</f>
        <v>0</v>
      </c>
      <c r="G303">
        <f>'Quick View_ Sample Data'!O304</f>
        <v>120</v>
      </c>
      <c r="H303">
        <f>'Quick View_ Sample Data'!AP304</f>
        <v>0</v>
      </c>
      <c r="I303">
        <f>'Quick View_ Sample Data'!AF304</f>
        <v>0</v>
      </c>
      <c r="J303">
        <f>'Quick View_ Sample Data'!AJ304</f>
        <v>0</v>
      </c>
      <c r="K303">
        <f>'Quick View_ Sample Data'!AH304</f>
        <v>286.89350202870799</v>
      </c>
      <c r="L303">
        <f t="shared" si="4"/>
        <v>0</v>
      </c>
    </row>
    <row r="304" spans="1:12" ht="12.75" customHeight="1">
      <c r="A304" s="321"/>
      <c r="B304" t="str">
        <f>'Quick View_ Sample Data'!P305</f>
        <v>MgO</v>
      </c>
      <c r="C304">
        <f>'Quick View_ Sample Data'!O305</f>
        <v>121</v>
      </c>
      <c r="D304">
        <f>'Quick View_ Sample Data'!AN305</f>
        <v>207.12354882159653</v>
      </c>
      <c r="E304">
        <f>'Quick View_ Sample Data'!O305</f>
        <v>121</v>
      </c>
      <c r="F304">
        <f>'Quick View_ Sample Data'!AO305</f>
        <v>18019.748747478898</v>
      </c>
      <c r="G304">
        <f>'Quick View_ Sample Data'!O305</f>
        <v>121</v>
      </c>
      <c r="H304">
        <f>'Quick View_ Sample Data'!AP305</f>
        <v>3.046875</v>
      </c>
      <c r="I304">
        <f>'Quick View_ Sample Data'!AF305</f>
        <v>6.5</v>
      </c>
      <c r="J304">
        <f>'Quick View_ Sample Data'!AJ305</f>
        <v>8.6999999999999993</v>
      </c>
      <c r="K304">
        <f>'Quick View_ Sample Data'!AH305</f>
        <v>318.65161357168699</v>
      </c>
      <c r="L304">
        <f t="shared" si="4"/>
        <v>56.55</v>
      </c>
    </row>
    <row r="305" spans="1:12" ht="12.75" customHeight="1">
      <c r="A305" s="321"/>
      <c r="B305" t="str">
        <f>'Quick View_ Sample Data'!P306</f>
        <v>MgO</v>
      </c>
      <c r="C305">
        <f>'Quick View_ Sample Data'!O306</f>
        <v>121</v>
      </c>
      <c r="D305">
        <f>'Quick View_ Sample Data'!AN306</f>
        <v>205.45951893213504</v>
      </c>
      <c r="E305">
        <f>'Quick View_ Sample Data'!O306</f>
        <v>121</v>
      </c>
      <c r="F305">
        <f>'Quick View_ Sample Data'!AO306</f>
        <v>17874.97814709575</v>
      </c>
      <c r="G305">
        <f>'Quick View_ Sample Data'!O306</f>
        <v>121</v>
      </c>
      <c r="H305">
        <f>'Quick View_ Sample Data'!AP306</f>
        <v>3</v>
      </c>
      <c r="I305">
        <f>'Quick View_ Sample Data'!AF306</f>
        <v>6.4</v>
      </c>
      <c r="J305">
        <f>'Quick View_ Sample Data'!AJ306</f>
        <v>8.6999999999999993</v>
      </c>
      <c r="K305">
        <f>'Quick View_ Sample Data'!AH306</f>
        <v>321.03049833146099</v>
      </c>
      <c r="L305">
        <f t="shared" si="4"/>
        <v>55.68</v>
      </c>
    </row>
    <row r="306" spans="1:12" ht="12.75" customHeight="1">
      <c r="A306" s="321"/>
      <c r="B306" t="str">
        <f>'Quick View_ Sample Data'!P307</f>
        <v>MgO</v>
      </c>
      <c r="C306">
        <f>'Quick View_ Sample Data'!O307</f>
        <v>121</v>
      </c>
      <c r="D306">
        <f>'Quick View_ Sample Data'!AN307</f>
        <v>0</v>
      </c>
      <c r="E306">
        <f>'Quick View_ Sample Data'!O307</f>
        <v>121</v>
      </c>
      <c r="F306">
        <f>'Quick View_ Sample Data'!AO307</f>
        <v>0</v>
      </c>
      <c r="G306">
        <f>'Quick View_ Sample Data'!O307</f>
        <v>121</v>
      </c>
      <c r="H306">
        <f>'Quick View_ Sample Data'!AP307</f>
        <v>0</v>
      </c>
      <c r="I306">
        <f>'Quick View_ Sample Data'!AF307</f>
        <v>0</v>
      </c>
      <c r="J306">
        <f>'Quick View_ Sample Data'!AJ307</f>
        <v>0</v>
      </c>
      <c r="K306">
        <f>'Quick View_ Sample Data'!AH307</f>
        <v>322.576773425314</v>
      </c>
      <c r="L306">
        <f t="shared" si="4"/>
        <v>0</v>
      </c>
    </row>
    <row r="307" spans="1:12" ht="12.75" customHeight="1">
      <c r="A307" s="321"/>
      <c r="B307" t="str">
        <f>'Quick View_ Sample Data'!P308</f>
        <v>MgO</v>
      </c>
      <c r="C307">
        <f>'Quick View_ Sample Data'!O308</f>
        <v>121</v>
      </c>
      <c r="D307">
        <f>'Quick View_ Sample Data'!AN308</f>
        <v>0</v>
      </c>
      <c r="E307">
        <f>'Quick View_ Sample Data'!O308</f>
        <v>121</v>
      </c>
      <c r="F307">
        <f>'Quick View_ Sample Data'!AO308</f>
        <v>0</v>
      </c>
      <c r="G307">
        <f>'Quick View_ Sample Data'!O308</f>
        <v>121</v>
      </c>
      <c r="H307">
        <f>'Quick View_ Sample Data'!AP308</f>
        <v>0</v>
      </c>
      <c r="I307">
        <f>'Quick View_ Sample Data'!AF308</f>
        <v>0</v>
      </c>
      <c r="J307">
        <f>'Quick View_ Sample Data'!AJ308</f>
        <v>0</v>
      </c>
      <c r="K307">
        <f>'Quick View_ Sample Data'!AH308</f>
        <v>323.88516004318899</v>
      </c>
      <c r="L307">
        <f t="shared" si="4"/>
        <v>0</v>
      </c>
    </row>
    <row r="308" spans="1:12" ht="12.75" customHeight="1">
      <c r="A308" s="321"/>
      <c r="B308" t="str">
        <f>'Quick View_ Sample Data'!P309</f>
        <v>MgO</v>
      </c>
      <c r="C308">
        <f>'Quick View_ Sample Data'!O309</f>
        <v>122</v>
      </c>
      <c r="D308">
        <f>'Quick View_ Sample Data'!AN309</f>
        <v>180.68819192861139</v>
      </c>
      <c r="E308">
        <f>'Quick View_ Sample Data'!O309</f>
        <v>122</v>
      </c>
      <c r="F308">
        <f>'Quick View_ Sample Data'!AO309</f>
        <v>0</v>
      </c>
      <c r="G308">
        <f>'Quick View_ Sample Data'!O309</f>
        <v>122</v>
      </c>
      <c r="H308">
        <f>'Quick View_ Sample Data'!AP309</f>
        <v>2.9333333333333336</v>
      </c>
      <c r="I308">
        <f>'Quick View_ Sample Data'!AF309</f>
        <v>2.2000000000000002</v>
      </c>
      <c r="J308">
        <f>'Quick View_ Sample Data'!AJ309</f>
        <v>0</v>
      </c>
      <c r="K308">
        <f>'Quick View_ Sample Data'!AH309</f>
        <v>821.30996331186998</v>
      </c>
      <c r="L308">
        <f t="shared" si="4"/>
        <v>0</v>
      </c>
    </row>
    <row r="309" spans="1:12" ht="12.75" customHeight="1">
      <c r="A309" s="321"/>
      <c r="B309" t="str">
        <f>'Quick View_ Sample Data'!P310</f>
        <v>MgO</v>
      </c>
      <c r="C309">
        <f>'Quick View_ Sample Data'!O310</f>
        <v>122</v>
      </c>
      <c r="D309">
        <f>'Quick View_ Sample Data'!AN310</f>
        <v>0</v>
      </c>
      <c r="E309">
        <f>'Quick View_ Sample Data'!O310</f>
        <v>122</v>
      </c>
      <c r="F309">
        <f>'Quick View_ Sample Data'!AO310</f>
        <v>0</v>
      </c>
      <c r="G309">
        <f>'Quick View_ Sample Data'!O310</f>
        <v>122</v>
      </c>
      <c r="H309">
        <f>'Quick View_ Sample Data'!AP310</f>
        <v>0</v>
      </c>
      <c r="I309">
        <f>'Quick View_ Sample Data'!AF310</f>
        <v>0</v>
      </c>
      <c r="J309">
        <f>'Quick View_ Sample Data'!AJ310</f>
        <v>11.2</v>
      </c>
      <c r="K309">
        <f>'Quick View_ Sample Data'!AH310</f>
        <v>564.98513044625395</v>
      </c>
      <c r="L309">
        <f t="shared" si="4"/>
        <v>0</v>
      </c>
    </row>
    <row r="310" spans="1:12" ht="12.75" customHeight="1">
      <c r="A310" s="321"/>
      <c r="B310" t="str">
        <f>'Quick View_ Sample Data'!P311</f>
        <v>MgO</v>
      </c>
      <c r="C310">
        <f>'Quick View_ Sample Data'!O311</f>
        <v>122</v>
      </c>
      <c r="D310">
        <f>'Quick View_ Sample Data'!AN311</f>
        <v>0</v>
      </c>
      <c r="E310">
        <f>'Quick View_ Sample Data'!O311</f>
        <v>122</v>
      </c>
      <c r="F310">
        <f>'Quick View_ Sample Data'!AO311</f>
        <v>0</v>
      </c>
      <c r="G310">
        <f>'Quick View_ Sample Data'!O311</f>
        <v>122</v>
      </c>
      <c r="H310">
        <f>'Quick View_ Sample Data'!AP311</f>
        <v>0</v>
      </c>
      <c r="I310">
        <f>'Quick View_ Sample Data'!AF311</f>
        <v>0</v>
      </c>
      <c r="J310">
        <f>'Quick View_ Sample Data'!AJ311</f>
        <v>0</v>
      </c>
      <c r="K310">
        <f>'Quick View_ Sample Data'!AH311</f>
        <v>582.11310071662399</v>
      </c>
      <c r="L310">
        <f t="shared" si="4"/>
        <v>0</v>
      </c>
    </row>
    <row r="311" spans="1:12" ht="12.75" customHeight="1">
      <c r="A311" s="321"/>
      <c r="B311" t="str">
        <f>'Quick View_ Sample Data'!P312</f>
        <v>MgO</v>
      </c>
      <c r="C311">
        <f>'Quick View_ Sample Data'!O312</f>
        <v>122</v>
      </c>
      <c r="D311">
        <f>'Quick View_ Sample Data'!AN312</f>
        <v>0</v>
      </c>
      <c r="E311">
        <f>'Quick View_ Sample Data'!O312</f>
        <v>122</v>
      </c>
      <c r="F311">
        <f>'Quick View_ Sample Data'!AO312</f>
        <v>0</v>
      </c>
      <c r="G311">
        <f>'Quick View_ Sample Data'!O312</f>
        <v>122</v>
      </c>
      <c r="H311">
        <f>'Quick View_ Sample Data'!AP312</f>
        <v>0</v>
      </c>
      <c r="I311">
        <f>'Quick View_ Sample Data'!AF312</f>
        <v>0</v>
      </c>
      <c r="J311">
        <f>'Quick View_ Sample Data'!AJ312</f>
        <v>0</v>
      </c>
      <c r="K311">
        <f>'Quick View_ Sample Data'!AH312</f>
        <v>575.69011186523505</v>
      </c>
      <c r="L311">
        <f t="shared" si="4"/>
        <v>0</v>
      </c>
    </row>
    <row r="312" spans="1:12" ht="12.75" customHeight="1">
      <c r="A312" s="321"/>
      <c r="B312" t="str">
        <f>'Quick View_ Sample Data'!P313</f>
        <v>SiNx</v>
      </c>
      <c r="C312">
        <f>'Quick View_ Sample Data'!O313</f>
        <v>123</v>
      </c>
      <c r="D312">
        <f>'Quick View_ Sample Data'!AN313</f>
        <v>0</v>
      </c>
      <c r="E312">
        <f>'Quick View_ Sample Data'!O313</f>
        <v>123</v>
      </c>
      <c r="F312">
        <f>'Quick View_ Sample Data'!AO313</f>
        <v>0</v>
      </c>
      <c r="G312">
        <f>'Quick View_ Sample Data'!O313</f>
        <v>123</v>
      </c>
      <c r="H312">
        <f>'Quick View_ Sample Data'!AP313</f>
        <v>0</v>
      </c>
      <c r="I312">
        <f>'Quick View_ Sample Data'!AF313</f>
        <v>0</v>
      </c>
      <c r="J312">
        <f>'Quick View_ Sample Data'!AJ313</f>
        <v>0</v>
      </c>
      <c r="K312">
        <f>'Quick View_ Sample Data'!AH313</f>
        <v>653.36069927184701</v>
      </c>
      <c r="L312">
        <f t="shared" si="4"/>
        <v>0</v>
      </c>
    </row>
    <row r="313" spans="1:12" ht="12.75" customHeight="1">
      <c r="A313" s="321"/>
      <c r="B313" t="str">
        <f>'Quick View_ Sample Data'!P314</f>
        <v>SiNx</v>
      </c>
      <c r="C313">
        <f>'Quick View_ Sample Data'!O314</f>
        <v>123</v>
      </c>
      <c r="D313">
        <f>'Quick View_ Sample Data'!AN314</f>
        <v>0</v>
      </c>
      <c r="E313">
        <f>'Quick View_ Sample Data'!O314</f>
        <v>123</v>
      </c>
      <c r="F313">
        <f>'Quick View_ Sample Data'!AO314</f>
        <v>0</v>
      </c>
      <c r="G313">
        <f>'Quick View_ Sample Data'!O314</f>
        <v>123</v>
      </c>
      <c r="H313">
        <f>'Quick View_ Sample Data'!AP314</f>
        <v>0</v>
      </c>
      <c r="I313">
        <f>'Quick View_ Sample Data'!AF314</f>
        <v>0</v>
      </c>
      <c r="J313">
        <f>'Quick View_ Sample Data'!AJ314</f>
        <v>0</v>
      </c>
      <c r="K313">
        <f>'Quick View_ Sample Data'!AH314</f>
        <v>640.87155428303504</v>
      </c>
      <c r="L313">
        <f t="shared" si="4"/>
        <v>0</v>
      </c>
    </row>
    <row r="314" spans="1:12" ht="12.75" customHeight="1">
      <c r="A314" s="321"/>
      <c r="B314" t="str">
        <f>'Quick View_ Sample Data'!P315</f>
        <v>SiNx</v>
      </c>
      <c r="C314">
        <f>'Quick View_ Sample Data'!O315</f>
        <v>123</v>
      </c>
      <c r="D314">
        <f>'Quick View_ Sample Data'!AN315</f>
        <v>0</v>
      </c>
      <c r="E314">
        <f>'Quick View_ Sample Data'!O315</f>
        <v>123</v>
      </c>
      <c r="F314">
        <f>'Quick View_ Sample Data'!AO315</f>
        <v>0</v>
      </c>
      <c r="G314">
        <f>'Quick View_ Sample Data'!O315</f>
        <v>123</v>
      </c>
      <c r="H314">
        <f>'Quick View_ Sample Data'!AP315</f>
        <v>0</v>
      </c>
      <c r="I314">
        <f>'Quick View_ Sample Data'!AF315</f>
        <v>0</v>
      </c>
      <c r="J314">
        <f>'Quick View_ Sample Data'!AJ315</f>
        <v>0</v>
      </c>
      <c r="K314">
        <f>'Quick View_ Sample Data'!AH315</f>
        <v>634.92434238359999</v>
      </c>
      <c r="L314">
        <f t="shared" si="4"/>
        <v>0</v>
      </c>
    </row>
    <row r="315" spans="1:12" ht="12.75" customHeight="1">
      <c r="A315" s="321"/>
      <c r="B315" t="str">
        <f>'Quick View_ Sample Data'!P316</f>
        <v>SiNx</v>
      </c>
      <c r="C315">
        <f>'Quick View_ Sample Data'!O316</f>
        <v>123</v>
      </c>
      <c r="D315">
        <f>'Quick View_ Sample Data'!AN316</f>
        <v>0</v>
      </c>
      <c r="E315">
        <f>'Quick View_ Sample Data'!O316</f>
        <v>123</v>
      </c>
      <c r="F315">
        <f>'Quick View_ Sample Data'!AO316</f>
        <v>0</v>
      </c>
      <c r="G315">
        <f>'Quick View_ Sample Data'!O316</f>
        <v>123</v>
      </c>
      <c r="H315">
        <f>'Quick View_ Sample Data'!AP316</f>
        <v>0</v>
      </c>
      <c r="I315">
        <f>'Quick View_ Sample Data'!AF316</f>
        <v>0</v>
      </c>
      <c r="J315">
        <f>'Quick View_ Sample Data'!AJ316</f>
        <v>0</v>
      </c>
      <c r="K315">
        <f>'Quick View_ Sample Data'!AH316</f>
        <v>638.84950223722694</v>
      </c>
      <c r="L315">
        <f t="shared" si="4"/>
        <v>0</v>
      </c>
    </row>
    <row r="316" spans="1:12" ht="12.75" customHeight="1">
      <c r="A316" s="321"/>
      <c r="B316" t="str">
        <f>'Quick View_ Sample Data'!P317</f>
        <v>MgO</v>
      </c>
      <c r="C316">
        <f>'Quick View_ Sample Data'!O317</f>
        <v>124</v>
      </c>
      <c r="D316">
        <f>'Quick View_ Sample Data'!AN317</f>
        <v>0</v>
      </c>
      <c r="E316">
        <f>'Quick View_ Sample Data'!O317</f>
        <v>124</v>
      </c>
      <c r="F316">
        <f>'Quick View_ Sample Data'!AO317</f>
        <v>0</v>
      </c>
      <c r="G316">
        <f>'Quick View_ Sample Data'!O317</f>
        <v>124</v>
      </c>
      <c r="H316">
        <f>'Quick View_ Sample Data'!AP317</f>
        <v>0</v>
      </c>
      <c r="I316">
        <f>'Quick View_ Sample Data'!AF317</f>
        <v>0</v>
      </c>
      <c r="J316">
        <f>'Quick View_ Sample Data'!AJ317</f>
        <v>0</v>
      </c>
      <c r="K316">
        <f>'Quick View_ Sample Data'!AH317</f>
        <v>555.588535645148</v>
      </c>
      <c r="L316">
        <f t="shared" si="4"/>
        <v>0</v>
      </c>
    </row>
    <row r="317" spans="1:12" ht="12.75" customHeight="1">
      <c r="A317" s="321"/>
      <c r="B317" t="str">
        <f>'Quick View_ Sample Data'!P318</f>
        <v>MgO</v>
      </c>
      <c r="C317">
        <f>'Quick View_ Sample Data'!O318</f>
        <v>124</v>
      </c>
      <c r="D317">
        <f>'Quick View_ Sample Data'!AN318</f>
        <v>0</v>
      </c>
      <c r="E317">
        <f>'Quick View_ Sample Data'!O318</f>
        <v>124</v>
      </c>
      <c r="F317">
        <f>'Quick View_ Sample Data'!AO318</f>
        <v>0</v>
      </c>
      <c r="G317">
        <f>'Quick View_ Sample Data'!O318</f>
        <v>124</v>
      </c>
      <c r="H317">
        <f>'Quick View_ Sample Data'!AP318</f>
        <v>0</v>
      </c>
      <c r="I317">
        <f>'Quick View_ Sample Data'!AF318</f>
        <v>0</v>
      </c>
      <c r="J317">
        <f>'Quick View_ Sample Data'!AJ318</f>
        <v>0</v>
      </c>
      <c r="K317">
        <f>'Quick View_ Sample Data'!AH318</f>
        <v>353.74016377834897</v>
      </c>
      <c r="L317">
        <f t="shared" si="4"/>
        <v>0</v>
      </c>
    </row>
    <row r="318" spans="1:12" ht="12.75" customHeight="1">
      <c r="A318" s="321"/>
      <c r="B318" t="str">
        <f>'Quick View_ Sample Data'!P319</f>
        <v>MgO</v>
      </c>
      <c r="C318">
        <f>'Quick View_ Sample Data'!O319</f>
        <v>124</v>
      </c>
      <c r="D318">
        <f>'Quick View_ Sample Data'!AN319</f>
        <v>0</v>
      </c>
      <c r="E318">
        <f>'Quick View_ Sample Data'!O319</f>
        <v>124</v>
      </c>
      <c r="F318">
        <f>'Quick View_ Sample Data'!AO319</f>
        <v>0</v>
      </c>
      <c r="G318">
        <f>'Quick View_ Sample Data'!O319</f>
        <v>124</v>
      </c>
      <c r="H318">
        <f>'Quick View_ Sample Data'!AP319</f>
        <v>0</v>
      </c>
      <c r="I318">
        <f>'Quick View_ Sample Data'!AF319</f>
        <v>0</v>
      </c>
      <c r="J318">
        <f>'Quick View_ Sample Data'!AJ319</f>
        <v>0</v>
      </c>
      <c r="K318">
        <f>'Quick View_ Sample Data'!AH319</f>
        <v>349.33922697276802</v>
      </c>
      <c r="L318">
        <f t="shared" si="4"/>
        <v>0</v>
      </c>
    </row>
    <row r="319" spans="1:12" ht="12.75" customHeight="1">
      <c r="A319" s="321"/>
      <c r="B319" t="str">
        <f>'Quick View_ Sample Data'!P320</f>
        <v>MgO</v>
      </c>
      <c r="C319">
        <f>'Quick View_ Sample Data'!O320</f>
        <v>124</v>
      </c>
      <c r="D319">
        <f>'Quick View_ Sample Data'!AN320</f>
        <v>0</v>
      </c>
      <c r="E319">
        <f>'Quick View_ Sample Data'!O320</f>
        <v>124</v>
      </c>
      <c r="F319">
        <f>'Quick View_ Sample Data'!AO320</f>
        <v>0</v>
      </c>
      <c r="G319">
        <f>'Quick View_ Sample Data'!O320</f>
        <v>124</v>
      </c>
      <c r="H319">
        <f>'Quick View_ Sample Data'!AP320</f>
        <v>0</v>
      </c>
      <c r="I319">
        <f>'Quick View_ Sample Data'!AF320</f>
        <v>0</v>
      </c>
      <c r="J319">
        <f>'Quick View_ Sample Data'!AJ320</f>
        <v>0</v>
      </c>
      <c r="K319">
        <f>'Quick View_ Sample Data'!AH320</f>
        <v>355.52432734817899</v>
      </c>
      <c r="L319">
        <f t="shared" si="4"/>
        <v>0</v>
      </c>
    </row>
    <row r="320" spans="1:12" ht="12.75" customHeight="1">
      <c r="A320" s="321"/>
      <c r="B320" t="str">
        <f>'Quick View_ Sample Data'!P321</f>
        <v>MgO</v>
      </c>
      <c r="C320">
        <f>'Quick View_ Sample Data'!O321</f>
        <v>125</v>
      </c>
      <c r="D320">
        <f>'Quick View_ Sample Data'!AN321</f>
        <v>0</v>
      </c>
      <c r="E320">
        <f>'Quick View_ Sample Data'!O321</f>
        <v>125</v>
      </c>
      <c r="F320">
        <f>'Quick View_ Sample Data'!AO321</f>
        <v>0</v>
      </c>
      <c r="G320">
        <f>'Quick View_ Sample Data'!O321</f>
        <v>125</v>
      </c>
      <c r="H320">
        <f>'Quick View_ Sample Data'!AP321</f>
        <v>0</v>
      </c>
      <c r="I320">
        <f>'Quick View_ Sample Data'!AF321</f>
        <v>0</v>
      </c>
      <c r="J320">
        <f>'Quick View_ Sample Data'!AJ321</f>
        <v>0</v>
      </c>
      <c r="K320">
        <f>'Quick View_ Sample Data'!AH321</f>
        <v>286.17983660077613</v>
      </c>
      <c r="L320">
        <f t="shared" si="4"/>
        <v>0</v>
      </c>
    </row>
    <row r="321" spans="1:12" ht="12.75" customHeight="1">
      <c r="A321" s="321"/>
      <c r="B321" t="str">
        <f>'Quick View_ Sample Data'!P322</f>
        <v>MgO</v>
      </c>
      <c r="C321">
        <f>'Quick View_ Sample Data'!O322</f>
        <v>125</v>
      </c>
      <c r="D321">
        <f>'Quick View_ Sample Data'!AN322</f>
        <v>0</v>
      </c>
      <c r="E321">
        <f>'Quick View_ Sample Data'!O322</f>
        <v>125</v>
      </c>
      <c r="F321">
        <f>'Quick View_ Sample Data'!AO322</f>
        <v>0</v>
      </c>
      <c r="G321">
        <f>'Quick View_ Sample Data'!O322</f>
        <v>125</v>
      </c>
      <c r="H321">
        <f>'Quick View_ Sample Data'!AP322</f>
        <v>0</v>
      </c>
      <c r="I321">
        <f>'Quick View_ Sample Data'!AF322</f>
        <v>0</v>
      </c>
      <c r="J321">
        <f>'Quick View_ Sample Data'!AJ322</f>
        <v>0</v>
      </c>
      <c r="K321">
        <f>'Quick View_ Sample Data'!AH322</f>
        <v>481.72416385417426</v>
      </c>
      <c r="L321">
        <f t="shared" si="4"/>
        <v>0</v>
      </c>
    </row>
    <row r="322" spans="1:12" ht="12.75" customHeight="1">
      <c r="A322" s="321"/>
      <c r="B322" t="str">
        <f>'Quick View_ Sample Data'!P323</f>
        <v>MgO</v>
      </c>
      <c r="C322">
        <f>'Quick View_ Sample Data'!O323</f>
        <v>125</v>
      </c>
      <c r="D322">
        <f>'Quick View_ Sample Data'!AN323</f>
        <v>0</v>
      </c>
      <c r="E322">
        <f>'Quick View_ Sample Data'!O323</f>
        <v>125</v>
      </c>
      <c r="F322">
        <f>'Quick View_ Sample Data'!AO323</f>
        <v>0</v>
      </c>
      <c r="G322">
        <f>'Quick View_ Sample Data'!O323</f>
        <v>125</v>
      </c>
      <c r="H322">
        <f>'Quick View_ Sample Data'!AP323</f>
        <v>0</v>
      </c>
      <c r="I322">
        <f>'Quick View_ Sample Data'!AF323</f>
        <v>0</v>
      </c>
      <c r="J322">
        <f>'Quick View_ Sample Data'!AJ323</f>
        <v>0</v>
      </c>
      <c r="K322">
        <f>'Quick View_ Sample Data'!AH323</f>
        <v>287.25033474267428</v>
      </c>
      <c r="L322">
        <f t="shared" ref="L322:L385" si="5">I322*J322</f>
        <v>0</v>
      </c>
    </row>
    <row r="323" spans="1:12" ht="12.75" customHeight="1">
      <c r="A323" s="321"/>
      <c r="B323" t="str">
        <f>'Quick View_ Sample Data'!P324</f>
        <v>MgO</v>
      </c>
      <c r="C323">
        <f>'Quick View_ Sample Data'!O324</f>
        <v>125</v>
      </c>
      <c r="D323">
        <f>'Quick View_ Sample Data'!AN324</f>
        <v>0</v>
      </c>
      <c r="E323">
        <f>'Quick View_ Sample Data'!O324</f>
        <v>125</v>
      </c>
      <c r="F323">
        <f>'Quick View_ Sample Data'!AO324</f>
        <v>0</v>
      </c>
      <c r="G323">
        <f>'Quick View_ Sample Data'!O324</f>
        <v>125</v>
      </c>
      <c r="H323">
        <f>'Quick View_ Sample Data'!AP324</f>
        <v>0</v>
      </c>
      <c r="I323">
        <f>'Quick View_ Sample Data'!AF324</f>
        <v>0</v>
      </c>
      <c r="J323">
        <f>'Quick View_ Sample Data'!AJ324</f>
        <v>0</v>
      </c>
      <c r="K323">
        <f>'Quick View_ Sample Data'!AH324</f>
        <v>284.7525057449119</v>
      </c>
      <c r="L323">
        <f t="shared" si="5"/>
        <v>0</v>
      </c>
    </row>
    <row r="324" spans="1:12" ht="12.75" customHeight="1">
      <c r="A324" s="321"/>
      <c r="B324" t="str">
        <f>'Quick View_ Sample Data'!P325</f>
        <v>SiNx</v>
      </c>
      <c r="C324">
        <f>'Quick View_ Sample Data'!O325</f>
        <v>126</v>
      </c>
      <c r="D324">
        <f>'Quick View_ Sample Data'!AN325</f>
        <v>323.0525503772684</v>
      </c>
      <c r="E324">
        <f>'Quick View_ Sample Data'!O325</f>
        <v>126</v>
      </c>
      <c r="F324">
        <f>'Quick View_ Sample Data'!AO325</f>
        <v>0</v>
      </c>
      <c r="G324">
        <f>'Quick View_ Sample Data'!O325</f>
        <v>126</v>
      </c>
      <c r="H324">
        <f>'Quick View_ Sample Data'!AP325</f>
        <v>4.8499999999999996</v>
      </c>
      <c r="I324">
        <f>'Quick View_ Sample Data'!AF325</f>
        <v>9.6999999999999993</v>
      </c>
      <c r="J324">
        <f>'Quick View_ Sample Data'!AJ325</f>
        <v>0</v>
      </c>
      <c r="K324">
        <f>'Quick View_ Sample Data'!AH325</f>
        <v>333.04386636831799</v>
      </c>
      <c r="L324">
        <f t="shared" si="5"/>
        <v>0</v>
      </c>
    </row>
    <row r="325" spans="1:12" ht="12.75" customHeight="1">
      <c r="A325" s="321"/>
      <c r="B325" t="str">
        <f>'Quick View_ Sample Data'!P326</f>
        <v>SiNx</v>
      </c>
      <c r="C325">
        <f>'Quick View_ Sample Data'!O326</f>
        <v>126</v>
      </c>
      <c r="D325">
        <f>'Quick View_ Sample Data'!AN326</f>
        <v>0</v>
      </c>
      <c r="E325">
        <f>'Quick View_ Sample Data'!O326</f>
        <v>126</v>
      </c>
      <c r="F325">
        <f>'Quick View_ Sample Data'!AO326</f>
        <v>0</v>
      </c>
      <c r="G325">
        <f>'Quick View_ Sample Data'!O326</f>
        <v>126</v>
      </c>
      <c r="H325">
        <f>'Quick View_ Sample Data'!AP326</f>
        <v>0</v>
      </c>
      <c r="I325">
        <f>'Quick View_ Sample Data'!AF326</f>
        <v>0</v>
      </c>
      <c r="J325">
        <f>'Quick View_ Sample Data'!AJ326</f>
        <v>0</v>
      </c>
      <c r="K325">
        <f>'Quick View_ Sample Data'!AH326</f>
        <v>331.61653551245399</v>
      </c>
      <c r="L325">
        <f t="shared" si="5"/>
        <v>0</v>
      </c>
    </row>
    <row r="326" spans="1:12" ht="12.75" customHeight="1">
      <c r="A326" s="321"/>
      <c r="B326" t="str">
        <f>'Quick View_ Sample Data'!P327</f>
        <v>SiNx</v>
      </c>
      <c r="C326">
        <f>'Quick View_ Sample Data'!O327</f>
        <v>127</v>
      </c>
      <c r="D326">
        <f>'Quick View_ Sample Data'!AN327</f>
        <v>334.08581789309869</v>
      </c>
      <c r="E326">
        <f>'Quick View_ Sample Data'!O327</f>
        <v>127</v>
      </c>
      <c r="F326">
        <f>'Quick View_ Sample Data'!AO327</f>
        <v>0</v>
      </c>
      <c r="G326">
        <f>'Quick View_ Sample Data'!O327</f>
        <v>127</v>
      </c>
      <c r="H326">
        <f>'Quick View_ Sample Data'!AP327</f>
        <v>4.9615384615384617</v>
      </c>
      <c r="I326">
        <f>'Quick View_ Sample Data'!AF327</f>
        <v>8.6</v>
      </c>
      <c r="J326">
        <f>'Quick View_ Sample Data'!AJ327</f>
        <v>0</v>
      </c>
      <c r="K326">
        <f>'Quick View_ Sample Data'!AH327</f>
        <v>388.47188127104499</v>
      </c>
      <c r="L326">
        <f t="shared" si="5"/>
        <v>0</v>
      </c>
    </row>
    <row r="327" spans="1:12" ht="12.75" customHeight="1">
      <c r="A327" s="321"/>
      <c r="B327" t="str">
        <f>'Quick View_ Sample Data'!P328</f>
        <v>SiNx</v>
      </c>
      <c r="C327">
        <f>'Quick View_ Sample Data'!O328</f>
        <v>127</v>
      </c>
      <c r="D327">
        <f>'Quick View_ Sample Data'!AN328</f>
        <v>0</v>
      </c>
      <c r="E327">
        <f>'Quick View_ Sample Data'!O328</f>
        <v>127</v>
      </c>
      <c r="F327">
        <f>'Quick View_ Sample Data'!AO328</f>
        <v>0</v>
      </c>
      <c r="G327">
        <f>'Quick View_ Sample Data'!O328</f>
        <v>127</v>
      </c>
      <c r="H327">
        <f>'Quick View_ Sample Data'!AP328</f>
        <v>0</v>
      </c>
      <c r="I327">
        <f>'Quick View_ Sample Data'!AF328</f>
        <v>0</v>
      </c>
      <c r="J327">
        <f>'Quick View_ Sample Data'!AJ328</f>
        <v>0</v>
      </c>
      <c r="K327">
        <f>'Quick View_ Sample Data'!AH328</f>
        <v>390.37498907886402</v>
      </c>
      <c r="L327">
        <f t="shared" si="5"/>
        <v>0</v>
      </c>
    </row>
    <row r="328" spans="1:12" ht="12.75" customHeight="1">
      <c r="A328" s="321"/>
      <c r="B328" t="str">
        <f>'Quick View_ Sample Data'!P329</f>
        <v>SiNx</v>
      </c>
      <c r="C328">
        <f>'Quick View_ Sample Data'!O329</f>
        <v>128</v>
      </c>
      <c r="D328">
        <f>'Quick View_ Sample Data'!AN329</f>
        <v>0</v>
      </c>
      <c r="E328">
        <f>'Quick View_ Sample Data'!O329</f>
        <v>128</v>
      </c>
      <c r="F328">
        <f>'Quick View_ Sample Data'!AO329</f>
        <v>0</v>
      </c>
      <c r="G328">
        <f>'Quick View_ Sample Data'!O329</f>
        <v>128</v>
      </c>
      <c r="H328">
        <f>'Quick View_ Sample Data'!AP329</f>
        <v>0</v>
      </c>
      <c r="I328">
        <f>'Quick View_ Sample Data'!AF329</f>
        <v>0</v>
      </c>
      <c r="J328">
        <f>'Quick View_ Sample Data'!AJ329</f>
        <v>0</v>
      </c>
      <c r="K328">
        <f>'Quick View_ Sample Data'!AH329</f>
        <v>389.30449093696598</v>
      </c>
      <c r="L328">
        <f t="shared" si="5"/>
        <v>0</v>
      </c>
    </row>
    <row r="329" spans="1:12" ht="12.75" customHeight="1">
      <c r="A329" s="321"/>
      <c r="B329" t="str">
        <f>'Quick View_ Sample Data'!P330</f>
        <v>SiNx</v>
      </c>
      <c r="C329">
        <f>'Quick View_ Sample Data'!O330</f>
        <v>128</v>
      </c>
      <c r="D329">
        <f>'Quick View_ Sample Data'!AN330</f>
        <v>0</v>
      </c>
      <c r="E329">
        <f>'Quick View_ Sample Data'!O330</f>
        <v>128</v>
      </c>
      <c r="F329">
        <f>'Quick View_ Sample Data'!AO330</f>
        <v>0</v>
      </c>
      <c r="G329">
        <f>'Quick View_ Sample Data'!O330</f>
        <v>128</v>
      </c>
      <c r="H329">
        <f>'Quick View_ Sample Data'!AP330</f>
        <v>0</v>
      </c>
      <c r="I329">
        <f>'Quick View_ Sample Data'!AF330</f>
        <v>0</v>
      </c>
      <c r="J329">
        <f>'Quick View_ Sample Data'!AJ330</f>
        <v>0</v>
      </c>
      <c r="K329">
        <f>'Quick View_ Sample Data'!AH330</f>
        <v>388.94765822300002</v>
      </c>
      <c r="L329">
        <f t="shared" si="5"/>
        <v>0</v>
      </c>
    </row>
    <row r="330" spans="1:12" ht="12.75" customHeight="1">
      <c r="A330" s="321"/>
      <c r="B330" t="str">
        <f>'Quick View_ Sample Data'!P331</f>
        <v>SiNx</v>
      </c>
      <c r="C330">
        <f>'Quick View_ Sample Data'!O331</f>
        <v>128</v>
      </c>
      <c r="D330">
        <f>'Quick View_ Sample Data'!AN331</f>
        <v>0</v>
      </c>
      <c r="E330">
        <f>'Quick View_ Sample Data'!O331</f>
        <v>128</v>
      </c>
      <c r="F330">
        <f>'Quick View_ Sample Data'!AO331</f>
        <v>0</v>
      </c>
      <c r="G330">
        <f>'Quick View_ Sample Data'!O331</f>
        <v>128</v>
      </c>
      <c r="H330">
        <f>'Quick View_ Sample Data'!AP331</f>
        <v>0</v>
      </c>
      <c r="I330">
        <f>'Quick View_ Sample Data'!AF331</f>
        <v>0</v>
      </c>
      <c r="J330">
        <f>'Quick View_ Sample Data'!AJ331</f>
        <v>0</v>
      </c>
      <c r="K330">
        <f>'Quick View_ Sample Data'!AH331</f>
        <v>390.73182179282998</v>
      </c>
      <c r="L330">
        <f t="shared" si="5"/>
        <v>0</v>
      </c>
    </row>
    <row r="331" spans="1:12" ht="12.75" customHeight="1">
      <c r="A331" s="321"/>
      <c r="B331" t="str">
        <f>'Quick View_ Sample Data'!P332</f>
        <v>MgO</v>
      </c>
      <c r="C331">
        <f>'Quick View_ Sample Data'!O332</f>
        <v>129</v>
      </c>
      <c r="D331">
        <f>'Quick View_ Sample Data'!AN332</f>
        <v>0</v>
      </c>
      <c r="E331">
        <f>'Quick View_ Sample Data'!O332</f>
        <v>129</v>
      </c>
      <c r="F331">
        <f>'Quick View_ Sample Data'!AO332</f>
        <v>0</v>
      </c>
      <c r="G331">
        <f>'Quick View_ Sample Data'!O332</f>
        <v>129</v>
      </c>
      <c r="H331">
        <f>'Quick View_ Sample Data'!AP332</f>
        <v>2.7749999999999999</v>
      </c>
      <c r="I331">
        <f>'Quick View_ Sample Data'!AF332</f>
        <v>3.7</v>
      </c>
      <c r="J331">
        <f>'Quick View_ Sample Data'!AJ332</f>
        <v>0</v>
      </c>
      <c r="K331">
        <f>'Quick View_ Sample Data'!AH332</f>
        <v>0</v>
      </c>
      <c r="L331">
        <f t="shared" si="5"/>
        <v>0</v>
      </c>
    </row>
    <row r="332" spans="1:12" ht="12.75" customHeight="1">
      <c r="A332" s="321"/>
      <c r="B332" t="str">
        <f>'Quick View_ Sample Data'!P333</f>
        <v>MgO</v>
      </c>
      <c r="C332">
        <f>'Quick View_ Sample Data'!O333</f>
        <v>129</v>
      </c>
      <c r="D332">
        <f>'Quick View_ Sample Data'!AN333</f>
        <v>0</v>
      </c>
      <c r="E332">
        <f>'Quick View_ Sample Data'!O333</f>
        <v>129</v>
      </c>
      <c r="F332">
        <f>'Quick View_ Sample Data'!AO333</f>
        <v>0</v>
      </c>
      <c r="G332">
        <f>'Quick View_ Sample Data'!O333</f>
        <v>129</v>
      </c>
      <c r="H332">
        <f>'Quick View_ Sample Data'!AP333</f>
        <v>0</v>
      </c>
      <c r="I332">
        <f>'Quick View_ Sample Data'!AF333</f>
        <v>0</v>
      </c>
      <c r="J332">
        <f>'Quick View_ Sample Data'!AJ333</f>
        <v>0</v>
      </c>
      <c r="K332">
        <f>'Quick View_ Sample Data'!AH333</f>
        <v>0</v>
      </c>
      <c r="L332">
        <f t="shared" si="5"/>
        <v>0</v>
      </c>
    </row>
    <row r="333" spans="1:12" ht="12.75" customHeight="1">
      <c r="A333" s="321"/>
      <c r="B333" t="str">
        <f>'Quick View_ Sample Data'!P334</f>
        <v>MgO</v>
      </c>
      <c r="C333">
        <f>'Quick View_ Sample Data'!O334</f>
        <v>130</v>
      </c>
      <c r="D333">
        <f>'Quick View_ Sample Data'!AN334</f>
        <v>160.9969733295847</v>
      </c>
      <c r="E333">
        <f>'Quick View_ Sample Data'!O334</f>
        <v>130</v>
      </c>
      <c r="F333">
        <f>'Quick View_ Sample Data'!AO334</f>
        <v>18514.651932902241</v>
      </c>
      <c r="G333">
        <f>'Quick View_ Sample Data'!O334</f>
        <v>130</v>
      </c>
      <c r="H333">
        <f>'Quick View_ Sample Data'!AP334</f>
        <v>2.8947368421052628</v>
      </c>
      <c r="I333">
        <f>'Quick View_ Sample Data'!AF334</f>
        <v>5.5</v>
      </c>
      <c r="J333">
        <f>'Quick View_ Sample Data'!AJ334</f>
        <v>11.5</v>
      </c>
      <c r="K333">
        <f>'Quick View_ Sample Data'!AH334</f>
        <v>292.72176969015402</v>
      </c>
      <c r="L333">
        <f t="shared" si="5"/>
        <v>63.25</v>
      </c>
    </row>
    <row r="334" spans="1:12" ht="12.75" customHeight="1">
      <c r="A334" s="321"/>
      <c r="B334" t="str">
        <f>'Quick View_ Sample Data'!P335</f>
        <v>MgO</v>
      </c>
      <c r="C334">
        <f>'Quick View_ Sample Data'!O335</f>
        <v>130</v>
      </c>
      <c r="D334">
        <f>'Quick View_ Sample Data'!AN335</f>
        <v>0</v>
      </c>
      <c r="E334">
        <f>'Quick View_ Sample Data'!O335</f>
        <v>130</v>
      </c>
      <c r="F334">
        <f>'Quick View_ Sample Data'!AO335</f>
        <v>0</v>
      </c>
      <c r="G334">
        <f>'Quick View_ Sample Data'!O335</f>
        <v>130</v>
      </c>
      <c r="H334">
        <f>'Quick View_ Sample Data'!AP335</f>
        <v>0</v>
      </c>
      <c r="I334">
        <f>'Quick View_ Sample Data'!AF335</f>
        <v>0</v>
      </c>
      <c r="J334">
        <f>'Quick View_ Sample Data'!AJ335</f>
        <v>0</v>
      </c>
      <c r="K334">
        <f>'Quick View_ Sample Data'!AH335</f>
        <v>0</v>
      </c>
      <c r="L334">
        <f t="shared" si="5"/>
        <v>0</v>
      </c>
    </row>
    <row r="335" spans="1:12" ht="12.75" customHeight="1">
      <c r="A335" s="321"/>
      <c r="B335" t="str">
        <f>'Quick View_ Sample Data'!P336</f>
        <v>Sapphire</v>
      </c>
      <c r="C335">
        <f>'Quick View_ Sample Data'!O336</f>
        <v>131</v>
      </c>
      <c r="D335">
        <f>'Quick View_ Sample Data'!AN336</f>
        <v>0</v>
      </c>
      <c r="E335">
        <f>'Quick View_ Sample Data'!O336</f>
        <v>131</v>
      </c>
      <c r="F335">
        <f>'Quick View_ Sample Data'!AO336</f>
        <v>0</v>
      </c>
      <c r="G335">
        <f>'Quick View_ Sample Data'!O336</f>
        <v>131</v>
      </c>
      <c r="H335">
        <f>'Quick View_ Sample Data'!AP336</f>
        <v>0</v>
      </c>
      <c r="I335">
        <f>'Quick View_ Sample Data'!AF336</f>
        <v>0</v>
      </c>
      <c r="J335">
        <f>'Quick View_ Sample Data'!AJ336</f>
        <v>0</v>
      </c>
      <c r="K335">
        <f>'Quick View_ Sample Data'!AH336</f>
        <v>0</v>
      </c>
      <c r="L335">
        <f t="shared" si="5"/>
        <v>0</v>
      </c>
    </row>
    <row r="336" spans="1:12" ht="12.75" customHeight="1">
      <c r="A336" s="321"/>
      <c r="B336" t="str">
        <f>'Quick View_ Sample Data'!P337</f>
        <v>Sapphire</v>
      </c>
      <c r="C336">
        <f>'Quick View_ Sample Data'!O337</f>
        <v>131</v>
      </c>
      <c r="D336">
        <f>'Quick View_ Sample Data'!AN337</f>
        <v>0</v>
      </c>
      <c r="E336">
        <f>'Quick View_ Sample Data'!O337</f>
        <v>131</v>
      </c>
      <c r="F336">
        <f>'Quick View_ Sample Data'!AO337</f>
        <v>0</v>
      </c>
      <c r="G336">
        <f>'Quick View_ Sample Data'!O337</f>
        <v>131</v>
      </c>
      <c r="H336">
        <f>'Quick View_ Sample Data'!AP337</f>
        <v>0</v>
      </c>
      <c r="I336">
        <f>'Quick View_ Sample Data'!AF337</f>
        <v>0</v>
      </c>
      <c r="J336">
        <f>'Quick View_ Sample Data'!AJ337</f>
        <v>0</v>
      </c>
      <c r="K336">
        <f>'Quick View_ Sample Data'!AH337</f>
        <v>0</v>
      </c>
      <c r="L336">
        <f t="shared" si="5"/>
        <v>0</v>
      </c>
    </row>
    <row r="337" spans="1:12" ht="12.75" customHeight="1">
      <c r="A337" s="321"/>
      <c r="B337" t="str">
        <f>'Quick View_ Sample Data'!P338</f>
        <v>Sapphire</v>
      </c>
      <c r="C337">
        <f>'Quick View_ Sample Data'!O338</f>
        <v>131</v>
      </c>
      <c r="D337">
        <f>'Quick View_ Sample Data'!AN338</f>
        <v>0</v>
      </c>
      <c r="E337">
        <f>'Quick View_ Sample Data'!O338</f>
        <v>131</v>
      </c>
      <c r="F337">
        <f>'Quick View_ Sample Data'!AO338</f>
        <v>0</v>
      </c>
      <c r="G337">
        <f>'Quick View_ Sample Data'!O338</f>
        <v>131</v>
      </c>
      <c r="H337">
        <f>'Quick View_ Sample Data'!AP338</f>
        <v>0</v>
      </c>
      <c r="I337">
        <f>'Quick View_ Sample Data'!AF338</f>
        <v>0</v>
      </c>
      <c r="J337">
        <f>'Quick View_ Sample Data'!AJ338</f>
        <v>0</v>
      </c>
      <c r="K337">
        <f>'Quick View_ Sample Data'!AH338</f>
        <v>0</v>
      </c>
      <c r="L337">
        <f t="shared" si="5"/>
        <v>0</v>
      </c>
    </row>
    <row r="338" spans="1:12" ht="12.75" customHeight="1">
      <c r="A338" s="321"/>
      <c r="B338" t="str">
        <f>'Quick View_ Sample Data'!P339</f>
        <v>Sapphire</v>
      </c>
      <c r="C338">
        <f>'Quick View_ Sample Data'!O339</f>
        <v>131</v>
      </c>
      <c r="D338">
        <f>'Quick View_ Sample Data'!AN339</f>
        <v>0</v>
      </c>
      <c r="E338">
        <f>'Quick View_ Sample Data'!O339</f>
        <v>131</v>
      </c>
      <c r="F338">
        <f>'Quick View_ Sample Data'!AO339</f>
        <v>0</v>
      </c>
      <c r="G338">
        <f>'Quick View_ Sample Data'!O339</f>
        <v>131</v>
      </c>
      <c r="H338">
        <f>'Quick View_ Sample Data'!AP339</f>
        <v>0</v>
      </c>
      <c r="I338">
        <f>'Quick View_ Sample Data'!AF339</f>
        <v>0</v>
      </c>
      <c r="J338">
        <f>'Quick View_ Sample Data'!AJ339</f>
        <v>0</v>
      </c>
      <c r="K338">
        <f>'Quick View_ Sample Data'!AH339</f>
        <v>0</v>
      </c>
      <c r="L338">
        <f t="shared" si="5"/>
        <v>0</v>
      </c>
    </row>
    <row r="339" spans="1:12" ht="12.75" customHeight="1">
      <c r="A339" s="321"/>
      <c r="B339">
        <f>'Quick View_ Sample Data'!P340</f>
        <v>0</v>
      </c>
      <c r="C339">
        <f>'Quick View_ Sample Data'!O340</f>
        <v>0</v>
      </c>
      <c r="D339">
        <f>'Quick View_ Sample Data'!AN340</f>
        <v>0</v>
      </c>
      <c r="E339">
        <f>'Quick View_ Sample Data'!O340</f>
        <v>0</v>
      </c>
      <c r="F339">
        <f>'Quick View_ Sample Data'!AO340</f>
        <v>0</v>
      </c>
      <c r="G339">
        <f>'Quick View_ Sample Data'!O340</f>
        <v>0</v>
      </c>
      <c r="H339" t="e">
        <f>'Quick View_ Sample Data'!AP340</f>
        <v>#DIV/0!</v>
      </c>
      <c r="I339">
        <f>'Quick View_ Sample Data'!AF340</f>
        <v>0</v>
      </c>
      <c r="J339">
        <f>'Quick View_ Sample Data'!AJ340</f>
        <v>0</v>
      </c>
      <c r="K339">
        <f>'Quick View_ Sample Data'!AH340</f>
        <v>0</v>
      </c>
      <c r="L339">
        <f t="shared" si="5"/>
        <v>0</v>
      </c>
    </row>
    <row r="340" spans="1:12" ht="12.75" customHeight="1">
      <c r="A340" s="321"/>
      <c r="B340">
        <f>'Quick View_ Sample Data'!P341</f>
        <v>0</v>
      </c>
      <c r="C340">
        <f>'Quick View_ Sample Data'!O341</f>
        <v>0</v>
      </c>
      <c r="D340">
        <f>'Quick View_ Sample Data'!AN341</f>
        <v>0</v>
      </c>
      <c r="E340">
        <f>'Quick View_ Sample Data'!O341</f>
        <v>0</v>
      </c>
      <c r="F340">
        <f>'Quick View_ Sample Data'!AO341</f>
        <v>0</v>
      </c>
      <c r="G340">
        <f>'Quick View_ Sample Data'!O341</f>
        <v>0</v>
      </c>
      <c r="H340" t="e">
        <f>'Quick View_ Sample Data'!AP341</f>
        <v>#DIV/0!</v>
      </c>
      <c r="I340">
        <f>'Quick View_ Sample Data'!AF341</f>
        <v>0</v>
      </c>
      <c r="J340">
        <f>'Quick View_ Sample Data'!AJ341</f>
        <v>0</v>
      </c>
      <c r="K340">
        <f>'Quick View_ Sample Data'!AH341</f>
        <v>0</v>
      </c>
      <c r="L340">
        <f t="shared" si="5"/>
        <v>0</v>
      </c>
    </row>
    <row r="341" spans="1:12" ht="12.75" customHeight="1">
      <c r="A341" s="321"/>
      <c r="B341" t="str">
        <f>'Quick View_ Sample Data'!P342</f>
        <v>MgO</v>
      </c>
      <c r="C341">
        <f>'Quick View_ Sample Data'!O342</f>
        <v>135</v>
      </c>
      <c r="D341">
        <f>'Quick View_ Sample Data'!AN342</f>
        <v>116.81275724392773</v>
      </c>
      <c r="E341">
        <f>'Quick View_ Sample Data'!O342</f>
        <v>135</v>
      </c>
      <c r="F341">
        <f>'Quick View_ Sample Data'!AO342</f>
        <v>15419.28395619846</v>
      </c>
      <c r="G341">
        <f>'Quick View_ Sample Data'!O342</f>
        <v>135</v>
      </c>
      <c r="H341">
        <f>'Quick View_ Sample Data'!AP342</f>
        <v>3.1</v>
      </c>
      <c r="I341">
        <f>'Quick View_ Sample Data'!AF342</f>
        <v>6.2</v>
      </c>
      <c r="J341">
        <f>'Quick View_ Sample Data'!AJ342</f>
        <v>13.2</v>
      </c>
      <c r="K341">
        <f>'Quick View_ Sample Data'!AH342</f>
        <v>188.407672974077</v>
      </c>
      <c r="L341">
        <f t="shared" si="5"/>
        <v>81.84</v>
      </c>
    </row>
    <row r="342" spans="1:12" ht="12.75" customHeight="1">
      <c r="A342" s="321"/>
      <c r="B342" t="str">
        <f>'Quick View_ Sample Data'!P343</f>
        <v>MgO</v>
      </c>
      <c r="C342">
        <f>'Quick View_ Sample Data'!O343</f>
        <v>135</v>
      </c>
      <c r="D342">
        <f>'Quick View_ Sample Data'!AN343</f>
        <v>0</v>
      </c>
      <c r="E342">
        <f>'Quick View_ Sample Data'!O343</f>
        <v>135</v>
      </c>
      <c r="F342">
        <f>'Quick View_ Sample Data'!AO343</f>
        <v>0</v>
      </c>
      <c r="G342">
        <f>'Quick View_ Sample Data'!O343</f>
        <v>135</v>
      </c>
      <c r="H342">
        <f>'Quick View_ Sample Data'!AP343</f>
        <v>0</v>
      </c>
      <c r="I342">
        <f>'Quick View_ Sample Data'!AF343</f>
        <v>0</v>
      </c>
      <c r="J342">
        <f>'Quick View_ Sample Data'!AJ343</f>
        <v>0</v>
      </c>
      <c r="K342">
        <f>'Quick View_ Sample Data'!AH343</f>
        <v>199.707375583002</v>
      </c>
      <c r="L342">
        <f t="shared" si="5"/>
        <v>0</v>
      </c>
    </row>
    <row r="343" spans="1:12" ht="12.75" customHeight="1">
      <c r="A343" s="321"/>
      <c r="B343" t="str">
        <f>'Quick View_ Sample Data'!P344</f>
        <v>MgO</v>
      </c>
      <c r="C343">
        <f>'Quick View_ Sample Data'!O344</f>
        <v>135</v>
      </c>
      <c r="D343">
        <f>'Quick View_ Sample Data'!AN344</f>
        <v>0</v>
      </c>
      <c r="E343">
        <f>'Quick View_ Sample Data'!O344</f>
        <v>135</v>
      </c>
      <c r="F343">
        <f>'Quick View_ Sample Data'!AO344</f>
        <v>0</v>
      </c>
      <c r="G343">
        <f>'Quick View_ Sample Data'!O344</f>
        <v>135</v>
      </c>
      <c r="H343">
        <f>'Quick View_ Sample Data'!AP344</f>
        <v>0</v>
      </c>
      <c r="I343">
        <f>'Quick View_ Sample Data'!AF344</f>
        <v>0</v>
      </c>
      <c r="J343">
        <f>'Quick View_ Sample Data'!AJ344</f>
        <v>0</v>
      </c>
      <c r="K343">
        <f>'Quick View_ Sample Data'!AH344</f>
        <v>175.32380679532201</v>
      </c>
      <c r="L343">
        <f t="shared" si="5"/>
        <v>0</v>
      </c>
    </row>
    <row r="344" spans="1:12" ht="12.75" customHeight="1">
      <c r="A344" s="321"/>
      <c r="B344" t="str">
        <f>'Quick View_ Sample Data'!P345</f>
        <v>MgO</v>
      </c>
      <c r="C344">
        <f>'Quick View_ Sample Data'!O345</f>
        <v>135</v>
      </c>
      <c r="D344">
        <f>'Quick View_ Sample Data'!AN345</f>
        <v>0</v>
      </c>
      <c r="E344">
        <f>'Quick View_ Sample Data'!O345</f>
        <v>135</v>
      </c>
      <c r="F344">
        <f>'Quick View_ Sample Data'!AO345</f>
        <v>0</v>
      </c>
      <c r="G344">
        <f>'Quick View_ Sample Data'!O345</f>
        <v>135</v>
      </c>
      <c r="H344">
        <f>'Quick View_ Sample Data'!AP345</f>
        <v>0</v>
      </c>
      <c r="I344">
        <f>'Quick View_ Sample Data'!AF345</f>
        <v>0</v>
      </c>
      <c r="J344">
        <f>'Quick View_ Sample Data'!AJ345</f>
        <v>0</v>
      </c>
      <c r="K344">
        <f>'Quick View_ Sample Data'!AH345</f>
        <v>193.641219445579</v>
      </c>
      <c r="L344">
        <f t="shared" si="5"/>
        <v>0</v>
      </c>
    </row>
    <row r="345" spans="1:12" ht="12.75" customHeight="1">
      <c r="A345" s="321"/>
      <c r="B345" t="str">
        <f>'Quick View_ Sample Data'!P346</f>
        <v>MgO</v>
      </c>
      <c r="C345">
        <f>'Quick View_ Sample Data'!O346</f>
        <v>136</v>
      </c>
      <c r="D345">
        <f>'Quick View_ Sample Data'!AN346</f>
        <v>109.06948735086455</v>
      </c>
      <c r="E345">
        <f>'Quick View_ Sample Data'!O346</f>
        <v>136</v>
      </c>
      <c r="F345">
        <f>'Quick View_ Sample Data'!AO346</f>
        <v>0</v>
      </c>
      <c r="G345">
        <f>'Quick View_ Sample Data'!O346</f>
        <v>136</v>
      </c>
      <c r="H345">
        <f>'Quick View_ Sample Data'!AP346</f>
        <v>2.9423076923076921</v>
      </c>
      <c r="I345">
        <f>'Quick View_ Sample Data'!AF346</f>
        <v>5.0999999999999996</v>
      </c>
      <c r="J345">
        <f>'Quick View_ Sample Data'!AJ346</f>
        <v>0</v>
      </c>
      <c r="K345">
        <f>'Quick View_ Sample Data'!AH346</f>
        <v>213.861739903656</v>
      </c>
      <c r="L345">
        <f t="shared" si="5"/>
        <v>0</v>
      </c>
    </row>
    <row r="346" spans="1:12" ht="12.75" customHeight="1">
      <c r="A346" s="321"/>
      <c r="B346" t="str">
        <f>'Quick View_ Sample Data'!P347</f>
        <v>MgO</v>
      </c>
      <c r="C346">
        <f>'Quick View_ Sample Data'!O347</f>
        <v>136</v>
      </c>
      <c r="D346">
        <f>'Quick View_ Sample Data'!AN347</f>
        <v>0</v>
      </c>
      <c r="E346">
        <f>'Quick View_ Sample Data'!O347</f>
        <v>136</v>
      </c>
      <c r="F346">
        <f>'Quick View_ Sample Data'!AO347</f>
        <v>0</v>
      </c>
      <c r="G346">
        <f>'Quick View_ Sample Data'!O347</f>
        <v>136</v>
      </c>
      <c r="H346">
        <f>'Quick View_ Sample Data'!AP347</f>
        <v>0</v>
      </c>
      <c r="I346">
        <f>'Quick View_ Sample Data'!AF347</f>
        <v>0</v>
      </c>
      <c r="J346">
        <f>'Quick View_ Sample Data'!AJ347</f>
        <v>0</v>
      </c>
      <c r="K346">
        <f>'Quick View_ Sample Data'!AH347</f>
        <v>212.79124176175799</v>
      </c>
      <c r="L346">
        <f t="shared" si="5"/>
        <v>0</v>
      </c>
    </row>
    <row r="347" spans="1:12" ht="12.75" customHeight="1">
      <c r="A347" s="321"/>
      <c r="B347" t="str">
        <f>'Quick View_ Sample Data'!P348</f>
        <v>MgO</v>
      </c>
      <c r="C347">
        <f>'Quick View_ Sample Data'!O348</f>
        <v>136</v>
      </c>
      <c r="D347">
        <f>'Quick View_ Sample Data'!AN348</f>
        <v>133.33054357341658</v>
      </c>
      <c r="E347">
        <f>'Quick View_ Sample Data'!O348</f>
        <v>136</v>
      </c>
      <c r="F347">
        <f>'Quick View_ Sample Data'!AO348</f>
        <v>0</v>
      </c>
      <c r="G347">
        <f>'Quick View_ Sample Data'!O348</f>
        <v>136</v>
      </c>
      <c r="H347">
        <f>'Quick View_ Sample Data'!AP348</f>
        <v>3.0576923076923075</v>
      </c>
      <c r="I347">
        <f>'Quick View_ Sample Data'!AF348</f>
        <v>5.3</v>
      </c>
      <c r="J347">
        <f>'Quick View_ Sample Data'!AJ348</f>
        <v>0</v>
      </c>
      <c r="K347">
        <f>'Quick View_ Sample Data'!AH348</f>
        <v>251.56706334606901</v>
      </c>
      <c r="L347">
        <f t="shared" si="5"/>
        <v>0</v>
      </c>
    </row>
    <row r="348" spans="1:12" ht="12.75" customHeight="1">
      <c r="A348" s="321"/>
      <c r="B348" t="str">
        <f>'Quick View_ Sample Data'!P349</f>
        <v>MgO</v>
      </c>
      <c r="C348">
        <f>'Quick View_ Sample Data'!O349</f>
        <v>136</v>
      </c>
      <c r="D348">
        <f>'Quick View_ Sample Data'!AN349</f>
        <v>0</v>
      </c>
      <c r="E348">
        <f>'Quick View_ Sample Data'!O349</f>
        <v>136</v>
      </c>
      <c r="F348">
        <f>'Quick View_ Sample Data'!AO349</f>
        <v>0</v>
      </c>
      <c r="G348">
        <f>'Quick View_ Sample Data'!O349</f>
        <v>136</v>
      </c>
      <c r="H348">
        <f>'Quick View_ Sample Data'!AP349</f>
        <v>0</v>
      </c>
      <c r="I348">
        <f>'Quick View_ Sample Data'!AF349</f>
        <v>0</v>
      </c>
      <c r="J348">
        <f>'Quick View_ Sample Data'!AJ349</f>
        <v>0</v>
      </c>
      <c r="K348">
        <f>'Quick View_ Sample Data'!AH349</f>
        <v>251.44811910807999</v>
      </c>
      <c r="L348">
        <f t="shared" si="5"/>
        <v>0</v>
      </c>
    </row>
    <row r="349" spans="1:12" ht="12.75" customHeight="1">
      <c r="A349" s="321"/>
      <c r="B349" t="str">
        <f>'Quick View_ Sample Data'!P350</f>
        <v>MgO</v>
      </c>
      <c r="C349">
        <f>'Quick View_ Sample Data'!O350</f>
        <v>137</v>
      </c>
      <c r="D349">
        <f>'Quick View_ Sample Data'!AN350</f>
        <v>131.04800364641349</v>
      </c>
      <c r="E349">
        <f>'Quick View_ Sample Data'!O350</f>
        <v>137</v>
      </c>
      <c r="F349">
        <f>'Quick View_ Sample Data'!AO350</f>
        <v>15725.760437569617</v>
      </c>
      <c r="G349">
        <f>'Quick View_ Sample Data'!O350</f>
        <v>137</v>
      </c>
      <c r="H349">
        <f>'Quick View_ Sample Data'!AP350</f>
        <v>3</v>
      </c>
      <c r="I349">
        <f>'Quick View_ Sample Data'!AF350</f>
        <v>4.4000000000000004</v>
      </c>
      <c r="J349">
        <f>'Quick View_ Sample Data'!AJ350</f>
        <v>12</v>
      </c>
      <c r="K349">
        <f>'Quick View_ Sample Data'!AH350</f>
        <v>297.836371923667</v>
      </c>
      <c r="L349">
        <f t="shared" si="5"/>
        <v>52.800000000000004</v>
      </c>
    </row>
    <row r="350" spans="1:12" ht="12.75" customHeight="1">
      <c r="A350" s="321"/>
      <c r="B350" t="str">
        <f>'Quick View_ Sample Data'!P351</f>
        <v>MgO</v>
      </c>
      <c r="C350">
        <f>'Quick View_ Sample Data'!O351</f>
        <v>137</v>
      </c>
      <c r="D350">
        <f>'Quick View_ Sample Data'!AN351</f>
        <v>0</v>
      </c>
      <c r="E350">
        <f>'Quick View_ Sample Data'!O351</f>
        <v>137</v>
      </c>
      <c r="F350">
        <f>'Quick View_ Sample Data'!AO351</f>
        <v>0</v>
      </c>
      <c r="G350">
        <f>'Quick View_ Sample Data'!O351</f>
        <v>137</v>
      </c>
      <c r="H350">
        <f>'Quick View_ Sample Data'!AP351</f>
        <v>0</v>
      </c>
      <c r="I350">
        <f>'Quick View_ Sample Data'!AF351</f>
        <v>0</v>
      </c>
      <c r="J350">
        <f>'Quick View_ Sample Data'!AJ351</f>
        <v>0</v>
      </c>
      <c r="K350">
        <f>'Quick View_ Sample Data'!AH351</f>
        <v>305.56774739293201</v>
      </c>
      <c r="L350">
        <f t="shared" si="5"/>
        <v>0</v>
      </c>
    </row>
    <row r="351" spans="1:12" ht="12.75" customHeight="1">
      <c r="A351" s="321"/>
      <c r="B351" t="str">
        <f>'Quick View_ Sample Data'!P352</f>
        <v>MgO</v>
      </c>
      <c r="C351">
        <f>'Quick View_ Sample Data'!O352</f>
        <v>137</v>
      </c>
      <c r="D351">
        <f>'Quick View_ Sample Data'!AN352</f>
        <v>0</v>
      </c>
      <c r="E351">
        <f>'Quick View_ Sample Data'!O352</f>
        <v>137</v>
      </c>
      <c r="F351">
        <f>'Quick View_ Sample Data'!AO352</f>
        <v>0</v>
      </c>
      <c r="G351">
        <f>'Quick View_ Sample Data'!O352</f>
        <v>137</v>
      </c>
      <c r="H351">
        <f>'Quick View_ Sample Data'!AP352</f>
        <v>0</v>
      </c>
      <c r="I351">
        <f>'Quick View_ Sample Data'!AF352</f>
        <v>0</v>
      </c>
      <c r="J351">
        <f>'Quick View_ Sample Data'!AJ352</f>
        <v>0</v>
      </c>
      <c r="K351">
        <f>'Quick View_ Sample Data'!AH352</f>
        <v>300.57208939740701</v>
      </c>
      <c r="L351">
        <f t="shared" si="5"/>
        <v>0</v>
      </c>
    </row>
    <row r="352" spans="1:12" ht="12.75" customHeight="1">
      <c r="A352" s="321"/>
      <c r="B352" t="str">
        <f>'Quick View_ Sample Data'!P353</f>
        <v>MgO</v>
      </c>
      <c r="C352">
        <f>'Quick View_ Sample Data'!O353</f>
        <v>137</v>
      </c>
      <c r="D352">
        <f>'Quick View_ Sample Data'!AN353</f>
        <v>0</v>
      </c>
      <c r="E352">
        <f>'Quick View_ Sample Data'!O353</f>
        <v>137</v>
      </c>
      <c r="F352">
        <f>'Quick View_ Sample Data'!AO353</f>
        <v>0</v>
      </c>
      <c r="G352">
        <f>'Quick View_ Sample Data'!O353</f>
        <v>137</v>
      </c>
      <c r="H352">
        <f>'Quick View_ Sample Data'!AP353</f>
        <v>0</v>
      </c>
      <c r="I352">
        <f>'Quick View_ Sample Data'!AF353</f>
        <v>0</v>
      </c>
      <c r="J352">
        <f>'Quick View_ Sample Data'!AJ353</f>
        <v>0</v>
      </c>
      <c r="K352">
        <f>'Quick View_ Sample Data'!AH353</f>
        <v>296.52798530579201</v>
      </c>
      <c r="L352">
        <f t="shared" si="5"/>
        <v>0</v>
      </c>
    </row>
    <row r="353" spans="1:12" ht="12.75" customHeight="1">
      <c r="A353" s="321"/>
      <c r="B353" t="str">
        <f>'Quick View_ Sample Data'!P354</f>
        <v>MgO</v>
      </c>
      <c r="C353">
        <f>'Quick View_ Sample Data'!O354</f>
        <v>138</v>
      </c>
      <c r="D353">
        <f>'Quick View_ Sample Data'!AN354</f>
        <v>138.75440082570043</v>
      </c>
      <c r="E353">
        <f>'Quick View_ Sample Data'!O354</f>
        <v>138</v>
      </c>
      <c r="F353">
        <f>'Quick View_ Sample Data'!AO354</f>
        <v>15818.001694129851</v>
      </c>
      <c r="G353">
        <f>'Quick View_ Sample Data'!O354</f>
        <v>138</v>
      </c>
      <c r="H353">
        <f>'Quick View_ Sample Data'!AP354</f>
        <v>2.9166666666666665</v>
      </c>
      <c r="I353">
        <f>'Quick View_ Sample Data'!AF354</f>
        <v>3.5</v>
      </c>
      <c r="J353">
        <f>'Quick View_ Sample Data'!AJ354</f>
        <v>11.4</v>
      </c>
      <c r="K353">
        <f>'Quick View_ Sample Data'!AH354</f>
        <v>396.441145216287</v>
      </c>
      <c r="L353">
        <f t="shared" si="5"/>
        <v>39.9</v>
      </c>
    </row>
    <row r="354" spans="1:12" ht="12.75" customHeight="1">
      <c r="A354" s="321"/>
      <c r="B354" t="str">
        <f>'Quick View_ Sample Data'!P355</f>
        <v>MgO</v>
      </c>
      <c r="C354">
        <f>'Quick View_ Sample Data'!O355</f>
        <v>138</v>
      </c>
      <c r="D354">
        <f>'Quick View_ Sample Data'!AN355</f>
        <v>0</v>
      </c>
      <c r="E354">
        <f>'Quick View_ Sample Data'!O355</f>
        <v>138</v>
      </c>
      <c r="F354">
        <f>'Quick View_ Sample Data'!AO355</f>
        <v>0</v>
      </c>
      <c r="G354">
        <f>'Quick View_ Sample Data'!O355</f>
        <v>138</v>
      </c>
      <c r="H354">
        <f>'Quick View_ Sample Data'!AP355</f>
        <v>0</v>
      </c>
      <c r="I354">
        <f>'Quick View_ Sample Data'!AF355</f>
        <v>0</v>
      </c>
      <c r="J354">
        <f>'Quick View_ Sample Data'!AJ355</f>
        <v>0</v>
      </c>
      <c r="K354">
        <f>'Quick View_ Sample Data'!AH355</f>
        <v>400.485249307902</v>
      </c>
      <c r="L354">
        <f t="shared" si="5"/>
        <v>0</v>
      </c>
    </row>
    <row r="355" spans="1:12" ht="12.75" customHeight="1">
      <c r="A355" s="321"/>
      <c r="B355" t="str">
        <f>'Quick View_ Sample Data'!P356</f>
        <v>MgO</v>
      </c>
      <c r="C355">
        <f>'Quick View_ Sample Data'!O356</f>
        <v>138</v>
      </c>
      <c r="D355">
        <f>'Quick View_ Sample Data'!AN356</f>
        <v>0</v>
      </c>
      <c r="E355">
        <f>'Quick View_ Sample Data'!O356</f>
        <v>138</v>
      </c>
      <c r="F355">
        <f>'Quick View_ Sample Data'!AO356</f>
        <v>0</v>
      </c>
      <c r="G355">
        <f>'Quick View_ Sample Data'!O356</f>
        <v>138</v>
      </c>
      <c r="H355">
        <f>'Quick View_ Sample Data'!AP356</f>
        <v>0</v>
      </c>
      <c r="I355">
        <f>'Quick View_ Sample Data'!AF356</f>
        <v>0</v>
      </c>
      <c r="J355">
        <f>'Quick View_ Sample Data'!AJ356</f>
        <v>0</v>
      </c>
      <c r="K355">
        <f>'Quick View_ Sample Data'!AH356</f>
        <v>374.31751695039202</v>
      </c>
      <c r="L355">
        <f t="shared" si="5"/>
        <v>0</v>
      </c>
    </row>
    <row r="356" spans="1:12" ht="12.75" customHeight="1">
      <c r="A356" s="321"/>
      <c r="B356" t="str">
        <f>'Quick View_ Sample Data'!P357</f>
        <v>MgO</v>
      </c>
      <c r="C356">
        <f>'Quick View_ Sample Data'!O357</f>
        <v>139</v>
      </c>
      <c r="D356">
        <f>'Quick View_ Sample Data'!AN357</f>
        <v>0</v>
      </c>
      <c r="E356">
        <f>'Quick View_ Sample Data'!O357</f>
        <v>139</v>
      </c>
      <c r="F356">
        <f>'Quick View_ Sample Data'!AO357</f>
        <v>0</v>
      </c>
      <c r="G356">
        <f>'Quick View_ Sample Data'!O357</f>
        <v>139</v>
      </c>
      <c r="H356">
        <f>'Quick View_ Sample Data'!AP357</f>
        <v>0</v>
      </c>
      <c r="I356">
        <f>'Quick View_ Sample Data'!AF357</f>
        <v>0</v>
      </c>
      <c r="J356">
        <f>'Quick View_ Sample Data'!AJ357</f>
        <v>0</v>
      </c>
      <c r="K356">
        <f>'Quick View_ Sample Data'!AH357</f>
        <v>63.516223085957797</v>
      </c>
      <c r="L356">
        <f t="shared" si="5"/>
        <v>0</v>
      </c>
    </row>
    <row r="357" spans="1:12" ht="12.75" customHeight="1">
      <c r="A357" s="321"/>
      <c r="B357" t="str">
        <f>'Quick View_ Sample Data'!P358</f>
        <v>MgO</v>
      </c>
      <c r="C357">
        <f>'Quick View_ Sample Data'!O358</f>
        <v>139</v>
      </c>
      <c r="D357">
        <f>'Quick View_ Sample Data'!AN358</f>
        <v>0</v>
      </c>
      <c r="E357">
        <f>'Quick View_ Sample Data'!O358</f>
        <v>139</v>
      </c>
      <c r="F357">
        <f>'Quick View_ Sample Data'!AO358</f>
        <v>0</v>
      </c>
      <c r="G357">
        <f>'Quick View_ Sample Data'!O358</f>
        <v>139</v>
      </c>
      <c r="H357">
        <f>'Quick View_ Sample Data'!AP358</f>
        <v>0</v>
      </c>
      <c r="I357">
        <f>'Quick View_ Sample Data'!AF358</f>
        <v>0</v>
      </c>
      <c r="J357">
        <f>'Quick View_ Sample Data'!AJ358</f>
        <v>0</v>
      </c>
      <c r="K357">
        <f>'Quick View_ Sample Data'!AH358</f>
        <v>54.4764609988177</v>
      </c>
      <c r="L357">
        <f t="shared" si="5"/>
        <v>0</v>
      </c>
    </row>
    <row r="358" spans="1:12" ht="12.75" customHeight="1">
      <c r="A358" s="321"/>
      <c r="B358" t="str">
        <f>'Quick View_ Sample Data'!P359</f>
        <v>MgO</v>
      </c>
      <c r="C358">
        <f>'Quick View_ Sample Data'!O359</f>
        <v>139</v>
      </c>
      <c r="D358">
        <f>'Quick View_ Sample Data'!AN359</f>
        <v>0</v>
      </c>
      <c r="E358">
        <f>'Quick View_ Sample Data'!O359</f>
        <v>139</v>
      </c>
      <c r="F358">
        <f>'Quick View_ Sample Data'!AO359</f>
        <v>0</v>
      </c>
      <c r="G358">
        <f>'Quick View_ Sample Data'!O359</f>
        <v>139</v>
      </c>
      <c r="H358">
        <f>'Quick View_ Sample Data'!AP359</f>
        <v>0</v>
      </c>
      <c r="I358">
        <f>'Quick View_ Sample Data'!AF359</f>
        <v>0</v>
      </c>
      <c r="J358">
        <f>'Quick View_ Sample Data'!AJ359</f>
        <v>0</v>
      </c>
      <c r="K358">
        <f>'Quick View_ Sample Data'!AH359</f>
        <v>55.784847616693298</v>
      </c>
      <c r="L358">
        <f t="shared" si="5"/>
        <v>0</v>
      </c>
    </row>
    <row r="359" spans="1:12" ht="12.75" customHeight="1">
      <c r="A359" s="321"/>
      <c r="B359" t="str">
        <f>'Quick View_ Sample Data'!P360</f>
        <v>MgO</v>
      </c>
      <c r="C359">
        <f>'Quick View_ Sample Data'!O360</f>
        <v>139</v>
      </c>
      <c r="D359">
        <f>'Quick View_ Sample Data'!AN360</f>
        <v>86.591405255762723</v>
      </c>
      <c r="E359">
        <f>'Quick View_ Sample Data'!O360</f>
        <v>139</v>
      </c>
      <c r="F359">
        <f>'Quick View_ Sample Data'!AO360</f>
        <v>13075.302193620171</v>
      </c>
      <c r="G359">
        <f>'Quick View_ Sample Data'!O360</f>
        <v>139</v>
      </c>
      <c r="H359">
        <f>'Quick View_ Sample Data'!AP360</f>
        <v>3.2</v>
      </c>
      <c r="I359">
        <f>'Quick View_ Sample Data'!AF360</f>
        <v>16</v>
      </c>
      <c r="J359">
        <f>'Quick View_ Sample Data'!AJ360</f>
        <v>15.1</v>
      </c>
      <c r="K359">
        <f>'Quick View_ Sample Data'!AH360</f>
        <v>54.1196282848517</v>
      </c>
      <c r="L359">
        <f t="shared" si="5"/>
        <v>241.6</v>
      </c>
    </row>
    <row r="360" spans="1:12" ht="12.75" customHeight="1">
      <c r="A360" s="321"/>
      <c r="B360" t="str">
        <f>'Quick View_ Sample Data'!P361</f>
        <v>MgO</v>
      </c>
      <c r="C360">
        <f>'Quick View_ Sample Data'!O361</f>
        <v>140</v>
      </c>
      <c r="D360">
        <f>'Quick View_ Sample Data'!AN361</f>
        <v>130.96950044934107</v>
      </c>
      <c r="E360">
        <f>'Quick View_ Sample Data'!O361</f>
        <v>140</v>
      </c>
      <c r="F360">
        <f>'Quick View_ Sample Data'!AO361</f>
        <v>0</v>
      </c>
      <c r="G360">
        <f>'Quick View_ Sample Data'!O361</f>
        <v>140</v>
      </c>
      <c r="H360">
        <f>'Quick View_ Sample Data'!AP361</f>
        <v>2.7857142857142856</v>
      </c>
      <c r="I360">
        <f>'Quick View_ Sample Data'!AF361</f>
        <v>2.6</v>
      </c>
      <c r="J360">
        <f>'Quick View_ Sample Data'!AJ361</f>
        <v>0</v>
      </c>
      <c r="K360">
        <f>'Quick View_ Sample Data'!AH361</f>
        <v>503.72884788208103</v>
      </c>
      <c r="L360">
        <f t="shared" si="5"/>
        <v>0</v>
      </c>
    </row>
    <row r="361" spans="1:12" ht="12.75" customHeight="1">
      <c r="A361" s="321"/>
      <c r="B361" t="str">
        <f>'Quick View_ Sample Data'!P362</f>
        <v>MgO</v>
      </c>
      <c r="C361">
        <f>'Quick View_ Sample Data'!O362</f>
        <v>140</v>
      </c>
      <c r="D361">
        <f>'Quick View_ Sample Data'!AN362</f>
        <v>0</v>
      </c>
      <c r="E361">
        <f>'Quick View_ Sample Data'!O362</f>
        <v>140</v>
      </c>
      <c r="F361">
        <f>'Quick View_ Sample Data'!AO362</f>
        <v>0</v>
      </c>
      <c r="G361">
        <f>'Quick View_ Sample Data'!O362</f>
        <v>140</v>
      </c>
      <c r="H361">
        <f>'Quick View_ Sample Data'!AP362</f>
        <v>0</v>
      </c>
      <c r="I361">
        <f>'Quick View_ Sample Data'!AF362</f>
        <v>0</v>
      </c>
      <c r="J361">
        <f>'Quick View_ Sample Data'!AJ362</f>
        <v>0</v>
      </c>
      <c r="K361">
        <f>'Quick View_ Sample Data'!AH362</f>
        <v>488.622929657518</v>
      </c>
      <c r="L361">
        <f t="shared" si="5"/>
        <v>0</v>
      </c>
    </row>
    <row r="362" spans="1:12" ht="12.75" customHeight="1">
      <c r="A362" s="321"/>
      <c r="B362" t="str">
        <f>'Quick View_ Sample Data'!P363</f>
        <v>MgO</v>
      </c>
      <c r="C362">
        <f>'Quick View_ Sample Data'!O363</f>
        <v>140</v>
      </c>
      <c r="D362">
        <f>'Quick View_ Sample Data'!AN363</f>
        <v>0</v>
      </c>
      <c r="E362">
        <f>'Quick View_ Sample Data'!O363</f>
        <v>140</v>
      </c>
      <c r="F362">
        <f>'Quick View_ Sample Data'!AO363</f>
        <v>0</v>
      </c>
      <c r="G362">
        <f>'Quick View_ Sample Data'!O363</f>
        <v>140</v>
      </c>
      <c r="H362">
        <f>'Quick View_ Sample Data'!AP363</f>
        <v>0</v>
      </c>
      <c r="I362">
        <f>'Quick View_ Sample Data'!AF363</f>
        <v>0</v>
      </c>
      <c r="J362">
        <f>'Quick View_ Sample Data'!AJ363</f>
        <v>11.3</v>
      </c>
      <c r="K362">
        <f>'Quick View_ Sample Data'!AH363</f>
        <v>500.04157650443199</v>
      </c>
      <c r="L362">
        <f t="shared" si="5"/>
        <v>0</v>
      </c>
    </row>
    <row r="363" spans="1:12" ht="12.75" customHeight="1">
      <c r="A363" s="321"/>
      <c r="B363" t="str">
        <f>'Quick View_ Sample Data'!P364</f>
        <v>MgO</v>
      </c>
      <c r="C363">
        <f>'Quick View_ Sample Data'!O364</f>
        <v>140</v>
      </c>
      <c r="D363">
        <f>'Quick View_ Sample Data'!AN364</f>
        <v>0</v>
      </c>
      <c r="E363">
        <f>'Quick View_ Sample Data'!O364</f>
        <v>140</v>
      </c>
      <c r="F363">
        <f>'Quick View_ Sample Data'!AO364</f>
        <v>0</v>
      </c>
      <c r="G363">
        <f>'Quick View_ Sample Data'!O364</f>
        <v>140</v>
      </c>
      <c r="H363">
        <f>'Quick View_ Sample Data'!AP364</f>
        <v>0</v>
      </c>
      <c r="I363">
        <f>'Quick View_ Sample Data'!AF364</f>
        <v>0</v>
      </c>
      <c r="J363">
        <f>'Quick View_ Sample Data'!AJ364</f>
        <v>0</v>
      </c>
      <c r="K363">
        <f>'Quick View_ Sample Data'!AH364</f>
        <v>494.33225308097502</v>
      </c>
      <c r="L363">
        <f t="shared" si="5"/>
        <v>0</v>
      </c>
    </row>
    <row r="364" spans="1:12" ht="12.75" customHeight="1">
      <c r="A364" s="321"/>
      <c r="B364" t="str">
        <f>'Quick View_ Sample Data'!P365</f>
        <v>SiNx</v>
      </c>
      <c r="C364">
        <f>'Quick View_ Sample Data'!O365</f>
        <v>141</v>
      </c>
      <c r="D364">
        <f>'Quick View_ Sample Data'!AN365</f>
        <v>291.52994842550675</v>
      </c>
      <c r="E364">
        <f>'Quick View_ Sample Data'!O365</f>
        <v>141</v>
      </c>
      <c r="F364">
        <f>'Quick View_ Sample Data'!AO365</f>
        <v>0</v>
      </c>
      <c r="G364">
        <f>'Quick View_ Sample Data'!O365</f>
        <v>141</v>
      </c>
      <c r="H364">
        <f>'Quick View_ Sample Data'!AP365</f>
        <v>4.2413793103448265</v>
      </c>
      <c r="I364">
        <f>'Quick View_ Sample Data'!AF365</f>
        <v>8.1999999999999993</v>
      </c>
      <c r="J364">
        <f>'Quick View_ Sample Data'!AJ365</f>
        <v>0</v>
      </c>
      <c r="K364">
        <f>'Quick View_ Sample Data'!AH365</f>
        <v>355.52432734817899</v>
      </c>
      <c r="L364">
        <f t="shared" si="5"/>
        <v>0</v>
      </c>
    </row>
    <row r="365" spans="1:12" ht="12.75" customHeight="1">
      <c r="A365" s="321"/>
      <c r="B365" t="str">
        <f>'Quick View_ Sample Data'!P366</f>
        <v>SiNx</v>
      </c>
      <c r="C365">
        <f>'Quick View_ Sample Data'!O366</f>
        <v>141</v>
      </c>
      <c r="D365">
        <f>'Quick View_ Sample Data'!AN366</f>
        <v>292.60282545216506</v>
      </c>
      <c r="E365">
        <f>'Quick View_ Sample Data'!O366</f>
        <v>141</v>
      </c>
      <c r="F365">
        <f>'Quick View_ Sample Data'!AO366</f>
        <v>0</v>
      </c>
      <c r="G365">
        <f>'Quick View_ Sample Data'!O366</f>
        <v>141</v>
      </c>
      <c r="H365">
        <f>'Quick View_ Sample Data'!AP366</f>
        <v>4.2413793103448265</v>
      </c>
      <c r="I365">
        <f>'Quick View_ Sample Data'!AF366</f>
        <v>8.1999999999999993</v>
      </c>
      <c r="J365">
        <f>'Quick View_ Sample Data'!AJ366</f>
        <v>0</v>
      </c>
      <c r="K365">
        <f>'Quick View_ Sample Data'!AH366</f>
        <v>356.832713966055</v>
      </c>
      <c r="L365">
        <f t="shared" si="5"/>
        <v>0</v>
      </c>
    </row>
    <row r="366" spans="1:12" ht="12.75" customHeight="1">
      <c r="A366" s="321"/>
      <c r="B366" t="str">
        <f>'Quick View_ Sample Data'!P367</f>
        <v>SiNx</v>
      </c>
      <c r="C366">
        <f>'Quick View_ Sample Data'!O367</f>
        <v>141</v>
      </c>
      <c r="D366">
        <f>'Quick View_ Sample Data'!AN367</f>
        <v>291.72501697580873</v>
      </c>
      <c r="E366">
        <f>'Quick View_ Sample Data'!O367</f>
        <v>141</v>
      </c>
      <c r="F366">
        <f>'Quick View_ Sample Data'!AO367</f>
        <v>0</v>
      </c>
      <c r="G366">
        <f>'Quick View_ Sample Data'!O367</f>
        <v>141</v>
      </c>
      <c r="H366">
        <f>'Quick View_ Sample Data'!AP367</f>
        <v>4.2413793103448265</v>
      </c>
      <c r="I366">
        <f>'Quick View_ Sample Data'!AF367</f>
        <v>8.1999999999999993</v>
      </c>
      <c r="J366">
        <f>'Quick View_ Sample Data'!AJ367</f>
        <v>0</v>
      </c>
      <c r="K366">
        <f>'Quick View_ Sample Data'!AH367</f>
        <v>355.76221582415701</v>
      </c>
      <c r="L366">
        <f t="shared" si="5"/>
        <v>0</v>
      </c>
    </row>
    <row r="367" spans="1:12" ht="12.75" customHeight="1">
      <c r="A367" s="321"/>
      <c r="B367" t="str">
        <f>'Quick View_ Sample Data'!P368</f>
        <v>MgO</v>
      </c>
      <c r="C367">
        <f>'Quick View_ Sample Data'!O368</f>
        <v>142</v>
      </c>
      <c r="D367">
        <f>'Quick View_ Sample Data'!AN368</f>
        <v>0</v>
      </c>
      <c r="E367">
        <f>'Quick View_ Sample Data'!O368</f>
        <v>142</v>
      </c>
      <c r="F367">
        <f>'Quick View_ Sample Data'!AO368</f>
        <v>0</v>
      </c>
      <c r="G367">
        <f>'Quick View_ Sample Data'!O368</f>
        <v>142</v>
      </c>
      <c r="H367">
        <f>'Quick View_ Sample Data'!AP368</f>
        <v>0</v>
      </c>
      <c r="I367">
        <f>'Quick View_ Sample Data'!AF368</f>
        <v>0</v>
      </c>
      <c r="J367">
        <f>'Quick View_ Sample Data'!AJ368</f>
        <v>0</v>
      </c>
      <c r="K367">
        <f>'Quick View_ Sample Data'!AH368</f>
        <v>172.46914508359299</v>
      </c>
      <c r="L367">
        <f t="shared" si="5"/>
        <v>0</v>
      </c>
    </row>
    <row r="368" spans="1:12" ht="12.75" customHeight="1">
      <c r="A368" s="321"/>
      <c r="B368" t="str">
        <f>'Quick View_ Sample Data'!P369</f>
        <v>MgO</v>
      </c>
      <c r="C368">
        <f>'Quick View_ Sample Data'!O369</f>
        <v>142</v>
      </c>
      <c r="D368">
        <f>'Quick View_ Sample Data'!AN369</f>
        <v>0</v>
      </c>
      <c r="E368">
        <f>'Quick View_ Sample Data'!O369</f>
        <v>142</v>
      </c>
      <c r="F368">
        <f>'Quick View_ Sample Data'!AO369</f>
        <v>0</v>
      </c>
      <c r="G368">
        <f>'Quick View_ Sample Data'!O369</f>
        <v>142</v>
      </c>
      <c r="H368">
        <f>'Quick View_ Sample Data'!AP369</f>
        <v>0</v>
      </c>
      <c r="I368">
        <f>'Quick View_ Sample Data'!AF369</f>
        <v>0</v>
      </c>
      <c r="J368">
        <f>'Quick View_ Sample Data'!AJ369</f>
        <v>0</v>
      </c>
      <c r="K368">
        <f>'Quick View_ Sample Data'!AH369</f>
        <v>184.60145735843901</v>
      </c>
      <c r="L368">
        <f t="shared" si="5"/>
        <v>0</v>
      </c>
    </row>
    <row r="369" spans="1:12" ht="12.75" customHeight="1">
      <c r="A369" s="321"/>
      <c r="B369" t="str">
        <f>'Quick View_ Sample Data'!P370</f>
        <v>MgO</v>
      </c>
      <c r="C369">
        <f>'Quick View_ Sample Data'!O370</f>
        <v>142</v>
      </c>
      <c r="D369">
        <f>'Quick View_ Sample Data'!AN370</f>
        <v>0</v>
      </c>
      <c r="E369">
        <f>'Quick View_ Sample Data'!O370</f>
        <v>142</v>
      </c>
      <c r="F369">
        <f>'Quick View_ Sample Data'!AO370</f>
        <v>0</v>
      </c>
      <c r="G369">
        <f>'Quick View_ Sample Data'!O370</f>
        <v>142</v>
      </c>
      <c r="H369">
        <f>'Quick View_ Sample Data'!AP370</f>
        <v>0</v>
      </c>
      <c r="I369">
        <f>'Quick View_ Sample Data'!AF370</f>
        <v>0</v>
      </c>
      <c r="J369">
        <f>'Quick View_ Sample Data'!AJ370</f>
        <v>0</v>
      </c>
      <c r="K369">
        <f>'Quick View_ Sample Data'!AH370</f>
        <v>136.54798521101</v>
      </c>
      <c r="L369">
        <f t="shared" si="5"/>
        <v>0</v>
      </c>
    </row>
    <row r="370" spans="1:12" ht="12.75" customHeight="1">
      <c r="A370" s="321"/>
      <c r="B370" t="str">
        <f>'Quick View_ Sample Data'!P371</f>
        <v>MgO</v>
      </c>
      <c r="C370">
        <f>'Quick View_ Sample Data'!O371</f>
        <v>142</v>
      </c>
      <c r="D370">
        <f>'Quick View_ Sample Data'!AN371</f>
        <v>116.04794579366055</v>
      </c>
      <c r="E370">
        <f>'Quick View_ Sample Data'!O371</f>
        <v>142</v>
      </c>
      <c r="F370">
        <f>'Quick View_ Sample Data'!AO371</f>
        <v>15550.424736350515</v>
      </c>
      <c r="G370">
        <f>'Quick View_ Sample Data'!O371</f>
        <v>142</v>
      </c>
      <c r="H370">
        <f>'Quick View_ Sample Data'!AP371</f>
        <v>3.1184210526315792</v>
      </c>
      <c r="I370">
        <f>'Quick View_ Sample Data'!AF371</f>
        <v>7.9</v>
      </c>
      <c r="J370">
        <f>'Quick View_ Sample Data'!AJ371</f>
        <v>13.4</v>
      </c>
      <c r="K370">
        <f>'Quick View_ Sample Data'!AH371</f>
        <v>146.896133916026</v>
      </c>
      <c r="L370">
        <f t="shared" si="5"/>
        <v>105.86000000000001</v>
      </c>
    </row>
    <row r="371" spans="1:12" ht="12.75" customHeight="1">
      <c r="A371" s="321"/>
      <c r="B371" t="str">
        <f>'Quick View_ Sample Data'!P372</f>
        <v>MgO</v>
      </c>
      <c r="C371">
        <f>'Quick View_ Sample Data'!O372</f>
        <v>143</v>
      </c>
      <c r="D371">
        <f>'Quick View_ Sample Data'!AN372</f>
        <v>0</v>
      </c>
      <c r="E371">
        <f>'Quick View_ Sample Data'!O372</f>
        <v>143</v>
      </c>
      <c r="F371">
        <f>'Quick View_ Sample Data'!AO372</f>
        <v>0</v>
      </c>
      <c r="G371">
        <f>'Quick View_ Sample Data'!O372</f>
        <v>143</v>
      </c>
      <c r="H371">
        <f>'Quick View_ Sample Data'!AP372</f>
        <v>0</v>
      </c>
      <c r="I371">
        <f>'Quick View_ Sample Data'!AF372</f>
        <v>0</v>
      </c>
      <c r="J371">
        <f>'Quick View_ Sample Data'!AJ372</f>
        <v>0</v>
      </c>
      <c r="K371">
        <f>'Quick View_ Sample Data'!AH372</f>
        <v>214.21857261762199</v>
      </c>
      <c r="L371">
        <f t="shared" si="5"/>
        <v>0</v>
      </c>
    </row>
    <row r="372" spans="1:12" ht="12.75" customHeight="1">
      <c r="A372" s="321"/>
      <c r="B372" t="str">
        <f>'Quick View_ Sample Data'!P373</f>
        <v>MgO</v>
      </c>
      <c r="C372">
        <f>'Quick View_ Sample Data'!O373</f>
        <v>143</v>
      </c>
      <c r="D372">
        <f>'Quick View_ Sample Data'!AN373</f>
        <v>96.348401097974858</v>
      </c>
      <c r="E372">
        <f>'Quick View_ Sample Data'!O373</f>
        <v>143</v>
      </c>
      <c r="F372">
        <f>'Quick View_ Sample Data'!AO373</f>
        <v>13970.518159206355</v>
      </c>
      <c r="G372">
        <f>'Quick View_ Sample Data'!O373</f>
        <v>143</v>
      </c>
      <c r="H372">
        <f>'Quick View_ Sample Data'!AP373</f>
        <v>3.0326086956521743</v>
      </c>
      <c r="I372">
        <f>'Quick View_ Sample Data'!AF373</f>
        <v>9.3000000000000007</v>
      </c>
      <c r="J372">
        <f>'Quick View_ Sample Data'!AJ373</f>
        <v>14.5</v>
      </c>
      <c r="K372">
        <f>'Quick View_ Sample Data'!AH373</f>
        <v>103.600431288145</v>
      </c>
      <c r="L372">
        <f t="shared" si="5"/>
        <v>134.85000000000002</v>
      </c>
    </row>
    <row r="373" spans="1:12" ht="12.75" customHeight="1">
      <c r="A373" s="321"/>
      <c r="B373" t="str">
        <f>'Quick View_ Sample Data'!P374</f>
        <v>MgO</v>
      </c>
      <c r="C373">
        <f>'Quick View_ Sample Data'!O374</f>
        <v>143</v>
      </c>
      <c r="D373">
        <f>'Quick View_ Sample Data'!AN374</f>
        <v>0</v>
      </c>
      <c r="E373">
        <f>'Quick View_ Sample Data'!O374</f>
        <v>143</v>
      </c>
      <c r="F373">
        <f>'Quick View_ Sample Data'!AO374</f>
        <v>0</v>
      </c>
      <c r="G373">
        <f>'Quick View_ Sample Data'!O374</f>
        <v>143</v>
      </c>
      <c r="H373">
        <f>'Quick View_ Sample Data'!AP374</f>
        <v>0</v>
      </c>
      <c r="I373">
        <f>'Quick View_ Sample Data'!AF374</f>
        <v>0</v>
      </c>
      <c r="J373">
        <f>'Quick View_ Sample Data'!AJ374</f>
        <v>0</v>
      </c>
      <c r="K373">
        <f>'Quick View_ Sample Data'!AH374</f>
        <v>103.36254281216701</v>
      </c>
      <c r="L373">
        <f t="shared" si="5"/>
        <v>0</v>
      </c>
    </row>
    <row r="374" spans="1:12" ht="12.75" customHeight="1">
      <c r="A374" s="321"/>
      <c r="B374" t="str">
        <f>'Quick View_ Sample Data'!P375</f>
        <v>MgO</v>
      </c>
      <c r="C374">
        <f>'Quick View_ Sample Data'!O375</f>
        <v>143</v>
      </c>
      <c r="D374">
        <f>'Quick View_ Sample Data'!AN375</f>
        <v>0</v>
      </c>
      <c r="E374">
        <f>'Quick View_ Sample Data'!O375</f>
        <v>143</v>
      </c>
      <c r="F374">
        <f>'Quick View_ Sample Data'!AO375</f>
        <v>0</v>
      </c>
      <c r="G374">
        <f>'Quick View_ Sample Data'!O375</f>
        <v>143</v>
      </c>
      <c r="H374">
        <f>'Quick View_ Sample Data'!AP375</f>
        <v>0</v>
      </c>
      <c r="I374">
        <f>'Quick View_ Sample Data'!AF375</f>
        <v>0</v>
      </c>
      <c r="J374">
        <f>'Quick View_ Sample Data'!AJ375</f>
        <v>0</v>
      </c>
      <c r="K374">
        <f>'Quick View_ Sample Data'!AH375</f>
        <v>104.43304095406501</v>
      </c>
      <c r="L374">
        <f t="shared" si="5"/>
        <v>0</v>
      </c>
    </row>
    <row r="375" spans="1:12" ht="12.75" customHeight="1">
      <c r="A375" s="321"/>
      <c r="B375" t="str">
        <f>'Quick View_ Sample Data'!P376</f>
        <v>SiNx</v>
      </c>
      <c r="C375">
        <f>'Quick View_ Sample Data'!O376</f>
        <v>144</v>
      </c>
      <c r="D375">
        <f>'Quick View_ Sample Data'!AN376</f>
        <v>280.65249786144159</v>
      </c>
      <c r="E375">
        <f>'Quick View_ Sample Data'!O376</f>
        <v>144</v>
      </c>
      <c r="F375">
        <f>'Quick View_ Sample Data'!AO376</f>
        <v>0</v>
      </c>
      <c r="G375">
        <f>'Quick View_ Sample Data'!O376</f>
        <v>144</v>
      </c>
      <c r="H375">
        <f>'Quick View_ Sample Data'!AP376</f>
        <v>4.1896551724137936</v>
      </c>
      <c r="I375">
        <f>'Quick View_ Sample Data'!AF376</f>
        <v>8.1</v>
      </c>
      <c r="J375">
        <f>'Quick View_ Sample Data'!AJ376</f>
        <v>0</v>
      </c>
      <c r="K375">
        <f>'Quick View_ Sample Data'!AH376</f>
        <v>346.48456526103899</v>
      </c>
      <c r="L375">
        <f t="shared" si="5"/>
        <v>0</v>
      </c>
    </row>
    <row r="376" spans="1:12" ht="12.75" customHeight="1">
      <c r="A376" s="321"/>
      <c r="B376" t="str">
        <f>'Quick View_ Sample Data'!P377</f>
        <v>SiNx</v>
      </c>
      <c r="C376">
        <f>'Quick View_ Sample Data'!O377</f>
        <v>144</v>
      </c>
      <c r="D376">
        <f>'Quick View_ Sample Data'!AN377</f>
        <v>281.61594618915007</v>
      </c>
      <c r="E376">
        <f>'Quick View_ Sample Data'!O377</f>
        <v>144</v>
      </c>
      <c r="F376">
        <f>'Quick View_ Sample Data'!AO377</f>
        <v>0</v>
      </c>
      <c r="G376">
        <f>'Quick View_ Sample Data'!O377</f>
        <v>144</v>
      </c>
      <c r="H376">
        <f>'Quick View_ Sample Data'!AP377</f>
        <v>4.1896551724137936</v>
      </c>
      <c r="I376">
        <f>'Quick View_ Sample Data'!AF377</f>
        <v>8.1</v>
      </c>
      <c r="J376">
        <f>'Quick View_ Sample Data'!AJ377</f>
        <v>0</v>
      </c>
      <c r="K376">
        <f>'Quick View_ Sample Data'!AH377</f>
        <v>347.67400764092599</v>
      </c>
      <c r="L376">
        <f t="shared" si="5"/>
        <v>0</v>
      </c>
    </row>
    <row r="377" spans="1:12" ht="12.75" customHeight="1">
      <c r="A377" s="321"/>
      <c r="B377" t="str">
        <f>'Quick View_ Sample Data'!P378</f>
        <v>SiNx</v>
      </c>
      <c r="C377">
        <f>'Quick View_ Sample Data'!O378</f>
        <v>144</v>
      </c>
      <c r="D377">
        <f>'Quick View_ Sample Data'!AN378</f>
        <v>282.29036001854604</v>
      </c>
      <c r="E377">
        <f>'Quick View_ Sample Data'!O378</f>
        <v>144</v>
      </c>
      <c r="F377">
        <f>'Quick View_ Sample Data'!AO378</f>
        <v>0</v>
      </c>
      <c r="G377">
        <f>'Quick View_ Sample Data'!O378</f>
        <v>144</v>
      </c>
      <c r="H377">
        <f>'Quick View_ Sample Data'!AP378</f>
        <v>4.1896551724137936</v>
      </c>
      <c r="I377">
        <f>'Quick View_ Sample Data'!AF378</f>
        <v>8.1</v>
      </c>
      <c r="J377">
        <f>'Quick View_ Sample Data'!AJ378</f>
        <v>0</v>
      </c>
      <c r="K377">
        <f>'Quick View_ Sample Data'!AH378</f>
        <v>348.50661730684698</v>
      </c>
      <c r="L377">
        <f t="shared" si="5"/>
        <v>0</v>
      </c>
    </row>
    <row r="378" spans="1:12" ht="12.75" customHeight="1">
      <c r="A378" s="321"/>
      <c r="B378" t="str">
        <f>'Quick View_ Sample Data'!P379</f>
        <v>MgO</v>
      </c>
      <c r="C378">
        <f>'Quick View_ Sample Data'!O379</f>
        <v>145</v>
      </c>
      <c r="D378">
        <f>'Quick View_ Sample Data'!AN379</f>
        <v>0</v>
      </c>
      <c r="E378">
        <f>'Quick View_ Sample Data'!O379</f>
        <v>145</v>
      </c>
      <c r="F378">
        <f>'Quick View_ Sample Data'!AO379</f>
        <v>0</v>
      </c>
      <c r="G378">
        <f>'Quick View_ Sample Data'!O379</f>
        <v>145</v>
      </c>
      <c r="H378">
        <f>'Quick View_ Sample Data'!AP379</f>
        <v>0</v>
      </c>
      <c r="I378">
        <f>'Quick View_ Sample Data'!AF379</f>
        <v>0</v>
      </c>
      <c r="J378">
        <f>'Quick View_ Sample Data'!AJ379</f>
        <v>0</v>
      </c>
      <c r="K378">
        <f>'Quick View_ Sample Data'!AH379</f>
        <v>368.608193526935</v>
      </c>
      <c r="L378">
        <f t="shared" si="5"/>
        <v>0</v>
      </c>
    </row>
    <row r="379" spans="1:12" ht="12.75" customHeight="1">
      <c r="A379" s="321"/>
      <c r="B379" t="str">
        <f>'Quick View_ Sample Data'!P380</f>
        <v>MgO</v>
      </c>
      <c r="C379">
        <f>'Quick View_ Sample Data'!O380</f>
        <v>145</v>
      </c>
      <c r="D379">
        <f>'Quick View_ Sample Data'!AN380</f>
        <v>0</v>
      </c>
      <c r="E379">
        <f>'Quick View_ Sample Data'!O380</f>
        <v>145</v>
      </c>
      <c r="F379">
        <f>'Quick View_ Sample Data'!AO380</f>
        <v>0</v>
      </c>
      <c r="G379">
        <f>'Quick View_ Sample Data'!O380</f>
        <v>145</v>
      </c>
      <c r="H379">
        <f>'Quick View_ Sample Data'!AP380</f>
        <v>0</v>
      </c>
      <c r="I379">
        <f>'Quick View_ Sample Data'!AF380</f>
        <v>0</v>
      </c>
      <c r="J379">
        <f>'Quick View_ Sample Data'!AJ380</f>
        <v>0</v>
      </c>
      <c r="K379">
        <f>'Quick View_ Sample Data'!AH380</f>
        <v>371.70074371464102</v>
      </c>
      <c r="L379">
        <f t="shared" si="5"/>
        <v>0</v>
      </c>
    </row>
    <row r="380" spans="1:12" ht="12.75" customHeight="1">
      <c r="A380" s="321"/>
      <c r="B380" t="str">
        <f>'Quick View_ Sample Data'!P381</f>
        <v>MgO</v>
      </c>
      <c r="C380">
        <f>'Quick View_ Sample Data'!O381</f>
        <v>145</v>
      </c>
      <c r="D380">
        <f>'Quick View_ Sample Data'!AN381</f>
        <v>0</v>
      </c>
      <c r="E380">
        <f>'Quick View_ Sample Data'!O381</f>
        <v>145</v>
      </c>
      <c r="F380">
        <f>'Quick View_ Sample Data'!AO381</f>
        <v>0</v>
      </c>
      <c r="G380">
        <f>'Quick View_ Sample Data'!O381</f>
        <v>145</v>
      </c>
      <c r="H380">
        <f>'Quick View_ Sample Data'!AP381</f>
        <v>0</v>
      </c>
      <c r="I380">
        <f>'Quick View_ Sample Data'!AF381</f>
        <v>0</v>
      </c>
      <c r="J380">
        <f>'Quick View_ Sample Data'!AJ381</f>
        <v>0</v>
      </c>
      <c r="K380">
        <f>'Quick View_ Sample Data'!AH381</f>
        <v>407.85979206320098</v>
      </c>
      <c r="L380">
        <f t="shared" si="5"/>
        <v>0</v>
      </c>
    </row>
    <row r="381" spans="1:12" ht="12.75" customHeight="1">
      <c r="A381" s="321"/>
      <c r="B381" t="str">
        <f>'Quick View_ Sample Data'!P382</f>
        <v>MgO</v>
      </c>
      <c r="C381">
        <f>'Quick View_ Sample Data'!O382</f>
        <v>145</v>
      </c>
      <c r="D381">
        <f>'Quick View_ Sample Data'!AN382</f>
        <v>0</v>
      </c>
      <c r="E381">
        <f>'Quick View_ Sample Data'!O382</f>
        <v>145</v>
      </c>
      <c r="F381">
        <f>'Quick View_ Sample Data'!AO382</f>
        <v>0</v>
      </c>
      <c r="G381">
        <f>'Quick View_ Sample Data'!O382</f>
        <v>145</v>
      </c>
      <c r="H381">
        <f>'Quick View_ Sample Data'!AP382</f>
        <v>0</v>
      </c>
      <c r="I381">
        <f>'Quick View_ Sample Data'!AF382</f>
        <v>0</v>
      </c>
      <c r="J381">
        <f>'Quick View_ Sample Data'!AJ382</f>
        <v>0</v>
      </c>
      <c r="K381">
        <f>'Quick View_ Sample Data'!AH382</f>
        <v>423.56043147770703</v>
      </c>
      <c r="L381">
        <f t="shared" si="5"/>
        <v>0</v>
      </c>
    </row>
    <row r="382" spans="1:12" ht="12.75" customHeight="1">
      <c r="A382" s="321"/>
      <c r="B382" t="str">
        <f>'Quick View_ Sample Data'!P383</f>
        <v>SiNx</v>
      </c>
      <c r="C382">
        <f>'Quick View_ Sample Data'!O383</f>
        <v>146</v>
      </c>
      <c r="D382">
        <f>'Quick View_ Sample Data'!AN383</f>
        <v>0</v>
      </c>
      <c r="E382">
        <f>'Quick View_ Sample Data'!O383</f>
        <v>146</v>
      </c>
      <c r="F382">
        <f>'Quick View_ Sample Data'!AO383</f>
        <v>0</v>
      </c>
      <c r="G382">
        <f>'Quick View_ Sample Data'!O383</f>
        <v>146</v>
      </c>
      <c r="H382">
        <f>'Quick View_ Sample Data'!AP383</f>
        <v>0</v>
      </c>
      <c r="I382">
        <f>'Quick View_ Sample Data'!AF383</f>
        <v>0</v>
      </c>
      <c r="J382">
        <f>'Quick View_ Sample Data'!AJ383</f>
        <v>0</v>
      </c>
      <c r="K382">
        <f>'Quick View_ Sample Data'!AH383</f>
        <v>366.94297419509297</v>
      </c>
      <c r="L382">
        <f t="shared" si="5"/>
        <v>0</v>
      </c>
    </row>
    <row r="383" spans="1:12" ht="12.75" customHeight="1">
      <c r="A383" s="321"/>
      <c r="B383" t="str">
        <f>'Quick View_ Sample Data'!P384</f>
        <v>SiNx</v>
      </c>
      <c r="C383">
        <f>'Quick View_ Sample Data'!O384</f>
        <v>146</v>
      </c>
      <c r="D383">
        <f>'Quick View_ Sample Data'!AN384</f>
        <v>0</v>
      </c>
      <c r="E383">
        <f>'Quick View_ Sample Data'!O384</f>
        <v>146</v>
      </c>
      <c r="F383">
        <f>'Quick View_ Sample Data'!AO384</f>
        <v>0</v>
      </c>
      <c r="G383">
        <f>'Quick View_ Sample Data'!O384</f>
        <v>146</v>
      </c>
      <c r="H383">
        <f>'Quick View_ Sample Data'!AP384</f>
        <v>0</v>
      </c>
      <c r="I383">
        <f>'Quick View_ Sample Data'!AF384</f>
        <v>0</v>
      </c>
      <c r="J383">
        <f>'Quick View_ Sample Data'!AJ384</f>
        <v>0</v>
      </c>
      <c r="K383">
        <f>'Quick View_ Sample Data'!AH384</f>
        <v>366.82402995710402</v>
      </c>
      <c r="L383">
        <f t="shared" si="5"/>
        <v>0</v>
      </c>
    </row>
    <row r="384" spans="1:12" ht="12.75" customHeight="1">
      <c r="A384" s="321"/>
      <c r="B384" t="str">
        <f>'Quick View_ Sample Data'!P385</f>
        <v>SiNx</v>
      </c>
      <c r="C384">
        <f>'Quick View_ Sample Data'!O385</f>
        <v>146</v>
      </c>
      <c r="D384">
        <f>'Quick View_ Sample Data'!AN385</f>
        <v>0</v>
      </c>
      <c r="E384">
        <f>'Quick View_ Sample Data'!O385</f>
        <v>146</v>
      </c>
      <c r="F384">
        <f>'Quick View_ Sample Data'!AO385</f>
        <v>0</v>
      </c>
      <c r="G384">
        <f>'Quick View_ Sample Data'!O385</f>
        <v>146</v>
      </c>
      <c r="H384">
        <f>'Quick View_ Sample Data'!AP385</f>
        <v>0</v>
      </c>
      <c r="I384">
        <f>'Quick View_ Sample Data'!AF385</f>
        <v>0</v>
      </c>
      <c r="J384">
        <f>'Quick View_ Sample Data'!AJ385</f>
        <v>0</v>
      </c>
      <c r="K384">
        <f>'Quick View_ Sample Data'!AH385</f>
        <v>365.991420291184</v>
      </c>
      <c r="L384">
        <f t="shared" si="5"/>
        <v>0</v>
      </c>
    </row>
    <row r="385" spans="1:12" ht="12.75" customHeight="1">
      <c r="A385" s="321"/>
      <c r="B385" t="str">
        <f>'Quick View_ Sample Data'!P386</f>
        <v>MgO</v>
      </c>
      <c r="C385">
        <f>'Quick View_ Sample Data'!O386</f>
        <v>147</v>
      </c>
      <c r="D385">
        <f>'Quick View_ Sample Data'!AN386</f>
        <v>0</v>
      </c>
      <c r="E385">
        <f>'Quick View_ Sample Data'!O386</f>
        <v>147</v>
      </c>
      <c r="F385">
        <f>'Quick View_ Sample Data'!AO386</f>
        <v>0</v>
      </c>
      <c r="G385">
        <f>'Quick View_ Sample Data'!O386</f>
        <v>147</v>
      </c>
      <c r="H385">
        <f>'Quick View_ Sample Data'!AP386</f>
        <v>0</v>
      </c>
      <c r="I385">
        <f>'Quick View_ Sample Data'!AF386</f>
        <v>0</v>
      </c>
      <c r="J385">
        <f>'Quick View_ Sample Data'!AJ386</f>
        <v>0</v>
      </c>
      <c r="K385">
        <f>'Quick View_ Sample Data'!AH386</f>
        <v>0</v>
      </c>
      <c r="L385">
        <f t="shared" si="5"/>
        <v>0</v>
      </c>
    </row>
    <row r="386" spans="1:12" ht="12.75" customHeight="1">
      <c r="A386" s="321"/>
      <c r="B386" t="str">
        <f>'Quick View_ Sample Data'!P387</f>
        <v>MgO</v>
      </c>
      <c r="C386">
        <f>'Quick View_ Sample Data'!O387</f>
        <v>147</v>
      </c>
      <c r="D386">
        <f>'Quick View_ Sample Data'!AN387</f>
        <v>0</v>
      </c>
      <c r="E386">
        <f>'Quick View_ Sample Data'!O387</f>
        <v>147</v>
      </c>
      <c r="F386">
        <f>'Quick View_ Sample Data'!AO387</f>
        <v>0</v>
      </c>
      <c r="G386">
        <f>'Quick View_ Sample Data'!O387</f>
        <v>147</v>
      </c>
      <c r="H386">
        <f>'Quick View_ Sample Data'!AP387</f>
        <v>0</v>
      </c>
      <c r="I386">
        <f>'Quick View_ Sample Data'!AF387</f>
        <v>0</v>
      </c>
      <c r="J386">
        <f>'Quick View_ Sample Data'!AJ387</f>
        <v>0</v>
      </c>
      <c r="K386">
        <f>'Quick View_ Sample Data'!AH387</f>
        <v>0</v>
      </c>
      <c r="L386">
        <f t="shared" ref="L386:L449" si="6">I386*J386</f>
        <v>0</v>
      </c>
    </row>
    <row r="387" spans="1:12" ht="12.75" customHeight="1">
      <c r="A387" s="321"/>
      <c r="B387" t="str">
        <f>'Quick View_ Sample Data'!P388</f>
        <v>MgO</v>
      </c>
      <c r="C387">
        <f>'Quick View_ Sample Data'!O388</f>
        <v>147</v>
      </c>
      <c r="D387">
        <f>'Quick View_ Sample Data'!AN388</f>
        <v>0</v>
      </c>
      <c r="E387">
        <f>'Quick View_ Sample Data'!O388</f>
        <v>147</v>
      </c>
      <c r="F387">
        <f>'Quick View_ Sample Data'!AO388</f>
        <v>0</v>
      </c>
      <c r="G387">
        <f>'Quick View_ Sample Data'!O388</f>
        <v>147</v>
      </c>
      <c r="H387">
        <f>'Quick View_ Sample Data'!AP388</f>
        <v>0</v>
      </c>
      <c r="I387">
        <f>'Quick View_ Sample Data'!AF388</f>
        <v>0</v>
      </c>
      <c r="J387">
        <f>'Quick View_ Sample Data'!AJ388</f>
        <v>0</v>
      </c>
      <c r="K387">
        <f>'Quick View_ Sample Data'!AH388</f>
        <v>0</v>
      </c>
      <c r="L387">
        <f t="shared" si="6"/>
        <v>0</v>
      </c>
    </row>
    <row r="388" spans="1:12" ht="12.75" customHeight="1">
      <c r="A388" s="321"/>
      <c r="B388" t="str">
        <f>'Quick View_ Sample Data'!P389</f>
        <v>MgO</v>
      </c>
      <c r="C388">
        <f>'Quick View_ Sample Data'!O389</f>
        <v>147</v>
      </c>
      <c r="D388">
        <f>'Quick View_ Sample Data'!AN389</f>
        <v>0</v>
      </c>
      <c r="E388">
        <f>'Quick View_ Sample Data'!O389</f>
        <v>147</v>
      </c>
      <c r="F388">
        <f>'Quick View_ Sample Data'!AO389</f>
        <v>0</v>
      </c>
      <c r="G388">
        <f>'Quick View_ Sample Data'!O389</f>
        <v>147</v>
      </c>
      <c r="H388">
        <f>'Quick View_ Sample Data'!AP389</f>
        <v>0</v>
      </c>
      <c r="I388">
        <f>'Quick View_ Sample Data'!AF389</f>
        <v>0</v>
      </c>
      <c r="J388">
        <f>'Quick View_ Sample Data'!AJ389</f>
        <v>0</v>
      </c>
      <c r="K388">
        <f>'Quick View_ Sample Data'!AH389</f>
        <v>0</v>
      </c>
      <c r="L388">
        <f t="shared" si="6"/>
        <v>0</v>
      </c>
    </row>
    <row r="389" spans="1:12" ht="12.75" customHeight="1">
      <c r="A389" s="321"/>
      <c r="B389" t="str">
        <f>'Quick View_ Sample Data'!P390</f>
        <v>Sapphire</v>
      </c>
      <c r="C389">
        <f>'Quick View_ Sample Data'!O390</f>
        <v>148</v>
      </c>
      <c r="D389">
        <f>'Quick View_ Sample Data'!AN390</f>
        <v>0</v>
      </c>
      <c r="E389">
        <f>'Quick View_ Sample Data'!O390</f>
        <v>148</v>
      </c>
      <c r="F389">
        <f>'Quick View_ Sample Data'!AO390</f>
        <v>0</v>
      </c>
      <c r="G389">
        <f>'Quick View_ Sample Data'!O390</f>
        <v>148</v>
      </c>
      <c r="H389">
        <f>'Quick View_ Sample Data'!AP390</f>
        <v>0</v>
      </c>
      <c r="I389">
        <f>'Quick View_ Sample Data'!AF390</f>
        <v>0</v>
      </c>
      <c r="J389">
        <f>'Quick View_ Sample Data'!AJ390</f>
        <v>11.44</v>
      </c>
      <c r="K389">
        <f>'Quick View_ Sample Data'!AH390</f>
        <v>383.5</v>
      </c>
      <c r="L389">
        <f t="shared" si="6"/>
        <v>0</v>
      </c>
    </row>
    <row r="390" spans="1:12" ht="12.75" customHeight="1">
      <c r="A390" s="321"/>
      <c r="B390" t="str">
        <f>'Quick View_ Sample Data'!P391</f>
        <v>MgO</v>
      </c>
      <c r="C390">
        <f>'Quick View_ Sample Data'!O391</f>
        <v>148</v>
      </c>
      <c r="D390">
        <f>'Quick View_ Sample Data'!AN391</f>
        <v>0</v>
      </c>
      <c r="E390">
        <f>'Quick View_ Sample Data'!O391</f>
        <v>148</v>
      </c>
      <c r="F390">
        <f>'Quick View_ Sample Data'!AO391</f>
        <v>0</v>
      </c>
      <c r="G390">
        <f>'Quick View_ Sample Data'!O391</f>
        <v>148</v>
      </c>
      <c r="H390">
        <f>'Quick View_ Sample Data'!AP391</f>
        <v>0</v>
      </c>
      <c r="I390">
        <f>'Quick View_ Sample Data'!AF391</f>
        <v>0</v>
      </c>
      <c r="J390">
        <f>'Quick View_ Sample Data'!AJ391</f>
        <v>10.8</v>
      </c>
      <c r="K390">
        <f>'Quick View_ Sample Data'!AH391</f>
        <v>354.7</v>
      </c>
      <c r="L390">
        <f t="shared" si="6"/>
        <v>0</v>
      </c>
    </row>
    <row r="391" spans="1:12" ht="12.75" customHeight="1">
      <c r="A391" s="321"/>
      <c r="B391" t="str">
        <f>'Quick View_ Sample Data'!P392</f>
        <v>Sapphire</v>
      </c>
      <c r="C391">
        <f>'Quick View_ Sample Data'!O392</f>
        <v>148</v>
      </c>
      <c r="D391">
        <f>'Quick View_ Sample Data'!AN392</f>
        <v>0</v>
      </c>
      <c r="E391">
        <f>'Quick View_ Sample Data'!O392</f>
        <v>148</v>
      </c>
      <c r="F391">
        <f>'Quick View_ Sample Data'!AO392</f>
        <v>0</v>
      </c>
      <c r="G391">
        <f>'Quick View_ Sample Data'!O392</f>
        <v>148</v>
      </c>
      <c r="H391">
        <f>'Quick View_ Sample Data'!AP392</f>
        <v>0</v>
      </c>
      <c r="I391">
        <f>'Quick View_ Sample Data'!AF392</f>
        <v>0</v>
      </c>
      <c r="J391">
        <f>'Quick View_ Sample Data'!AJ392</f>
        <v>10.8</v>
      </c>
      <c r="K391">
        <f>'Quick View_ Sample Data'!AH392</f>
        <v>415.4</v>
      </c>
      <c r="L391">
        <f t="shared" si="6"/>
        <v>0</v>
      </c>
    </row>
    <row r="392" spans="1:12" ht="12.75" customHeight="1">
      <c r="A392" s="321"/>
      <c r="B392" t="str">
        <f>'Quick View_ Sample Data'!P393</f>
        <v>MgO</v>
      </c>
      <c r="C392">
        <f>'Quick View_ Sample Data'!O393</f>
        <v>148</v>
      </c>
      <c r="D392">
        <f>'Quick View_ Sample Data'!AN393</f>
        <v>0</v>
      </c>
      <c r="E392">
        <f>'Quick View_ Sample Data'!O393</f>
        <v>148</v>
      </c>
      <c r="F392">
        <f>'Quick View_ Sample Data'!AO393</f>
        <v>0</v>
      </c>
      <c r="G392">
        <f>'Quick View_ Sample Data'!O393</f>
        <v>148</v>
      </c>
      <c r="H392">
        <f>'Quick View_ Sample Data'!AP393</f>
        <v>0</v>
      </c>
      <c r="I392">
        <f>'Quick View_ Sample Data'!AF393</f>
        <v>0</v>
      </c>
      <c r="J392">
        <f>'Quick View_ Sample Data'!AJ393</f>
        <v>10.6</v>
      </c>
      <c r="K392">
        <f>'Quick View_ Sample Data'!AH393</f>
        <v>356.7</v>
      </c>
      <c r="L392">
        <f t="shared" si="6"/>
        <v>0</v>
      </c>
    </row>
    <row r="393" spans="1:12" ht="12.75" customHeight="1">
      <c r="A393" s="321"/>
      <c r="B393" t="str">
        <f>'Quick View_ Sample Data'!P394</f>
        <v>MgO</v>
      </c>
      <c r="C393">
        <f>'Quick View_ Sample Data'!O394</f>
        <v>149</v>
      </c>
      <c r="D393">
        <f>'Quick View_ Sample Data'!AN394</f>
        <v>0</v>
      </c>
      <c r="E393">
        <f>'Quick View_ Sample Data'!O394</f>
        <v>149</v>
      </c>
      <c r="F393">
        <f>'Quick View_ Sample Data'!AO394</f>
        <v>0</v>
      </c>
      <c r="G393">
        <f>'Quick View_ Sample Data'!O394</f>
        <v>149</v>
      </c>
      <c r="H393">
        <f>'Quick View_ Sample Data'!AP394</f>
        <v>0</v>
      </c>
      <c r="I393">
        <f>'Quick View_ Sample Data'!AF394</f>
        <v>0</v>
      </c>
      <c r="J393">
        <f>'Quick View_ Sample Data'!AJ394</f>
        <v>7.7</v>
      </c>
      <c r="K393">
        <f>'Quick View_ Sample Data'!AH394</f>
        <v>850.92707857105199</v>
      </c>
      <c r="L393">
        <f t="shared" si="6"/>
        <v>0</v>
      </c>
    </row>
    <row r="394" spans="1:12" ht="12.75" customHeight="1">
      <c r="A394" s="321"/>
      <c r="B394" t="str">
        <f>'Quick View_ Sample Data'!P395</f>
        <v>MgO</v>
      </c>
      <c r="C394">
        <f>'Quick View_ Sample Data'!O395</f>
        <v>149</v>
      </c>
      <c r="D394">
        <f>'Quick View_ Sample Data'!AN395</f>
        <v>204.87907105075004</v>
      </c>
      <c r="E394">
        <f>'Quick View_ Sample Data'!O395</f>
        <v>149</v>
      </c>
      <c r="F394">
        <f>'Quick View_ Sample Data'!AO395</f>
        <v>0</v>
      </c>
      <c r="G394">
        <f>'Quick View_ Sample Data'!O395</f>
        <v>149</v>
      </c>
      <c r="H394">
        <f>'Quick View_ Sample Data'!AP395</f>
        <v>2.7692307692307692</v>
      </c>
      <c r="I394">
        <f>'Quick View_ Sample Data'!AF395</f>
        <v>2.4</v>
      </c>
      <c r="J394">
        <f>'Quick View_ Sample Data'!AJ395</f>
        <v>0</v>
      </c>
      <c r="K394">
        <f>'Quick View_ Sample Data'!AH395</f>
        <v>853.662796044792</v>
      </c>
      <c r="L394">
        <f t="shared" si="6"/>
        <v>0</v>
      </c>
    </row>
    <row r="395" spans="1:12" ht="12.75" customHeight="1">
      <c r="A395" s="321"/>
      <c r="B395" t="str">
        <f>'Quick View_ Sample Data'!P396</f>
        <v>MgO</v>
      </c>
      <c r="C395">
        <f>'Quick View_ Sample Data'!O396</f>
        <v>149</v>
      </c>
      <c r="D395">
        <f>'Quick View_ Sample Data'!AN396</f>
        <v>0</v>
      </c>
      <c r="E395">
        <f>'Quick View_ Sample Data'!O396</f>
        <v>149</v>
      </c>
      <c r="F395">
        <f>'Quick View_ Sample Data'!AO396</f>
        <v>0</v>
      </c>
      <c r="G395">
        <f>'Quick View_ Sample Data'!O396</f>
        <v>149</v>
      </c>
      <c r="H395">
        <f>'Quick View_ Sample Data'!AP396</f>
        <v>0</v>
      </c>
      <c r="I395">
        <f>'Quick View_ Sample Data'!AF396</f>
        <v>0</v>
      </c>
      <c r="J395">
        <f>'Quick View_ Sample Data'!AJ396</f>
        <v>0</v>
      </c>
      <c r="K395">
        <f>'Quick View_ Sample Data'!AH396</f>
        <v>0</v>
      </c>
      <c r="L395">
        <f t="shared" si="6"/>
        <v>0</v>
      </c>
    </row>
    <row r="396" spans="1:12" ht="12.75" customHeight="1">
      <c r="A396" s="321"/>
      <c r="B396" t="str">
        <f>'Quick View_ Sample Data'!P397</f>
        <v>MgO</v>
      </c>
      <c r="C396">
        <f>'Quick View_ Sample Data'!O397</f>
        <v>149</v>
      </c>
      <c r="D396">
        <f>'Quick View_ Sample Data'!AN397</f>
        <v>0</v>
      </c>
      <c r="E396">
        <f>'Quick View_ Sample Data'!O397</f>
        <v>149</v>
      </c>
      <c r="F396">
        <f>'Quick View_ Sample Data'!AO397</f>
        <v>0</v>
      </c>
      <c r="G396">
        <f>'Quick View_ Sample Data'!O397</f>
        <v>149</v>
      </c>
      <c r="H396">
        <f>'Quick View_ Sample Data'!AP397</f>
        <v>0</v>
      </c>
      <c r="I396">
        <f>'Quick View_ Sample Data'!AF397</f>
        <v>0</v>
      </c>
      <c r="J396">
        <f>'Quick View_ Sample Data'!AJ397</f>
        <v>0</v>
      </c>
      <c r="K396">
        <f>'Quick View_ Sample Data'!AH397</f>
        <v>0</v>
      </c>
      <c r="L396">
        <f t="shared" si="6"/>
        <v>0</v>
      </c>
    </row>
    <row r="397" spans="1:12" ht="12.75" customHeight="1">
      <c r="A397" s="321"/>
      <c r="B397" t="str">
        <f>'Quick View_ Sample Data'!P398</f>
        <v>SiNx</v>
      </c>
      <c r="C397">
        <f>'Quick View_ Sample Data'!O398</f>
        <v>150</v>
      </c>
      <c r="D397">
        <f>'Quick View_ Sample Data'!AN398</f>
        <v>308.57465772928549</v>
      </c>
      <c r="E397">
        <f>'Quick View_ Sample Data'!O398</f>
        <v>150</v>
      </c>
      <c r="F397">
        <f>'Quick View_ Sample Data'!AO398</f>
        <v>0</v>
      </c>
      <c r="G397">
        <f>'Quick View_ Sample Data'!O398</f>
        <v>150</v>
      </c>
      <c r="H397">
        <f>'Quick View_ Sample Data'!AP398</f>
        <v>4.0344827586206895</v>
      </c>
      <c r="I397">
        <f>'Quick View_ Sample Data'!AF398</f>
        <v>7.8</v>
      </c>
      <c r="J397">
        <f>'Quick View_ Sample Data'!AJ398</f>
        <v>0</v>
      </c>
      <c r="K397">
        <f>'Quick View_ Sample Data'!AH398</f>
        <v>395.60853555036601</v>
      </c>
      <c r="L397">
        <f t="shared" si="6"/>
        <v>0</v>
      </c>
    </row>
    <row r="398" spans="1:12" ht="12.75" customHeight="1">
      <c r="A398" s="321"/>
      <c r="B398" t="str">
        <f>'Quick View_ Sample Data'!P399</f>
        <v>SiNx</v>
      </c>
      <c r="C398">
        <f>'Quick View_ Sample Data'!O399</f>
        <v>150</v>
      </c>
      <c r="D398">
        <f>'Quick View_ Sample Data'!AN399</f>
        <v>309.03854025744181</v>
      </c>
      <c r="E398">
        <f>'Quick View_ Sample Data'!O399</f>
        <v>150</v>
      </c>
      <c r="F398">
        <f>'Quick View_ Sample Data'!AO399</f>
        <v>0</v>
      </c>
      <c r="G398">
        <f>'Quick View_ Sample Data'!O399</f>
        <v>150</v>
      </c>
      <c r="H398">
        <f>'Quick View_ Sample Data'!AP399</f>
        <v>4.0344827586206895</v>
      </c>
      <c r="I398">
        <f>'Quick View_ Sample Data'!AF399</f>
        <v>7.8</v>
      </c>
      <c r="J398">
        <f>'Quick View_ Sample Data'!AJ399</f>
        <v>0</v>
      </c>
      <c r="K398">
        <f>'Quick View_ Sample Data'!AH399</f>
        <v>396.20325674031</v>
      </c>
      <c r="L398">
        <f t="shared" si="6"/>
        <v>0</v>
      </c>
    </row>
    <row r="399" spans="1:12" ht="12.75" customHeight="1">
      <c r="A399" s="321"/>
      <c r="B399" t="str">
        <f>'Quick View_ Sample Data'!P400</f>
        <v>SiNx</v>
      </c>
      <c r="C399">
        <f>'Quick View_ Sample Data'!O400</f>
        <v>150</v>
      </c>
      <c r="D399">
        <f>'Quick View_ Sample Data'!AN400</f>
        <v>309.4096462799659</v>
      </c>
      <c r="E399">
        <f>'Quick View_ Sample Data'!O400</f>
        <v>150</v>
      </c>
      <c r="F399">
        <f>'Quick View_ Sample Data'!AO400</f>
        <v>0</v>
      </c>
      <c r="G399">
        <f>'Quick View_ Sample Data'!O400</f>
        <v>150</v>
      </c>
      <c r="H399">
        <f>'Quick View_ Sample Data'!AP400</f>
        <v>4.0344827586206895</v>
      </c>
      <c r="I399">
        <f>'Quick View_ Sample Data'!AF400</f>
        <v>7.8</v>
      </c>
      <c r="J399">
        <f>'Quick View_ Sample Data'!AJ400</f>
        <v>0</v>
      </c>
      <c r="K399">
        <f>'Quick View_ Sample Data'!AH400</f>
        <v>396.679033692264</v>
      </c>
      <c r="L399">
        <f t="shared" si="6"/>
        <v>0</v>
      </c>
    </row>
    <row r="400" spans="1:12" ht="12.75" customHeight="1">
      <c r="A400" s="321"/>
      <c r="B400" t="str">
        <f>'Quick View_ Sample Data'!P401</f>
        <v>MgO</v>
      </c>
      <c r="C400">
        <f>'Quick View_ Sample Data'!O401</f>
        <v>151</v>
      </c>
      <c r="D400">
        <f>'Quick View_ Sample Data'!AN401</f>
        <v>0</v>
      </c>
      <c r="E400">
        <f>'Quick View_ Sample Data'!O401</f>
        <v>151</v>
      </c>
      <c r="F400">
        <f>'Quick View_ Sample Data'!AO401</f>
        <v>0</v>
      </c>
      <c r="G400">
        <f>'Quick View_ Sample Data'!O401</f>
        <v>151</v>
      </c>
      <c r="H400">
        <f>'Quick View_ Sample Data'!AP401</f>
        <v>0</v>
      </c>
      <c r="I400">
        <f>'Quick View_ Sample Data'!AF401</f>
        <v>0</v>
      </c>
      <c r="J400">
        <f>'Quick View_ Sample Data'!AJ401</f>
        <v>0</v>
      </c>
      <c r="K400">
        <f>'Quick View_ Sample Data'!AH401</f>
        <v>439.49895936819098</v>
      </c>
      <c r="L400">
        <f t="shared" si="6"/>
        <v>0</v>
      </c>
    </row>
    <row r="401" spans="1:12" ht="12.75" customHeight="1">
      <c r="A401" s="321"/>
      <c r="B401" t="str">
        <f>'Quick View_ Sample Data'!P402</f>
        <v>MgO</v>
      </c>
      <c r="C401">
        <f>'Quick View_ Sample Data'!O402</f>
        <v>151</v>
      </c>
      <c r="D401">
        <f>'Quick View_ Sample Data'!AN402</f>
        <v>0</v>
      </c>
      <c r="E401">
        <f>'Quick View_ Sample Data'!O402</f>
        <v>151</v>
      </c>
      <c r="F401">
        <f>'Quick View_ Sample Data'!AO402</f>
        <v>0</v>
      </c>
      <c r="G401">
        <f>'Quick View_ Sample Data'!O402</f>
        <v>151</v>
      </c>
      <c r="H401">
        <f>'Quick View_ Sample Data'!AP402</f>
        <v>0</v>
      </c>
      <c r="I401">
        <f>'Quick View_ Sample Data'!AF402</f>
        <v>0</v>
      </c>
      <c r="J401">
        <f>'Quick View_ Sample Data'!AJ402</f>
        <v>0</v>
      </c>
      <c r="K401">
        <f>'Quick View_ Sample Data'!AH402</f>
        <v>415.59116753246502</v>
      </c>
      <c r="L401">
        <f t="shared" si="6"/>
        <v>0</v>
      </c>
    </row>
    <row r="402" spans="1:12" ht="12.75" customHeight="1">
      <c r="A402" s="321"/>
      <c r="B402" t="str">
        <f>'Quick View_ Sample Data'!P403</f>
        <v>MgO</v>
      </c>
      <c r="C402">
        <f>'Quick View_ Sample Data'!O403</f>
        <v>151</v>
      </c>
      <c r="D402">
        <f>'Quick View_ Sample Data'!AN403</f>
        <v>0</v>
      </c>
      <c r="E402">
        <f>'Quick View_ Sample Data'!O403</f>
        <v>151</v>
      </c>
      <c r="F402">
        <f>'Quick View_ Sample Data'!AO403</f>
        <v>0</v>
      </c>
      <c r="G402">
        <f>'Quick View_ Sample Data'!O403</f>
        <v>151</v>
      </c>
      <c r="H402">
        <f>'Quick View_ Sample Data'!AP403</f>
        <v>0</v>
      </c>
      <c r="I402">
        <f>'Quick View_ Sample Data'!AF403</f>
        <v>0</v>
      </c>
      <c r="J402">
        <f>'Quick View_ Sample Data'!AJ403</f>
        <v>10.5</v>
      </c>
      <c r="K402">
        <f>'Quick View_ Sample Data'!AH403</f>
        <v>432.83808204082499</v>
      </c>
      <c r="L402">
        <f t="shared" si="6"/>
        <v>0</v>
      </c>
    </row>
    <row r="403" spans="1:12" ht="12.75" customHeight="1">
      <c r="A403" s="321"/>
      <c r="B403" t="str">
        <f>'Quick View_ Sample Data'!P404</f>
        <v>MgO</v>
      </c>
      <c r="C403">
        <f>'Quick View_ Sample Data'!O404</f>
        <v>151</v>
      </c>
      <c r="D403">
        <f>'Quick View_ Sample Data'!AN404</f>
        <v>0</v>
      </c>
      <c r="E403">
        <f>'Quick View_ Sample Data'!O404</f>
        <v>151</v>
      </c>
      <c r="F403">
        <f>'Quick View_ Sample Data'!AO404</f>
        <v>0</v>
      </c>
      <c r="G403">
        <f>'Quick View_ Sample Data'!O404</f>
        <v>151</v>
      </c>
      <c r="H403">
        <f>'Quick View_ Sample Data'!AP404</f>
        <v>0</v>
      </c>
      <c r="I403">
        <f>'Quick View_ Sample Data'!AF404</f>
        <v>0</v>
      </c>
      <c r="J403">
        <f>'Quick View_ Sample Data'!AJ404</f>
        <v>0</v>
      </c>
      <c r="K403">
        <f>'Quick View_ Sample Data'!AH404</f>
        <v>411.90389615481598</v>
      </c>
      <c r="L403">
        <f t="shared" si="6"/>
        <v>0</v>
      </c>
    </row>
    <row r="404" spans="1:12" ht="12.75" customHeight="1">
      <c r="A404" s="321"/>
      <c r="B404" t="str">
        <f>'Quick View_ Sample Data'!P405</f>
        <v>SiNx</v>
      </c>
      <c r="C404">
        <f>'Quick View_ Sample Data'!O405</f>
        <v>152</v>
      </c>
      <c r="D404">
        <f>'Quick View_ Sample Data'!AN405</f>
        <v>0</v>
      </c>
      <c r="E404">
        <f>'Quick View_ Sample Data'!O405</f>
        <v>152</v>
      </c>
      <c r="F404">
        <f>'Quick View_ Sample Data'!AO405</f>
        <v>0</v>
      </c>
      <c r="G404">
        <f>'Quick View_ Sample Data'!O405</f>
        <v>152</v>
      </c>
      <c r="H404">
        <f>'Quick View_ Sample Data'!AP405</f>
        <v>0</v>
      </c>
      <c r="I404">
        <f>'Quick View_ Sample Data'!AF405</f>
        <v>0</v>
      </c>
      <c r="J404">
        <f>'Quick View_ Sample Data'!AJ405</f>
        <v>0</v>
      </c>
      <c r="K404">
        <f>'Quick View_ Sample Data'!AH405</f>
        <v>0</v>
      </c>
      <c r="L404">
        <f t="shared" si="6"/>
        <v>0</v>
      </c>
    </row>
    <row r="405" spans="1:12" ht="12.75" customHeight="1">
      <c r="A405" s="321"/>
      <c r="B405" t="str">
        <f>'Quick View_ Sample Data'!P406</f>
        <v>Glass</v>
      </c>
      <c r="C405">
        <f>'Quick View_ Sample Data'!O406</f>
        <v>152</v>
      </c>
      <c r="D405">
        <f>'Quick View_ Sample Data'!AN406</f>
        <v>0</v>
      </c>
      <c r="E405">
        <f>'Quick View_ Sample Data'!O406</f>
        <v>152</v>
      </c>
      <c r="F405">
        <f>'Quick View_ Sample Data'!AO406</f>
        <v>0</v>
      </c>
      <c r="G405">
        <f>'Quick View_ Sample Data'!O406</f>
        <v>152</v>
      </c>
      <c r="H405">
        <f>'Quick View_ Sample Data'!AP406</f>
        <v>0</v>
      </c>
      <c r="I405">
        <f>'Quick View_ Sample Data'!AF406</f>
        <v>0</v>
      </c>
      <c r="J405">
        <f>'Quick View_ Sample Data'!AJ406</f>
        <v>9.0500000000000007</v>
      </c>
      <c r="K405">
        <f>'Quick View_ Sample Data'!AH406</f>
        <v>433.194914754791</v>
      </c>
      <c r="L405">
        <f t="shared" si="6"/>
        <v>0</v>
      </c>
    </row>
    <row r="406" spans="1:12" ht="12.75" customHeight="1">
      <c r="A406" s="321"/>
      <c r="B406" t="str">
        <f>'Quick View_ Sample Data'!P407</f>
        <v>SiNx</v>
      </c>
      <c r="C406">
        <f>'Quick View_ Sample Data'!O407</f>
        <v>152</v>
      </c>
      <c r="D406">
        <f>'Quick View_ Sample Data'!AN407</f>
        <v>0</v>
      </c>
      <c r="E406">
        <f>'Quick View_ Sample Data'!O407</f>
        <v>152</v>
      </c>
      <c r="F406">
        <f>'Quick View_ Sample Data'!AO407</f>
        <v>0</v>
      </c>
      <c r="G406">
        <f>'Quick View_ Sample Data'!O407</f>
        <v>152</v>
      </c>
      <c r="H406">
        <f>'Quick View_ Sample Data'!AP407</f>
        <v>0</v>
      </c>
      <c r="I406">
        <f>'Quick View_ Sample Data'!AF407</f>
        <v>0</v>
      </c>
      <c r="J406">
        <f>'Quick View_ Sample Data'!AJ407</f>
        <v>0</v>
      </c>
      <c r="K406">
        <f>'Quick View_ Sample Data'!AH407</f>
        <v>0</v>
      </c>
      <c r="L406">
        <f t="shared" si="6"/>
        <v>0</v>
      </c>
    </row>
    <row r="407" spans="1:12" ht="12.75" customHeight="1">
      <c r="A407" s="321"/>
      <c r="B407" t="str">
        <f>'Quick View_ Sample Data'!P408</f>
        <v>Glass</v>
      </c>
      <c r="C407">
        <f>'Quick View_ Sample Data'!O408</f>
        <v>152</v>
      </c>
      <c r="D407">
        <f>'Quick View_ Sample Data'!AN408</f>
        <v>0</v>
      </c>
      <c r="E407">
        <f>'Quick View_ Sample Data'!O408</f>
        <v>152</v>
      </c>
      <c r="F407">
        <f>'Quick View_ Sample Data'!AO408</f>
        <v>0</v>
      </c>
      <c r="G407">
        <f>'Quick View_ Sample Data'!O408</f>
        <v>152</v>
      </c>
      <c r="H407">
        <f>'Quick View_ Sample Data'!AP408</f>
        <v>4.0862068965517242</v>
      </c>
      <c r="I407">
        <f>'Quick View_ Sample Data'!AF408</f>
        <v>7.9</v>
      </c>
      <c r="J407">
        <f>'Quick View_ Sample Data'!AJ408</f>
        <v>0</v>
      </c>
      <c r="K407">
        <f>'Quick View_ Sample Data'!AH408</f>
        <v>0</v>
      </c>
      <c r="L407">
        <f t="shared" si="6"/>
        <v>0</v>
      </c>
    </row>
    <row r="408" spans="1:12" ht="12.75" customHeight="1">
      <c r="A408" s="321"/>
      <c r="B408" t="str">
        <f>'Quick View_ Sample Data'!P409</f>
        <v>Glass</v>
      </c>
      <c r="C408">
        <f>'Quick View_ Sample Data'!O409</f>
        <v>153</v>
      </c>
      <c r="D408">
        <f>'Quick View_ Sample Data'!AN409</f>
        <v>0</v>
      </c>
      <c r="E408">
        <f>'Quick View_ Sample Data'!O409</f>
        <v>153</v>
      </c>
      <c r="F408">
        <f>'Quick View_ Sample Data'!AO409</f>
        <v>0</v>
      </c>
      <c r="G408">
        <f>'Quick View_ Sample Data'!O409</f>
        <v>153</v>
      </c>
      <c r="H408">
        <f>'Quick View_ Sample Data'!AP409</f>
        <v>0</v>
      </c>
      <c r="I408">
        <f>'Quick View_ Sample Data'!AF409</f>
        <v>0</v>
      </c>
      <c r="J408">
        <f>'Quick View_ Sample Data'!AJ409</f>
        <v>0</v>
      </c>
      <c r="K408">
        <f>'Quick View_ Sample Data'!AH409</f>
        <v>0</v>
      </c>
      <c r="L408">
        <f t="shared" si="6"/>
        <v>0</v>
      </c>
    </row>
    <row r="409" spans="1:12" ht="12.75" customHeight="1">
      <c r="A409" s="321"/>
      <c r="B409" t="str">
        <f>'Quick View_ Sample Data'!P410</f>
        <v>Glass</v>
      </c>
      <c r="C409">
        <f>'Quick View_ Sample Data'!O410</f>
        <v>153</v>
      </c>
      <c r="D409">
        <f>'Quick View_ Sample Data'!AN410</f>
        <v>0</v>
      </c>
      <c r="E409">
        <f>'Quick View_ Sample Data'!O410</f>
        <v>153</v>
      </c>
      <c r="F409">
        <f>'Quick View_ Sample Data'!AO410</f>
        <v>0</v>
      </c>
      <c r="G409">
        <f>'Quick View_ Sample Data'!O410</f>
        <v>153</v>
      </c>
      <c r="H409">
        <f>'Quick View_ Sample Data'!AP410</f>
        <v>0</v>
      </c>
      <c r="I409">
        <f>'Quick View_ Sample Data'!AF410</f>
        <v>0</v>
      </c>
      <c r="J409">
        <f>'Quick View_ Sample Data'!AJ410</f>
        <v>9</v>
      </c>
      <c r="K409">
        <f>'Quick View_ Sample Data'!AH410</f>
        <v>374.67434966435798</v>
      </c>
      <c r="L409">
        <f t="shared" si="6"/>
        <v>0</v>
      </c>
    </row>
    <row r="410" spans="1:12" ht="12.75" customHeight="1">
      <c r="A410" s="321"/>
      <c r="B410" t="str">
        <f>'Quick View_ Sample Data'!P411</f>
        <v>Glass</v>
      </c>
      <c r="C410">
        <f>'Quick View_ Sample Data'!O411</f>
        <v>153</v>
      </c>
      <c r="D410">
        <f>'Quick View_ Sample Data'!AN411</f>
        <v>0</v>
      </c>
      <c r="E410">
        <f>'Quick View_ Sample Data'!O411</f>
        <v>153</v>
      </c>
      <c r="F410">
        <f>'Quick View_ Sample Data'!AO411</f>
        <v>0</v>
      </c>
      <c r="G410">
        <f>'Quick View_ Sample Data'!O411</f>
        <v>153</v>
      </c>
      <c r="H410">
        <f>'Quick View_ Sample Data'!AP411</f>
        <v>4.2413793103448265</v>
      </c>
      <c r="I410">
        <f>'Quick View_ Sample Data'!AF411</f>
        <v>8.1999999999999993</v>
      </c>
      <c r="J410">
        <f>'Quick View_ Sample Data'!AJ411</f>
        <v>0</v>
      </c>
      <c r="K410">
        <f>'Quick View_ Sample Data'!AH411</f>
        <v>0</v>
      </c>
      <c r="L410">
        <f t="shared" si="6"/>
        <v>0</v>
      </c>
    </row>
    <row r="411" spans="1:12" ht="12.75" customHeight="1">
      <c r="A411" s="321"/>
      <c r="B411" t="str">
        <f>'Quick View_ Sample Data'!P412</f>
        <v>Glass</v>
      </c>
      <c r="C411">
        <f>'Quick View_ Sample Data'!O412</f>
        <v>153</v>
      </c>
      <c r="D411">
        <f>'Quick View_ Sample Data'!AN412</f>
        <v>0</v>
      </c>
      <c r="E411">
        <f>'Quick View_ Sample Data'!O412</f>
        <v>153</v>
      </c>
      <c r="F411">
        <f>'Quick View_ Sample Data'!AO412</f>
        <v>0</v>
      </c>
      <c r="G411">
        <f>'Quick View_ Sample Data'!O412</f>
        <v>153</v>
      </c>
      <c r="H411">
        <f>'Quick View_ Sample Data'!AP412</f>
        <v>0</v>
      </c>
      <c r="I411">
        <f>'Quick View_ Sample Data'!AF412</f>
        <v>0</v>
      </c>
      <c r="J411">
        <f>'Quick View_ Sample Data'!AJ412</f>
        <v>0</v>
      </c>
      <c r="K411">
        <f>'Quick View_ Sample Data'!AH412</f>
        <v>0</v>
      </c>
      <c r="L411">
        <f t="shared" si="6"/>
        <v>0</v>
      </c>
    </row>
    <row r="412" spans="1:12" ht="12.75" customHeight="1">
      <c r="A412" s="321"/>
      <c r="B412" t="str">
        <f>'Quick View_ Sample Data'!P413</f>
        <v>SiNx</v>
      </c>
      <c r="C412">
        <f>'Quick View_ Sample Data'!O413</f>
        <v>154</v>
      </c>
      <c r="D412">
        <f>'Quick View_ Sample Data'!AN413</f>
        <v>0</v>
      </c>
      <c r="E412">
        <f>'Quick View_ Sample Data'!O413</f>
        <v>154</v>
      </c>
      <c r="F412">
        <f>'Quick View_ Sample Data'!AO413</f>
        <v>0</v>
      </c>
      <c r="G412">
        <f>'Quick View_ Sample Data'!O413</f>
        <v>154</v>
      </c>
      <c r="H412">
        <f>'Quick View_ Sample Data'!AP413</f>
        <v>0</v>
      </c>
      <c r="I412">
        <f>'Quick View_ Sample Data'!AF413</f>
        <v>0</v>
      </c>
      <c r="J412">
        <f>'Quick View_ Sample Data'!AJ413</f>
        <v>0</v>
      </c>
      <c r="K412">
        <f>'Quick View_ Sample Data'!AH413</f>
        <v>0</v>
      </c>
      <c r="L412">
        <f t="shared" si="6"/>
        <v>0</v>
      </c>
    </row>
    <row r="413" spans="1:12" ht="12.75" customHeight="1">
      <c r="A413" s="321"/>
      <c r="B413" t="str">
        <f>'Quick View_ Sample Data'!P414</f>
        <v>SiNx</v>
      </c>
      <c r="C413">
        <f>'Quick View_ Sample Data'!O414</f>
        <v>154</v>
      </c>
      <c r="D413">
        <f>'Quick View_ Sample Data'!AN414</f>
        <v>0</v>
      </c>
      <c r="E413">
        <f>'Quick View_ Sample Data'!O414</f>
        <v>154</v>
      </c>
      <c r="F413">
        <f>'Quick View_ Sample Data'!AO414</f>
        <v>0</v>
      </c>
      <c r="G413">
        <f>'Quick View_ Sample Data'!O414</f>
        <v>154</v>
      </c>
      <c r="H413">
        <f>'Quick View_ Sample Data'!AP414</f>
        <v>0</v>
      </c>
      <c r="I413">
        <f>'Quick View_ Sample Data'!AF414</f>
        <v>0</v>
      </c>
      <c r="J413">
        <f>'Quick View_ Sample Data'!AJ414</f>
        <v>0</v>
      </c>
      <c r="K413">
        <f>'Quick View_ Sample Data'!AH414</f>
        <v>0</v>
      </c>
      <c r="L413">
        <f t="shared" si="6"/>
        <v>0</v>
      </c>
    </row>
    <row r="414" spans="1:12" ht="12.75" customHeight="1">
      <c r="A414" s="321"/>
      <c r="B414" t="str">
        <f>'Quick View_ Sample Data'!P415</f>
        <v>SiNx</v>
      </c>
      <c r="C414">
        <f>'Quick View_ Sample Data'!O415</f>
        <v>154</v>
      </c>
      <c r="D414">
        <f>'Quick View_ Sample Data'!AN415</f>
        <v>0</v>
      </c>
      <c r="E414">
        <f>'Quick View_ Sample Data'!O415</f>
        <v>154</v>
      </c>
      <c r="F414">
        <f>'Quick View_ Sample Data'!AO415</f>
        <v>0</v>
      </c>
      <c r="G414">
        <f>'Quick View_ Sample Data'!O415</f>
        <v>154</v>
      </c>
      <c r="H414">
        <f>'Quick View_ Sample Data'!AP415</f>
        <v>0</v>
      </c>
      <c r="I414">
        <f>'Quick View_ Sample Data'!AF415</f>
        <v>0</v>
      </c>
      <c r="J414">
        <f>'Quick View_ Sample Data'!AJ415</f>
        <v>0</v>
      </c>
      <c r="K414">
        <f>'Quick View_ Sample Data'!AH415</f>
        <v>0</v>
      </c>
      <c r="L414">
        <f t="shared" si="6"/>
        <v>0</v>
      </c>
    </row>
    <row r="415" spans="1:12" ht="12.75" customHeight="1">
      <c r="A415" s="321"/>
      <c r="B415" t="str">
        <f>'Quick View_ Sample Data'!P416</f>
        <v>SiNx</v>
      </c>
      <c r="C415">
        <f>'Quick View_ Sample Data'!O416</f>
        <v>154</v>
      </c>
      <c r="D415">
        <f>'Quick View_ Sample Data'!AN416</f>
        <v>0</v>
      </c>
      <c r="E415">
        <f>'Quick View_ Sample Data'!O416</f>
        <v>154</v>
      </c>
      <c r="F415">
        <f>'Quick View_ Sample Data'!AO416</f>
        <v>0</v>
      </c>
      <c r="G415">
        <f>'Quick View_ Sample Data'!O416</f>
        <v>154</v>
      </c>
      <c r="H415">
        <f>'Quick View_ Sample Data'!AP416</f>
        <v>0</v>
      </c>
      <c r="I415">
        <f>'Quick View_ Sample Data'!AF416</f>
        <v>0</v>
      </c>
      <c r="J415">
        <f>'Quick View_ Sample Data'!AJ416</f>
        <v>0</v>
      </c>
      <c r="K415">
        <f>'Quick View_ Sample Data'!AH416</f>
        <v>0</v>
      </c>
      <c r="L415">
        <f t="shared" si="6"/>
        <v>0</v>
      </c>
    </row>
    <row r="416" spans="1:12" ht="12.75" customHeight="1">
      <c r="A416" s="321"/>
      <c r="B416" t="str">
        <f>'Quick View_ Sample Data'!P417</f>
        <v>SiNx</v>
      </c>
      <c r="C416">
        <f>'Quick View_ Sample Data'!O417</f>
        <v>155</v>
      </c>
      <c r="D416">
        <f>'Quick View_ Sample Data'!AN417</f>
        <v>0</v>
      </c>
      <c r="E416">
        <f>'Quick View_ Sample Data'!O417</f>
        <v>155</v>
      </c>
      <c r="F416">
        <f>'Quick View_ Sample Data'!AO417</f>
        <v>0</v>
      </c>
      <c r="G416">
        <f>'Quick View_ Sample Data'!O417</f>
        <v>155</v>
      </c>
      <c r="H416">
        <f>'Quick View_ Sample Data'!AP417</f>
        <v>0</v>
      </c>
      <c r="I416">
        <f>'Quick View_ Sample Data'!AF417</f>
        <v>0</v>
      </c>
      <c r="J416">
        <f>'Quick View_ Sample Data'!AJ417</f>
        <v>8.4</v>
      </c>
      <c r="K416">
        <f>'Quick View_ Sample Data'!AH417</f>
        <v>386.44982922523798</v>
      </c>
      <c r="L416">
        <f t="shared" si="6"/>
        <v>0</v>
      </c>
    </row>
    <row r="417" spans="1:12" ht="12.75" customHeight="1">
      <c r="A417" s="321"/>
      <c r="B417" t="str">
        <f>'Quick View_ Sample Data'!P418</f>
        <v>SiNx</v>
      </c>
      <c r="C417">
        <f>'Quick View_ Sample Data'!O418</f>
        <v>155</v>
      </c>
      <c r="D417">
        <f>'Quick View_ Sample Data'!AN418</f>
        <v>0</v>
      </c>
      <c r="E417">
        <f>'Quick View_ Sample Data'!O418</f>
        <v>155</v>
      </c>
      <c r="F417">
        <f>'Quick View_ Sample Data'!AO418</f>
        <v>0</v>
      </c>
      <c r="G417">
        <f>'Quick View_ Sample Data'!O418</f>
        <v>155</v>
      </c>
      <c r="H417">
        <f>'Quick View_ Sample Data'!AP418</f>
        <v>0</v>
      </c>
      <c r="I417">
        <f>'Quick View_ Sample Data'!AF418</f>
        <v>0</v>
      </c>
      <c r="J417">
        <f>'Quick View_ Sample Data'!AJ418</f>
        <v>0</v>
      </c>
      <c r="K417">
        <f>'Quick View_ Sample Data'!AH418</f>
        <v>384.07094446546398</v>
      </c>
      <c r="L417">
        <f t="shared" si="6"/>
        <v>0</v>
      </c>
    </row>
    <row r="418" spans="1:12" ht="12.75" customHeight="1">
      <c r="A418" s="321"/>
      <c r="B418" t="str">
        <f>'Quick View_ Sample Data'!P419</f>
        <v>SiNx</v>
      </c>
      <c r="C418">
        <f>'Quick View_ Sample Data'!O419</f>
        <v>155</v>
      </c>
      <c r="D418">
        <f>'Quick View_ Sample Data'!AN419</f>
        <v>0</v>
      </c>
      <c r="E418">
        <f>'Quick View_ Sample Data'!O419</f>
        <v>155</v>
      </c>
      <c r="F418">
        <f>'Quick View_ Sample Data'!AO419</f>
        <v>0</v>
      </c>
      <c r="G418">
        <f>'Quick View_ Sample Data'!O419</f>
        <v>155</v>
      </c>
      <c r="H418">
        <f>'Quick View_ Sample Data'!AP419</f>
        <v>0</v>
      </c>
      <c r="I418">
        <f>'Quick View_ Sample Data'!AF419</f>
        <v>0</v>
      </c>
      <c r="J418">
        <f>'Quick View_ Sample Data'!AJ419</f>
        <v>0</v>
      </c>
      <c r="K418">
        <f>'Quick View_ Sample Data'!AH419</f>
        <v>384.54672141741901</v>
      </c>
      <c r="L418">
        <f t="shared" si="6"/>
        <v>0</v>
      </c>
    </row>
    <row r="419" spans="1:12" ht="12.75" customHeight="1">
      <c r="A419" s="321"/>
      <c r="B419" t="str">
        <f>'Quick View_ Sample Data'!P420</f>
        <v>Glass</v>
      </c>
      <c r="C419">
        <f>'Quick View_ Sample Data'!O420</f>
        <v>155</v>
      </c>
      <c r="D419">
        <f>'Quick View_ Sample Data'!AN420</f>
        <v>322.44831364828622</v>
      </c>
      <c r="E419">
        <f>'Quick View_ Sample Data'!O420</f>
        <v>155</v>
      </c>
      <c r="F419">
        <f>'Quick View_ Sample Data'!AO420</f>
        <v>0</v>
      </c>
      <c r="G419">
        <f>'Quick View_ Sample Data'!O420</f>
        <v>155</v>
      </c>
      <c r="H419">
        <f>'Quick View_ Sample Data'!AP420</f>
        <v>4.0999999999999996</v>
      </c>
      <c r="I419">
        <f>'Quick View_ Sample Data'!AF420</f>
        <v>8.1999999999999993</v>
      </c>
      <c r="J419">
        <f>'Quick View_ Sample Data'!AJ420</f>
        <v>0</v>
      </c>
      <c r="K419">
        <f>'Quick View_ Sample Data'!AH420</f>
        <v>393.22965079059298</v>
      </c>
      <c r="L419">
        <f t="shared" si="6"/>
        <v>0</v>
      </c>
    </row>
    <row r="420" spans="1:12" ht="12.75" customHeight="1">
      <c r="A420" s="321"/>
      <c r="B420" t="str">
        <f>'Quick View_ Sample Data'!P421</f>
        <v>SiNx</v>
      </c>
      <c r="C420">
        <f>'Quick View_ Sample Data'!O421</f>
        <v>156</v>
      </c>
      <c r="D420">
        <f>'Quick View_ Sample Data'!AN421</f>
        <v>0</v>
      </c>
      <c r="E420">
        <f>'Quick View_ Sample Data'!O421</f>
        <v>156</v>
      </c>
      <c r="F420">
        <f>'Quick View_ Sample Data'!AO421</f>
        <v>0</v>
      </c>
      <c r="G420">
        <f>'Quick View_ Sample Data'!O421</f>
        <v>156</v>
      </c>
      <c r="H420">
        <f>'Quick View_ Sample Data'!AP421</f>
        <v>0</v>
      </c>
      <c r="I420">
        <f>'Quick View_ Sample Data'!AF421</f>
        <v>0</v>
      </c>
      <c r="J420">
        <f>'Quick View_ Sample Data'!AJ421</f>
        <v>0</v>
      </c>
      <c r="K420">
        <f>'Quick View_ Sample Data'!AH421</f>
        <v>356.11904853812302</v>
      </c>
      <c r="L420">
        <f t="shared" si="6"/>
        <v>0</v>
      </c>
    </row>
    <row r="421" spans="1:12" ht="12.75" customHeight="1">
      <c r="A421" s="321"/>
      <c r="B421" t="str">
        <f>'Quick View_ Sample Data'!P422</f>
        <v>SiNx</v>
      </c>
      <c r="C421">
        <f>'Quick View_ Sample Data'!O422</f>
        <v>156</v>
      </c>
      <c r="D421">
        <f>'Quick View_ Sample Data'!AN422</f>
        <v>0</v>
      </c>
      <c r="E421">
        <f>'Quick View_ Sample Data'!O422</f>
        <v>156</v>
      </c>
      <c r="F421">
        <f>'Quick View_ Sample Data'!AO422</f>
        <v>0</v>
      </c>
      <c r="G421">
        <f>'Quick View_ Sample Data'!O422</f>
        <v>156</v>
      </c>
      <c r="H421">
        <f>'Quick View_ Sample Data'!AP422</f>
        <v>0</v>
      </c>
      <c r="I421">
        <f>'Quick View_ Sample Data'!AF422</f>
        <v>0</v>
      </c>
      <c r="J421">
        <f>'Quick View_ Sample Data'!AJ422</f>
        <v>0</v>
      </c>
      <c r="K421">
        <f>'Quick View_ Sample Data'!AH422</f>
        <v>354.81066192024701</v>
      </c>
      <c r="L421">
        <f t="shared" si="6"/>
        <v>0</v>
      </c>
    </row>
    <row r="422" spans="1:12" ht="12.75" customHeight="1">
      <c r="A422" s="321"/>
      <c r="B422" t="str">
        <f>'Quick View_ Sample Data'!P423</f>
        <v>SiNx</v>
      </c>
      <c r="C422">
        <f>'Quick View_ Sample Data'!O423</f>
        <v>156</v>
      </c>
      <c r="D422">
        <f>'Quick View_ Sample Data'!AN423</f>
        <v>0</v>
      </c>
      <c r="E422">
        <f>'Quick View_ Sample Data'!O423</f>
        <v>156</v>
      </c>
      <c r="F422">
        <f>'Quick View_ Sample Data'!AO423</f>
        <v>0</v>
      </c>
      <c r="G422">
        <f>'Quick View_ Sample Data'!O423</f>
        <v>156</v>
      </c>
      <c r="H422">
        <f>'Quick View_ Sample Data'!AP423</f>
        <v>0</v>
      </c>
      <c r="I422">
        <f>'Quick View_ Sample Data'!AF423</f>
        <v>0</v>
      </c>
      <c r="J422">
        <f>'Quick View_ Sample Data'!AJ423</f>
        <v>8.4</v>
      </c>
      <c r="K422">
        <f>'Quick View_ Sample Data'!AH423</f>
        <v>355.76221582415701</v>
      </c>
      <c r="L422">
        <f t="shared" si="6"/>
        <v>0</v>
      </c>
    </row>
    <row r="423" spans="1:12" ht="12.75" customHeight="1">
      <c r="A423" s="321"/>
      <c r="B423" t="str">
        <f>'Quick View_ Sample Data'!P424</f>
        <v>Glass</v>
      </c>
      <c r="C423">
        <f>'Quick View_ Sample Data'!O424</f>
        <v>156</v>
      </c>
      <c r="D423">
        <f>'Quick View_ Sample Data'!AN424</f>
        <v>290.19063630575437</v>
      </c>
      <c r="E423">
        <f>'Quick View_ Sample Data'!O424</f>
        <v>156</v>
      </c>
      <c r="F423">
        <f>'Quick View_ Sample Data'!AO424</f>
        <v>0</v>
      </c>
      <c r="G423">
        <f>'Quick View_ Sample Data'!O424</f>
        <v>156</v>
      </c>
      <c r="H423">
        <f>'Quick View_ Sample Data'!AP424</f>
        <v>3.9193548387096775</v>
      </c>
      <c r="I423">
        <f>'Quick View_ Sample Data'!AF424</f>
        <v>8.1</v>
      </c>
      <c r="J423">
        <f>'Quick View_ Sample Data'!AJ424</f>
        <v>0</v>
      </c>
      <c r="K423">
        <f>'Quick View_ Sample Data'!AH424</f>
        <v>358.260044821919</v>
      </c>
      <c r="L423">
        <f t="shared" si="6"/>
        <v>0</v>
      </c>
    </row>
    <row r="424" spans="1:12" ht="12.75" customHeight="1">
      <c r="A424" s="321"/>
      <c r="B424" t="str">
        <f>'Quick View_ Sample Data'!P425</f>
        <v>SiNx</v>
      </c>
      <c r="C424">
        <f>'Quick View_ Sample Data'!O425</f>
        <v>157</v>
      </c>
      <c r="D424">
        <f>'Quick View_ Sample Data'!AN425</f>
        <v>0</v>
      </c>
      <c r="E424">
        <f>'Quick View_ Sample Data'!O425</f>
        <v>157</v>
      </c>
      <c r="F424">
        <f>'Quick View_ Sample Data'!AO425</f>
        <v>0</v>
      </c>
      <c r="G424">
        <f>'Quick View_ Sample Data'!O425</f>
        <v>157</v>
      </c>
      <c r="H424">
        <f>'Quick View_ Sample Data'!AP425</f>
        <v>0</v>
      </c>
      <c r="I424">
        <f>'Quick View_ Sample Data'!AF425</f>
        <v>0</v>
      </c>
      <c r="J424">
        <f>'Quick View_ Sample Data'!AJ425</f>
        <v>11.06</v>
      </c>
      <c r="K424">
        <f>'Quick View_ Sample Data'!AH425</f>
        <v>150.58000000000001</v>
      </c>
      <c r="L424">
        <f t="shared" si="6"/>
        <v>0</v>
      </c>
    </row>
    <row r="425" spans="1:12" ht="12.75" customHeight="1">
      <c r="A425" s="321"/>
      <c r="B425" t="str">
        <f>'Quick View_ Sample Data'!P426</f>
        <v>SiNx</v>
      </c>
      <c r="C425">
        <f>'Quick View_ Sample Data'!O426</f>
        <v>157</v>
      </c>
      <c r="D425">
        <f>'Quick View_ Sample Data'!AN426</f>
        <v>0</v>
      </c>
      <c r="E425">
        <f>'Quick View_ Sample Data'!O426</f>
        <v>157</v>
      </c>
      <c r="F425">
        <f>'Quick View_ Sample Data'!AO426</f>
        <v>0</v>
      </c>
      <c r="G425">
        <f>'Quick View_ Sample Data'!O426</f>
        <v>157</v>
      </c>
      <c r="H425">
        <f>'Quick View_ Sample Data'!AP426</f>
        <v>0</v>
      </c>
      <c r="I425">
        <f>'Quick View_ Sample Data'!AF426</f>
        <v>0</v>
      </c>
      <c r="J425">
        <f>'Quick View_ Sample Data'!AJ426</f>
        <v>11.11</v>
      </c>
      <c r="K425">
        <f>'Quick View_ Sample Data'!AH426</f>
        <v>155.22</v>
      </c>
      <c r="L425">
        <f t="shared" si="6"/>
        <v>0</v>
      </c>
    </row>
    <row r="426" spans="1:12" ht="12.75" customHeight="1">
      <c r="A426" s="321"/>
      <c r="B426" t="str">
        <f>'Quick View_ Sample Data'!P427</f>
        <v>SiNx</v>
      </c>
      <c r="C426">
        <f>'Quick View_ Sample Data'!O427</f>
        <v>157</v>
      </c>
      <c r="D426">
        <f>'Quick View_ Sample Data'!AN427</f>
        <v>0</v>
      </c>
      <c r="E426">
        <f>'Quick View_ Sample Data'!O427</f>
        <v>157</v>
      </c>
      <c r="F426">
        <f>'Quick View_ Sample Data'!AO427</f>
        <v>0</v>
      </c>
      <c r="G426">
        <f>'Quick View_ Sample Data'!O427</f>
        <v>157</v>
      </c>
      <c r="H426">
        <f>'Quick View_ Sample Data'!AP427</f>
        <v>0</v>
      </c>
      <c r="I426">
        <f>'Quick View_ Sample Data'!AF427</f>
        <v>0</v>
      </c>
      <c r="J426">
        <f>'Quick View_ Sample Data'!AJ427</f>
        <v>11.07</v>
      </c>
      <c r="K426">
        <f>'Quick View_ Sample Data'!AH427</f>
        <v>157</v>
      </c>
      <c r="L426">
        <f t="shared" si="6"/>
        <v>0</v>
      </c>
    </row>
    <row r="427" spans="1:12" ht="12.75" customHeight="1">
      <c r="A427" s="321"/>
      <c r="B427" t="str">
        <f>'Quick View_ Sample Data'!P428</f>
        <v>Glass</v>
      </c>
      <c r="C427">
        <f>'Quick View_ Sample Data'!O428</f>
        <v>157</v>
      </c>
      <c r="D427">
        <f>'Quick View_ Sample Data'!AN428</f>
        <v>0</v>
      </c>
      <c r="E427">
        <f>'Quick View_ Sample Data'!O428</f>
        <v>157</v>
      </c>
      <c r="F427">
        <f>'Quick View_ Sample Data'!AO428</f>
        <v>0</v>
      </c>
      <c r="G427">
        <f>'Quick View_ Sample Data'!O428</f>
        <v>157</v>
      </c>
      <c r="H427">
        <f>'Quick View_ Sample Data'!AP428</f>
        <v>0</v>
      </c>
      <c r="I427">
        <f>'Quick View_ Sample Data'!AF428</f>
        <v>0</v>
      </c>
      <c r="J427">
        <f>'Quick View_ Sample Data'!AJ428</f>
        <v>11.14</v>
      </c>
      <c r="K427">
        <f>'Quick View_ Sample Data'!AH428</f>
        <v>157.72</v>
      </c>
      <c r="L427">
        <f t="shared" si="6"/>
        <v>0</v>
      </c>
    </row>
    <row r="428" spans="1:12" ht="12.75" customHeight="1">
      <c r="A428" s="321"/>
      <c r="B428" t="str">
        <f>'Quick View_ Sample Data'!P429</f>
        <v>SiNx</v>
      </c>
      <c r="C428">
        <f>'Quick View_ Sample Data'!O429</f>
        <v>165</v>
      </c>
      <c r="D428">
        <f>'Quick View_ Sample Data'!AN429</f>
        <v>0</v>
      </c>
      <c r="E428">
        <f>'Quick View_ Sample Data'!O429</f>
        <v>165</v>
      </c>
      <c r="F428">
        <f>'Quick View_ Sample Data'!AO429</f>
        <v>0</v>
      </c>
      <c r="G428">
        <f>'Quick View_ Sample Data'!O429</f>
        <v>165</v>
      </c>
      <c r="H428">
        <f>'Quick View_ Sample Data'!AP429</f>
        <v>0</v>
      </c>
      <c r="I428">
        <f>'Quick View_ Sample Data'!AF429</f>
        <v>0</v>
      </c>
      <c r="J428">
        <f>'Quick View_ Sample Data'!AJ429</f>
        <v>11.1</v>
      </c>
      <c r="K428">
        <f>'Quick View_ Sample Data'!AH429</f>
        <v>43.53</v>
      </c>
      <c r="L428">
        <f t="shared" si="6"/>
        <v>0</v>
      </c>
    </row>
    <row r="429" spans="1:12" ht="12.75" customHeight="1">
      <c r="A429" s="321"/>
      <c r="B429" t="str">
        <f>'Quick View_ Sample Data'!P430</f>
        <v>SiNx</v>
      </c>
      <c r="C429">
        <f>'Quick View_ Sample Data'!O430</f>
        <v>165</v>
      </c>
      <c r="D429">
        <f>'Quick View_ Sample Data'!AN430</f>
        <v>0</v>
      </c>
      <c r="E429">
        <f>'Quick View_ Sample Data'!O430</f>
        <v>165</v>
      </c>
      <c r="F429">
        <f>'Quick View_ Sample Data'!AO430</f>
        <v>0</v>
      </c>
      <c r="G429">
        <f>'Quick View_ Sample Data'!O430</f>
        <v>165</v>
      </c>
      <c r="H429">
        <f>'Quick View_ Sample Data'!AP430</f>
        <v>0</v>
      </c>
      <c r="I429">
        <f>'Quick View_ Sample Data'!AF430</f>
        <v>0</v>
      </c>
      <c r="J429">
        <f>'Quick View_ Sample Data'!AJ430</f>
        <v>0</v>
      </c>
      <c r="K429">
        <f>'Quick View_ Sample Data'!AH430</f>
        <v>44.6</v>
      </c>
      <c r="L429">
        <f t="shared" si="6"/>
        <v>0</v>
      </c>
    </row>
    <row r="430" spans="1:12" ht="12.75" customHeight="1">
      <c r="A430" s="321"/>
      <c r="B430" t="str">
        <f>'Quick View_ Sample Data'!P431</f>
        <v>SiNx</v>
      </c>
      <c r="C430">
        <f>'Quick View_ Sample Data'!O431</f>
        <v>165</v>
      </c>
      <c r="D430">
        <f>'Quick View_ Sample Data'!AN431</f>
        <v>0</v>
      </c>
      <c r="E430">
        <f>'Quick View_ Sample Data'!O431</f>
        <v>165</v>
      </c>
      <c r="F430">
        <f>'Quick View_ Sample Data'!AO431</f>
        <v>0</v>
      </c>
      <c r="G430">
        <f>'Quick View_ Sample Data'!O431</f>
        <v>165</v>
      </c>
      <c r="H430">
        <f>'Quick View_ Sample Data'!AP431</f>
        <v>0</v>
      </c>
      <c r="I430">
        <f>'Quick View_ Sample Data'!AF431</f>
        <v>0</v>
      </c>
      <c r="J430">
        <f>'Quick View_ Sample Data'!AJ431</f>
        <v>0</v>
      </c>
      <c r="K430">
        <f>'Quick View_ Sample Data'!AH431</f>
        <v>43.89</v>
      </c>
      <c r="L430">
        <f t="shared" si="6"/>
        <v>0</v>
      </c>
    </row>
    <row r="431" spans="1:12" ht="12.75" customHeight="1">
      <c r="A431" s="321"/>
      <c r="B431" t="str">
        <f>'Quick View_ Sample Data'!P432</f>
        <v>Glass</v>
      </c>
      <c r="C431">
        <f>'Quick View_ Sample Data'!O432</f>
        <v>165</v>
      </c>
      <c r="D431">
        <f>'Quick View_ Sample Data'!AN432</f>
        <v>0</v>
      </c>
      <c r="E431">
        <f>'Quick View_ Sample Data'!O432</f>
        <v>165</v>
      </c>
      <c r="F431">
        <f>'Quick View_ Sample Data'!AO432</f>
        <v>0</v>
      </c>
      <c r="G431">
        <f>'Quick View_ Sample Data'!O432</f>
        <v>165</v>
      </c>
      <c r="H431">
        <f>'Quick View_ Sample Data'!AP432</f>
        <v>0</v>
      </c>
      <c r="I431">
        <f>'Quick View_ Sample Data'!AF432</f>
        <v>0</v>
      </c>
      <c r="J431">
        <f>'Quick View_ Sample Data'!AJ432</f>
        <v>0</v>
      </c>
      <c r="K431">
        <f>'Quick View_ Sample Data'!AH432</f>
        <v>43.53</v>
      </c>
      <c r="L431">
        <f t="shared" si="6"/>
        <v>0</v>
      </c>
    </row>
    <row r="432" spans="1:12" ht="12.75" customHeight="1">
      <c r="A432" s="321"/>
      <c r="B432" t="str">
        <f>'Quick View_ Sample Data'!P433</f>
        <v>SiNx</v>
      </c>
      <c r="C432">
        <f>'Quick View_ Sample Data'!O433</f>
        <v>166</v>
      </c>
      <c r="D432">
        <f>'Quick View_ Sample Data'!AN433</f>
        <v>0</v>
      </c>
      <c r="E432">
        <f>'Quick View_ Sample Data'!O433</f>
        <v>166</v>
      </c>
      <c r="F432">
        <f>'Quick View_ Sample Data'!AO433</f>
        <v>0</v>
      </c>
      <c r="G432">
        <f>'Quick View_ Sample Data'!O433</f>
        <v>166</v>
      </c>
      <c r="H432">
        <f>'Quick View_ Sample Data'!AP433</f>
        <v>0</v>
      </c>
      <c r="I432">
        <f>'Quick View_ Sample Data'!AF433</f>
        <v>0</v>
      </c>
      <c r="J432">
        <f>'Quick View_ Sample Data'!AJ433</f>
        <v>11.9</v>
      </c>
      <c r="K432">
        <f>'Quick View_ Sample Data'!AH433</f>
        <v>29.26</v>
      </c>
      <c r="L432">
        <f t="shared" si="6"/>
        <v>0</v>
      </c>
    </row>
    <row r="433" spans="1:12" ht="12.75" customHeight="1">
      <c r="A433" s="321"/>
      <c r="B433" t="str">
        <f>'Quick View_ Sample Data'!P434</f>
        <v>SiNx</v>
      </c>
      <c r="C433">
        <f>'Quick View_ Sample Data'!O434</f>
        <v>166</v>
      </c>
      <c r="D433">
        <f>'Quick View_ Sample Data'!AN434</f>
        <v>0</v>
      </c>
      <c r="E433">
        <f>'Quick View_ Sample Data'!O434</f>
        <v>166</v>
      </c>
      <c r="F433">
        <f>'Quick View_ Sample Data'!AO434</f>
        <v>0</v>
      </c>
      <c r="G433">
        <f>'Quick View_ Sample Data'!O434</f>
        <v>166</v>
      </c>
      <c r="H433">
        <f>'Quick View_ Sample Data'!AP434</f>
        <v>0</v>
      </c>
      <c r="I433">
        <f>'Quick View_ Sample Data'!AF434</f>
        <v>0</v>
      </c>
      <c r="J433">
        <f>'Quick View_ Sample Data'!AJ434</f>
        <v>0</v>
      </c>
      <c r="K433">
        <f>'Quick View_ Sample Data'!AH434</f>
        <v>29.26</v>
      </c>
      <c r="L433">
        <f t="shared" si="6"/>
        <v>0</v>
      </c>
    </row>
    <row r="434" spans="1:12" ht="12.75" customHeight="1">
      <c r="A434" s="321"/>
      <c r="B434" t="str">
        <f>'Quick View_ Sample Data'!P435</f>
        <v>SiNx</v>
      </c>
      <c r="C434">
        <f>'Quick View_ Sample Data'!O435</f>
        <v>166</v>
      </c>
      <c r="D434">
        <f>'Quick View_ Sample Data'!AN435</f>
        <v>0</v>
      </c>
      <c r="E434">
        <f>'Quick View_ Sample Data'!O435</f>
        <v>166</v>
      </c>
      <c r="F434">
        <f>'Quick View_ Sample Data'!AO435</f>
        <v>0</v>
      </c>
      <c r="G434">
        <f>'Quick View_ Sample Data'!O435</f>
        <v>166</v>
      </c>
      <c r="H434">
        <f>'Quick View_ Sample Data'!AP435</f>
        <v>0</v>
      </c>
      <c r="I434">
        <f>'Quick View_ Sample Data'!AF435</f>
        <v>0</v>
      </c>
      <c r="J434">
        <f>'Quick View_ Sample Data'!AJ435</f>
        <v>0</v>
      </c>
      <c r="K434">
        <f>'Quick View_ Sample Data'!AH435</f>
        <v>29.26</v>
      </c>
      <c r="L434">
        <f t="shared" si="6"/>
        <v>0</v>
      </c>
    </row>
    <row r="435" spans="1:12" ht="12.75" customHeight="1">
      <c r="A435" s="321"/>
      <c r="B435" t="str">
        <f>'Quick View_ Sample Data'!P436</f>
        <v>Glass</v>
      </c>
      <c r="C435">
        <f>'Quick View_ Sample Data'!O436</f>
        <v>166</v>
      </c>
      <c r="D435">
        <f>'Quick View_ Sample Data'!AN436</f>
        <v>0</v>
      </c>
      <c r="E435">
        <f>'Quick View_ Sample Data'!O436</f>
        <v>166</v>
      </c>
      <c r="F435">
        <f>'Quick View_ Sample Data'!AO436</f>
        <v>0</v>
      </c>
      <c r="G435">
        <f>'Quick View_ Sample Data'!O436</f>
        <v>166</v>
      </c>
      <c r="H435">
        <f>'Quick View_ Sample Data'!AP436</f>
        <v>0</v>
      </c>
      <c r="I435">
        <f>'Quick View_ Sample Data'!AF436</f>
        <v>0</v>
      </c>
      <c r="J435">
        <f>'Quick View_ Sample Data'!AJ436</f>
        <v>0</v>
      </c>
      <c r="K435">
        <f>'Quick View_ Sample Data'!AH436</f>
        <v>29.26</v>
      </c>
      <c r="L435">
        <f t="shared" si="6"/>
        <v>0</v>
      </c>
    </row>
    <row r="436" spans="1:12" ht="12.75" customHeight="1">
      <c r="A436" s="321"/>
      <c r="B436" t="str">
        <f>'Quick View_ Sample Data'!P437</f>
        <v>Sinx</v>
      </c>
      <c r="C436">
        <f>'Quick View_ Sample Data'!O437</f>
        <v>167</v>
      </c>
      <c r="D436">
        <f>'Quick View_ Sample Data'!AN437</f>
        <v>0</v>
      </c>
      <c r="E436">
        <f>'Quick View_ Sample Data'!O437</f>
        <v>167</v>
      </c>
      <c r="F436">
        <f>'Quick View_ Sample Data'!AO437</f>
        <v>0</v>
      </c>
      <c r="G436">
        <f>'Quick View_ Sample Data'!O437</f>
        <v>167</v>
      </c>
      <c r="H436">
        <f>'Quick View_ Sample Data'!AP437</f>
        <v>0</v>
      </c>
      <c r="I436">
        <f>'Quick View_ Sample Data'!AF437</f>
        <v>0</v>
      </c>
      <c r="J436">
        <f>'Quick View_ Sample Data'!AJ437</f>
        <v>0</v>
      </c>
      <c r="K436">
        <f>'Quick View_ Sample Data'!AH437</f>
        <v>417.49</v>
      </c>
      <c r="L436">
        <f t="shared" si="6"/>
        <v>0</v>
      </c>
    </row>
    <row r="437" spans="1:12" ht="12.75" customHeight="1">
      <c r="A437" s="321"/>
      <c r="B437" t="str">
        <f>'Quick View_ Sample Data'!P438</f>
        <v>Sinx</v>
      </c>
      <c r="C437">
        <f>'Quick View_ Sample Data'!O438</f>
        <v>167</v>
      </c>
      <c r="D437">
        <f>'Quick View_ Sample Data'!AN438</f>
        <v>299.14080000000001</v>
      </c>
      <c r="E437">
        <f>'Quick View_ Sample Data'!O438</f>
        <v>167</v>
      </c>
      <c r="F437">
        <f>'Quick View_ Sample Data'!AO438</f>
        <v>0</v>
      </c>
      <c r="G437">
        <f>'Quick View_ Sample Data'!O438</f>
        <v>167</v>
      </c>
      <c r="H437">
        <f>'Quick View_ Sample Data'!AP438</f>
        <v>4.064516129032258</v>
      </c>
      <c r="I437">
        <f>'Quick View_ Sample Data'!AF438</f>
        <v>8.4</v>
      </c>
      <c r="J437">
        <f>'Quick View_ Sample Data'!AJ438</f>
        <v>0</v>
      </c>
      <c r="K437">
        <f>'Quick View_ Sample Data'!AH438</f>
        <v>356.12</v>
      </c>
      <c r="L437">
        <f t="shared" si="6"/>
        <v>0</v>
      </c>
    </row>
    <row r="438" spans="1:12" ht="12.75" customHeight="1">
      <c r="A438" s="321"/>
      <c r="B438" t="str">
        <f>'Quick View_ Sample Data'!P439</f>
        <v>Sinx</v>
      </c>
      <c r="C438">
        <f>'Quick View_ Sample Data'!O439</f>
        <v>167</v>
      </c>
      <c r="D438">
        <f>'Quick View_ Sample Data'!AN439</f>
        <v>0</v>
      </c>
      <c r="E438">
        <f>'Quick View_ Sample Data'!O439</f>
        <v>167</v>
      </c>
      <c r="F438">
        <f>'Quick View_ Sample Data'!AO439</f>
        <v>0</v>
      </c>
      <c r="G438">
        <f>'Quick View_ Sample Data'!O439</f>
        <v>167</v>
      </c>
      <c r="H438">
        <f>'Quick View_ Sample Data'!AP439</f>
        <v>0</v>
      </c>
      <c r="I438">
        <f>'Quick View_ Sample Data'!AF439</f>
        <v>0</v>
      </c>
      <c r="J438">
        <f>'Quick View_ Sample Data'!AJ439</f>
        <v>8.6</v>
      </c>
      <c r="K438">
        <f>'Quick View_ Sample Data'!AH439</f>
        <v>358.97</v>
      </c>
      <c r="L438">
        <f t="shared" si="6"/>
        <v>0</v>
      </c>
    </row>
    <row r="439" spans="1:12" ht="12.75" customHeight="1">
      <c r="A439" s="321"/>
      <c r="B439" t="str">
        <f>'Quick View_ Sample Data'!P440</f>
        <v>Glass</v>
      </c>
      <c r="C439">
        <f>'Quick View_ Sample Data'!O440</f>
        <v>167</v>
      </c>
      <c r="D439">
        <f>'Quick View_ Sample Data'!AN440</f>
        <v>0</v>
      </c>
      <c r="E439">
        <f>'Quick View_ Sample Data'!O440</f>
        <v>167</v>
      </c>
      <c r="F439">
        <f>'Quick View_ Sample Data'!AO440</f>
        <v>0</v>
      </c>
      <c r="G439">
        <f>'Quick View_ Sample Data'!O440</f>
        <v>167</v>
      </c>
      <c r="H439">
        <f>'Quick View_ Sample Data'!AP440</f>
        <v>0</v>
      </c>
      <c r="I439">
        <f>'Quick View_ Sample Data'!AF440</f>
        <v>0</v>
      </c>
      <c r="J439">
        <f>'Quick View_ Sample Data'!AJ440</f>
        <v>0</v>
      </c>
      <c r="K439">
        <f>'Quick View_ Sample Data'!AH440</f>
        <v>357.99</v>
      </c>
      <c r="L439">
        <f t="shared" si="6"/>
        <v>0</v>
      </c>
    </row>
    <row r="440" spans="1:12" ht="12.75" customHeight="1">
      <c r="A440" s="321"/>
      <c r="B440" t="str">
        <f>'Quick View_ Sample Data'!P441</f>
        <v>Sinx</v>
      </c>
      <c r="C440">
        <f>'Quick View_ Sample Data'!O441</f>
        <v>168</v>
      </c>
      <c r="D440">
        <f>'Quick View_ Sample Data'!AN441</f>
        <v>0</v>
      </c>
      <c r="E440">
        <f>'Quick View_ Sample Data'!O441</f>
        <v>168</v>
      </c>
      <c r="F440">
        <f>'Quick View_ Sample Data'!AO441</f>
        <v>0</v>
      </c>
      <c r="G440">
        <f>'Quick View_ Sample Data'!O441</f>
        <v>168</v>
      </c>
      <c r="H440">
        <f>'Quick View_ Sample Data'!AP441</f>
        <v>0</v>
      </c>
      <c r="I440">
        <f>'Quick View_ Sample Data'!AF441</f>
        <v>0</v>
      </c>
      <c r="J440">
        <f>'Quick View_ Sample Data'!AJ441</f>
        <v>5</v>
      </c>
      <c r="K440">
        <f>'Quick View_ Sample Data'!AH441</f>
        <v>1056.22</v>
      </c>
      <c r="L440">
        <f t="shared" si="6"/>
        <v>0</v>
      </c>
    </row>
    <row r="441" spans="1:12" ht="12.75" customHeight="1">
      <c r="A441" s="321"/>
      <c r="B441" t="str">
        <f>'Quick View_ Sample Data'!P442</f>
        <v>Sinx</v>
      </c>
      <c r="C441">
        <f>'Quick View_ Sample Data'!O442</f>
        <v>168</v>
      </c>
      <c r="D441">
        <f>'Quick View_ Sample Data'!AN442</f>
        <v>0</v>
      </c>
      <c r="E441">
        <f>'Quick View_ Sample Data'!O442</f>
        <v>168</v>
      </c>
      <c r="F441">
        <f>'Quick View_ Sample Data'!AO442</f>
        <v>0</v>
      </c>
      <c r="G441">
        <f>'Quick View_ Sample Data'!O442</f>
        <v>168</v>
      </c>
      <c r="H441">
        <f>'Quick View_ Sample Data'!AP442</f>
        <v>0</v>
      </c>
      <c r="I441">
        <f>'Quick View_ Sample Data'!AF442</f>
        <v>0</v>
      </c>
      <c r="J441">
        <f>'Quick View_ Sample Data'!AJ442</f>
        <v>0</v>
      </c>
      <c r="K441">
        <f>'Quick View_ Sample Data'!AH442</f>
        <v>1034.9100000000001</v>
      </c>
      <c r="L441">
        <f t="shared" si="6"/>
        <v>0</v>
      </c>
    </row>
    <row r="442" spans="1:12" ht="12.75" customHeight="1">
      <c r="A442" s="321"/>
      <c r="B442" t="str">
        <f>'Quick View_ Sample Data'!P443</f>
        <v>Sinx</v>
      </c>
      <c r="C442">
        <f>'Quick View_ Sample Data'!O443</f>
        <v>168</v>
      </c>
      <c r="D442">
        <f>'Quick View_ Sample Data'!AN443</f>
        <v>0</v>
      </c>
      <c r="E442">
        <f>'Quick View_ Sample Data'!O443</f>
        <v>168</v>
      </c>
      <c r="F442">
        <f>'Quick View_ Sample Data'!AO443</f>
        <v>0</v>
      </c>
      <c r="G442">
        <f>'Quick View_ Sample Data'!O443</f>
        <v>168</v>
      </c>
      <c r="H442">
        <f>'Quick View_ Sample Data'!AP443</f>
        <v>0</v>
      </c>
      <c r="I442">
        <f>'Quick View_ Sample Data'!AF443</f>
        <v>0</v>
      </c>
      <c r="J442">
        <f>'Quick View_ Sample Data'!AJ443</f>
        <v>0</v>
      </c>
      <c r="K442">
        <f>'Quick View_ Sample Data'!AH443</f>
        <v>1052.6600000000001</v>
      </c>
      <c r="L442">
        <f t="shared" si="6"/>
        <v>0</v>
      </c>
    </row>
    <row r="443" spans="1:12" ht="12.75" customHeight="1">
      <c r="A443" s="321"/>
      <c r="B443" t="str">
        <f>'Quick View_ Sample Data'!P444</f>
        <v>Glass</v>
      </c>
      <c r="C443">
        <f>'Quick View_ Sample Data'!O444</f>
        <v>168</v>
      </c>
      <c r="D443">
        <f>'Quick View_ Sample Data'!AN444</f>
        <v>456.81680000000006</v>
      </c>
      <c r="E443">
        <f>'Quick View_ Sample Data'!O444</f>
        <v>168</v>
      </c>
      <c r="F443">
        <f>'Quick View_ Sample Data'!AO444</f>
        <v>0</v>
      </c>
      <c r="G443">
        <f>'Quick View_ Sample Data'!O444</f>
        <v>168</v>
      </c>
      <c r="H443">
        <f>'Quick View_ Sample Data'!AP444</f>
        <v>3.7</v>
      </c>
      <c r="I443">
        <f>'Quick View_ Sample Data'!AF444</f>
        <v>3.7</v>
      </c>
      <c r="J443">
        <f>'Quick View_ Sample Data'!AJ444</f>
        <v>0</v>
      </c>
      <c r="K443">
        <f>'Quick View_ Sample Data'!AH444</f>
        <v>1234.6400000000001</v>
      </c>
      <c r="L443">
        <f t="shared" si="6"/>
        <v>0</v>
      </c>
    </row>
    <row r="444" spans="1:12" ht="12.75" customHeight="1">
      <c r="A444" s="321"/>
      <c r="B444" t="str">
        <f>'Quick View_ Sample Data'!P445</f>
        <v>Sinx</v>
      </c>
      <c r="C444">
        <f>'Quick View_ Sample Data'!O445</f>
        <v>169</v>
      </c>
      <c r="D444">
        <f>'Quick View_ Sample Data'!AN445</f>
        <v>0</v>
      </c>
      <c r="E444">
        <f>'Quick View_ Sample Data'!O445</f>
        <v>169</v>
      </c>
      <c r="F444">
        <f>'Quick View_ Sample Data'!AO445</f>
        <v>0</v>
      </c>
      <c r="G444">
        <f>'Quick View_ Sample Data'!O445</f>
        <v>169</v>
      </c>
      <c r="H444">
        <f>'Quick View_ Sample Data'!AP445</f>
        <v>0</v>
      </c>
      <c r="I444">
        <f>'Quick View_ Sample Data'!AF445</f>
        <v>0</v>
      </c>
      <c r="J444">
        <f>'Quick View_ Sample Data'!AJ445</f>
        <v>7.1</v>
      </c>
      <c r="K444">
        <f>'Quick View_ Sample Data'!AH445</f>
        <v>624.46</v>
      </c>
      <c r="L444">
        <f t="shared" si="6"/>
        <v>0</v>
      </c>
    </row>
    <row r="445" spans="1:12" ht="12.75" customHeight="1">
      <c r="A445" s="321"/>
      <c r="B445" t="str">
        <f>'Quick View_ Sample Data'!P446</f>
        <v>Sinx</v>
      </c>
      <c r="C445">
        <f>'Quick View_ Sample Data'!O446</f>
        <v>169</v>
      </c>
      <c r="D445">
        <f>'Quick View_ Sample Data'!AN446</f>
        <v>0</v>
      </c>
      <c r="E445">
        <f>'Quick View_ Sample Data'!O446</f>
        <v>169</v>
      </c>
      <c r="F445">
        <f>'Quick View_ Sample Data'!AO446</f>
        <v>0</v>
      </c>
      <c r="G445">
        <f>'Quick View_ Sample Data'!O446</f>
        <v>169</v>
      </c>
      <c r="H445">
        <f>'Quick View_ Sample Data'!AP446</f>
        <v>0</v>
      </c>
      <c r="I445">
        <f>'Quick View_ Sample Data'!AF446</f>
        <v>0</v>
      </c>
      <c r="J445">
        <f>'Quick View_ Sample Data'!AJ446</f>
        <v>0</v>
      </c>
      <c r="K445">
        <f>'Quick View_ Sample Data'!AH446</f>
        <v>631.59</v>
      </c>
      <c r="L445">
        <f t="shared" si="6"/>
        <v>0</v>
      </c>
    </row>
    <row r="446" spans="1:12" ht="12.75" customHeight="1">
      <c r="A446" s="321"/>
      <c r="B446" t="str">
        <f>'Quick View_ Sample Data'!P447</f>
        <v>Sinx</v>
      </c>
      <c r="C446">
        <f>'Quick View_ Sample Data'!O447</f>
        <v>169</v>
      </c>
      <c r="D446">
        <f>'Quick View_ Sample Data'!AN447</f>
        <v>0</v>
      </c>
      <c r="E446">
        <f>'Quick View_ Sample Data'!O447</f>
        <v>169</v>
      </c>
      <c r="F446">
        <f>'Quick View_ Sample Data'!AO447</f>
        <v>0</v>
      </c>
      <c r="G446">
        <f>'Quick View_ Sample Data'!O447</f>
        <v>169</v>
      </c>
      <c r="H446">
        <f>'Quick View_ Sample Data'!AP447</f>
        <v>0</v>
      </c>
      <c r="I446">
        <f>'Quick View_ Sample Data'!AF447</f>
        <v>0</v>
      </c>
      <c r="J446">
        <f>'Quick View_ Sample Data'!AJ447</f>
        <v>0</v>
      </c>
      <c r="K446">
        <f>'Quick View_ Sample Data'!AH447</f>
        <v>169.85</v>
      </c>
      <c r="L446">
        <f t="shared" si="6"/>
        <v>0</v>
      </c>
    </row>
    <row r="447" spans="1:12" ht="12.75" customHeight="1">
      <c r="A447" s="321"/>
      <c r="B447" t="str">
        <f>'Quick View_ Sample Data'!P448</f>
        <v>Glass</v>
      </c>
      <c r="C447">
        <f>'Quick View_ Sample Data'!O448</f>
        <v>169</v>
      </c>
      <c r="D447">
        <f>'Quick View_ Sample Data'!AN448</f>
        <v>97.629600000000011</v>
      </c>
      <c r="E447">
        <f>'Quick View_ Sample Data'!O448</f>
        <v>169</v>
      </c>
      <c r="F447">
        <f>'Quick View_ Sample Data'!AO448</f>
        <v>0</v>
      </c>
      <c r="G447">
        <f>'Quick View_ Sample Data'!O448</f>
        <v>169</v>
      </c>
      <c r="H447">
        <f>'Quick View_ Sample Data'!AP448</f>
        <v>3.8863636363636362</v>
      </c>
      <c r="I447">
        <f>'Quick View_ Sample Data'!AF448</f>
        <v>5.7</v>
      </c>
      <c r="J447">
        <f>'Quick View_ Sample Data'!AJ448</f>
        <v>0</v>
      </c>
      <c r="K447">
        <f>'Quick View_ Sample Data'!AH448</f>
        <v>171.28</v>
      </c>
      <c r="L447">
        <f t="shared" si="6"/>
        <v>0</v>
      </c>
    </row>
    <row r="448" spans="1:12" ht="12.75" customHeight="1">
      <c r="A448" s="321"/>
      <c r="B448" t="str">
        <f>'Quick View_ Sample Data'!P449</f>
        <v>Sinx</v>
      </c>
      <c r="C448">
        <f>'Quick View_ Sample Data'!O449</f>
        <v>170</v>
      </c>
      <c r="D448">
        <f>'Quick View_ Sample Data'!AN449</f>
        <v>0</v>
      </c>
      <c r="E448">
        <f>'Quick View_ Sample Data'!O449</f>
        <v>170</v>
      </c>
      <c r="F448">
        <f>'Quick View_ Sample Data'!AO449</f>
        <v>0</v>
      </c>
      <c r="G448">
        <f>'Quick View_ Sample Data'!O449</f>
        <v>170</v>
      </c>
      <c r="H448">
        <f>'Quick View_ Sample Data'!AP449</f>
        <v>0</v>
      </c>
      <c r="I448">
        <f>'Quick View_ Sample Data'!AF449</f>
        <v>0</v>
      </c>
      <c r="J448">
        <f>'Quick View_ Sample Data'!AJ449</f>
        <v>9.9</v>
      </c>
      <c r="K448">
        <f>'Quick View_ Sample Data'!AH449</f>
        <v>169.14</v>
      </c>
      <c r="L448">
        <f t="shared" si="6"/>
        <v>0</v>
      </c>
    </row>
    <row r="449" spans="1:12" ht="12.75" customHeight="1">
      <c r="A449" s="321"/>
      <c r="B449" t="str">
        <f>'Quick View_ Sample Data'!P450</f>
        <v>Sinx</v>
      </c>
      <c r="C449">
        <f>'Quick View_ Sample Data'!O450</f>
        <v>170</v>
      </c>
      <c r="D449">
        <f>'Quick View_ Sample Data'!AN450</f>
        <v>0</v>
      </c>
      <c r="E449">
        <f>'Quick View_ Sample Data'!O450</f>
        <v>170</v>
      </c>
      <c r="F449">
        <f>'Quick View_ Sample Data'!AO450</f>
        <v>0</v>
      </c>
      <c r="G449">
        <f>'Quick View_ Sample Data'!O450</f>
        <v>170</v>
      </c>
      <c r="H449">
        <f>'Quick View_ Sample Data'!AP450</f>
        <v>0</v>
      </c>
      <c r="I449">
        <f>'Quick View_ Sample Data'!AF450</f>
        <v>0</v>
      </c>
      <c r="J449">
        <f>'Quick View_ Sample Data'!AJ450</f>
        <v>0</v>
      </c>
      <c r="K449">
        <f>'Quick View_ Sample Data'!AH450</f>
        <v>168.07</v>
      </c>
      <c r="L449">
        <f t="shared" si="6"/>
        <v>0</v>
      </c>
    </row>
    <row r="450" spans="1:12" ht="12.75" customHeight="1">
      <c r="A450" s="321"/>
      <c r="B450" t="str">
        <f>'Quick View_ Sample Data'!P451</f>
        <v>Sinx</v>
      </c>
      <c r="C450">
        <f>'Quick View_ Sample Data'!O451</f>
        <v>170</v>
      </c>
      <c r="D450">
        <f>'Quick View_ Sample Data'!AN451</f>
        <v>0</v>
      </c>
      <c r="E450">
        <f>'Quick View_ Sample Data'!O451</f>
        <v>170</v>
      </c>
      <c r="F450">
        <f>'Quick View_ Sample Data'!AO451</f>
        <v>0</v>
      </c>
      <c r="G450">
        <f>'Quick View_ Sample Data'!O451</f>
        <v>170</v>
      </c>
      <c r="H450">
        <f>'Quick View_ Sample Data'!AP451</f>
        <v>0</v>
      </c>
      <c r="I450">
        <f>'Quick View_ Sample Data'!AF451</f>
        <v>0</v>
      </c>
      <c r="J450">
        <f>'Quick View_ Sample Data'!AJ451</f>
        <v>0</v>
      </c>
      <c r="K450">
        <f>'Quick View_ Sample Data'!AH451</f>
        <v>0</v>
      </c>
      <c r="L450">
        <f t="shared" ref="L450:L513" si="7">I450*J450</f>
        <v>0</v>
      </c>
    </row>
    <row r="451" spans="1:12" ht="12.75" customHeight="1">
      <c r="A451" s="321"/>
      <c r="B451" t="str">
        <f>'Quick View_ Sample Data'!P452</f>
        <v>Glass</v>
      </c>
      <c r="C451">
        <f>'Quick View_ Sample Data'!O452</f>
        <v>170</v>
      </c>
      <c r="D451">
        <f>'Quick View_ Sample Data'!AN452</f>
        <v>0</v>
      </c>
      <c r="E451">
        <f>'Quick View_ Sample Data'!O452</f>
        <v>170</v>
      </c>
      <c r="F451">
        <f>'Quick View_ Sample Data'!AO452</f>
        <v>0</v>
      </c>
      <c r="G451">
        <f>'Quick View_ Sample Data'!O452</f>
        <v>170</v>
      </c>
      <c r="H451">
        <f>'Quick View_ Sample Data'!AP452</f>
        <v>3.870967741935484</v>
      </c>
      <c r="I451">
        <f>'Quick View_ Sample Data'!AF452</f>
        <v>16</v>
      </c>
      <c r="J451">
        <f>'Quick View_ Sample Data'!AJ452</f>
        <v>0</v>
      </c>
      <c r="K451">
        <f>'Quick View_ Sample Data'!AH452</f>
        <v>0</v>
      </c>
      <c r="L451">
        <f t="shared" si="7"/>
        <v>0</v>
      </c>
    </row>
    <row r="452" spans="1:12" ht="12.75" customHeight="1">
      <c r="A452" s="321"/>
      <c r="B452" t="str">
        <f>'Quick View_ Sample Data'!P453</f>
        <v>MgO</v>
      </c>
      <c r="C452">
        <f>'Quick View_ Sample Data'!O453</f>
        <v>171</v>
      </c>
      <c r="D452">
        <f>'Quick View_ Sample Data'!AN453</f>
        <v>0</v>
      </c>
      <c r="E452">
        <f>'Quick View_ Sample Data'!O453</f>
        <v>171</v>
      </c>
      <c r="F452">
        <f>'Quick View_ Sample Data'!AO453</f>
        <v>0</v>
      </c>
      <c r="G452">
        <f>'Quick View_ Sample Data'!O453</f>
        <v>171</v>
      </c>
      <c r="H452">
        <f>'Quick View_ Sample Data'!AP453</f>
        <v>0</v>
      </c>
      <c r="I452">
        <f>'Quick View_ Sample Data'!AF453</f>
        <v>0</v>
      </c>
      <c r="J452">
        <f>'Quick View_ Sample Data'!AJ453</f>
        <v>6.5</v>
      </c>
      <c r="K452">
        <f>'Quick View_ Sample Data'!AH453</f>
        <v>634.69000000000005</v>
      </c>
      <c r="L452">
        <f t="shared" si="7"/>
        <v>0</v>
      </c>
    </row>
    <row r="453" spans="1:12" ht="12.75" customHeight="1">
      <c r="A453" s="321"/>
      <c r="B453" t="str">
        <f>'Quick View_ Sample Data'!P454</f>
        <v>MgO</v>
      </c>
      <c r="C453">
        <f>'Quick View_ Sample Data'!O454</f>
        <v>171</v>
      </c>
      <c r="D453">
        <f>'Quick View_ Sample Data'!AN454</f>
        <v>0</v>
      </c>
      <c r="E453">
        <f>'Quick View_ Sample Data'!O454</f>
        <v>171</v>
      </c>
      <c r="F453">
        <f>'Quick View_ Sample Data'!AO454</f>
        <v>0</v>
      </c>
      <c r="G453">
        <f>'Quick View_ Sample Data'!O454</f>
        <v>171</v>
      </c>
      <c r="H453">
        <f>'Quick View_ Sample Data'!AP454</f>
        <v>0</v>
      </c>
      <c r="I453">
        <f>'Quick View_ Sample Data'!AF454</f>
        <v>0</v>
      </c>
      <c r="J453">
        <f>'Quick View_ Sample Data'!AJ454</f>
        <v>6.5</v>
      </c>
      <c r="K453">
        <f>'Quick View_ Sample Data'!AH454</f>
        <v>611.97</v>
      </c>
      <c r="L453">
        <f t="shared" si="7"/>
        <v>0</v>
      </c>
    </row>
    <row r="454" spans="1:12" ht="12.75" customHeight="1">
      <c r="A454" s="321"/>
      <c r="B454" t="str">
        <f>'Quick View_ Sample Data'!P455</f>
        <v>MgO</v>
      </c>
      <c r="C454">
        <f>'Quick View_ Sample Data'!O455</f>
        <v>171</v>
      </c>
      <c r="D454">
        <f>'Quick View_ Sample Data'!AN455</f>
        <v>0</v>
      </c>
      <c r="E454">
        <f>'Quick View_ Sample Data'!O455</f>
        <v>171</v>
      </c>
      <c r="F454">
        <f>'Quick View_ Sample Data'!AO455</f>
        <v>0</v>
      </c>
      <c r="G454">
        <f>'Quick View_ Sample Data'!O455</f>
        <v>171</v>
      </c>
      <c r="H454">
        <f>'Quick View_ Sample Data'!AP455</f>
        <v>0</v>
      </c>
      <c r="I454">
        <f>'Quick View_ Sample Data'!AF455</f>
        <v>0</v>
      </c>
      <c r="J454">
        <f>'Quick View_ Sample Data'!AJ455</f>
        <v>6.9</v>
      </c>
      <c r="K454">
        <f>'Quick View_ Sample Data'!AH455</f>
        <v>613.04</v>
      </c>
      <c r="L454">
        <f t="shared" si="7"/>
        <v>0</v>
      </c>
    </row>
    <row r="455" spans="1:12" ht="12.75" customHeight="1">
      <c r="A455" s="321"/>
      <c r="B455" t="str">
        <f>'Quick View_ Sample Data'!P456</f>
        <v>MgO</v>
      </c>
      <c r="C455">
        <f>'Quick View_ Sample Data'!O456</f>
        <v>171</v>
      </c>
      <c r="D455">
        <f>'Quick View_ Sample Data'!AN456</f>
        <v>0</v>
      </c>
      <c r="E455">
        <f>'Quick View_ Sample Data'!O456</f>
        <v>171</v>
      </c>
      <c r="F455">
        <f>'Quick View_ Sample Data'!AO456</f>
        <v>0</v>
      </c>
      <c r="G455">
        <f>'Quick View_ Sample Data'!O456</f>
        <v>171</v>
      </c>
      <c r="H455">
        <f>'Quick View_ Sample Data'!AP456</f>
        <v>0</v>
      </c>
      <c r="I455">
        <f>'Quick View_ Sample Data'!AF456</f>
        <v>0</v>
      </c>
      <c r="J455">
        <f>'Quick View_ Sample Data'!AJ456</f>
        <v>6.7</v>
      </c>
      <c r="K455">
        <f>'Quick View_ Sample Data'!AH456</f>
        <v>628.74</v>
      </c>
      <c r="L455">
        <f t="shared" si="7"/>
        <v>0</v>
      </c>
    </row>
    <row r="456" spans="1:12" ht="12.75" customHeight="1">
      <c r="A456" s="321"/>
      <c r="B456" t="str">
        <f>'Quick View_ Sample Data'!P457</f>
        <v>SiNx</v>
      </c>
      <c r="C456">
        <f>'Quick View_ Sample Data'!O457</f>
        <v>172</v>
      </c>
      <c r="D456">
        <f>'Quick View_ Sample Data'!AN457</f>
        <v>0</v>
      </c>
      <c r="E456">
        <f>'Quick View_ Sample Data'!O457</f>
        <v>172</v>
      </c>
      <c r="F456">
        <f>'Quick View_ Sample Data'!AO457</f>
        <v>0</v>
      </c>
      <c r="G456">
        <f>'Quick View_ Sample Data'!O457</f>
        <v>172</v>
      </c>
      <c r="H456">
        <f>'Quick View_ Sample Data'!AP457</f>
        <v>0</v>
      </c>
      <c r="I456">
        <f>'Quick View_ Sample Data'!AF457</f>
        <v>0</v>
      </c>
      <c r="J456">
        <f>'Quick View_ Sample Data'!AJ457</f>
        <v>0</v>
      </c>
      <c r="K456">
        <f>'Quick View_ Sample Data'!AH457</f>
        <v>0</v>
      </c>
      <c r="L456">
        <f t="shared" si="7"/>
        <v>0</v>
      </c>
    </row>
    <row r="457" spans="1:12" ht="12.75" customHeight="1">
      <c r="A457" s="321"/>
      <c r="B457" t="str">
        <f>'Quick View_ Sample Data'!P458</f>
        <v>Sinx</v>
      </c>
      <c r="C457">
        <f>'Quick View_ Sample Data'!O458</f>
        <v>172</v>
      </c>
      <c r="D457">
        <f>'Quick View_ Sample Data'!AN458</f>
        <v>0</v>
      </c>
      <c r="E457">
        <f>'Quick View_ Sample Data'!O458</f>
        <v>172</v>
      </c>
      <c r="F457">
        <f>'Quick View_ Sample Data'!AO458</f>
        <v>0</v>
      </c>
      <c r="G457">
        <f>'Quick View_ Sample Data'!O458</f>
        <v>172</v>
      </c>
      <c r="H457">
        <f>'Quick View_ Sample Data'!AP458</f>
        <v>0</v>
      </c>
      <c r="I457">
        <f>'Quick View_ Sample Data'!AF458</f>
        <v>0</v>
      </c>
      <c r="J457">
        <f>'Quick View_ Sample Data'!AJ458</f>
        <v>0</v>
      </c>
      <c r="K457">
        <f>'Quick View_ Sample Data'!AH458</f>
        <v>0</v>
      </c>
      <c r="L457">
        <f t="shared" si="7"/>
        <v>0</v>
      </c>
    </row>
    <row r="458" spans="1:12" ht="12.75" customHeight="1">
      <c r="A458" s="321"/>
      <c r="B458" t="str">
        <f>'Quick View_ Sample Data'!P459</f>
        <v>Glass</v>
      </c>
      <c r="C458">
        <f>'Quick View_ Sample Data'!O459</f>
        <v>172</v>
      </c>
      <c r="D458">
        <f>'Quick View_ Sample Data'!AN459</f>
        <v>0</v>
      </c>
      <c r="E458">
        <f>'Quick View_ Sample Data'!O459</f>
        <v>172</v>
      </c>
      <c r="F458">
        <f>'Quick View_ Sample Data'!AO459</f>
        <v>0</v>
      </c>
      <c r="G458">
        <f>'Quick View_ Sample Data'!O459</f>
        <v>172</v>
      </c>
      <c r="H458">
        <f>'Quick View_ Sample Data'!AP459</f>
        <v>0</v>
      </c>
      <c r="I458">
        <f>'Quick View_ Sample Data'!AF459</f>
        <v>0</v>
      </c>
      <c r="J458">
        <f>'Quick View_ Sample Data'!AJ459</f>
        <v>0</v>
      </c>
      <c r="K458">
        <f>'Quick View_ Sample Data'!AH459</f>
        <v>412.02201599999995</v>
      </c>
      <c r="L458">
        <f t="shared" si="7"/>
        <v>0</v>
      </c>
    </row>
    <row r="459" spans="1:12" ht="12.75" customHeight="1">
      <c r="A459" s="321"/>
      <c r="B459" t="str">
        <f>'Quick View_ Sample Data'!P460</f>
        <v>MgO</v>
      </c>
      <c r="C459">
        <f>'Quick View_ Sample Data'!O460</f>
        <v>138</v>
      </c>
      <c r="D459">
        <f>'Quick View_ Sample Data'!AN460</f>
        <v>0</v>
      </c>
      <c r="E459">
        <f>'Quick View_ Sample Data'!O460</f>
        <v>138</v>
      </c>
      <c r="F459">
        <f>'Quick View_ Sample Data'!AO460</f>
        <v>0</v>
      </c>
      <c r="G459">
        <f>'Quick View_ Sample Data'!O460</f>
        <v>138</v>
      </c>
      <c r="H459">
        <f>'Quick View_ Sample Data'!AP460</f>
        <v>0</v>
      </c>
      <c r="I459">
        <f>'Quick View_ Sample Data'!AF460</f>
        <v>0</v>
      </c>
      <c r="J459">
        <f>'Quick View_ Sample Data'!AJ460</f>
        <v>8.6</v>
      </c>
      <c r="K459">
        <f>'Quick View_ Sample Data'!AH460</f>
        <v>392.75387383863801</v>
      </c>
      <c r="L459">
        <f t="shared" si="7"/>
        <v>0</v>
      </c>
    </row>
    <row r="460" spans="1:12" ht="12.75" customHeight="1">
      <c r="A460" s="321"/>
      <c r="B460" t="str">
        <f>'Quick View_ Sample Data'!P461</f>
        <v>Glass</v>
      </c>
      <c r="C460">
        <f>'Quick View_ Sample Data'!O461</f>
        <v>172</v>
      </c>
      <c r="D460">
        <f>'Quick View_ Sample Data'!AN461</f>
        <v>336.20948928000001</v>
      </c>
      <c r="E460">
        <f>'Quick View_ Sample Data'!O461</f>
        <v>172</v>
      </c>
      <c r="F460">
        <f>'Quick View_ Sample Data'!AO461</f>
        <v>0</v>
      </c>
      <c r="G460">
        <f>'Quick View_ Sample Data'!O461</f>
        <v>172</v>
      </c>
      <c r="H460">
        <f>'Quick View_ Sample Data'!AP461</f>
        <v>3.82258064516129</v>
      </c>
      <c r="I460">
        <f>'Quick View_ Sample Data'!AF461</f>
        <v>7.9</v>
      </c>
      <c r="J460">
        <f>'Quick View_ Sample Data'!AJ461</f>
        <v>0</v>
      </c>
      <c r="K460">
        <f>'Quick View_ Sample Data'!AH461</f>
        <v>425.58163200000001</v>
      </c>
      <c r="L460">
        <f t="shared" si="7"/>
        <v>0</v>
      </c>
    </row>
    <row r="461" spans="1:12" ht="12.75" customHeight="1">
      <c r="A461" s="321"/>
      <c r="B461" t="str">
        <f>'Quick View_ Sample Data'!P462</f>
        <v>Al2O3</v>
      </c>
      <c r="C461">
        <f>'Quick View_ Sample Data'!O462</f>
        <v>173</v>
      </c>
      <c r="D461">
        <f>'Quick View_ Sample Data'!AN462</f>
        <v>0</v>
      </c>
      <c r="E461">
        <f>'Quick View_ Sample Data'!O462</f>
        <v>173</v>
      </c>
      <c r="F461">
        <f>'Quick View_ Sample Data'!AO462</f>
        <v>0</v>
      </c>
      <c r="G461">
        <f>'Quick View_ Sample Data'!O462</f>
        <v>173</v>
      </c>
      <c r="H461">
        <f>'Quick View_ Sample Data'!AP462</f>
        <v>0</v>
      </c>
      <c r="I461">
        <f>'Quick View_ Sample Data'!AF462</f>
        <v>0</v>
      </c>
      <c r="J461">
        <f>'Quick View_ Sample Data'!AJ462</f>
        <v>12.9</v>
      </c>
      <c r="K461">
        <f>'Quick View_ Sample Data'!AH462</f>
        <v>233.26</v>
      </c>
      <c r="L461">
        <f t="shared" si="7"/>
        <v>0</v>
      </c>
    </row>
    <row r="462" spans="1:12" ht="12.75" customHeight="1">
      <c r="A462" s="321"/>
      <c r="B462" t="str">
        <f>'Quick View_ Sample Data'!P463</f>
        <v>Al2O3</v>
      </c>
      <c r="C462">
        <f>'Quick View_ Sample Data'!O463</f>
        <v>173</v>
      </c>
      <c r="D462">
        <f>'Quick View_ Sample Data'!AN463</f>
        <v>175.57229999999998</v>
      </c>
      <c r="E462">
        <f>'Quick View_ Sample Data'!O463</f>
        <v>173</v>
      </c>
      <c r="F462">
        <f>'Quick View_ Sample Data'!AO463</f>
        <v>22122.109799999998</v>
      </c>
      <c r="G462">
        <f>'Quick View_ Sample Data'!O463</f>
        <v>173</v>
      </c>
      <c r="H462">
        <f>'Quick View_ Sample Data'!AP463</f>
        <v>3.1285714285714286</v>
      </c>
      <c r="I462">
        <f>'Quick View_ Sample Data'!AF463</f>
        <v>7.3</v>
      </c>
      <c r="J462">
        <f>'Quick View_ Sample Data'!AJ463</f>
        <v>12.6</v>
      </c>
      <c r="K462">
        <f>'Quick View_ Sample Data'!AH463</f>
        <v>240.51</v>
      </c>
      <c r="L462">
        <f t="shared" si="7"/>
        <v>91.97999999999999</v>
      </c>
    </row>
    <row r="463" spans="1:12" ht="12.75" customHeight="1">
      <c r="A463" s="321"/>
      <c r="B463" t="str">
        <f>'Quick View_ Sample Data'!P464</f>
        <v>MgO</v>
      </c>
      <c r="C463">
        <f>'Quick View_ Sample Data'!O464</f>
        <v>173</v>
      </c>
      <c r="D463">
        <f>'Quick View_ Sample Data'!AN464</f>
        <v>0</v>
      </c>
      <c r="E463">
        <f>'Quick View_ Sample Data'!O464</f>
        <v>173</v>
      </c>
      <c r="F463">
        <f>'Quick View_ Sample Data'!AO464</f>
        <v>0</v>
      </c>
      <c r="G463">
        <f>'Quick View_ Sample Data'!O464</f>
        <v>173</v>
      </c>
      <c r="H463">
        <f>'Quick View_ Sample Data'!AP464</f>
        <v>0</v>
      </c>
      <c r="I463">
        <f>'Quick View_ Sample Data'!AF464</f>
        <v>0</v>
      </c>
      <c r="J463">
        <f>'Quick View_ Sample Data'!AJ464</f>
        <v>10.9</v>
      </c>
      <c r="K463">
        <f>'Quick View_ Sample Data'!AH464</f>
        <v>438.9</v>
      </c>
      <c r="L463">
        <f t="shared" si="7"/>
        <v>0</v>
      </c>
    </row>
    <row r="464" spans="1:12" ht="12.75" customHeight="1">
      <c r="A464" s="321"/>
      <c r="B464" t="str">
        <f>'Quick View_ Sample Data'!P465</f>
        <v>MgO</v>
      </c>
      <c r="C464">
        <f>'Quick View_ Sample Data'!O465</f>
        <v>173</v>
      </c>
      <c r="D464">
        <f>'Quick View_ Sample Data'!AN465</f>
        <v>321.23649999999998</v>
      </c>
      <c r="E464">
        <f>'Quick View_ Sample Data'!O465</f>
        <v>173</v>
      </c>
      <c r="F464">
        <f>'Quick View_ Sample Data'!AO465</f>
        <v>33729.832499999997</v>
      </c>
      <c r="G464">
        <f>'Quick View_ Sample Data'!O465</f>
        <v>173</v>
      </c>
      <c r="H464">
        <f>'Quick View_ Sample Data'!AP465</f>
        <v>2.7857142857142856</v>
      </c>
      <c r="I464">
        <f>'Quick View_ Sample Data'!AF465</f>
        <v>6.5</v>
      </c>
      <c r="J464">
        <f>'Quick View_ Sample Data'!AJ465</f>
        <v>10.5</v>
      </c>
      <c r="K464">
        <f>'Quick View_ Sample Data'!AH465</f>
        <v>494.21</v>
      </c>
      <c r="L464">
        <f t="shared" si="7"/>
        <v>68.25</v>
      </c>
    </row>
    <row r="465" spans="1:12" ht="12.75" customHeight="1">
      <c r="A465" s="321"/>
      <c r="B465" t="str">
        <f>'Quick View_ Sample Data'!P466</f>
        <v>MgO</v>
      </c>
      <c r="C465">
        <f>'Quick View_ Sample Data'!O466</f>
        <v>174</v>
      </c>
      <c r="D465">
        <f>'Quick View_ Sample Data'!AN466</f>
        <v>0</v>
      </c>
      <c r="E465">
        <f>'Quick View_ Sample Data'!O466</f>
        <v>174</v>
      </c>
      <c r="F465">
        <f>'Quick View_ Sample Data'!AO466</f>
        <v>0</v>
      </c>
      <c r="G465">
        <f>'Quick View_ Sample Data'!O466</f>
        <v>174</v>
      </c>
      <c r="H465">
        <f>'Quick View_ Sample Data'!AP466</f>
        <v>0</v>
      </c>
      <c r="I465">
        <f>'Quick View_ Sample Data'!AF466</f>
        <v>0</v>
      </c>
      <c r="J465">
        <f>'Quick View_ Sample Data'!AJ466</f>
        <v>8.5</v>
      </c>
      <c r="K465">
        <f>'Quick View_ Sample Data'!AH466</f>
        <v>779.08320000000003</v>
      </c>
      <c r="L465">
        <f t="shared" si="7"/>
        <v>0</v>
      </c>
    </row>
    <row r="466" spans="1:12" ht="12.75" customHeight="1">
      <c r="A466" s="321"/>
      <c r="B466" t="str">
        <f>'Quick View_ Sample Data'!P467</f>
        <v>MgO</v>
      </c>
      <c r="C466">
        <f>'Quick View_ Sample Data'!O467</f>
        <v>174</v>
      </c>
      <c r="D466">
        <f>'Quick View_ Sample Data'!AN467</f>
        <v>219.3446304</v>
      </c>
      <c r="E466">
        <f>'Quick View_ Sample Data'!O467</f>
        <v>174</v>
      </c>
      <c r="F466">
        <f>'Quick View_ Sample Data'!AO467</f>
        <v>0</v>
      </c>
      <c r="G466">
        <f>'Quick View_ Sample Data'!O467</f>
        <v>174</v>
      </c>
      <c r="H466">
        <f>'Quick View_ Sample Data'!AP467</f>
        <v>2.382352941176471</v>
      </c>
      <c r="I466">
        <f>'Quick View_ Sample Data'!AF467</f>
        <v>2.7</v>
      </c>
      <c r="J466">
        <f>'Quick View_ Sample Data'!AJ467</f>
        <v>0</v>
      </c>
      <c r="K466">
        <f>'Quick View_ Sample Data'!AH467</f>
        <v>812.38751999999999</v>
      </c>
      <c r="L466">
        <f t="shared" si="7"/>
        <v>0</v>
      </c>
    </row>
    <row r="467" spans="1:12" ht="12.75" customHeight="1">
      <c r="A467" s="321"/>
      <c r="B467" t="str">
        <f>'Quick View_ Sample Data'!P468</f>
        <v>MgO</v>
      </c>
      <c r="C467">
        <f>'Quick View_ Sample Data'!O468</f>
        <v>174</v>
      </c>
      <c r="D467">
        <f>'Quick View_ Sample Data'!AN468</f>
        <v>0</v>
      </c>
      <c r="E467">
        <f>'Quick View_ Sample Data'!O468</f>
        <v>174</v>
      </c>
      <c r="F467">
        <f>'Quick View_ Sample Data'!AO468</f>
        <v>0</v>
      </c>
      <c r="G467">
        <f>'Quick View_ Sample Data'!O468</f>
        <v>174</v>
      </c>
      <c r="H467">
        <f>'Quick View_ Sample Data'!AP468</f>
        <v>0</v>
      </c>
      <c r="I467">
        <f>'Quick View_ Sample Data'!AF468</f>
        <v>0</v>
      </c>
      <c r="J467">
        <f>'Quick View_ Sample Data'!AJ468</f>
        <v>0</v>
      </c>
      <c r="K467">
        <f>'Quick View_ Sample Data'!AH468</f>
        <v>708.90623999999991</v>
      </c>
      <c r="L467">
        <f t="shared" si="7"/>
        <v>0</v>
      </c>
    </row>
    <row r="468" spans="1:12" ht="12.75" customHeight="1">
      <c r="A468" s="321"/>
      <c r="B468" t="str">
        <f>'Quick View_ Sample Data'!P469</f>
        <v>MgO</v>
      </c>
      <c r="C468">
        <f>'Quick View_ Sample Data'!O469</f>
        <v>174</v>
      </c>
      <c r="D468">
        <f>'Quick View_ Sample Data'!AN469</f>
        <v>0</v>
      </c>
      <c r="E468">
        <f>'Quick View_ Sample Data'!O469</f>
        <v>174</v>
      </c>
      <c r="F468">
        <f>'Quick View_ Sample Data'!AO469</f>
        <v>0</v>
      </c>
      <c r="G468">
        <f>'Quick View_ Sample Data'!O469</f>
        <v>174</v>
      </c>
      <c r="H468">
        <f>'Quick View_ Sample Data'!AP469</f>
        <v>0</v>
      </c>
      <c r="I468">
        <f>'Quick View_ Sample Data'!AF469</f>
        <v>0</v>
      </c>
      <c r="J468">
        <f>'Quick View_ Sample Data'!AJ469</f>
        <v>0</v>
      </c>
      <c r="K468">
        <f>'Quick View_ Sample Data'!AH469</f>
        <v>685.11743999999999</v>
      </c>
      <c r="L468">
        <f t="shared" si="7"/>
        <v>0</v>
      </c>
    </row>
    <row r="469" spans="1:12" ht="12.75" customHeight="1">
      <c r="A469" s="321"/>
      <c r="B469" t="str">
        <f>'Quick View_ Sample Data'!P470</f>
        <v>Al2O3</v>
      </c>
      <c r="C469">
        <f>'Quick View_ Sample Data'!O470</f>
        <v>175</v>
      </c>
      <c r="D469">
        <f>'Quick View_ Sample Data'!AN470</f>
        <v>0</v>
      </c>
      <c r="E469">
        <f>'Quick View_ Sample Data'!O470</f>
        <v>175</v>
      </c>
      <c r="F469">
        <f>'Quick View_ Sample Data'!AO470</f>
        <v>0</v>
      </c>
      <c r="G469">
        <f>'Quick View_ Sample Data'!O470</f>
        <v>175</v>
      </c>
      <c r="H469">
        <f>'Quick View_ Sample Data'!AP470</f>
        <v>0</v>
      </c>
      <c r="I469">
        <f>'Quick View_ Sample Data'!AF470</f>
        <v>0</v>
      </c>
      <c r="J469">
        <f>'Quick View_ Sample Data'!AJ470</f>
        <v>12.2</v>
      </c>
      <c r="K469">
        <f>'Quick View_ Sample Data'!AH470</f>
        <v>217.67</v>
      </c>
      <c r="L469">
        <f t="shared" si="7"/>
        <v>0</v>
      </c>
    </row>
    <row r="470" spans="1:12" ht="12.75" customHeight="1">
      <c r="A470" s="321"/>
      <c r="B470" t="str">
        <f>'Quick View_ Sample Data'!P471</f>
        <v>Al2O3</v>
      </c>
      <c r="C470">
        <f>'Quick View_ Sample Data'!O471</f>
        <v>175</v>
      </c>
      <c r="D470">
        <f>'Quick View_ Sample Data'!AN471</f>
        <v>168.6</v>
      </c>
      <c r="E470">
        <f>'Quick View_ Sample Data'!O471</f>
        <v>175</v>
      </c>
      <c r="F470">
        <f>'Quick View_ Sample Data'!AO471</f>
        <v>21243.599999999999</v>
      </c>
      <c r="G470">
        <f>'Quick View_ Sample Data'!O471</f>
        <v>175</v>
      </c>
      <c r="H470">
        <f>'Quick View_ Sample Data'!AP471</f>
        <v>3.214285714285714</v>
      </c>
      <c r="I470">
        <f>'Quick View_ Sample Data'!AF471</f>
        <v>7.5</v>
      </c>
      <c r="J470">
        <f>'Quick View_ Sample Data'!AJ471</f>
        <v>12.6</v>
      </c>
      <c r="K470">
        <f>'Quick View_ Sample Data'!AH471</f>
        <v>224.8</v>
      </c>
      <c r="L470">
        <f t="shared" si="7"/>
        <v>94.5</v>
      </c>
    </row>
    <row r="471" spans="1:12" ht="12.75" customHeight="1">
      <c r="A471" s="321"/>
      <c r="B471" t="str">
        <f>'Quick View_ Sample Data'!P472</f>
        <v>MgO</v>
      </c>
      <c r="C471">
        <f>'Quick View_ Sample Data'!O472</f>
        <v>175</v>
      </c>
      <c r="D471">
        <f>'Quick View_ Sample Data'!AN472</f>
        <v>0</v>
      </c>
      <c r="E471">
        <f>'Quick View_ Sample Data'!O472</f>
        <v>175</v>
      </c>
      <c r="F471">
        <f>'Quick View_ Sample Data'!AO472</f>
        <v>0</v>
      </c>
      <c r="G471">
        <f>'Quick View_ Sample Data'!O472</f>
        <v>175</v>
      </c>
      <c r="H471">
        <f>'Quick View_ Sample Data'!AP472</f>
        <v>0</v>
      </c>
      <c r="I471">
        <f>'Quick View_ Sample Data'!AF472</f>
        <v>0</v>
      </c>
      <c r="J471">
        <f>'Quick View_ Sample Data'!AJ472</f>
        <v>12.7</v>
      </c>
      <c r="K471">
        <f>'Quick View_ Sample Data'!AH472</f>
        <v>200.54</v>
      </c>
      <c r="L471">
        <f t="shared" si="7"/>
        <v>0</v>
      </c>
    </row>
    <row r="472" spans="1:12" ht="12.75" customHeight="1">
      <c r="A472" s="321"/>
      <c r="B472" t="str">
        <f>'Quick View_ Sample Data'!P473</f>
        <v>MgO</v>
      </c>
      <c r="C472">
        <f>'Quick View_ Sample Data'!O473</f>
        <v>175</v>
      </c>
      <c r="D472">
        <f>'Quick View_ Sample Data'!AN473</f>
        <v>130.38479999999998</v>
      </c>
      <c r="E472">
        <f>'Quick View_ Sample Data'!O473</f>
        <v>175</v>
      </c>
      <c r="F472">
        <f>'Quick View_ Sample Data'!AO473</f>
        <v>16558.869599999998</v>
      </c>
      <c r="G472">
        <f>'Quick View_ Sample Data'!O473</f>
        <v>175</v>
      </c>
      <c r="H472">
        <f>'Quick View_ Sample Data'!AP473</f>
        <v>2.6999999999999997</v>
      </c>
      <c r="I472">
        <f>'Quick View_ Sample Data'!AF473</f>
        <v>6.3</v>
      </c>
      <c r="J472">
        <f>'Quick View_ Sample Data'!AJ473</f>
        <v>12.7</v>
      </c>
      <c r="K472">
        <f>'Quick View_ Sample Data'!AH473</f>
        <v>206.96</v>
      </c>
      <c r="L472">
        <f t="shared" si="7"/>
        <v>80.009999999999991</v>
      </c>
    </row>
    <row r="473" spans="1:12" ht="12.75" customHeight="1">
      <c r="A473" s="321"/>
      <c r="B473" t="str">
        <f>'Quick View_ Sample Data'!P474</f>
        <v>SiNx</v>
      </c>
      <c r="C473">
        <f>'Quick View_ Sample Data'!O474</f>
        <v>176</v>
      </c>
      <c r="D473">
        <f>'Quick View_ Sample Data'!AN474</f>
        <v>0</v>
      </c>
      <c r="E473">
        <f>'Quick View_ Sample Data'!O474</f>
        <v>176</v>
      </c>
      <c r="F473">
        <f>'Quick View_ Sample Data'!AO474</f>
        <v>0</v>
      </c>
      <c r="G473">
        <f>'Quick View_ Sample Data'!O474</f>
        <v>176</v>
      </c>
      <c r="H473">
        <f>'Quick View_ Sample Data'!AP474</f>
        <v>0</v>
      </c>
      <c r="I473">
        <f>'Quick View_ Sample Data'!AF474</f>
        <v>0</v>
      </c>
      <c r="J473">
        <f>'Quick View_ Sample Data'!AJ474</f>
        <v>8.9</v>
      </c>
      <c r="K473">
        <f>'Quick View_ Sample Data'!AH474</f>
        <v>356.06</v>
      </c>
      <c r="L473">
        <f t="shared" si="7"/>
        <v>0</v>
      </c>
    </row>
    <row r="474" spans="1:12" ht="12.75" customHeight="1">
      <c r="A474" s="321"/>
      <c r="B474" t="str">
        <f>'Quick View_ Sample Data'!P475</f>
        <v>SiNx</v>
      </c>
      <c r="C474">
        <f>'Quick View_ Sample Data'!O475</f>
        <v>176</v>
      </c>
      <c r="D474">
        <f>'Quick View_ Sample Data'!AN475</f>
        <v>0</v>
      </c>
      <c r="E474">
        <f>'Quick View_ Sample Data'!O475</f>
        <v>176</v>
      </c>
      <c r="F474">
        <f>'Quick View_ Sample Data'!AO475</f>
        <v>0</v>
      </c>
      <c r="G474">
        <f>'Quick View_ Sample Data'!O475</f>
        <v>176</v>
      </c>
      <c r="H474">
        <f>'Quick View_ Sample Data'!AP475</f>
        <v>0</v>
      </c>
      <c r="I474">
        <f>'Quick View_ Sample Data'!AF475</f>
        <v>0</v>
      </c>
      <c r="J474">
        <f>'Quick View_ Sample Data'!AJ475</f>
        <v>8.8000000000000007</v>
      </c>
      <c r="K474">
        <f>'Quick View_ Sample Data'!AH475</f>
        <v>364.92</v>
      </c>
      <c r="L474">
        <f t="shared" si="7"/>
        <v>0</v>
      </c>
    </row>
    <row r="475" spans="1:12" ht="12.75" customHeight="1">
      <c r="A475" s="321"/>
      <c r="B475" t="str">
        <f>'Quick View_ Sample Data'!P476</f>
        <v>SiNx</v>
      </c>
      <c r="C475">
        <f>'Quick View_ Sample Data'!O476</f>
        <v>176</v>
      </c>
      <c r="D475">
        <f>'Quick View_ Sample Data'!AN476</f>
        <v>0</v>
      </c>
      <c r="E475">
        <f>'Quick View_ Sample Data'!O476</f>
        <v>176</v>
      </c>
      <c r="F475">
        <f>'Quick View_ Sample Data'!AO476</f>
        <v>0</v>
      </c>
      <c r="G475">
        <f>'Quick View_ Sample Data'!O476</f>
        <v>176</v>
      </c>
      <c r="H475">
        <f>'Quick View_ Sample Data'!AP476</f>
        <v>0</v>
      </c>
      <c r="I475">
        <f>'Quick View_ Sample Data'!AF476</f>
        <v>0</v>
      </c>
      <c r="J475">
        <f>'Quick View_ Sample Data'!AJ476</f>
        <v>8.5299999999999994</v>
      </c>
      <c r="K475">
        <f>'Quick View_ Sample Data'!AH476</f>
        <v>366.94</v>
      </c>
      <c r="L475">
        <f t="shared" si="7"/>
        <v>0</v>
      </c>
    </row>
    <row r="476" spans="1:12" ht="12.75" customHeight="1">
      <c r="A476" s="321"/>
      <c r="B476" t="str">
        <f>'Quick View_ Sample Data'!P477</f>
        <v>Glass</v>
      </c>
      <c r="C476">
        <f>'Quick View_ Sample Data'!O477</f>
        <v>176</v>
      </c>
      <c r="D476">
        <f>'Quick View_ Sample Data'!AN477</f>
        <v>268.52980000000002</v>
      </c>
      <c r="E476">
        <f>'Quick View_ Sample Data'!O477</f>
        <v>176</v>
      </c>
      <c r="F476">
        <f>'Quick View_ Sample Data'!AO477</f>
        <v>0</v>
      </c>
      <c r="G476">
        <f>'Quick View_ Sample Data'!O477</f>
        <v>176</v>
      </c>
      <c r="H476">
        <f>'Quick View_ Sample Data'!AP477</f>
        <v>3.725806451612903</v>
      </c>
      <c r="I476">
        <f>'Quick View_ Sample Data'!AF477</f>
        <v>7.7</v>
      </c>
      <c r="J476">
        <f>'Quick View_ Sample Data'!AJ477</f>
        <v>0</v>
      </c>
      <c r="K476">
        <f>'Quick View_ Sample Data'!AH477</f>
        <v>348.74</v>
      </c>
      <c r="L476">
        <f t="shared" si="7"/>
        <v>0</v>
      </c>
    </row>
    <row r="477" spans="1:12" ht="12.75" customHeight="1">
      <c r="A477" s="321"/>
      <c r="B477" t="str">
        <f>'Quick View_ Sample Data'!P478</f>
        <v>MgO</v>
      </c>
      <c r="C477">
        <f>'Quick View_ Sample Data'!O478</f>
        <v>177</v>
      </c>
      <c r="D477">
        <f>'Quick View_ Sample Data'!AN478</f>
        <v>0</v>
      </c>
      <c r="E477">
        <f>'Quick View_ Sample Data'!O478</f>
        <v>177</v>
      </c>
      <c r="F477">
        <f>'Quick View_ Sample Data'!AO478</f>
        <v>0</v>
      </c>
      <c r="G477">
        <f>'Quick View_ Sample Data'!O478</f>
        <v>177</v>
      </c>
      <c r="H477">
        <f>'Quick View_ Sample Data'!AP478</f>
        <v>0</v>
      </c>
      <c r="I477">
        <f>'Quick View_ Sample Data'!AF478</f>
        <v>0</v>
      </c>
      <c r="J477">
        <f>'Quick View_ Sample Data'!AJ478</f>
        <v>0</v>
      </c>
      <c r="K477">
        <f>'Quick View_ Sample Data'!AH478</f>
        <v>480.41481599999997</v>
      </c>
      <c r="L477">
        <f t="shared" si="7"/>
        <v>0</v>
      </c>
    </row>
    <row r="478" spans="1:12" ht="12.75" customHeight="1">
      <c r="A478" s="321"/>
      <c r="B478" t="str">
        <f>'Quick View_ Sample Data'!P479</f>
        <v>MgO</v>
      </c>
      <c r="C478">
        <f>'Quick View_ Sample Data'!O479</f>
        <v>177</v>
      </c>
      <c r="D478">
        <f>'Quick View_ Sample Data'!AN479</f>
        <v>0</v>
      </c>
      <c r="E478">
        <f>'Quick View_ Sample Data'!O479</f>
        <v>177</v>
      </c>
      <c r="F478">
        <f>'Quick View_ Sample Data'!AO479</f>
        <v>0</v>
      </c>
      <c r="G478">
        <f>'Quick View_ Sample Data'!O479</f>
        <v>177</v>
      </c>
      <c r="H478">
        <f>'Quick View_ Sample Data'!AP479</f>
        <v>0</v>
      </c>
      <c r="I478">
        <f>'Quick View_ Sample Data'!AF479</f>
        <v>0</v>
      </c>
      <c r="J478">
        <f>'Quick View_ Sample Data'!AJ479</f>
        <v>0</v>
      </c>
      <c r="K478">
        <f>'Quick View_ Sample Data'!AH479</f>
        <v>481.36636800000002</v>
      </c>
      <c r="L478">
        <f t="shared" si="7"/>
        <v>0</v>
      </c>
    </row>
    <row r="479" spans="1:12" ht="12.75" customHeight="1">
      <c r="A479" s="321"/>
      <c r="B479" t="str">
        <f>'Quick View_ Sample Data'!P480</f>
        <v>MgO</v>
      </c>
      <c r="C479">
        <f>'Quick View_ Sample Data'!O480</f>
        <v>177</v>
      </c>
      <c r="D479">
        <f>'Quick View_ Sample Data'!AN480</f>
        <v>0</v>
      </c>
      <c r="E479">
        <f>'Quick View_ Sample Data'!O480</f>
        <v>177</v>
      </c>
      <c r="F479">
        <f>'Quick View_ Sample Data'!AO480</f>
        <v>0</v>
      </c>
      <c r="G479">
        <f>'Quick View_ Sample Data'!O480</f>
        <v>177</v>
      </c>
      <c r="H479">
        <f>'Quick View_ Sample Data'!AP480</f>
        <v>0</v>
      </c>
      <c r="I479">
        <f>'Quick View_ Sample Data'!AF480</f>
        <v>0</v>
      </c>
      <c r="J479">
        <f>'Quick View_ Sample Data'!AJ480</f>
        <v>0</v>
      </c>
      <c r="K479">
        <f>'Quick View_ Sample Data'!AH480</f>
        <v>0</v>
      </c>
      <c r="L479">
        <f t="shared" si="7"/>
        <v>0</v>
      </c>
    </row>
    <row r="480" spans="1:12" ht="12.75" customHeight="1">
      <c r="A480" s="321"/>
      <c r="B480" t="str">
        <f>'Quick View_ Sample Data'!P481</f>
        <v>MgO</v>
      </c>
      <c r="C480">
        <f>'Quick View_ Sample Data'!O481</f>
        <v>177</v>
      </c>
      <c r="D480">
        <f>'Quick View_ Sample Data'!AN481</f>
        <v>0</v>
      </c>
      <c r="E480">
        <f>'Quick View_ Sample Data'!O481</f>
        <v>177</v>
      </c>
      <c r="F480">
        <f>'Quick View_ Sample Data'!AO481</f>
        <v>0</v>
      </c>
      <c r="G480">
        <f>'Quick View_ Sample Data'!O481</f>
        <v>177</v>
      </c>
      <c r="H480">
        <f>'Quick View_ Sample Data'!AP481</f>
        <v>2.3250000000000002</v>
      </c>
      <c r="I480">
        <f>'Quick View_ Sample Data'!AF481</f>
        <v>3.1</v>
      </c>
      <c r="J480">
        <f>'Quick View_ Sample Data'!AJ481</f>
        <v>10.55</v>
      </c>
      <c r="K480">
        <f>'Quick View_ Sample Data'!AH481</f>
        <v>0</v>
      </c>
      <c r="L480">
        <f t="shared" si="7"/>
        <v>32.705000000000005</v>
      </c>
    </row>
    <row r="481" spans="1:12" ht="12.75" customHeight="1">
      <c r="A481" s="321"/>
      <c r="B481" t="str">
        <f>'Quick View_ Sample Data'!P482</f>
        <v>Al2O3</v>
      </c>
      <c r="C481">
        <f>'Quick View_ Sample Data'!O482</f>
        <v>180</v>
      </c>
      <c r="D481">
        <f>'Quick View_ Sample Data'!AN482</f>
        <v>0</v>
      </c>
      <c r="E481">
        <f>'Quick View_ Sample Data'!O482</f>
        <v>180</v>
      </c>
      <c r="F481">
        <f>'Quick View_ Sample Data'!AO482</f>
        <v>0</v>
      </c>
      <c r="G481">
        <f>'Quick View_ Sample Data'!O482</f>
        <v>180</v>
      </c>
      <c r="H481">
        <f>'Quick View_ Sample Data'!AP482</f>
        <v>0</v>
      </c>
      <c r="I481">
        <f>'Quick View_ Sample Data'!AF482</f>
        <v>0</v>
      </c>
      <c r="J481">
        <f>'Quick View_ Sample Data'!AJ482</f>
        <v>0</v>
      </c>
      <c r="K481">
        <f>'Quick View_ Sample Data'!AH482</f>
        <v>564.15139199999999</v>
      </c>
      <c r="L481">
        <f t="shared" si="7"/>
        <v>0</v>
      </c>
    </row>
    <row r="482" spans="1:12" ht="12.75" customHeight="1">
      <c r="A482" s="321"/>
      <c r="B482" t="str">
        <f>'Quick View_ Sample Data'!P483</f>
        <v>Al2O3</v>
      </c>
      <c r="C482">
        <f>'Quick View_ Sample Data'!O483</f>
        <v>180</v>
      </c>
      <c r="D482">
        <f>'Quick View_ Sample Data'!AN483</f>
        <v>0</v>
      </c>
      <c r="E482">
        <f>'Quick View_ Sample Data'!O483</f>
        <v>180</v>
      </c>
      <c r="F482">
        <f>'Quick View_ Sample Data'!AO483</f>
        <v>0</v>
      </c>
      <c r="G482">
        <f>'Quick View_ Sample Data'!O483</f>
        <v>180</v>
      </c>
      <c r="H482">
        <f>'Quick View_ Sample Data'!AP483</f>
        <v>0</v>
      </c>
      <c r="I482">
        <f>'Quick View_ Sample Data'!AF483</f>
        <v>0</v>
      </c>
      <c r="J482">
        <f>'Quick View_ Sample Data'!AJ483</f>
        <v>7.8</v>
      </c>
      <c r="K482">
        <f>'Quick View_ Sample Data'!AH483</f>
        <v>567.36288000000002</v>
      </c>
      <c r="L482">
        <f t="shared" si="7"/>
        <v>0</v>
      </c>
    </row>
    <row r="483" spans="1:12" ht="12.75" customHeight="1">
      <c r="A483" s="321"/>
      <c r="B483" t="str">
        <f>'Quick View_ Sample Data'!P484</f>
        <v>MgO</v>
      </c>
      <c r="C483">
        <f>'Quick View_ Sample Data'!O484</f>
        <v>180</v>
      </c>
      <c r="D483">
        <f>'Quick View_ Sample Data'!AN484</f>
        <v>0</v>
      </c>
      <c r="E483">
        <f>'Quick View_ Sample Data'!O484</f>
        <v>180</v>
      </c>
      <c r="F483">
        <f>'Quick View_ Sample Data'!AO484</f>
        <v>0</v>
      </c>
      <c r="G483">
        <f>'Quick View_ Sample Data'!O484</f>
        <v>180</v>
      </c>
      <c r="H483">
        <f>'Quick View_ Sample Data'!AP484</f>
        <v>0</v>
      </c>
      <c r="I483">
        <f>'Quick View_ Sample Data'!AF484</f>
        <v>0</v>
      </c>
      <c r="J483">
        <f>'Quick View_ Sample Data'!AJ484</f>
        <v>0</v>
      </c>
      <c r="K483">
        <f>'Quick View_ Sample Data'!AH484</f>
        <v>573.31007999999997</v>
      </c>
      <c r="L483">
        <f t="shared" si="7"/>
        <v>0</v>
      </c>
    </row>
    <row r="484" spans="1:12" ht="12.75" customHeight="1">
      <c r="A484" s="321"/>
      <c r="B484" t="str">
        <f>'Quick View_ Sample Data'!P485</f>
        <v>MgO</v>
      </c>
      <c r="C484">
        <f>'Quick View_ Sample Data'!O485</f>
        <v>180</v>
      </c>
      <c r="D484">
        <f>'Quick View_ Sample Data'!AN485</f>
        <v>0</v>
      </c>
      <c r="E484">
        <f>'Quick View_ Sample Data'!O485</f>
        <v>180</v>
      </c>
      <c r="F484">
        <f>'Quick View_ Sample Data'!AO485</f>
        <v>0</v>
      </c>
      <c r="G484">
        <f>'Quick View_ Sample Data'!O485</f>
        <v>180</v>
      </c>
      <c r="H484">
        <f>'Quick View_ Sample Data'!AP485</f>
        <v>0</v>
      </c>
      <c r="I484">
        <f>'Quick View_ Sample Data'!AF485</f>
        <v>0</v>
      </c>
      <c r="J484">
        <f>'Quick View_ Sample Data'!AJ485</f>
        <v>6.5</v>
      </c>
      <c r="K484">
        <f>'Quick View_ Sample Data'!AH485</f>
        <v>582.78991680000001</v>
      </c>
      <c r="L484">
        <f t="shared" si="7"/>
        <v>0</v>
      </c>
    </row>
    <row r="485" spans="1:12" ht="12.75" customHeight="1">
      <c r="A485" s="321"/>
      <c r="B485" t="str">
        <f>'Quick View_ Sample Data'!P486</f>
        <v>Sinx</v>
      </c>
      <c r="C485">
        <f>'Quick View_ Sample Data'!O486</f>
        <v>181</v>
      </c>
      <c r="D485">
        <f>'Quick View_ Sample Data'!AN486</f>
        <v>0</v>
      </c>
      <c r="E485">
        <f>'Quick View_ Sample Data'!O486</f>
        <v>181</v>
      </c>
      <c r="F485">
        <f>'Quick View_ Sample Data'!AO486</f>
        <v>0</v>
      </c>
      <c r="G485">
        <f>'Quick View_ Sample Data'!O486</f>
        <v>181</v>
      </c>
      <c r="H485">
        <f>'Quick View_ Sample Data'!AP486</f>
        <v>0</v>
      </c>
      <c r="I485">
        <f>'Quick View_ Sample Data'!AF486</f>
        <v>0</v>
      </c>
      <c r="J485">
        <f>'Quick View_ Sample Data'!AJ486</f>
        <v>0</v>
      </c>
      <c r="K485">
        <f>'Quick View_ Sample Data'!AH486</f>
        <v>443.83953600000001</v>
      </c>
      <c r="L485">
        <f t="shared" si="7"/>
        <v>0</v>
      </c>
    </row>
    <row r="486" spans="1:12" ht="12.75" customHeight="1">
      <c r="A486" s="321"/>
      <c r="B486" t="str">
        <f>'Quick View_ Sample Data'!P487</f>
        <v>SInx</v>
      </c>
      <c r="C486">
        <f>'Quick View_ Sample Data'!O487</f>
        <v>181</v>
      </c>
      <c r="D486">
        <f>'Quick View_ Sample Data'!AN487</f>
        <v>0</v>
      </c>
      <c r="E486">
        <f>'Quick View_ Sample Data'!O487</f>
        <v>181</v>
      </c>
      <c r="F486">
        <f>'Quick View_ Sample Data'!AO487</f>
        <v>0</v>
      </c>
      <c r="G486">
        <f>'Quick View_ Sample Data'!O487</f>
        <v>181</v>
      </c>
      <c r="H486">
        <f>'Quick View_ Sample Data'!AP487</f>
        <v>0</v>
      </c>
      <c r="I486">
        <f>'Quick View_ Sample Data'!AF487</f>
        <v>0</v>
      </c>
      <c r="J486">
        <f>'Quick View_ Sample Data'!AJ487</f>
        <v>0</v>
      </c>
      <c r="K486">
        <f>'Quick View_ Sample Data'!AH487</f>
        <v>0</v>
      </c>
      <c r="L486">
        <f t="shared" si="7"/>
        <v>0</v>
      </c>
    </row>
    <row r="487" spans="1:12" ht="12.75" customHeight="1">
      <c r="A487" s="321"/>
      <c r="B487" t="str">
        <f>'Quick View_ Sample Data'!P488</f>
        <v>Sinx</v>
      </c>
      <c r="C487">
        <f>'Quick View_ Sample Data'!O488</f>
        <v>181</v>
      </c>
      <c r="D487">
        <f>'Quick View_ Sample Data'!AN488</f>
        <v>0</v>
      </c>
      <c r="E487">
        <f>'Quick View_ Sample Data'!O488</f>
        <v>181</v>
      </c>
      <c r="F487">
        <f>'Quick View_ Sample Data'!AO488</f>
        <v>0</v>
      </c>
      <c r="G487">
        <f>'Quick View_ Sample Data'!O488</f>
        <v>181</v>
      </c>
      <c r="H487">
        <f>'Quick View_ Sample Data'!AP488</f>
        <v>0</v>
      </c>
      <c r="I487">
        <f>'Quick View_ Sample Data'!AF488</f>
        <v>0</v>
      </c>
      <c r="J487">
        <f>'Quick View_ Sample Data'!AJ488</f>
        <v>0</v>
      </c>
      <c r="K487">
        <f>'Quick View_ Sample Data'!AH488</f>
        <v>440.925408</v>
      </c>
      <c r="L487">
        <f t="shared" si="7"/>
        <v>0</v>
      </c>
    </row>
    <row r="488" spans="1:12" ht="12.75" customHeight="1">
      <c r="A488" s="321"/>
      <c r="B488" t="str">
        <f>'Quick View_ Sample Data'!P489</f>
        <v>Glass</v>
      </c>
      <c r="C488">
        <f>'Quick View_ Sample Data'!O489</f>
        <v>181</v>
      </c>
      <c r="D488">
        <f>'Quick View_ Sample Data'!AN489</f>
        <v>344.91619007999998</v>
      </c>
      <c r="E488">
        <f>'Quick View_ Sample Data'!O489</f>
        <v>181</v>
      </c>
      <c r="F488">
        <f>'Quick View_ Sample Data'!AO489</f>
        <v>0</v>
      </c>
      <c r="G488">
        <f>'Quick View_ Sample Data'!O489</f>
        <v>181</v>
      </c>
      <c r="H488">
        <f>'Quick View_ Sample Data'!AP489</f>
        <v>3.8499999999999996</v>
      </c>
      <c r="I488">
        <f>'Quick View_ Sample Data'!AF489</f>
        <v>7.7</v>
      </c>
      <c r="J488">
        <f>'Quick View_ Sample Data'!AJ489</f>
        <v>0</v>
      </c>
      <c r="K488">
        <f>'Quick View_ Sample Data'!AH489</f>
        <v>447.94310399999995</v>
      </c>
      <c r="L488">
        <f t="shared" si="7"/>
        <v>0</v>
      </c>
    </row>
    <row r="489" spans="1:12" ht="12.75" customHeight="1">
      <c r="A489" s="321"/>
      <c r="B489" t="str">
        <f>'Quick View_ Sample Data'!P490</f>
        <v>MgO</v>
      </c>
      <c r="C489">
        <f>'Quick View_ Sample Data'!O490</f>
        <v>182</v>
      </c>
      <c r="D489">
        <f>'Quick View_ Sample Data'!AN490</f>
        <v>0</v>
      </c>
      <c r="E489">
        <f>'Quick View_ Sample Data'!O490</f>
        <v>182</v>
      </c>
      <c r="F489">
        <f>'Quick View_ Sample Data'!AO490</f>
        <v>0</v>
      </c>
      <c r="G489">
        <f>'Quick View_ Sample Data'!O490</f>
        <v>182</v>
      </c>
      <c r="H489">
        <f>'Quick View_ Sample Data'!AP490</f>
        <v>0</v>
      </c>
      <c r="I489">
        <f>'Quick View_ Sample Data'!AF490</f>
        <v>0</v>
      </c>
      <c r="J489">
        <f>'Quick View_ Sample Data'!AJ490</f>
        <v>0</v>
      </c>
      <c r="K489">
        <f>'Quick View_ Sample Data'!AH490</f>
        <v>1015.7817600000001</v>
      </c>
      <c r="L489">
        <f t="shared" si="7"/>
        <v>0</v>
      </c>
    </row>
    <row r="490" spans="1:12" ht="12.75" customHeight="1">
      <c r="A490" s="321"/>
      <c r="B490" t="str">
        <f>'Quick View_ Sample Data'!P491</f>
        <v>MgO</v>
      </c>
      <c r="C490">
        <f>'Quick View_ Sample Data'!O491</f>
        <v>182</v>
      </c>
      <c r="D490">
        <f>'Quick View_ Sample Data'!AN491</f>
        <v>0</v>
      </c>
      <c r="E490">
        <f>'Quick View_ Sample Data'!O491</f>
        <v>182</v>
      </c>
      <c r="F490">
        <f>'Quick View_ Sample Data'!AO491</f>
        <v>0</v>
      </c>
      <c r="G490">
        <f>'Quick View_ Sample Data'!O491</f>
        <v>182</v>
      </c>
      <c r="H490">
        <f>'Quick View_ Sample Data'!AP491</f>
        <v>0</v>
      </c>
      <c r="I490">
        <f>'Quick View_ Sample Data'!AF491</f>
        <v>0</v>
      </c>
      <c r="J490">
        <f>'Quick View_ Sample Data'!AJ491</f>
        <v>0</v>
      </c>
      <c r="K490">
        <f>'Quick View_ Sample Data'!AH491</f>
        <v>987.23520000000008</v>
      </c>
      <c r="L490">
        <f t="shared" si="7"/>
        <v>0</v>
      </c>
    </row>
    <row r="491" spans="1:12" ht="12.75" customHeight="1">
      <c r="A491" s="321"/>
      <c r="B491" t="str">
        <f>'Quick View_ Sample Data'!P492</f>
        <v>MgO</v>
      </c>
      <c r="C491">
        <f>'Quick View_ Sample Data'!O492</f>
        <v>182</v>
      </c>
      <c r="D491">
        <f>'Quick View_ Sample Data'!AN492</f>
        <v>0</v>
      </c>
      <c r="E491">
        <f>'Quick View_ Sample Data'!O492</f>
        <v>182</v>
      </c>
      <c r="F491">
        <f>'Quick View_ Sample Data'!AO492</f>
        <v>0</v>
      </c>
      <c r="G491">
        <f>'Quick View_ Sample Data'!O492</f>
        <v>182</v>
      </c>
      <c r="H491">
        <f>'Quick View_ Sample Data'!AP492</f>
        <v>0</v>
      </c>
      <c r="I491">
        <f>'Quick View_ Sample Data'!AF492</f>
        <v>0</v>
      </c>
      <c r="J491">
        <f>'Quick View_ Sample Data'!AJ492</f>
        <v>0</v>
      </c>
      <c r="K491">
        <f>'Quick View_ Sample Data'!AH492</f>
        <v>1480.3770239999999</v>
      </c>
      <c r="L491">
        <f t="shared" si="7"/>
        <v>0</v>
      </c>
    </row>
    <row r="492" spans="1:12" ht="12.75" customHeight="1">
      <c r="A492" s="321"/>
      <c r="B492" t="str">
        <f>'Quick View_ Sample Data'!P493</f>
        <v>MgO</v>
      </c>
      <c r="C492">
        <f>'Quick View_ Sample Data'!O493</f>
        <v>182</v>
      </c>
      <c r="D492">
        <f>'Quick View_ Sample Data'!AN493</f>
        <v>0</v>
      </c>
      <c r="E492">
        <f>'Quick View_ Sample Data'!O493</f>
        <v>182</v>
      </c>
      <c r="F492">
        <f>'Quick View_ Sample Data'!AO493</f>
        <v>0</v>
      </c>
      <c r="G492">
        <f>'Quick View_ Sample Data'!O493</f>
        <v>182</v>
      </c>
      <c r="H492">
        <f>'Quick View_ Sample Data'!AP493</f>
        <v>0</v>
      </c>
      <c r="I492">
        <f>'Quick View_ Sample Data'!AF493</f>
        <v>0</v>
      </c>
      <c r="J492">
        <f>'Quick View_ Sample Data'!AJ493</f>
        <v>6.4</v>
      </c>
      <c r="K492">
        <f>'Quick View_ Sample Data'!AH493</f>
        <v>974.22272639999994</v>
      </c>
      <c r="L492">
        <f t="shared" si="7"/>
        <v>0</v>
      </c>
    </row>
    <row r="493" spans="1:12" ht="12.75" customHeight="1">
      <c r="A493" s="321"/>
      <c r="B493" t="str">
        <f>'Quick View_ Sample Data'!P494</f>
        <v>MgO</v>
      </c>
      <c r="C493">
        <f>'Quick View_ Sample Data'!O494</f>
        <v>183</v>
      </c>
      <c r="D493">
        <f>'Quick View_ Sample Data'!AN494</f>
        <v>0</v>
      </c>
      <c r="E493">
        <f>'Quick View_ Sample Data'!O494</f>
        <v>183</v>
      </c>
      <c r="F493">
        <f>'Quick View_ Sample Data'!AO494</f>
        <v>0</v>
      </c>
      <c r="G493">
        <f>'Quick View_ Sample Data'!O494</f>
        <v>183</v>
      </c>
      <c r="H493">
        <f>'Quick View_ Sample Data'!AP494</f>
        <v>0</v>
      </c>
      <c r="I493">
        <f>'Quick View_ Sample Data'!AF494</f>
        <v>0</v>
      </c>
      <c r="J493">
        <f>'Quick View_ Sample Data'!AJ494</f>
        <v>0</v>
      </c>
      <c r="K493">
        <f>'Quick View_ Sample Data'!AH494</f>
        <v>733.88447999999994</v>
      </c>
      <c r="L493">
        <f t="shared" si="7"/>
        <v>0</v>
      </c>
    </row>
    <row r="494" spans="1:12" ht="12.75" customHeight="1">
      <c r="A494" s="321"/>
      <c r="B494" t="str">
        <f>'Quick View_ Sample Data'!P495</f>
        <v>MgO</v>
      </c>
      <c r="C494">
        <f>'Quick View_ Sample Data'!O495</f>
        <v>183</v>
      </c>
      <c r="D494">
        <f>'Quick View_ Sample Data'!AN495</f>
        <v>0</v>
      </c>
      <c r="E494">
        <f>'Quick View_ Sample Data'!O495</f>
        <v>183</v>
      </c>
      <c r="F494">
        <f>'Quick View_ Sample Data'!AO495</f>
        <v>0</v>
      </c>
      <c r="G494">
        <f>'Quick View_ Sample Data'!O495</f>
        <v>183</v>
      </c>
      <c r="H494">
        <f>'Quick View_ Sample Data'!AP495</f>
        <v>0</v>
      </c>
      <c r="I494">
        <f>'Quick View_ Sample Data'!AF495</f>
        <v>0</v>
      </c>
      <c r="J494">
        <f>'Quick View_ Sample Data'!AJ495</f>
        <v>0</v>
      </c>
      <c r="K494">
        <f>'Quick View_ Sample Data'!AH495</f>
        <v>723.06057599999997</v>
      </c>
      <c r="L494">
        <f t="shared" si="7"/>
        <v>0</v>
      </c>
    </row>
    <row r="495" spans="1:12" ht="12.75" customHeight="1">
      <c r="A495" s="321"/>
      <c r="B495" t="str">
        <f>'Quick View_ Sample Data'!P496</f>
        <v>MgO</v>
      </c>
      <c r="C495">
        <f>'Quick View_ Sample Data'!O496</f>
        <v>183</v>
      </c>
      <c r="D495">
        <f>'Quick View_ Sample Data'!AN496</f>
        <v>0</v>
      </c>
      <c r="E495">
        <f>'Quick View_ Sample Data'!O496</f>
        <v>183</v>
      </c>
      <c r="F495">
        <f>'Quick View_ Sample Data'!AO496</f>
        <v>0</v>
      </c>
      <c r="G495">
        <f>'Quick View_ Sample Data'!O496</f>
        <v>183</v>
      </c>
      <c r="H495">
        <f>'Quick View_ Sample Data'!AP496</f>
        <v>0</v>
      </c>
      <c r="I495">
        <f>'Quick View_ Sample Data'!AF496</f>
        <v>0</v>
      </c>
      <c r="J495">
        <f>'Quick View_ Sample Data'!AJ496</f>
        <v>0</v>
      </c>
      <c r="K495">
        <f>'Quick View_ Sample Data'!AH496</f>
        <v>712.95033599999988</v>
      </c>
      <c r="L495">
        <f t="shared" si="7"/>
        <v>0</v>
      </c>
    </row>
    <row r="496" spans="1:12" ht="12.75" customHeight="1">
      <c r="A496" s="321"/>
      <c r="B496" t="str">
        <f>'Quick View_ Sample Data'!P497</f>
        <v>MgO</v>
      </c>
      <c r="C496">
        <f>'Quick View_ Sample Data'!O497</f>
        <v>183</v>
      </c>
      <c r="D496">
        <f>'Quick View_ Sample Data'!AN497</f>
        <v>0</v>
      </c>
      <c r="E496">
        <f>'Quick View_ Sample Data'!O497</f>
        <v>183</v>
      </c>
      <c r="F496">
        <f>'Quick View_ Sample Data'!AO497</f>
        <v>0</v>
      </c>
      <c r="G496">
        <f>'Quick View_ Sample Data'!O497</f>
        <v>183</v>
      </c>
      <c r="H496">
        <f>'Quick View_ Sample Data'!AP497</f>
        <v>0</v>
      </c>
      <c r="I496">
        <f>'Quick View_ Sample Data'!AF497</f>
        <v>0</v>
      </c>
      <c r="J496">
        <f>'Quick View_ Sample Data'!AJ497</f>
        <v>7.3</v>
      </c>
      <c r="K496">
        <f>'Quick View_ Sample Data'!AH497</f>
        <v>733.17081599999995</v>
      </c>
      <c r="L496">
        <f t="shared" si="7"/>
        <v>0</v>
      </c>
    </row>
    <row r="497" spans="1:12" ht="12.75" customHeight="1">
      <c r="A497" s="321"/>
      <c r="B497" t="str">
        <f>'Quick View_ Sample Data'!P498</f>
        <v>SiNx</v>
      </c>
      <c r="C497">
        <f>'Quick View_ Sample Data'!O498</f>
        <v>184</v>
      </c>
      <c r="D497">
        <f>'Quick View_ Sample Data'!AN498</f>
        <v>0</v>
      </c>
      <c r="E497">
        <f>'Quick View_ Sample Data'!O498</f>
        <v>184</v>
      </c>
      <c r="F497">
        <f>'Quick View_ Sample Data'!AO498</f>
        <v>0</v>
      </c>
      <c r="G497">
        <f>'Quick View_ Sample Data'!O498</f>
        <v>184</v>
      </c>
      <c r="H497">
        <f>'Quick View_ Sample Data'!AP498</f>
        <v>0</v>
      </c>
      <c r="I497">
        <f>'Quick View_ Sample Data'!AF498</f>
        <v>0</v>
      </c>
      <c r="J497">
        <f>'Quick View_ Sample Data'!AJ498</f>
        <v>0</v>
      </c>
      <c r="K497">
        <f>'Quick View_ Sample Data'!AH498</f>
        <v>172.82563200000001</v>
      </c>
      <c r="L497">
        <f t="shared" si="7"/>
        <v>0</v>
      </c>
    </row>
    <row r="498" spans="1:12" ht="12.75" customHeight="1">
      <c r="A498" s="321"/>
      <c r="B498" t="str">
        <f>'Quick View_ Sample Data'!P499</f>
        <v>SiNx</v>
      </c>
      <c r="C498">
        <f>'Quick View_ Sample Data'!O499</f>
        <v>184</v>
      </c>
      <c r="D498">
        <f>'Quick View_ Sample Data'!AN499</f>
        <v>0</v>
      </c>
      <c r="E498">
        <f>'Quick View_ Sample Data'!O499</f>
        <v>184</v>
      </c>
      <c r="F498">
        <f>'Quick View_ Sample Data'!AO499</f>
        <v>0</v>
      </c>
      <c r="G498">
        <f>'Quick View_ Sample Data'!O499</f>
        <v>184</v>
      </c>
      <c r="H498">
        <f>'Quick View_ Sample Data'!AP499</f>
        <v>0</v>
      </c>
      <c r="I498">
        <f>'Quick View_ Sample Data'!AF499</f>
        <v>0</v>
      </c>
      <c r="J498">
        <f>'Quick View_ Sample Data'!AJ499</f>
        <v>0</v>
      </c>
      <c r="K498">
        <f>'Quick View_ Sample Data'!AH499</f>
        <v>172.11196800000002</v>
      </c>
      <c r="L498">
        <f t="shared" si="7"/>
        <v>0</v>
      </c>
    </row>
    <row r="499" spans="1:12" ht="12.75" customHeight="1">
      <c r="A499" s="321"/>
      <c r="B499" t="str">
        <f>'Quick View_ Sample Data'!P500</f>
        <v>SiNx</v>
      </c>
      <c r="C499">
        <f>'Quick View_ Sample Data'!O500</f>
        <v>184</v>
      </c>
      <c r="D499">
        <f>'Quick View_ Sample Data'!AN500</f>
        <v>0</v>
      </c>
      <c r="E499">
        <f>'Quick View_ Sample Data'!O500</f>
        <v>184</v>
      </c>
      <c r="F499">
        <f>'Quick View_ Sample Data'!AO500</f>
        <v>0</v>
      </c>
      <c r="G499">
        <f>'Quick View_ Sample Data'!O500</f>
        <v>184</v>
      </c>
      <c r="H499">
        <f>'Quick View_ Sample Data'!AP500</f>
        <v>0</v>
      </c>
      <c r="I499">
        <f>'Quick View_ Sample Data'!AF500</f>
        <v>0</v>
      </c>
      <c r="J499">
        <f>'Quick View_ Sample Data'!AJ500</f>
        <v>10.4</v>
      </c>
      <c r="K499">
        <f>'Quick View_ Sample Data'!AH500</f>
        <v>176.75078399999998</v>
      </c>
      <c r="L499">
        <f t="shared" si="7"/>
        <v>0</v>
      </c>
    </row>
    <row r="500" spans="1:12" ht="12.75" customHeight="1">
      <c r="A500" s="321"/>
      <c r="B500" t="str">
        <f>'Quick View_ Sample Data'!P501</f>
        <v>Glass</v>
      </c>
      <c r="C500">
        <f>'Quick View_ Sample Data'!O501</f>
        <v>184</v>
      </c>
      <c r="D500" t="e">
        <f>'Quick View_ Sample Data'!AN501</f>
        <v>#VALUE!</v>
      </c>
      <c r="E500">
        <f>'Quick View_ Sample Data'!O501</f>
        <v>184</v>
      </c>
      <c r="F500" t="e">
        <f>'Quick View_ Sample Data'!AO501</f>
        <v>#VALUE!</v>
      </c>
      <c r="G500">
        <f>'Quick View_ Sample Data'!O501</f>
        <v>184</v>
      </c>
      <c r="H500" t="e">
        <f>'Quick View_ Sample Data'!AP501</f>
        <v>#VALUE!</v>
      </c>
      <c r="I500" t="str">
        <f>'Quick View_ Sample Data'!AF501</f>
        <v>~14</v>
      </c>
      <c r="J500">
        <f>'Quick View_ Sample Data'!AJ501</f>
        <v>0</v>
      </c>
      <c r="K500">
        <f>'Quick View_ Sample Data'!AH501</f>
        <v>170.32780799999998</v>
      </c>
      <c r="L500" t="e">
        <f t="shared" si="7"/>
        <v>#VALUE!</v>
      </c>
    </row>
    <row r="501" spans="1:12" ht="12.75" customHeight="1">
      <c r="A501" s="321"/>
      <c r="B501" t="str">
        <f>'Quick View_ Sample Data'!P502</f>
        <v>SiNx</v>
      </c>
      <c r="C501">
        <f>'Quick View_ Sample Data'!O502</f>
        <v>185</v>
      </c>
      <c r="D501">
        <f>'Quick View_ Sample Data'!AN502</f>
        <v>0</v>
      </c>
      <c r="E501">
        <f>'Quick View_ Sample Data'!O502</f>
        <v>185</v>
      </c>
      <c r="F501">
        <f>'Quick View_ Sample Data'!AO502</f>
        <v>0</v>
      </c>
      <c r="G501">
        <f>'Quick View_ Sample Data'!O502</f>
        <v>185</v>
      </c>
      <c r="H501">
        <f>'Quick View_ Sample Data'!AP502</f>
        <v>0</v>
      </c>
      <c r="I501">
        <f>'Quick View_ Sample Data'!AF502</f>
        <v>0</v>
      </c>
      <c r="J501">
        <f>'Quick View_ Sample Data'!AJ502</f>
        <v>0</v>
      </c>
      <c r="K501">
        <f>'Quick View_ Sample Data'!AH502</f>
        <v>436.16764799999999</v>
      </c>
      <c r="L501">
        <f t="shared" si="7"/>
        <v>0</v>
      </c>
    </row>
    <row r="502" spans="1:12" ht="12.75" customHeight="1">
      <c r="A502" s="321"/>
      <c r="B502" t="str">
        <f>'Quick View_ Sample Data'!P503</f>
        <v>SiNx</v>
      </c>
      <c r="C502">
        <f>'Quick View_ Sample Data'!O503</f>
        <v>185</v>
      </c>
      <c r="D502">
        <f>'Quick View_ Sample Data'!AN503</f>
        <v>0</v>
      </c>
      <c r="E502">
        <f>'Quick View_ Sample Data'!O503</f>
        <v>185</v>
      </c>
      <c r="F502">
        <f>'Quick View_ Sample Data'!AO503</f>
        <v>0</v>
      </c>
      <c r="G502">
        <f>'Quick View_ Sample Data'!O503</f>
        <v>185</v>
      </c>
      <c r="H502">
        <f>'Quick View_ Sample Data'!AP503</f>
        <v>0</v>
      </c>
      <c r="I502">
        <f>'Quick View_ Sample Data'!AF503</f>
        <v>0</v>
      </c>
      <c r="J502">
        <f>'Quick View_ Sample Data'!AJ503</f>
        <v>8.1</v>
      </c>
      <c r="K502">
        <f>'Quick View_ Sample Data'!AH503</f>
        <v>437.83286400000003</v>
      </c>
      <c r="L502">
        <f t="shared" si="7"/>
        <v>0</v>
      </c>
    </row>
    <row r="503" spans="1:12" ht="12.75" customHeight="1">
      <c r="A503" s="321"/>
      <c r="B503" t="str">
        <f>'Quick View_ Sample Data'!P504</f>
        <v>Glass</v>
      </c>
      <c r="C503">
        <f>'Quick View_ Sample Data'!O504</f>
        <v>185</v>
      </c>
      <c r="D503">
        <f>'Quick View_ Sample Data'!AN504</f>
        <v>0</v>
      </c>
      <c r="E503">
        <f>'Quick View_ Sample Data'!O504</f>
        <v>185</v>
      </c>
      <c r="F503">
        <f>'Quick View_ Sample Data'!AO504</f>
        <v>0</v>
      </c>
      <c r="G503">
        <f>'Quick View_ Sample Data'!O504</f>
        <v>185</v>
      </c>
      <c r="H503">
        <f>'Quick View_ Sample Data'!AP504</f>
        <v>0</v>
      </c>
      <c r="I503">
        <f>'Quick View_ Sample Data'!AF504</f>
        <v>0</v>
      </c>
      <c r="J503">
        <f>'Quick View_ Sample Data'!AJ504</f>
        <v>0</v>
      </c>
      <c r="K503">
        <f>'Quick View_ Sample Data'!AH504</f>
        <v>429.14995199999998</v>
      </c>
      <c r="L503">
        <f t="shared" si="7"/>
        <v>0</v>
      </c>
    </row>
    <row r="504" spans="1:12" ht="12.75" customHeight="1">
      <c r="A504" s="321"/>
      <c r="B504" t="str">
        <f>'Quick View_ Sample Data'!P505</f>
        <v>Glass</v>
      </c>
      <c r="C504">
        <f>'Quick View_ Sample Data'!O505</f>
        <v>185</v>
      </c>
      <c r="D504">
        <f>'Quick View_ Sample Data'!AN505</f>
        <v>340.08468479999999</v>
      </c>
      <c r="E504">
        <f>'Quick View_ Sample Data'!O505</f>
        <v>185</v>
      </c>
      <c r="F504">
        <f>'Quick View_ Sample Data'!AO505</f>
        <v>0</v>
      </c>
      <c r="G504">
        <f>'Quick View_ Sample Data'!O505</f>
        <v>185</v>
      </c>
      <c r="H504">
        <f>'Quick View_ Sample Data'!AP505</f>
        <v>3.870967741935484</v>
      </c>
      <c r="I504">
        <f>'Quick View_ Sample Data'!AF505</f>
        <v>8</v>
      </c>
      <c r="J504">
        <f>'Quick View_ Sample Data'!AJ505</f>
        <v>0</v>
      </c>
      <c r="K504">
        <f>'Quick View_ Sample Data'!AH505</f>
        <v>425.10585600000002</v>
      </c>
      <c r="L504">
        <f t="shared" si="7"/>
        <v>0</v>
      </c>
    </row>
    <row r="505" spans="1:12" ht="12.75" customHeight="1">
      <c r="A505" s="321"/>
      <c r="B505" t="str">
        <f>'Quick View_ Sample Data'!P506</f>
        <v>SiNx</v>
      </c>
      <c r="C505">
        <f>'Quick View_ Sample Data'!O506</f>
        <v>186</v>
      </c>
      <c r="D505">
        <f>'Quick View_ Sample Data'!AN506</f>
        <v>0</v>
      </c>
      <c r="E505">
        <f>'Quick View_ Sample Data'!O506</f>
        <v>186</v>
      </c>
      <c r="F505">
        <f>'Quick View_ Sample Data'!AO506</f>
        <v>0</v>
      </c>
      <c r="G505">
        <f>'Quick View_ Sample Data'!O506</f>
        <v>186</v>
      </c>
      <c r="H505">
        <f>'Quick View_ Sample Data'!AP506</f>
        <v>0</v>
      </c>
      <c r="I505">
        <f>'Quick View_ Sample Data'!AF506</f>
        <v>0</v>
      </c>
      <c r="J505">
        <f>'Quick View_ Sample Data'!AJ506</f>
        <v>0</v>
      </c>
      <c r="K505">
        <f>'Quick View_ Sample Data'!AH506</f>
        <v>411.30835199999996</v>
      </c>
      <c r="L505">
        <f t="shared" si="7"/>
        <v>0</v>
      </c>
    </row>
    <row r="506" spans="1:12" ht="12.75" customHeight="1">
      <c r="A506" s="321"/>
      <c r="B506" t="str">
        <f>'Quick View_ Sample Data'!P507</f>
        <v>SiNx</v>
      </c>
      <c r="C506">
        <f>'Quick View_ Sample Data'!O507</f>
        <v>186</v>
      </c>
      <c r="D506">
        <f>'Quick View_ Sample Data'!AN507</f>
        <v>0</v>
      </c>
      <c r="E506">
        <f>'Quick View_ Sample Data'!O507</f>
        <v>186</v>
      </c>
      <c r="F506">
        <f>'Quick View_ Sample Data'!AO507</f>
        <v>0</v>
      </c>
      <c r="G506">
        <f>'Quick View_ Sample Data'!O507</f>
        <v>186</v>
      </c>
      <c r="H506">
        <f>'Quick View_ Sample Data'!AP507</f>
        <v>0</v>
      </c>
      <c r="I506">
        <f>'Quick View_ Sample Data'!AF507</f>
        <v>0</v>
      </c>
      <c r="J506">
        <f>'Quick View_ Sample Data'!AJ507</f>
        <v>8.6</v>
      </c>
      <c r="K506">
        <f>'Quick View_ Sample Data'!AH507</f>
        <v>409.16736000000003</v>
      </c>
      <c r="L506">
        <f t="shared" si="7"/>
        <v>0</v>
      </c>
    </row>
    <row r="507" spans="1:12" ht="12.75" customHeight="1">
      <c r="A507" s="321"/>
      <c r="B507" t="str">
        <f>'Quick View_ Sample Data'!P508</f>
        <v>Glass</v>
      </c>
      <c r="C507">
        <f>'Quick View_ Sample Data'!O508</f>
        <v>186</v>
      </c>
      <c r="D507">
        <f>'Quick View_ Sample Data'!AN508</f>
        <v>0</v>
      </c>
      <c r="E507">
        <f>'Quick View_ Sample Data'!O508</f>
        <v>186</v>
      </c>
      <c r="F507">
        <f>'Quick View_ Sample Data'!AO508</f>
        <v>0</v>
      </c>
      <c r="G507">
        <f>'Quick View_ Sample Data'!O508</f>
        <v>186</v>
      </c>
      <c r="H507">
        <f>'Quick View_ Sample Data'!AP508</f>
        <v>0</v>
      </c>
      <c r="I507">
        <f>'Quick View_ Sample Data'!AF508</f>
        <v>0</v>
      </c>
      <c r="J507">
        <f>'Quick View_ Sample Data'!AJ508</f>
        <v>0</v>
      </c>
      <c r="K507">
        <f>'Quick View_ Sample Data'!AH508</f>
        <v>408.09686400000004</v>
      </c>
      <c r="L507">
        <f t="shared" si="7"/>
        <v>0</v>
      </c>
    </row>
    <row r="508" spans="1:12" ht="12.75" customHeight="1">
      <c r="A508" s="321"/>
      <c r="B508" t="str">
        <f>'Quick View_ Sample Data'!P509</f>
        <v>Glass</v>
      </c>
      <c r="C508">
        <f>'Quick View_ Sample Data'!O509</f>
        <v>186</v>
      </c>
      <c r="D508">
        <f>'Quick View_ Sample Data'!AN509</f>
        <v>335.99301120000001</v>
      </c>
      <c r="E508">
        <f>'Quick View_ Sample Data'!O509</f>
        <v>186</v>
      </c>
      <c r="F508">
        <f>'Quick View_ Sample Data'!AO509</f>
        <v>0</v>
      </c>
      <c r="G508">
        <f>'Quick View_ Sample Data'!O509</f>
        <v>186</v>
      </c>
      <c r="H508">
        <f>'Quick View_ Sample Data'!AP509</f>
        <v>3.870967741935484</v>
      </c>
      <c r="I508">
        <f>'Quick View_ Sample Data'!AF509</f>
        <v>8</v>
      </c>
      <c r="J508">
        <f>'Quick View_ Sample Data'!AJ509</f>
        <v>0</v>
      </c>
      <c r="K508">
        <f>'Quick View_ Sample Data'!AH509</f>
        <v>419.991264</v>
      </c>
      <c r="L508">
        <f t="shared" si="7"/>
        <v>0</v>
      </c>
    </row>
    <row r="509" spans="1:12" ht="12.75" customHeight="1">
      <c r="A509" s="321"/>
      <c r="B509" t="str">
        <f>'Quick View_ Sample Data'!P510</f>
        <v>SiNx</v>
      </c>
      <c r="C509">
        <f>'Quick View_ Sample Data'!O510</f>
        <v>187</v>
      </c>
      <c r="D509">
        <f>'Quick View_ Sample Data'!AN510</f>
        <v>0</v>
      </c>
      <c r="E509">
        <f>'Quick View_ Sample Data'!O510</f>
        <v>187</v>
      </c>
      <c r="F509">
        <f>'Quick View_ Sample Data'!AO510</f>
        <v>0</v>
      </c>
      <c r="G509">
        <f>'Quick View_ Sample Data'!O510</f>
        <v>187</v>
      </c>
      <c r="H509">
        <f>'Quick View_ Sample Data'!AP510</f>
        <v>0</v>
      </c>
      <c r="I509">
        <f>'Quick View_ Sample Data'!AF510</f>
        <v>0</v>
      </c>
      <c r="J509">
        <f>'Quick View_ Sample Data'!AJ510</f>
        <v>0</v>
      </c>
      <c r="K509">
        <f>'Quick View_ Sample Data'!AH510</f>
        <v>391.801536</v>
      </c>
      <c r="L509">
        <f t="shared" si="7"/>
        <v>0</v>
      </c>
    </row>
    <row r="510" spans="1:12" ht="12.75" customHeight="1">
      <c r="A510" s="321"/>
      <c r="B510" t="str">
        <f>'Quick View_ Sample Data'!P511</f>
        <v>Glass</v>
      </c>
      <c r="C510">
        <f>'Quick View_ Sample Data'!O511</f>
        <v>187</v>
      </c>
      <c r="D510">
        <f>'Quick View_ Sample Data'!AN511</f>
        <v>0</v>
      </c>
      <c r="E510">
        <f>'Quick View_ Sample Data'!O511</f>
        <v>187</v>
      </c>
      <c r="F510">
        <f>'Quick View_ Sample Data'!AO511</f>
        <v>0</v>
      </c>
      <c r="G510">
        <f>'Quick View_ Sample Data'!O511</f>
        <v>187</v>
      </c>
      <c r="H510">
        <f>'Quick View_ Sample Data'!AP511</f>
        <v>0</v>
      </c>
      <c r="I510">
        <f>'Quick View_ Sample Data'!AF511</f>
        <v>0</v>
      </c>
      <c r="J510">
        <f>'Quick View_ Sample Data'!AJ511</f>
        <v>0</v>
      </c>
      <c r="K510">
        <f>'Quick View_ Sample Data'!AH511</f>
        <v>394.65619199999992</v>
      </c>
      <c r="L510">
        <f t="shared" si="7"/>
        <v>0</v>
      </c>
    </row>
    <row r="511" spans="1:12" ht="12.75" customHeight="1">
      <c r="A511" s="321"/>
      <c r="B511" t="str">
        <f>'Quick View_ Sample Data'!P512</f>
        <v>Glass</v>
      </c>
      <c r="C511">
        <f>'Quick View_ Sample Data'!O512</f>
        <v>187</v>
      </c>
      <c r="D511">
        <f>'Quick View_ Sample Data'!AN512</f>
        <v>0</v>
      </c>
      <c r="E511">
        <f>'Quick View_ Sample Data'!O512</f>
        <v>187</v>
      </c>
      <c r="F511">
        <f>'Quick View_ Sample Data'!AO512</f>
        <v>0</v>
      </c>
      <c r="G511">
        <f>'Quick View_ Sample Data'!O512</f>
        <v>187</v>
      </c>
      <c r="H511">
        <f>'Quick View_ Sample Data'!AP512</f>
        <v>0</v>
      </c>
      <c r="I511">
        <f>'Quick View_ Sample Data'!AF512</f>
        <v>0</v>
      </c>
      <c r="J511">
        <f>'Quick View_ Sample Data'!AJ512</f>
        <v>0</v>
      </c>
      <c r="K511">
        <f>'Quick View_ Sample Data'!AH512</f>
        <v>396.91612800000001</v>
      </c>
      <c r="L511">
        <f t="shared" si="7"/>
        <v>0</v>
      </c>
    </row>
    <row r="512" spans="1:12" ht="12.75" customHeight="1">
      <c r="A512" s="321"/>
      <c r="B512" t="str">
        <f>'Quick View_ Sample Data'!P513</f>
        <v>Glass</v>
      </c>
      <c r="C512">
        <f>'Quick View_ Sample Data'!O513</f>
        <v>187</v>
      </c>
      <c r="D512">
        <f>'Quick View_ Sample Data'!AN513</f>
        <v>317.49484032000004</v>
      </c>
      <c r="E512">
        <f>'Quick View_ Sample Data'!O513</f>
        <v>187</v>
      </c>
      <c r="F512">
        <f>'Quick View_ Sample Data'!AO513</f>
        <v>0</v>
      </c>
      <c r="G512">
        <f>'Quick View_ Sample Data'!O513</f>
        <v>187</v>
      </c>
      <c r="H512">
        <f>'Quick View_ Sample Data'!AP513</f>
        <v>4.0161290322580649</v>
      </c>
      <c r="I512">
        <f>'Quick View_ Sample Data'!AF513</f>
        <v>8.3000000000000007</v>
      </c>
      <c r="J512">
        <f>'Quick View_ Sample Data'!AJ513</f>
        <v>0</v>
      </c>
      <c r="K512">
        <f>'Quick View_ Sample Data'!AH513</f>
        <v>382.52390400000002</v>
      </c>
      <c r="L512">
        <f t="shared" si="7"/>
        <v>0</v>
      </c>
    </row>
    <row r="513" spans="1:12" ht="12.75" customHeight="1">
      <c r="A513" s="321"/>
      <c r="B513" t="str">
        <f>'Quick View_ Sample Data'!P514</f>
        <v>SiNx</v>
      </c>
      <c r="C513">
        <f>'Quick View_ Sample Data'!O514</f>
        <v>188</v>
      </c>
      <c r="D513">
        <f>'Quick View_ Sample Data'!AN514</f>
        <v>0</v>
      </c>
      <c r="E513">
        <f>'Quick View_ Sample Data'!O514</f>
        <v>188</v>
      </c>
      <c r="F513">
        <f>'Quick View_ Sample Data'!AO514</f>
        <v>0</v>
      </c>
      <c r="G513">
        <f>'Quick View_ Sample Data'!O514</f>
        <v>188</v>
      </c>
      <c r="H513">
        <f>'Quick View_ Sample Data'!AP514</f>
        <v>0</v>
      </c>
      <c r="I513">
        <f>'Quick View_ Sample Data'!AF514</f>
        <v>0</v>
      </c>
      <c r="J513">
        <f>'Quick View_ Sample Data'!AJ514</f>
        <v>0</v>
      </c>
      <c r="K513">
        <f>'Quick View_ Sample Data'!AH514</f>
        <v>430.33939200000003</v>
      </c>
      <c r="L513">
        <f t="shared" si="7"/>
        <v>0</v>
      </c>
    </row>
    <row r="514" spans="1:12" ht="12.75" customHeight="1">
      <c r="A514" s="321"/>
      <c r="B514" t="str">
        <f>'Quick View_ Sample Data'!P515</f>
        <v>SiNx</v>
      </c>
      <c r="C514">
        <f>'Quick View_ Sample Data'!O515</f>
        <v>188</v>
      </c>
      <c r="D514">
        <f>'Quick View_ Sample Data'!AN515</f>
        <v>0</v>
      </c>
      <c r="E514">
        <f>'Quick View_ Sample Data'!O515</f>
        <v>188</v>
      </c>
      <c r="F514">
        <f>'Quick View_ Sample Data'!AO515</f>
        <v>0</v>
      </c>
      <c r="G514">
        <f>'Quick View_ Sample Data'!O515</f>
        <v>188</v>
      </c>
      <c r="H514">
        <f>'Quick View_ Sample Data'!AP515</f>
        <v>0</v>
      </c>
      <c r="I514">
        <f>'Quick View_ Sample Data'!AF515</f>
        <v>0</v>
      </c>
      <c r="J514">
        <f>'Quick View_ Sample Data'!AJ515</f>
        <v>8.5</v>
      </c>
      <c r="K514">
        <f>'Quick View_ Sample Data'!AH515</f>
        <v>445.68316799999997</v>
      </c>
      <c r="L514">
        <f t="shared" ref="L514:L577" si="8">I514*J514</f>
        <v>0</v>
      </c>
    </row>
    <row r="515" spans="1:12" ht="12.75" customHeight="1">
      <c r="A515" s="321"/>
      <c r="B515" t="str">
        <f>'Quick View_ Sample Data'!P516</f>
        <v>Glass</v>
      </c>
      <c r="C515">
        <f>'Quick View_ Sample Data'!O516</f>
        <v>188</v>
      </c>
      <c r="D515">
        <f>'Quick View_ Sample Data'!AN516</f>
        <v>0</v>
      </c>
      <c r="E515">
        <f>'Quick View_ Sample Data'!O516</f>
        <v>188</v>
      </c>
      <c r="F515">
        <f>'Quick View_ Sample Data'!AO516</f>
        <v>0</v>
      </c>
      <c r="G515">
        <f>'Quick View_ Sample Data'!O516</f>
        <v>188</v>
      </c>
      <c r="H515">
        <f>'Quick View_ Sample Data'!AP516</f>
        <v>0</v>
      </c>
      <c r="I515">
        <f>'Quick View_ Sample Data'!AF516</f>
        <v>0</v>
      </c>
      <c r="J515">
        <f>'Quick View_ Sample Data'!AJ516</f>
        <v>0</v>
      </c>
      <c r="K515">
        <f>'Quick View_ Sample Data'!AH516</f>
        <v>449.84620799999999</v>
      </c>
      <c r="L515">
        <f t="shared" si="8"/>
        <v>0</v>
      </c>
    </row>
    <row r="516" spans="1:12" ht="12.75" customHeight="1">
      <c r="A516" s="321"/>
      <c r="B516" t="str">
        <f>'Quick View_ Sample Data'!P517</f>
        <v>Glass</v>
      </c>
      <c r="C516">
        <f>'Quick View_ Sample Data'!O517</f>
        <v>188</v>
      </c>
      <c r="D516">
        <f>'Quick View_ Sample Data'!AN517</f>
        <v>337.05637056</v>
      </c>
      <c r="E516">
        <f>'Quick View_ Sample Data'!O517</f>
        <v>188</v>
      </c>
      <c r="F516">
        <f>'Quick View_ Sample Data'!AO517</f>
        <v>0</v>
      </c>
      <c r="G516">
        <f>'Quick View_ Sample Data'!O517</f>
        <v>188</v>
      </c>
      <c r="H516">
        <f>'Quick View_ Sample Data'!AP517</f>
        <v>3.7741935483870965</v>
      </c>
      <c r="I516">
        <f>'Quick View_ Sample Data'!AF517</f>
        <v>7.8</v>
      </c>
      <c r="J516">
        <f>'Quick View_ Sample Data'!AJ517</f>
        <v>0</v>
      </c>
      <c r="K516">
        <f>'Quick View_ Sample Data'!AH517</f>
        <v>432.12355200000002</v>
      </c>
      <c r="L516">
        <f t="shared" si="8"/>
        <v>0</v>
      </c>
    </row>
    <row r="517" spans="1:12" ht="12.75" customHeight="1">
      <c r="A517" s="321"/>
      <c r="B517" t="str">
        <f>'Quick View_ Sample Data'!P518</f>
        <v>SiNx</v>
      </c>
      <c r="C517">
        <f>'Quick View_ Sample Data'!O518</f>
        <v>189</v>
      </c>
      <c r="D517">
        <f>'Quick View_ Sample Data'!AN518</f>
        <v>0</v>
      </c>
      <c r="E517">
        <f>'Quick View_ Sample Data'!O518</f>
        <v>189</v>
      </c>
      <c r="F517">
        <f>'Quick View_ Sample Data'!AO518</f>
        <v>0</v>
      </c>
      <c r="G517">
        <f>'Quick View_ Sample Data'!O518</f>
        <v>189</v>
      </c>
      <c r="H517">
        <f>'Quick View_ Sample Data'!AP518</f>
        <v>0</v>
      </c>
      <c r="I517">
        <f>'Quick View_ Sample Data'!AF518</f>
        <v>0</v>
      </c>
      <c r="J517">
        <f>'Quick View_ Sample Data'!AJ518</f>
        <v>0</v>
      </c>
      <c r="K517">
        <f>'Quick View_ Sample Data'!AH518</f>
        <v>403.69593599999996</v>
      </c>
      <c r="L517">
        <f t="shared" si="8"/>
        <v>0</v>
      </c>
    </row>
    <row r="518" spans="1:12" ht="12.75" customHeight="1">
      <c r="A518" s="321"/>
      <c r="B518" t="str">
        <f>'Quick View_ Sample Data'!P519</f>
        <v>SiNx</v>
      </c>
      <c r="C518">
        <f>'Quick View_ Sample Data'!O519</f>
        <v>189</v>
      </c>
      <c r="D518">
        <f>'Quick View_ Sample Data'!AN519</f>
        <v>0</v>
      </c>
      <c r="E518">
        <f>'Quick View_ Sample Data'!O519</f>
        <v>189</v>
      </c>
      <c r="F518">
        <f>'Quick View_ Sample Data'!AO519</f>
        <v>0</v>
      </c>
      <c r="G518">
        <f>'Quick View_ Sample Data'!O519</f>
        <v>189</v>
      </c>
      <c r="H518">
        <f>'Quick View_ Sample Data'!AP519</f>
        <v>0</v>
      </c>
      <c r="I518">
        <f>'Quick View_ Sample Data'!AF519</f>
        <v>0</v>
      </c>
      <c r="J518">
        <f>'Quick View_ Sample Data'!AJ519</f>
        <v>8.4</v>
      </c>
      <c r="K518">
        <f>'Quick View_ Sample Data'!AH519</f>
        <v>392.15836799999994</v>
      </c>
      <c r="L518">
        <f t="shared" si="8"/>
        <v>0</v>
      </c>
    </row>
    <row r="519" spans="1:12" ht="12.75" customHeight="1">
      <c r="A519" s="321"/>
      <c r="B519" t="str">
        <f>'Quick View_ Sample Data'!P520</f>
        <v>Glass</v>
      </c>
      <c r="C519">
        <f>'Quick View_ Sample Data'!O520</f>
        <v>189</v>
      </c>
      <c r="D519">
        <f>'Quick View_ Sample Data'!AN520</f>
        <v>0</v>
      </c>
      <c r="E519">
        <f>'Quick View_ Sample Data'!O520</f>
        <v>189</v>
      </c>
      <c r="F519">
        <f>'Quick View_ Sample Data'!AO520</f>
        <v>0</v>
      </c>
      <c r="G519">
        <f>'Quick View_ Sample Data'!O520</f>
        <v>189</v>
      </c>
      <c r="H519">
        <f>'Quick View_ Sample Data'!AP520</f>
        <v>0</v>
      </c>
      <c r="I519">
        <f>'Quick View_ Sample Data'!AF520</f>
        <v>0</v>
      </c>
      <c r="J519">
        <f>'Quick View_ Sample Data'!AJ520</f>
        <v>0</v>
      </c>
      <c r="K519">
        <f>'Quick View_ Sample Data'!AH520</f>
        <v>383.71334400000006</v>
      </c>
      <c r="L519">
        <f t="shared" si="8"/>
        <v>0</v>
      </c>
    </row>
    <row r="520" spans="1:12" ht="12.75" customHeight="1">
      <c r="A520" s="321"/>
      <c r="B520" t="str">
        <f>'Quick View_ Sample Data'!P521</f>
        <v>Glass</v>
      </c>
      <c r="C520">
        <f>'Quick View_ Sample Data'!O521</f>
        <v>189</v>
      </c>
      <c r="D520">
        <f>'Quick View_ Sample Data'!AN521</f>
        <v>319.98909600000002</v>
      </c>
      <c r="E520">
        <f>'Quick View_ Sample Data'!O521</f>
        <v>189</v>
      </c>
      <c r="F520">
        <f>'Quick View_ Sample Data'!AO521</f>
        <v>0</v>
      </c>
      <c r="G520">
        <f>'Quick View_ Sample Data'!O521</f>
        <v>189</v>
      </c>
      <c r="H520">
        <f>'Quick View_ Sample Data'!AP521</f>
        <v>4.1129032258064511</v>
      </c>
      <c r="I520">
        <f>'Quick View_ Sample Data'!AF521</f>
        <v>8.5</v>
      </c>
      <c r="J520">
        <f>'Quick View_ Sample Data'!AJ521</f>
        <v>0</v>
      </c>
      <c r="K520">
        <f>'Quick View_ Sample Data'!AH521</f>
        <v>376.45776000000001</v>
      </c>
      <c r="L520">
        <f t="shared" si="8"/>
        <v>0</v>
      </c>
    </row>
    <row r="521" spans="1:12" ht="12.75" customHeight="1">
      <c r="A521" s="321"/>
      <c r="B521" t="str">
        <f>'Quick View_ Sample Data'!P522</f>
        <v>SiNx</v>
      </c>
      <c r="C521">
        <f>'Quick View_ Sample Data'!O522</f>
        <v>190</v>
      </c>
      <c r="D521">
        <f>'Quick View_ Sample Data'!AN522</f>
        <v>0</v>
      </c>
      <c r="E521">
        <f>'Quick View_ Sample Data'!O522</f>
        <v>190</v>
      </c>
      <c r="F521">
        <f>'Quick View_ Sample Data'!AO522</f>
        <v>0</v>
      </c>
      <c r="G521">
        <f>'Quick View_ Sample Data'!O522</f>
        <v>190</v>
      </c>
      <c r="H521">
        <f>'Quick View_ Sample Data'!AP522</f>
        <v>0</v>
      </c>
      <c r="I521">
        <f>'Quick View_ Sample Data'!AF522</f>
        <v>0</v>
      </c>
      <c r="J521">
        <f>'Quick View_ Sample Data'!AJ522</f>
        <v>0</v>
      </c>
      <c r="K521">
        <f>'Quick View_ Sample Data'!AH522</f>
        <v>421.77542399999999</v>
      </c>
      <c r="L521">
        <f t="shared" si="8"/>
        <v>0</v>
      </c>
    </row>
    <row r="522" spans="1:12" ht="12.75" customHeight="1">
      <c r="A522" s="321"/>
      <c r="B522" t="str">
        <f>'Quick View_ Sample Data'!P523</f>
        <v>SiNx</v>
      </c>
      <c r="C522">
        <f>'Quick View_ Sample Data'!O523</f>
        <v>190</v>
      </c>
      <c r="D522">
        <f>'Quick View_ Sample Data'!AN523</f>
        <v>0</v>
      </c>
      <c r="E522">
        <f>'Quick View_ Sample Data'!O523</f>
        <v>190</v>
      </c>
      <c r="F522">
        <f>'Quick View_ Sample Data'!AO523</f>
        <v>0</v>
      </c>
      <c r="G522">
        <f>'Quick View_ Sample Data'!O523</f>
        <v>190</v>
      </c>
      <c r="H522">
        <f>'Quick View_ Sample Data'!AP523</f>
        <v>0</v>
      </c>
      <c r="I522">
        <f>'Quick View_ Sample Data'!AF523</f>
        <v>0</v>
      </c>
      <c r="J522">
        <f>'Quick View_ Sample Data'!AJ523</f>
        <v>8.4</v>
      </c>
      <c r="K522">
        <f>'Quick View_ Sample Data'!AH523</f>
        <v>422.96486400000003</v>
      </c>
      <c r="L522">
        <f t="shared" si="8"/>
        <v>0</v>
      </c>
    </row>
    <row r="523" spans="1:12" ht="12.75" customHeight="1">
      <c r="A523" s="321"/>
      <c r="B523" t="str">
        <f>'Quick View_ Sample Data'!P524</f>
        <v>Glass</v>
      </c>
      <c r="C523">
        <f>'Quick View_ Sample Data'!O524</f>
        <v>190</v>
      </c>
      <c r="D523">
        <f>'Quick View_ Sample Data'!AN524</f>
        <v>0</v>
      </c>
      <c r="E523">
        <f>'Quick View_ Sample Data'!O524</f>
        <v>190</v>
      </c>
      <c r="F523">
        <f>'Quick View_ Sample Data'!AO524</f>
        <v>0</v>
      </c>
      <c r="G523">
        <f>'Quick View_ Sample Data'!O524</f>
        <v>190</v>
      </c>
      <c r="H523">
        <f>'Quick View_ Sample Data'!AP524</f>
        <v>0</v>
      </c>
      <c r="I523">
        <f>'Quick View_ Sample Data'!AF524</f>
        <v>0</v>
      </c>
      <c r="J523">
        <f>'Quick View_ Sample Data'!AJ524</f>
        <v>0</v>
      </c>
      <c r="K523">
        <f>'Quick View_ Sample Data'!AH524</f>
        <v>428.67417599999999</v>
      </c>
      <c r="L523">
        <f t="shared" si="8"/>
        <v>0</v>
      </c>
    </row>
    <row r="524" spans="1:12" ht="12.75" customHeight="1">
      <c r="A524" s="321"/>
      <c r="B524" t="str">
        <f>'Quick View_ Sample Data'!P525</f>
        <v>Glass</v>
      </c>
      <c r="C524">
        <f>'Quick View_ Sample Data'!O525</f>
        <v>190</v>
      </c>
      <c r="D524">
        <f>'Quick View_ Sample Data'!AN525</f>
        <v>326.51198496000001</v>
      </c>
      <c r="E524">
        <f>'Quick View_ Sample Data'!O525</f>
        <v>190</v>
      </c>
      <c r="F524">
        <f>'Quick View_ Sample Data'!AO525</f>
        <v>0</v>
      </c>
      <c r="G524">
        <f>'Quick View_ Sample Data'!O525</f>
        <v>190</v>
      </c>
      <c r="H524">
        <f>'Quick View_ Sample Data'!AP525</f>
        <v>3.9193548387096775</v>
      </c>
      <c r="I524">
        <f>'Quick View_ Sample Data'!AF525</f>
        <v>8.1</v>
      </c>
      <c r="J524">
        <f>'Quick View_ Sample Data'!AJ525</f>
        <v>0</v>
      </c>
      <c r="K524">
        <f>'Quick View_ Sample Data'!AH525</f>
        <v>403.10121600000002</v>
      </c>
      <c r="L524">
        <f t="shared" si="8"/>
        <v>0</v>
      </c>
    </row>
    <row r="525" spans="1:12" ht="12.75" customHeight="1">
      <c r="A525" s="321"/>
      <c r="B525" t="str">
        <f>'Quick View_ Sample Data'!P526</f>
        <v>SiNx</v>
      </c>
      <c r="C525">
        <f>'Quick View_ Sample Data'!O526</f>
        <v>191</v>
      </c>
      <c r="D525">
        <f>'Quick View_ Sample Data'!AN526</f>
        <v>0</v>
      </c>
      <c r="E525">
        <f>'Quick View_ Sample Data'!O526</f>
        <v>191</v>
      </c>
      <c r="F525">
        <f>'Quick View_ Sample Data'!AO526</f>
        <v>0</v>
      </c>
      <c r="G525">
        <f>'Quick View_ Sample Data'!O526</f>
        <v>191</v>
      </c>
      <c r="H525">
        <f>'Quick View_ Sample Data'!AP526</f>
        <v>0</v>
      </c>
      <c r="I525">
        <f>'Quick View_ Sample Data'!AF526</f>
        <v>0</v>
      </c>
      <c r="J525">
        <f>'Quick View_ Sample Data'!AJ526</f>
        <v>0</v>
      </c>
      <c r="K525">
        <f>'Quick View_ Sample Data'!AH526</f>
        <v>294.74323200000003</v>
      </c>
      <c r="L525">
        <f t="shared" si="8"/>
        <v>0</v>
      </c>
    </row>
    <row r="526" spans="1:12" ht="12.75" customHeight="1">
      <c r="A526" s="321"/>
      <c r="B526" t="str">
        <f>'Quick View_ Sample Data'!P527</f>
        <v>SiNx</v>
      </c>
      <c r="C526">
        <f>'Quick View_ Sample Data'!O527</f>
        <v>191</v>
      </c>
      <c r="D526">
        <f>'Quick View_ Sample Data'!AN527</f>
        <v>0</v>
      </c>
      <c r="E526">
        <f>'Quick View_ Sample Data'!O527</f>
        <v>191</v>
      </c>
      <c r="F526">
        <f>'Quick View_ Sample Data'!AO527</f>
        <v>0</v>
      </c>
      <c r="G526">
        <f>'Quick View_ Sample Data'!O527</f>
        <v>191</v>
      </c>
      <c r="H526">
        <f>'Quick View_ Sample Data'!AP527</f>
        <v>0</v>
      </c>
      <c r="I526">
        <f>'Quick View_ Sample Data'!AF527</f>
        <v>0</v>
      </c>
      <c r="J526">
        <f>'Quick View_ Sample Data'!AJ527</f>
        <v>6.1</v>
      </c>
      <c r="K526">
        <f>'Quick View_ Sample Data'!AH527</f>
        <v>464.83315199999993</v>
      </c>
      <c r="L526">
        <f t="shared" si="8"/>
        <v>0</v>
      </c>
    </row>
    <row r="527" spans="1:12" ht="12.75" customHeight="1">
      <c r="A527" s="321"/>
      <c r="B527" t="str">
        <f>'Quick View_ Sample Data'!P528</f>
        <v>Glass</v>
      </c>
      <c r="C527">
        <f>'Quick View_ Sample Data'!O528</f>
        <v>191</v>
      </c>
      <c r="D527">
        <f>'Quick View_ Sample Data'!AN528</f>
        <v>0</v>
      </c>
      <c r="E527">
        <f>'Quick View_ Sample Data'!O528</f>
        <v>191</v>
      </c>
      <c r="F527">
        <f>'Quick View_ Sample Data'!AO528</f>
        <v>0</v>
      </c>
      <c r="G527">
        <f>'Quick View_ Sample Data'!O528</f>
        <v>191</v>
      </c>
      <c r="H527">
        <f>'Quick View_ Sample Data'!AP528</f>
        <v>0</v>
      </c>
      <c r="I527">
        <f>'Quick View_ Sample Data'!AF528</f>
        <v>0</v>
      </c>
      <c r="J527">
        <f>'Quick View_ Sample Data'!AJ528</f>
        <v>0</v>
      </c>
      <c r="K527">
        <f>'Quick View_ Sample Data'!AH528</f>
        <v>404.29065599999996</v>
      </c>
      <c r="L527">
        <f t="shared" si="8"/>
        <v>0</v>
      </c>
    </row>
    <row r="528" spans="1:12" ht="12.75" customHeight="1">
      <c r="A528" s="321"/>
      <c r="B528" t="str">
        <f>'Quick View_ Sample Data'!P529</f>
        <v>Glass</v>
      </c>
      <c r="C528">
        <f>'Quick View_ Sample Data'!O529</f>
        <v>191</v>
      </c>
      <c r="D528">
        <f>'Quick View_ Sample Data'!AN529</f>
        <v>457.51571711999998</v>
      </c>
      <c r="E528">
        <f>'Quick View_ Sample Data'!O529</f>
        <v>191</v>
      </c>
      <c r="F528">
        <f>'Quick View_ Sample Data'!AO529</f>
        <v>0</v>
      </c>
      <c r="G528">
        <f>'Quick View_ Sample Data'!O529</f>
        <v>191</v>
      </c>
      <c r="H528">
        <f>'Quick View_ Sample Data'!AP529</f>
        <v>3</v>
      </c>
      <c r="I528">
        <f>'Quick View_ Sample Data'!AF529</f>
        <v>6.2</v>
      </c>
      <c r="J528">
        <f>'Quick View_ Sample Data'!AJ529</f>
        <v>0</v>
      </c>
      <c r="K528">
        <f>'Quick View_ Sample Data'!AH529</f>
        <v>737.92857599999991</v>
      </c>
      <c r="L528">
        <f t="shared" si="8"/>
        <v>0</v>
      </c>
    </row>
    <row r="529" spans="1:12" ht="12.75" customHeight="1">
      <c r="A529" s="321"/>
      <c r="B529" t="str">
        <f>'Quick View_ Sample Data'!P530</f>
        <v>MgO</v>
      </c>
      <c r="C529">
        <f>'Quick View_ Sample Data'!O530</f>
        <v>192</v>
      </c>
      <c r="D529">
        <f>'Quick View_ Sample Data'!AN530</f>
        <v>0</v>
      </c>
      <c r="E529">
        <f>'Quick View_ Sample Data'!O530</f>
        <v>192</v>
      </c>
      <c r="F529">
        <f>'Quick View_ Sample Data'!AO530</f>
        <v>0</v>
      </c>
      <c r="G529">
        <f>'Quick View_ Sample Data'!O530</f>
        <v>192</v>
      </c>
      <c r="H529">
        <f>'Quick View_ Sample Data'!AP530</f>
        <v>0</v>
      </c>
      <c r="I529">
        <f>'Quick View_ Sample Data'!AF530</f>
        <v>0</v>
      </c>
      <c r="J529">
        <f>'Quick View_ Sample Data'!AJ530</f>
        <v>0</v>
      </c>
      <c r="K529">
        <f>'Quick View_ Sample Data'!AH530</f>
        <v>211.95820799999998</v>
      </c>
      <c r="L529">
        <f t="shared" si="8"/>
        <v>0</v>
      </c>
    </row>
    <row r="530" spans="1:12" ht="12.75" customHeight="1">
      <c r="A530" s="321"/>
      <c r="B530" t="str">
        <f>'Quick View_ Sample Data'!P531</f>
        <v>MgO</v>
      </c>
      <c r="C530">
        <f>'Quick View_ Sample Data'!O531</f>
        <v>192</v>
      </c>
      <c r="D530">
        <f>'Quick View_ Sample Data'!AN531</f>
        <v>0</v>
      </c>
      <c r="E530">
        <f>'Quick View_ Sample Data'!O531</f>
        <v>192</v>
      </c>
      <c r="F530">
        <f>'Quick View_ Sample Data'!AO531</f>
        <v>0</v>
      </c>
      <c r="G530">
        <f>'Quick View_ Sample Data'!O531</f>
        <v>192</v>
      </c>
      <c r="H530">
        <f>'Quick View_ Sample Data'!AP531</f>
        <v>0</v>
      </c>
      <c r="I530">
        <f>'Quick View_ Sample Data'!AF531</f>
        <v>0</v>
      </c>
      <c r="J530">
        <f>'Quick View_ Sample Data'!AJ531</f>
        <v>0</v>
      </c>
      <c r="K530">
        <f>'Quick View_ Sample Data'!AH531</f>
        <v>199.588032</v>
      </c>
      <c r="L530">
        <f t="shared" si="8"/>
        <v>0</v>
      </c>
    </row>
    <row r="531" spans="1:12" ht="12.75" customHeight="1">
      <c r="A531" s="321"/>
      <c r="B531" t="str">
        <f>'Quick View_ Sample Data'!P532</f>
        <v>MgO</v>
      </c>
      <c r="C531">
        <f>'Quick View_ Sample Data'!O532</f>
        <v>192</v>
      </c>
      <c r="D531">
        <f>'Quick View_ Sample Data'!AN532</f>
        <v>0</v>
      </c>
      <c r="E531">
        <f>'Quick View_ Sample Data'!O532</f>
        <v>192</v>
      </c>
      <c r="F531">
        <f>'Quick View_ Sample Data'!AO532</f>
        <v>0</v>
      </c>
      <c r="G531">
        <f>'Quick View_ Sample Data'!O532</f>
        <v>192</v>
      </c>
      <c r="H531">
        <f>'Quick View_ Sample Data'!AP532</f>
        <v>0</v>
      </c>
      <c r="I531">
        <f>'Quick View_ Sample Data'!AF532</f>
        <v>0</v>
      </c>
      <c r="J531">
        <f>'Quick View_ Sample Data'!AJ532</f>
        <v>0</v>
      </c>
      <c r="K531">
        <f>'Quick View_ Sample Data'!AH532</f>
        <v>209.69827199999997</v>
      </c>
      <c r="L531">
        <f t="shared" si="8"/>
        <v>0</v>
      </c>
    </row>
    <row r="532" spans="1:12" ht="12.75" customHeight="1">
      <c r="A532" s="321"/>
      <c r="B532" t="str">
        <f>'Quick View_ Sample Data'!P533</f>
        <v>MgO</v>
      </c>
      <c r="C532">
        <f>'Quick View_ Sample Data'!O533</f>
        <v>192</v>
      </c>
      <c r="D532">
        <f>'Quick View_ Sample Data'!AN533</f>
        <v>0</v>
      </c>
      <c r="E532">
        <f>'Quick View_ Sample Data'!O533</f>
        <v>192</v>
      </c>
      <c r="F532">
        <f>'Quick View_ Sample Data'!AO533</f>
        <v>0</v>
      </c>
      <c r="G532">
        <f>'Quick View_ Sample Data'!O533</f>
        <v>192</v>
      </c>
      <c r="H532">
        <f>'Quick View_ Sample Data'!AP533</f>
        <v>0</v>
      </c>
      <c r="I532">
        <f>'Quick View_ Sample Data'!AF533</f>
        <v>0</v>
      </c>
      <c r="J532">
        <f>'Quick View_ Sample Data'!AJ533</f>
        <v>0</v>
      </c>
      <c r="K532">
        <f>'Quick View_ Sample Data'!AH533</f>
        <v>209.10355200000001</v>
      </c>
      <c r="L532">
        <f t="shared" si="8"/>
        <v>0</v>
      </c>
    </row>
    <row r="533" spans="1:12" ht="12.75" customHeight="1">
      <c r="A533" s="321"/>
      <c r="B533" t="str">
        <f>'Quick View_ Sample Data'!P534</f>
        <v>MgO</v>
      </c>
      <c r="C533">
        <f>'Quick View_ Sample Data'!O534</f>
        <v>193</v>
      </c>
      <c r="D533">
        <f>'Quick View_ Sample Data'!AN534</f>
        <v>0</v>
      </c>
      <c r="E533">
        <f>'Quick View_ Sample Data'!O534</f>
        <v>193</v>
      </c>
      <c r="F533">
        <f>'Quick View_ Sample Data'!AO534</f>
        <v>0</v>
      </c>
      <c r="G533">
        <f>'Quick View_ Sample Data'!O534</f>
        <v>193</v>
      </c>
      <c r="H533">
        <f>'Quick View_ Sample Data'!AP534</f>
        <v>0</v>
      </c>
      <c r="I533">
        <f>'Quick View_ Sample Data'!AF534</f>
        <v>0</v>
      </c>
      <c r="J533">
        <f>'Quick View_ Sample Data'!AJ534</f>
        <v>0</v>
      </c>
      <c r="K533">
        <f>'Quick View_ Sample Data'!AH534</f>
        <v>648.05578625755095</v>
      </c>
      <c r="L533">
        <f t="shared" si="8"/>
        <v>0</v>
      </c>
    </row>
    <row r="534" spans="1:12" ht="12.75" customHeight="1">
      <c r="A534" s="321"/>
      <c r="B534" t="str">
        <f>'Quick View_ Sample Data'!P535</f>
        <v>MgO</v>
      </c>
      <c r="C534">
        <f>'Quick View_ Sample Data'!O535</f>
        <v>193</v>
      </c>
      <c r="D534">
        <f>'Quick View_ Sample Data'!AN535</f>
        <v>0</v>
      </c>
      <c r="E534">
        <f>'Quick View_ Sample Data'!O535</f>
        <v>193</v>
      </c>
      <c r="F534">
        <f>'Quick View_ Sample Data'!AO535</f>
        <v>0</v>
      </c>
      <c r="G534">
        <f>'Quick View_ Sample Data'!O535</f>
        <v>193</v>
      </c>
      <c r="H534">
        <f>'Quick View_ Sample Data'!AP535</f>
        <v>0</v>
      </c>
      <c r="I534">
        <f>'Quick View_ Sample Data'!AF535</f>
        <v>0</v>
      </c>
      <c r="J534">
        <f>'Quick View_ Sample Data'!AJ535</f>
        <v>0</v>
      </c>
      <c r="K534">
        <f>'Quick View_ Sample Data'!AH535</f>
        <v>1024.79976566291</v>
      </c>
      <c r="L534">
        <f t="shared" si="8"/>
        <v>0</v>
      </c>
    </row>
    <row r="535" spans="1:12" ht="12.75" customHeight="1">
      <c r="A535" s="321"/>
      <c r="B535" t="str">
        <f>'Quick View_ Sample Data'!P536</f>
        <v>MgO</v>
      </c>
      <c r="C535">
        <f>'Quick View_ Sample Data'!O536</f>
        <v>193</v>
      </c>
      <c r="D535">
        <f>'Quick View_ Sample Data'!AN536</f>
        <v>0</v>
      </c>
      <c r="E535">
        <f>'Quick View_ Sample Data'!O536</f>
        <v>193</v>
      </c>
      <c r="F535">
        <f>'Quick View_ Sample Data'!AO536</f>
        <v>0</v>
      </c>
      <c r="G535">
        <f>'Quick View_ Sample Data'!O536</f>
        <v>193</v>
      </c>
      <c r="H535">
        <f>'Quick View_ Sample Data'!AP536</f>
        <v>0</v>
      </c>
      <c r="I535">
        <f>'Quick View_ Sample Data'!AF536</f>
        <v>0</v>
      </c>
      <c r="J535">
        <f>'Quick View_ Sample Data'!AJ536</f>
        <v>0</v>
      </c>
      <c r="K535">
        <f>'Quick View_ Sample Data'!AH536</f>
        <v>741.95036772581898</v>
      </c>
      <c r="L535">
        <f t="shared" si="8"/>
        <v>0</v>
      </c>
    </row>
    <row r="536" spans="1:12" ht="12.75" customHeight="1">
      <c r="A536" s="321"/>
      <c r="B536" t="str">
        <f>'Quick View_ Sample Data'!P537</f>
        <v>MgO</v>
      </c>
      <c r="C536">
        <f>'Quick View_ Sample Data'!O537</f>
        <v>193</v>
      </c>
      <c r="D536">
        <f>'Quick View_ Sample Data'!AN537</f>
        <v>0</v>
      </c>
      <c r="E536">
        <f>'Quick View_ Sample Data'!O537</f>
        <v>193</v>
      </c>
      <c r="F536">
        <f>'Quick View_ Sample Data'!AO537</f>
        <v>0</v>
      </c>
      <c r="G536">
        <f>'Quick View_ Sample Data'!O537</f>
        <v>193</v>
      </c>
      <c r="H536">
        <f>'Quick View_ Sample Data'!AP537</f>
        <v>0</v>
      </c>
      <c r="I536">
        <f>'Quick View_ Sample Data'!AF537</f>
        <v>0</v>
      </c>
      <c r="J536">
        <f>'Quick View_ Sample Data'!AJ537</f>
        <v>0</v>
      </c>
      <c r="K536">
        <f>'Quick View_ Sample Data'!AH537</f>
        <v>652.31398997754604</v>
      </c>
      <c r="L536">
        <f t="shared" si="8"/>
        <v>0</v>
      </c>
    </row>
    <row r="537" spans="1:12" ht="12.75" customHeight="1">
      <c r="A537" s="321"/>
      <c r="B537" t="str">
        <f>'Quick View_ Sample Data'!P538</f>
        <v>MgO</v>
      </c>
      <c r="C537">
        <f>'Quick View_ Sample Data'!O538</f>
        <v>194</v>
      </c>
      <c r="D537">
        <f>'Quick View_ Sample Data'!AN538</f>
        <v>0</v>
      </c>
      <c r="E537">
        <f>'Quick View_ Sample Data'!O538</f>
        <v>194</v>
      </c>
      <c r="F537">
        <f>'Quick View_ Sample Data'!AO538</f>
        <v>0</v>
      </c>
      <c r="G537">
        <f>'Quick View_ Sample Data'!O538</f>
        <v>194</v>
      </c>
      <c r="H537">
        <f>'Quick View_ Sample Data'!AP538</f>
        <v>0</v>
      </c>
      <c r="I537">
        <f>'Quick View_ Sample Data'!AF538</f>
        <v>0</v>
      </c>
      <c r="J537">
        <f>'Quick View_ Sample Data'!AJ538</f>
        <v>0</v>
      </c>
      <c r="K537">
        <f>'Quick View_ Sample Data'!AH538</f>
        <v>1343.3324349966099</v>
      </c>
      <c r="L537">
        <f t="shared" si="8"/>
        <v>0</v>
      </c>
    </row>
    <row r="538" spans="1:12" ht="12.75" customHeight="1">
      <c r="A538" s="321"/>
      <c r="B538" t="str">
        <f>'Quick View_ Sample Data'!P539</f>
        <v>MgO</v>
      </c>
      <c r="C538">
        <f>'Quick View_ Sample Data'!O539</f>
        <v>194</v>
      </c>
      <c r="D538">
        <f>'Quick View_ Sample Data'!AN539</f>
        <v>0</v>
      </c>
      <c r="E538">
        <f>'Quick View_ Sample Data'!O539</f>
        <v>194</v>
      </c>
      <c r="F538">
        <f>'Quick View_ Sample Data'!AO539</f>
        <v>0</v>
      </c>
      <c r="G538">
        <f>'Quick View_ Sample Data'!O539</f>
        <v>194</v>
      </c>
      <c r="H538">
        <f>'Quick View_ Sample Data'!AP539</f>
        <v>0</v>
      </c>
      <c r="I538">
        <f>'Quick View_ Sample Data'!AF539</f>
        <v>0</v>
      </c>
      <c r="J538">
        <f>'Quick View_ Sample Data'!AJ539</f>
        <v>0</v>
      </c>
      <c r="K538">
        <f>'Quick View_ Sample Data'!AH539</f>
        <v>547.80958248068805</v>
      </c>
      <c r="L538">
        <f t="shared" si="8"/>
        <v>0</v>
      </c>
    </row>
    <row r="539" spans="1:12" ht="12.75" customHeight="1">
      <c r="A539" s="321"/>
      <c r="B539" t="str">
        <f>'Quick View_ Sample Data'!P540</f>
        <v>MgO</v>
      </c>
      <c r="C539">
        <f>'Quick View_ Sample Data'!O540</f>
        <v>194</v>
      </c>
      <c r="D539">
        <f>'Quick View_ Sample Data'!AN540</f>
        <v>0</v>
      </c>
      <c r="E539">
        <f>'Quick View_ Sample Data'!O540</f>
        <v>194</v>
      </c>
      <c r="F539">
        <f>'Quick View_ Sample Data'!AO540</f>
        <v>0</v>
      </c>
      <c r="G539">
        <f>'Quick View_ Sample Data'!O540</f>
        <v>194</v>
      </c>
      <c r="H539">
        <f>'Quick View_ Sample Data'!AP540</f>
        <v>0</v>
      </c>
      <c r="I539">
        <f>'Quick View_ Sample Data'!AF540</f>
        <v>0</v>
      </c>
      <c r="J539">
        <f>'Quick View_ Sample Data'!AJ540</f>
        <v>0</v>
      </c>
      <c r="K539">
        <f>'Quick View_ Sample Data'!AH540</f>
        <v>1626.09857196711</v>
      </c>
      <c r="L539">
        <f t="shared" si="8"/>
        <v>0</v>
      </c>
    </row>
    <row r="540" spans="1:12" ht="12.75" customHeight="1">
      <c r="A540" s="321"/>
      <c r="B540" t="str">
        <f>'Quick View_ Sample Data'!P541</f>
        <v>MgO</v>
      </c>
      <c r="C540">
        <f>'Quick View_ Sample Data'!O541</f>
        <v>194</v>
      </c>
      <c r="D540">
        <f>'Quick View_ Sample Data'!AN541</f>
        <v>240.00568341356848</v>
      </c>
      <c r="E540">
        <f>'Quick View_ Sample Data'!O541</f>
        <v>194</v>
      </c>
      <c r="F540">
        <f>'Quick View_ Sample Data'!AO541</f>
        <v>0</v>
      </c>
      <c r="G540">
        <f>'Quick View_ Sample Data'!O541</f>
        <v>194</v>
      </c>
      <c r="H540">
        <f>'Quick View_ Sample Data'!AP541</f>
        <v>2.5714285714285716</v>
      </c>
      <c r="I540">
        <f>'Quick View_ Sample Data'!AF541</f>
        <v>3</v>
      </c>
      <c r="J540">
        <f>'Quick View_ Sample Data'!AJ541</f>
        <v>0</v>
      </c>
      <c r="K540">
        <f>'Quick View_ Sample Data'!AH541</f>
        <v>800.01894471189496</v>
      </c>
      <c r="L540">
        <f t="shared" si="8"/>
        <v>0</v>
      </c>
    </row>
    <row r="541" spans="1:12" ht="12.75" customHeight="1">
      <c r="A541" s="321"/>
      <c r="B541" t="str">
        <f>'Quick View_ Sample Data'!P542</f>
        <v>MgO</v>
      </c>
      <c r="C541">
        <f>'Quick View_ Sample Data'!O542</f>
        <v>195</v>
      </c>
      <c r="D541">
        <f>'Quick View_ Sample Data'!AN542</f>
        <v>0</v>
      </c>
      <c r="E541">
        <f>'Quick View_ Sample Data'!O542</f>
        <v>195</v>
      </c>
      <c r="F541">
        <f>'Quick View_ Sample Data'!AO542</f>
        <v>0</v>
      </c>
      <c r="G541">
        <f>'Quick View_ Sample Data'!O542</f>
        <v>195</v>
      </c>
      <c r="H541">
        <f>'Quick View_ Sample Data'!AP542</f>
        <v>0</v>
      </c>
      <c r="I541">
        <f>'Quick View_ Sample Data'!AF542</f>
        <v>0</v>
      </c>
      <c r="J541">
        <f>'Quick View_ Sample Data'!AJ542</f>
        <v>0</v>
      </c>
      <c r="K541">
        <f>'Quick View_ Sample Data'!AH542</f>
        <v>1235.8568004347901</v>
      </c>
      <c r="L541">
        <f t="shared" si="8"/>
        <v>0</v>
      </c>
    </row>
    <row r="542" spans="1:12" ht="12.75" customHeight="1">
      <c r="A542" s="321"/>
      <c r="B542" t="str">
        <f>'Quick View_ Sample Data'!P543</f>
        <v>MgO</v>
      </c>
      <c r="C542">
        <f>'Quick View_ Sample Data'!O543</f>
        <v>195</v>
      </c>
      <c r="D542">
        <f>'Quick View_ Sample Data'!AN543</f>
        <v>0</v>
      </c>
      <c r="E542">
        <f>'Quick View_ Sample Data'!O543</f>
        <v>195</v>
      </c>
      <c r="F542">
        <f>'Quick View_ Sample Data'!AO543</f>
        <v>0</v>
      </c>
      <c r="G542">
        <f>'Quick View_ Sample Data'!O543</f>
        <v>195</v>
      </c>
      <c r="H542">
        <f>'Quick View_ Sample Data'!AP543</f>
        <v>0</v>
      </c>
      <c r="I542">
        <f>'Quick View_ Sample Data'!AF543</f>
        <v>0</v>
      </c>
      <c r="J542">
        <f>'Quick View_ Sample Data'!AJ543</f>
        <v>0</v>
      </c>
      <c r="K542">
        <f>'Quick View_ Sample Data'!AH543</f>
        <v>1732.8391311381599</v>
      </c>
      <c r="L542">
        <f t="shared" si="8"/>
        <v>0</v>
      </c>
    </row>
    <row r="543" spans="1:12" ht="12.75" customHeight="1">
      <c r="A543" s="321"/>
      <c r="B543" t="str">
        <f>'Quick View_ Sample Data'!P544</f>
        <v>MgO</v>
      </c>
      <c r="C543">
        <f>'Quick View_ Sample Data'!O544</f>
        <v>195</v>
      </c>
      <c r="D543">
        <f>'Quick View_ Sample Data'!AN544</f>
        <v>0</v>
      </c>
      <c r="E543">
        <f>'Quick View_ Sample Data'!O544</f>
        <v>195</v>
      </c>
      <c r="F543">
        <f>'Quick View_ Sample Data'!AO544</f>
        <v>0</v>
      </c>
      <c r="G543">
        <f>'Quick View_ Sample Data'!O544</f>
        <v>195</v>
      </c>
      <c r="H543">
        <f>'Quick View_ Sample Data'!AP544</f>
        <v>0</v>
      </c>
      <c r="I543">
        <f>'Quick View_ Sample Data'!AF544</f>
        <v>0</v>
      </c>
      <c r="J543">
        <f>'Quick View_ Sample Data'!AJ544</f>
        <v>0</v>
      </c>
      <c r="K543">
        <f>'Quick View_ Sample Data'!AH544</f>
        <v>2203.4776920117902</v>
      </c>
      <c r="L543">
        <f t="shared" si="8"/>
        <v>0</v>
      </c>
    </row>
    <row r="544" spans="1:12" ht="12.75" customHeight="1">
      <c r="A544" s="321"/>
      <c r="B544" t="str">
        <f>'Quick View_ Sample Data'!P545</f>
        <v>MgO</v>
      </c>
      <c r="C544">
        <f>'Quick View_ Sample Data'!O545</f>
        <v>195</v>
      </c>
      <c r="D544">
        <f>'Quick View_ Sample Data'!AN545</f>
        <v>397.62773293446321</v>
      </c>
      <c r="E544">
        <f>'Quick View_ Sample Data'!O545</f>
        <v>195</v>
      </c>
      <c r="F544">
        <f>'Quick View_ Sample Data'!AO545</f>
        <v>0</v>
      </c>
      <c r="G544">
        <f>'Quick View_ Sample Data'!O545</f>
        <v>195</v>
      </c>
      <c r="H544">
        <f>'Quick View_ Sample Data'!AP545</f>
        <v>2.2285714285714286</v>
      </c>
      <c r="I544">
        <f>'Quick View_ Sample Data'!AF545</f>
        <v>2.6</v>
      </c>
      <c r="J544">
        <f>'Quick View_ Sample Data'!AJ545</f>
        <v>0</v>
      </c>
      <c r="K544">
        <f>'Quick View_ Sample Data'!AH545</f>
        <v>1529.33743436332</v>
      </c>
      <c r="L544">
        <f t="shared" si="8"/>
        <v>0</v>
      </c>
    </row>
    <row r="545" spans="1:12" ht="12.75" customHeight="1">
      <c r="A545" s="321"/>
      <c r="B545" t="str">
        <f>'Quick View_ Sample Data'!P546</f>
        <v>MgO</v>
      </c>
      <c r="C545">
        <f>'Quick View_ Sample Data'!O546</f>
        <v>196</v>
      </c>
      <c r="D545">
        <f>'Quick View_ Sample Data'!AN546</f>
        <v>0</v>
      </c>
      <c r="E545">
        <f>'Quick View_ Sample Data'!O546</f>
        <v>196</v>
      </c>
      <c r="F545">
        <f>'Quick View_ Sample Data'!AO546</f>
        <v>0</v>
      </c>
      <c r="G545">
        <f>'Quick View_ Sample Data'!O546</f>
        <v>196</v>
      </c>
      <c r="H545">
        <f>'Quick View_ Sample Data'!AP546</f>
        <v>0</v>
      </c>
      <c r="I545">
        <f>'Quick View_ Sample Data'!AF546</f>
        <v>0</v>
      </c>
      <c r="J545">
        <f>'Quick View_ Sample Data'!AJ546</f>
        <v>0</v>
      </c>
      <c r="K545">
        <f>'Quick View_ Sample Data'!AH546</f>
        <v>860.19283471037102</v>
      </c>
      <c r="L545">
        <f t="shared" si="8"/>
        <v>0</v>
      </c>
    </row>
    <row r="546" spans="1:12" ht="12.75" customHeight="1">
      <c r="A546" s="321"/>
      <c r="B546" t="str">
        <f>'Quick View_ Sample Data'!P547</f>
        <v>MgO</v>
      </c>
      <c r="C546">
        <f>'Quick View_ Sample Data'!O547</f>
        <v>196</v>
      </c>
      <c r="D546">
        <f>'Quick View_ Sample Data'!AN547</f>
        <v>0</v>
      </c>
      <c r="E546">
        <f>'Quick View_ Sample Data'!O547</f>
        <v>196</v>
      </c>
      <c r="F546">
        <f>'Quick View_ Sample Data'!AO547</f>
        <v>0</v>
      </c>
      <c r="G546">
        <f>'Quick View_ Sample Data'!O547</f>
        <v>196</v>
      </c>
      <c r="H546">
        <f>'Quick View_ Sample Data'!AP547</f>
        <v>0</v>
      </c>
      <c r="I546">
        <f>'Quick View_ Sample Data'!AF547</f>
        <v>0</v>
      </c>
      <c r="J546">
        <f>'Quick View_ Sample Data'!AJ547</f>
        <v>0</v>
      </c>
      <c r="K546">
        <f>'Quick View_ Sample Data'!AH547</f>
        <v>785.87647481504098</v>
      </c>
      <c r="L546">
        <f t="shared" si="8"/>
        <v>0</v>
      </c>
    </row>
    <row r="547" spans="1:12" ht="12.75" customHeight="1">
      <c r="A547" s="321"/>
      <c r="B547" t="str">
        <f>'Quick View_ Sample Data'!P548</f>
        <v>MgO</v>
      </c>
      <c r="C547">
        <f>'Quick View_ Sample Data'!O548</f>
        <v>196</v>
      </c>
      <c r="D547">
        <f>'Quick View_ Sample Data'!AN548</f>
        <v>0</v>
      </c>
      <c r="E547">
        <f>'Quick View_ Sample Data'!O548</f>
        <v>196</v>
      </c>
      <c r="F547">
        <f>'Quick View_ Sample Data'!AO548</f>
        <v>0</v>
      </c>
      <c r="G547">
        <f>'Quick View_ Sample Data'!O548</f>
        <v>196</v>
      </c>
      <c r="H547">
        <f>'Quick View_ Sample Data'!AP548</f>
        <v>0</v>
      </c>
      <c r="I547">
        <f>'Quick View_ Sample Data'!AF548</f>
        <v>0</v>
      </c>
      <c r="J547">
        <f>'Quick View_ Sample Data'!AJ548</f>
        <v>0</v>
      </c>
      <c r="K547">
        <f>'Quick View_ Sample Data'!AH548</f>
        <v>779.001497859295</v>
      </c>
      <c r="L547">
        <f t="shared" si="8"/>
        <v>0</v>
      </c>
    </row>
    <row r="548" spans="1:12" ht="12.75" customHeight="1">
      <c r="A548" s="321"/>
      <c r="B548" t="str">
        <f>'Quick View_ Sample Data'!P549</f>
        <v>MgO</v>
      </c>
      <c r="C548">
        <f>'Quick View_ Sample Data'!O549</f>
        <v>196</v>
      </c>
      <c r="D548">
        <f>'Quick View_ Sample Data'!AN549</f>
        <v>202.49090864041335</v>
      </c>
      <c r="E548">
        <f>'Quick View_ Sample Data'!O549</f>
        <v>196</v>
      </c>
      <c r="F548">
        <f>'Quick View_ Sample Data'!AO549</f>
        <v>0</v>
      </c>
      <c r="G548">
        <f>'Quick View_ Sample Data'!O549</f>
        <v>196</v>
      </c>
      <c r="H548">
        <f>'Quick View_ Sample Data'!AP549</f>
        <v>2.2285714285714286</v>
      </c>
      <c r="I548">
        <f>'Quick View_ Sample Data'!AF549</f>
        <v>2.6</v>
      </c>
      <c r="J548">
        <f>'Quick View_ Sample Data'!AJ549</f>
        <v>0</v>
      </c>
      <c r="K548">
        <f>'Quick View_ Sample Data'!AH549</f>
        <v>778.81118707851294</v>
      </c>
      <c r="L548">
        <f t="shared" si="8"/>
        <v>0</v>
      </c>
    </row>
    <row r="549" spans="1:12" ht="12.75" customHeight="1">
      <c r="A549" s="321"/>
      <c r="B549" t="str">
        <f>'Quick View_ Sample Data'!P550</f>
        <v>MgO</v>
      </c>
      <c r="C549">
        <f>'Quick View_ Sample Data'!O550</f>
        <v>197</v>
      </c>
      <c r="D549">
        <f>'Quick View_ Sample Data'!AN550</f>
        <v>0</v>
      </c>
      <c r="E549">
        <f>'Quick View_ Sample Data'!O550</f>
        <v>197</v>
      </c>
      <c r="F549">
        <f>'Quick View_ Sample Data'!AO550</f>
        <v>0</v>
      </c>
      <c r="G549">
        <f>'Quick View_ Sample Data'!O550</f>
        <v>197</v>
      </c>
      <c r="H549">
        <f>'Quick View_ Sample Data'!AP550</f>
        <v>0</v>
      </c>
      <c r="I549">
        <f>'Quick View_ Sample Data'!AF550</f>
        <v>0</v>
      </c>
      <c r="J549">
        <f>'Quick View_ Sample Data'!AJ550</f>
        <v>0</v>
      </c>
      <c r="K549">
        <f>'Quick View_ Sample Data'!AH550</f>
        <v>432.07683891769699</v>
      </c>
      <c r="L549">
        <f t="shared" si="8"/>
        <v>0</v>
      </c>
    </row>
    <row r="550" spans="1:12" ht="12.75" customHeight="1">
      <c r="A550" s="321"/>
      <c r="B550" t="str">
        <f>'Quick View_ Sample Data'!P551</f>
        <v>MgO</v>
      </c>
      <c r="C550">
        <f>'Quick View_ Sample Data'!O551</f>
        <v>197</v>
      </c>
      <c r="D550">
        <f>'Quick View_ Sample Data'!AN551</f>
        <v>0</v>
      </c>
      <c r="E550">
        <f>'Quick View_ Sample Data'!O551</f>
        <v>197</v>
      </c>
      <c r="F550">
        <f>'Quick View_ Sample Data'!AO551</f>
        <v>0</v>
      </c>
      <c r="G550">
        <f>'Quick View_ Sample Data'!O551</f>
        <v>197</v>
      </c>
      <c r="H550">
        <f>'Quick View_ Sample Data'!AP551</f>
        <v>0</v>
      </c>
      <c r="I550">
        <f>'Quick View_ Sample Data'!AF551</f>
        <v>0</v>
      </c>
      <c r="J550">
        <f>'Quick View_ Sample Data'!AJ551</f>
        <v>0</v>
      </c>
      <c r="K550">
        <f>'Quick View_ Sample Data'!AH551</f>
        <v>434.68171772964899</v>
      </c>
      <c r="L550">
        <f t="shared" si="8"/>
        <v>0</v>
      </c>
    </row>
    <row r="551" spans="1:12" ht="12.75" customHeight="1">
      <c r="A551" s="321"/>
      <c r="B551" t="str">
        <f>'Quick View_ Sample Data'!P552</f>
        <v>MgO</v>
      </c>
      <c r="C551">
        <f>'Quick View_ Sample Data'!O552</f>
        <v>197</v>
      </c>
      <c r="D551">
        <f>'Quick View_ Sample Data'!AN552</f>
        <v>0</v>
      </c>
      <c r="E551">
        <f>'Quick View_ Sample Data'!O552</f>
        <v>197</v>
      </c>
      <c r="F551">
        <f>'Quick View_ Sample Data'!AO552</f>
        <v>0</v>
      </c>
      <c r="G551">
        <f>'Quick View_ Sample Data'!O552</f>
        <v>197</v>
      </c>
      <c r="H551">
        <f>'Quick View_ Sample Data'!AP552</f>
        <v>0</v>
      </c>
      <c r="I551">
        <f>'Quick View_ Sample Data'!AF552</f>
        <v>0</v>
      </c>
      <c r="J551">
        <f>'Quick View_ Sample Data'!AJ552</f>
        <v>0</v>
      </c>
      <c r="K551">
        <f>'Quick View_ Sample Data'!AH552</f>
        <v>435.65706048115601</v>
      </c>
      <c r="L551">
        <f t="shared" si="8"/>
        <v>0</v>
      </c>
    </row>
    <row r="552" spans="1:12" ht="12.75" customHeight="1">
      <c r="A552" s="321"/>
      <c r="B552" t="str">
        <f>'Quick View_ Sample Data'!P553</f>
        <v>MgO</v>
      </c>
      <c r="C552">
        <f>'Quick View_ Sample Data'!O553</f>
        <v>197</v>
      </c>
      <c r="D552">
        <f>'Quick View_ Sample Data'!AN553</f>
        <v>162.00490680230075</v>
      </c>
      <c r="E552">
        <f>'Quick View_ Sample Data'!O553</f>
        <v>197</v>
      </c>
      <c r="F552">
        <f>'Quick View_ Sample Data'!AO553</f>
        <v>14904.451425811669</v>
      </c>
      <c r="G552">
        <f>'Quick View_ Sample Data'!O553</f>
        <v>197</v>
      </c>
      <c r="H552">
        <f>'Quick View_ Sample Data'!AP553</f>
        <v>2.4</v>
      </c>
      <c r="I552">
        <f>'Quick View_ Sample Data'!AF553</f>
        <v>3.6</v>
      </c>
      <c r="J552">
        <f>'Quick View_ Sample Data'!AJ553</f>
        <v>9.1999999999999993</v>
      </c>
      <c r="K552">
        <f>'Quick View_ Sample Data'!AH553</f>
        <v>450.013630006391</v>
      </c>
      <c r="L552">
        <f t="shared" si="8"/>
        <v>33.119999999999997</v>
      </c>
    </row>
    <row r="553" spans="1:12" ht="12.75" customHeight="1">
      <c r="A553" s="321"/>
      <c r="B553" t="str">
        <f>'Quick View_ Sample Data'!P554</f>
        <v>MgO</v>
      </c>
      <c r="C553">
        <f>'Quick View_ Sample Data'!O554</f>
        <v>198</v>
      </c>
      <c r="D553">
        <f>'Quick View_ Sample Data'!AN554</f>
        <v>0</v>
      </c>
      <c r="E553">
        <f>'Quick View_ Sample Data'!O554</f>
        <v>198</v>
      </c>
      <c r="F553">
        <f>'Quick View_ Sample Data'!AO554</f>
        <v>0</v>
      </c>
      <c r="G553">
        <f>'Quick View_ Sample Data'!O554</f>
        <v>198</v>
      </c>
      <c r="H553">
        <f>'Quick View_ Sample Data'!AP554</f>
        <v>0</v>
      </c>
      <c r="I553">
        <f>'Quick View_ Sample Data'!AF554</f>
        <v>0</v>
      </c>
      <c r="J553">
        <f>'Quick View_ Sample Data'!AJ554</f>
        <v>0</v>
      </c>
      <c r="K553">
        <f>'Quick View_ Sample Data'!AH554</f>
        <v>498.81645085314801</v>
      </c>
      <c r="L553">
        <f t="shared" si="8"/>
        <v>0</v>
      </c>
    </row>
    <row r="554" spans="1:12" ht="12.75" customHeight="1">
      <c r="A554" s="321"/>
      <c r="B554" t="str">
        <f>'Quick View_ Sample Data'!P555</f>
        <v>MgO</v>
      </c>
      <c r="C554">
        <f>'Quick View_ Sample Data'!O555</f>
        <v>198</v>
      </c>
      <c r="D554">
        <f>'Quick View_ Sample Data'!AN555</f>
        <v>0</v>
      </c>
      <c r="E554">
        <f>'Quick View_ Sample Data'!O555</f>
        <v>198</v>
      </c>
      <c r="F554">
        <f>'Quick View_ Sample Data'!AO555</f>
        <v>0</v>
      </c>
      <c r="G554">
        <f>'Quick View_ Sample Data'!O555</f>
        <v>198</v>
      </c>
      <c r="H554">
        <f>'Quick View_ Sample Data'!AP555</f>
        <v>0</v>
      </c>
      <c r="I554">
        <f>'Quick View_ Sample Data'!AF555</f>
        <v>0</v>
      </c>
      <c r="J554">
        <f>'Quick View_ Sample Data'!AJ555</f>
        <v>0</v>
      </c>
      <c r="K554">
        <f>'Quick View_ Sample Data'!AH555</f>
        <v>493.72563746723301</v>
      </c>
      <c r="L554">
        <f t="shared" si="8"/>
        <v>0</v>
      </c>
    </row>
    <row r="555" spans="1:12" ht="12.75" customHeight="1">
      <c r="A555" s="321"/>
      <c r="B555" t="str">
        <f>'Quick View_ Sample Data'!P556</f>
        <v>MgO</v>
      </c>
      <c r="C555">
        <f>'Quick View_ Sample Data'!O556</f>
        <v>198</v>
      </c>
      <c r="D555">
        <f>'Quick View_ Sample Data'!AN556</f>
        <v>0</v>
      </c>
      <c r="E555">
        <f>'Quick View_ Sample Data'!O556</f>
        <v>198</v>
      </c>
      <c r="F555">
        <f>'Quick View_ Sample Data'!AO556</f>
        <v>0</v>
      </c>
      <c r="G555">
        <f>'Quick View_ Sample Data'!O556</f>
        <v>198</v>
      </c>
      <c r="H555">
        <f>'Quick View_ Sample Data'!AP556</f>
        <v>0</v>
      </c>
      <c r="I555">
        <f>'Quick View_ Sample Data'!AF556</f>
        <v>0</v>
      </c>
      <c r="J555">
        <f>'Quick View_ Sample Data'!AJ556</f>
        <v>0</v>
      </c>
      <c r="K555">
        <f>'Quick View_ Sample Data'!AH556</f>
        <v>485.41143523182399</v>
      </c>
      <c r="L555">
        <f t="shared" si="8"/>
        <v>0</v>
      </c>
    </row>
    <row r="556" spans="1:12" ht="12.75" customHeight="1">
      <c r="A556" s="321"/>
      <c r="B556" t="str">
        <f>'Quick View_ Sample Data'!P557</f>
        <v>MgO</v>
      </c>
      <c r="C556">
        <f>'Quick View_ Sample Data'!O557</f>
        <v>198</v>
      </c>
      <c r="D556">
        <f>'Quick View_ Sample Data'!AN557</f>
        <v>161.23890590965345</v>
      </c>
      <c r="E556">
        <f>'Quick View_ Sample Data'!O557</f>
        <v>198</v>
      </c>
      <c r="F556">
        <f>'Quick View_ Sample Data'!AO557</f>
        <v>0</v>
      </c>
      <c r="G556">
        <f>'Quick View_ Sample Data'!O557</f>
        <v>198</v>
      </c>
      <c r="H556">
        <f>'Quick View_ Sample Data'!AP557</f>
        <v>2.4</v>
      </c>
      <c r="I556">
        <f>'Quick View_ Sample Data'!AF557</f>
        <v>3.2</v>
      </c>
      <c r="J556">
        <f>'Quick View_ Sample Data'!AJ557</f>
        <v>0</v>
      </c>
      <c r="K556">
        <f>'Quick View_ Sample Data'!AH557</f>
        <v>503.871580967667</v>
      </c>
      <c r="L556">
        <f t="shared" si="8"/>
        <v>0</v>
      </c>
    </row>
    <row r="557" spans="1:12" ht="12.75" customHeight="1">
      <c r="A557" s="321"/>
      <c r="B557" t="str">
        <f>'Quick View_ Sample Data'!P558</f>
        <v>MgO</v>
      </c>
      <c r="C557">
        <f>'Quick View_ Sample Data'!O558</f>
        <v>199</v>
      </c>
      <c r="D557">
        <f>'Quick View_ Sample Data'!AN558</f>
        <v>0</v>
      </c>
      <c r="E557">
        <f>'Quick View_ Sample Data'!O558</f>
        <v>199</v>
      </c>
      <c r="F557">
        <f>'Quick View_ Sample Data'!AO558</f>
        <v>0</v>
      </c>
      <c r="G557">
        <f>'Quick View_ Sample Data'!O558</f>
        <v>199</v>
      </c>
      <c r="H557">
        <f>'Quick View_ Sample Data'!AP558</f>
        <v>0</v>
      </c>
      <c r="I557">
        <f>'Quick View_ Sample Data'!AF558</f>
        <v>0</v>
      </c>
      <c r="J557">
        <f>'Quick View_ Sample Data'!AJ558</f>
        <v>0</v>
      </c>
      <c r="K557">
        <f>'Quick View_ Sample Data'!AH558</f>
        <v>547.61927169990599</v>
      </c>
      <c r="L557">
        <f t="shared" si="8"/>
        <v>0</v>
      </c>
    </row>
    <row r="558" spans="1:12" ht="12.75" customHeight="1">
      <c r="A558" s="321"/>
      <c r="B558" t="str">
        <f>'Quick View_ Sample Data'!P559</f>
        <v>MgO</v>
      </c>
      <c r="C558">
        <f>'Quick View_ Sample Data'!O559</f>
        <v>199</v>
      </c>
      <c r="D558">
        <f>'Quick View_ Sample Data'!AN559</f>
        <v>0</v>
      </c>
      <c r="E558">
        <f>'Quick View_ Sample Data'!O559</f>
        <v>199</v>
      </c>
      <c r="F558">
        <f>'Quick View_ Sample Data'!AO559</f>
        <v>0</v>
      </c>
      <c r="G558">
        <f>'Quick View_ Sample Data'!O559</f>
        <v>199</v>
      </c>
      <c r="H558">
        <f>'Quick View_ Sample Data'!AP559</f>
        <v>0</v>
      </c>
      <c r="I558">
        <f>'Quick View_ Sample Data'!AF559</f>
        <v>0</v>
      </c>
      <c r="J558">
        <f>'Quick View_ Sample Data'!AJ559</f>
        <v>0</v>
      </c>
      <c r="K558">
        <f>'Quick View_ Sample Data'!AH559</f>
        <v>542.76634678996697</v>
      </c>
      <c r="L558">
        <f t="shared" si="8"/>
        <v>0</v>
      </c>
    </row>
    <row r="559" spans="1:12" ht="12.75" customHeight="1">
      <c r="A559" s="321"/>
      <c r="B559" t="str">
        <f>'Quick View_ Sample Data'!P560</f>
        <v>MgO</v>
      </c>
      <c r="C559">
        <f>'Quick View_ Sample Data'!O560</f>
        <v>199</v>
      </c>
      <c r="D559">
        <f>'Quick View_ Sample Data'!AN560</f>
        <v>0</v>
      </c>
      <c r="E559">
        <f>'Quick View_ Sample Data'!O560</f>
        <v>199</v>
      </c>
      <c r="F559">
        <f>'Quick View_ Sample Data'!AO560</f>
        <v>0</v>
      </c>
      <c r="G559">
        <f>'Quick View_ Sample Data'!O560</f>
        <v>199</v>
      </c>
      <c r="H559">
        <f>'Quick View_ Sample Data'!AP560</f>
        <v>0</v>
      </c>
      <c r="I559">
        <f>'Quick View_ Sample Data'!AF560</f>
        <v>0</v>
      </c>
      <c r="J559">
        <f>'Quick View_ Sample Data'!AJ560</f>
        <v>0</v>
      </c>
      <c r="K559">
        <f>'Quick View_ Sample Data'!AH560</f>
        <v>553.01934010459195</v>
      </c>
      <c r="L559">
        <f t="shared" si="8"/>
        <v>0</v>
      </c>
    </row>
    <row r="560" spans="1:12" ht="12.75" customHeight="1">
      <c r="A560" s="321"/>
      <c r="B560" t="str">
        <f>'Quick View_ Sample Data'!P561</f>
        <v>MgO</v>
      </c>
      <c r="C560">
        <f>'Quick View_ Sample Data'!O561</f>
        <v>199</v>
      </c>
      <c r="D560">
        <f>'Quick View_ Sample Data'!AN561</f>
        <v>157.26771463592519</v>
      </c>
      <c r="E560">
        <f>'Quick View_ Sample Data'!O561</f>
        <v>199</v>
      </c>
      <c r="F560">
        <f>'Quick View_ Sample Data'!AO561</f>
        <v>14940.432890412892</v>
      </c>
      <c r="G560">
        <f>'Quick View_ Sample Data'!O561</f>
        <v>199</v>
      </c>
      <c r="H560">
        <f>'Quick View_ Sample Data'!AP561</f>
        <v>2.3200000000000003</v>
      </c>
      <c r="I560">
        <f>'Quick View_ Sample Data'!AF561</f>
        <v>2.9</v>
      </c>
      <c r="J560">
        <f>'Quick View_ Sample Data'!AJ561</f>
        <v>9.5</v>
      </c>
      <c r="K560">
        <f>'Quick View_ Sample Data'!AH561</f>
        <v>542.302464261811</v>
      </c>
      <c r="L560">
        <f t="shared" si="8"/>
        <v>27.55</v>
      </c>
    </row>
    <row r="561" spans="1:12" ht="12.75" customHeight="1">
      <c r="A561" s="321"/>
      <c r="B561" t="str">
        <f>'Quick View_ Sample Data'!P562</f>
        <v>MgO</v>
      </c>
      <c r="C561">
        <f>'Quick View_ Sample Data'!O562</f>
        <v>200</v>
      </c>
      <c r="D561">
        <f>'Quick View_ Sample Data'!AN562</f>
        <v>0</v>
      </c>
      <c r="E561">
        <f>'Quick View_ Sample Data'!O562</f>
        <v>200</v>
      </c>
      <c r="F561">
        <f>'Quick View_ Sample Data'!AO562</f>
        <v>0</v>
      </c>
      <c r="G561">
        <f>'Quick View_ Sample Data'!O562</f>
        <v>200</v>
      </c>
      <c r="H561">
        <f>'Quick View_ Sample Data'!AP562</f>
        <v>0</v>
      </c>
      <c r="I561">
        <f>'Quick View_ Sample Data'!AF562</f>
        <v>0</v>
      </c>
      <c r="J561">
        <f>'Quick View_ Sample Data'!AJ562</f>
        <v>0</v>
      </c>
      <c r="K561">
        <f>'Quick View_ Sample Data'!AH562</f>
        <v>656.32241079776497</v>
      </c>
      <c r="L561">
        <f t="shared" si="8"/>
        <v>0</v>
      </c>
    </row>
    <row r="562" spans="1:12" ht="12.75" customHeight="1">
      <c r="A562" s="321"/>
      <c r="B562" t="str">
        <f>'Quick View_ Sample Data'!P563</f>
        <v>MgO</v>
      </c>
      <c r="C562">
        <f>'Quick View_ Sample Data'!O563</f>
        <v>200</v>
      </c>
      <c r="D562">
        <f>'Quick View_ Sample Data'!AN563</f>
        <v>0</v>
      </c>
      <c r="E562">
        <f>'Quick View_ Sample Data'!O563</f>
        <v>200</v>
      </c>
      <c r="F562">
        <f>'Quick View_ Sample Data'!AO563</f>
        <v>0</v>
      </c>
      <c r="G562">
        <f>'Quick View_ Sample Data'!O563</f>
        <v>200</v>
      </c>
      <c r="H562">
        <f>'Quick View_ Sample Data'!AP563</f>
        <v>0</v>
      </c>
      <c r="I562">
        <f>'Quick View_ Sample Data'!AF563</f>
        <v>0</v>
      </c>
      <c r="J562">
        <f>'Quick View_ Sample Data'!AJ563</f>
        <v>0</v>
      </c>
      <c r="K562">
        <f>'Quick View_ Sample Data'!AH563</f>
        <v>649.10249555185203</v>
      </c>
      <c r="L562">
        <f t="shared" si="8"/>
        <v>0</v>
      </c>
    </row>
    <row r="563" spans="1:12" ht="12.75" customHeight="1">
      <c r="A563" s="321"/>
      <c r="B563" t="str">
        <f>'Quick View_ Sample Data'!P564</f>
        <v>MgO</v>
      </c>
      <c r="C563">
        <f>'Quick View_ Sample Data'!O564</f>
        <v>200</v>
      </c>
      <c r="D563">
        <f>'Quick View_ Sample Data'!AN564</f>
        <v>161.4073309506455</v>
      </c>
      <c r="E563">
        <f>'Quick View_ Sample Data'!O564</f>
        <v>200</v>
      </c>
      <c r="F563">
        <f>'Quick View_ Sample Data'!AO564</f>
        <v>0</v>
      </c>
      <c r="G563">
        <f>'Quick View_ Sample Data'!O564</f>
        <v>200</v>
      </c>
      <c r="H563">
        <f>'Quick View_ Sample Data'!AP564</f>
        <v>2.3076923076923079</v>
      </c>
      <c r="I563">
        <f>'Quick View_ Sample Data'!AF564</f>
        <v>2.5</v>
      </c>
      <c r="J563">
        <f>'Quick View_ Sample Data'!AJ564</f>
        <v>0</v>
      </c>
      <c r="K563">
        <f>'Quick View_ Sample Data'!AH564</f>
        <v>645.62932380258201</v>
      </c>
      <c r="L563">
        <f t="shared" si="8"/>
        <v>0</v>
      </c>
    </row>
    <row r="564" spans="1:12" ht="12.75" customHeight="1">
      <c r="A564" s="321"/>
      <c r="B564" t="str">
        <f>'Quick View_ Sample Data'!P565</f>
        <v>MgO</v>
      </c>
      <c r="C564">
        <f>'Quick View_ Sample Data'!O565</f>
        <v>200</v>
      </c>
      <c r="D564">
        <f>'Quick View_ Sample Data'!AN565</f>
        <v>0</v>
      </c>
      <c r="E564">
        <f>'Quick View_ Sample Data'!O565</f>
        <v>200</v>
      </c>
      <c r="F564">
        <f>'Quick View_ Sample Data'!AO565</f>
        <v>0</v>
      </c>
      <c r="G564">
        <f>'Quick View_ Sample Data'!O565</f>
        <v>200</v>
      </c>
      <c r="H564">
        <f>'Quick View_ Sample Data'!AP565</f>
        <v>0</v>
      </c>
      <c r="I564">
        <f>'Quick View_ Sample Data'!AF565</f>
        <v>0</v>
      </c>
      <c r="J564">
        <f>'Quick View_ Sample Data'!AJ565</f>
        <v>9.1</v>
      </c>
      <c r="K564">
        <f>'Quick View_ Sample Data'!AH565</f>
        <v>644.38040930370096</v>
      </c>
      <c r="L564">
        <f t="shared" si="8"/>
        <v>0</v>
      </c>
    </row>
    <row r="565" spans="1:12" ht="12.75" customHeight="1">
      <c r="A565" s="321"/>
      <c r="B565" t="str">
        <f>'Quick View_ Sample Data'!P566</f>
        <v>MgO</v>
      </c>
      <c r="C565">
        <f>'Quick View_ Sample Data'!O566</f>
        <v>201</v>
      </c>
      <c r="D565">
        <f>'Quick View_ Sample Data'!AN566</f>
        <v>0</v>
      </c>
      <c r="E565">
        <f>'Quick View_ Sample Data'!O566</f>
        <v>201</v>
      </c>
      <c r="F565">
        <f>'Quick View_ Sample Data'!AO566</f>
        <v>0</v>
      </c>
      <c r="G565">
        <f>'Quick View_ Sample Data'!O566</f>
        <v>201</v>
      </c>
      <c r="H565">
        <f>'Quick View_ Sample Data'!AP566</f>
        <v>0</v>
      </c>
      <c r="I565">
        <f>'Quick View_ Sample Data'!AF566</f>
        <v>0</v>
      </c>
      <c r="J565">
        <f>'Quick View_ Sample Data'!AJ566</f>
        <v>0</v>
      </c>
      <c r="K565">
        <f>'Quick View_ Sample Data'!AH566</f>
        <v>695.24096546766305</v>
      </c>
      <c r="L565">
        <f t="shared" si="8"/>
        <v>0</v>
      </c>
    </row>
    <row r="566" spans="1:12" ht="12.75" customHeight="1">
      <c r="A566" s="321"/>
      <c r="B566" t="str">
        <f>'Quick View_ Sample Data'!P567</f>
        <v>MgO</v>
      </c>
      <c r="C566">
        <f>'Quick View_ Sample Data'!O567</f>
        <v>201</v>
      </c>
      <c r="D566">
        <f>'Quick View_ Sample Data'!AN567</f>
        <v>0</v>
      </c>
      <c r="E566">
        <f>'Quick View_ Sample Data'!O567</f>
        <v>201</v>
      </c>
      <c r="F566">
        <f>'Quick View_ Sample Data'!AO567</f>
        <v>0</v>
      </c>
      <c r="G566">
        <f>'Quick View_ Sample Data'!O567</f>
        <v>201</v>
      </c>
      <c r="H566">
        <f>'Quick View_ Sample Data'!AP567</f>
        <v>0</v>
      </c>
      <c r="I566">
        <f>'Quick View_ Sample Data'!AF567</f>
        <v>0</v>
      </c>
      <c r="J566">
        <f>'Quick View_ Sample Data'!AJ567</f>
        <v>0</v>
      </c>
      <c r="K566">
        <f>'Quick View_ Sample Data'!AH567</f>
        <v>581.41132971249101</v>
      </c>
      <c r="L566">
        <f t="shared" si="8"/>
        <v>0</v>
      </c>
    </row>
    <row r="567" spans="1:12" ht="12.75" customHeight="1">
      <c r="A567" s="321"/>
      <c r="B567" t="str">
        <f>'Quick View_ Sample Data'!P568</f>
        <v>MgO</v>
      </c>
      <c r="C567">
        <f>'Quick View_ Sample Data'!O568</f>
        <v>201</v>
      </c>
      <c r="D567">
        <f>'Quick View_ Sample Data'!AN568</f>
        <v>0</v>
      </c>
      <c r="E567">
        <f>'Quick View_ Sample Data'!O568</f>
        <v>201</v>
      </c>
      <c r="F567">
        <f>'Quick View_ Sample Data'!AO568</f>
        <v>0</v>
      </c>
      <c r="G567">
        <f>'Quick View_ Sample Data'!O568</f>
        <v>201</v>
      </c>
      <c r="H567">
        <f>'Quick View_ Sample Data'!AP568</f>
        <v>0</v>
      </c>
      <c r="I567">
        <f>'Quick View_ Sample Data'!AF568</f>
        <v>0</v>
      </c>
      <c r="J567">
        <f>'Quick View_ Sample Data'!AJ568</f>
        <v>0</v>
      </c>
      <c r="K567">
        <f>'Quick View_ Sample Data'!AH568</f>
        <v>1107.52548318404</v>
      </c>
      <c r="L567">
        <f t="shared" si="8"/>
        <v>0</v>
      </c>
    </row>
    <row r="568" spans="1:12" ht="12.75" customHeight="1">
      <c r="A568" s="321"/>
      <c r="B568" t="str">
        <f>'Quick View_ Sample Data'!P569</f>
        <v>MgO</v>
      </c>
      <c r="C568">
        <f>'Quick View_ Sample Data'!O569</f>
        <v>201</v>
      </c>
      <c r="D568">
        <f>'Quick View_ Sample Data'!AN569</f>
        <v>0</v>
      </c>
      <c r="E568">
        <f>'Quick View_ Sample Data'!O569</f>
        <v>201</v>
      </c>
      <c r="F568">
        <f>'Quick View_ Sample Data'!AO569</f>
        <v>0</v>
      </c>
      <c r="G568">
        <f>'Quick View_ Sample Data'!O569</f>
        <v>201</v>
      </c>
      <c r="H568">
        <f>'Quick View_ Sample Data'!AP569</f>
        <v>2.1428571428571428</v>
      </c>
      <c r="I568">
        <f>'Quick View_ Sample Data'!AF569</f>
        <v>2.5</v>
      </c>
      <c r="J568">
        <f>'Quick View_ Sample Data'!AJ569</f>
        <v>0</v>
      </c>
      <c r="K568">
        <f>'Quick View_ Sample Data'!AH569</f>
        <v>0</v>
      </c>
      <c r="L568">
        <f t="shared" si="8"/>
        <v>0</v>
      </c>
    </row>
    <row r="569" spans="1:12" ht="12.75" customHeight="1">
      <c r="A569" s="321"/>
      <c r="B569" t="str">
        <f>'Quick View_ Sample Data'!P570</f>
        <v>MgO</v>
      </c>
      <c r="C569">
        <f>'Quick View_ Sample Data'!O570</f>
        <v>202</v>
      </c>
      <c r="D569">
        <f>'Quick View_ Sample Data'!AN570</f>
        <v>0</v>
      </c>
      <c r="E569">
        <f>'Quick View_ Sample Data'!O570</f>
        <v>202</v>
      </c>
      <c r="F569">
        <f>'Quick View_ Sample Data'!AO570</f>
        <v>0</v>
      </c>
      <c r="G569">
        <f>'Quick View_ Sample Data'!O570</f>
        <v>202</v>
      </c>
      <c r="H569">
        <f>'Quick View_ Sample Data'!AP570</f>
        <v>0</v>
      </c>
      <c r="I569">
        <f>'Quick View_ Sample Data'!AF570</f>
        <v>0</v>
      </c>
      <c r="J569">
        <f>'Quick View_ Sample Data'!AJ570</f>
        <v>9.75</v>
      </c>
      <c r="K569">
        <f>'Quick View_ Sample Data'!AH570</f>
        <v>592.65156020242205</v>
      </c>
      <c r="L569">
        <f t="shared" si="8"/>
        <v>0</v>
      </c>
    </row>
    <row r="570" spans="1:12" ht="12.75" customHeight="1">
      <c r="A570" s="321"/>
      <c r="B570" t="str">
        <f>'Quick View_ Sample Data'!P571</f>
        <v>MgO</v>
      </c>
      <c r="C570">
        <f>'Quick View_ Sample Data'!O571</f>
        <v>202</v>
      </c>
      <c r="D570">
        <f>'Quick View_ Sample Data'!AN571</f>
        <v>0</v>
      </c>
      <c r="E570">
        <f>'Quick View_ Sample Data'!O571</f>
        <v>202</v>
      </c>
      <c r="F570">
        <f>'Quick View_ Sample Data'!AO571</f>
        <v>0</v>
      </c>
      <c r="G570">
        <f>'Quick View_ Sample Data'!O571</f>
        <v>202</v>
      </c>
      <c r="H570">
        <f>'Quick View_ Sample Data'!AP571</f>
        <v>0</v>
      </c>
      <c r="I570">
        <f>'Quick View_ Sample Data'!AF571</f>
        <v>0</v>
      </c>
      <c r="J570">
        <f>'Quick View_ Sample Data'!AJ571</f>
        <v>0</v>
      </c>
      <c r="K570">
        <f>'Quick View_ Sample Data'!AH571</f>
        <v>575.64253417003999</v>
      </c>
      <c r="L570">
        <f t="shared" si="8"/>
        <v>0</v>
      </c>
    </row>
    <row r="571" spans="1:12" ht="12.75" customHeight="1">
      <c r="A571" s="321"/>
      <c r="B571" t="str">
        <f>'Quick View_ Sample Data'!P572</f>
        <v>MgO</v>
      </c>
      <c r="C571">
        <f>'Quick View_ Sample Data'!O572</f>
        <v>202</v>
      </c>
      <c r="D571">
        <f>'Quick View_ Sample Data'!AN572</f>
        <v>0</v>
      </c>
      <c r="E571">
        <f>'Quick View_ Sample Data'!O572</f>
        <v>202</v>
      </c>
      <c r="F571">
        <f>'Quick View_ Sample Data'!AO572</f>
        <v>0</v>
      </c>
      <c r="G571">
        <f>'Quick View_ Sample Data'!O572</f>
        <v>202</v>
      </c>
      <c r="H571">
        <f>'Quick View_ Sample Data'!AP572</f>
        <v>0</v>
      </c>
      <c r="I571">
        <f>'Quick View_ Sample Data'!AF572</f>
        <v>0</v>
      </c>
      <c r="J571">
        <f>'Quick View_ Sample Data'!AJ572</f>
        <v>0</v>
      </c>
      <c r="K571">
        <f>'Quick View_ Sample Data'!AH572</f>
        <v>571.57464123082696</v>
      </c>
      <c r="L571">
        <f t="shared" si="8"/>
        <v>0</v>
      </c>
    </row>
    <row r="572" spans="1:12" ht="12.75" customHeight="1">
      <c r="A572" s="321"/>
      <c r="B572" t="str">
        <f>'Quick View_ Sample Data'!P573</f>
        <v>MgO</v>
      </c>
      <c r="C572">
        <f>'Quick View_ Sample Data'!O573</f>
        <v>202</v>
      </c>
      <c r="D572">
        <f>'Quick View_ Sample Data'!AN573</f>
        <v>191.43194916917736</v>
      </c>
      <c r="E572">
        <f>'Quick View_ Sample Data'!O573</f>
        <v>202</v>
      </c>
      <c r="F572">
        <f>'Quick View_ Sample Data'!AO573</f>
        <v>0</v>
      </c>
      <c r="G572">
        <f>'Quick View_ Sample Data'!O573</f>
        <v>202</v>
      </c>
      <c r="H572">
        <f>'Quick View_ Sample Data'!AP573</f>
        <v>2.2285714285714286</v>
      </c>
      <c r="I572">
        <f>'Quick View_ Sample Data'!AF573</f>
        <v>2.6</v>
      </c>
      <c r="J572">
        <f>'Quick View_ Sample Data'!AJ573</f>
        <v>0</v>
      </c>
      <c r="K572">
        <f>'Quick View_ Sample Data'!AH573</f>
        <v>736.27672757375899</v>
      </c>
      <c r="L572">
        <f t="shared" si="8"/>
        <v>0</v>
      </c>
    </row>
    <row r="573" spans="1:12" ht="12.75" customHeight="1">
      <c r="A573" s="321"/>
      <c r="B573">
        <f>'Quick View_ Sample Data'!P574</f>
        <v>0</v>
      </c>
      <c r="C573">
        <f>'Quick View_ Sample Data'!O574</f>
        <v>0</v>
      </c>
      <c r="D573">
        <f>'Quick View_ Sample Data'!AN574</f>
        <v>0</v>
      </c>
      <c r="E573">
        <f>'Quick View_ Sample Data'!O574</f>
        <v>0</v>
      </c>
      <c r="F573">
        <f>'Quick View_ Sample Data'!AO574</f>
        <v>0</v>
      </c>
      <c r="G573">
        <f>'Quick View_ Sample Data'!O574</f>
        <v>0</v>
      </c>
      <c r="H573" t="e">
        <f>'Quick View_ Sample Data'!AP574</f>
        <v>#DIV/0!</v>
      </c>
      <c r="I573">
        <f>'Quick View_ Sample Data'!AF574</f>
        <v>0</v>
      </c>
      <c r="J573">
        <f>'Quick View_ Sample Data'!AJ574</f>
        <v>0</v>
      </c>
      <c r="K573">
        <f>'Quick View_ Sample Data'!AH574</f>
        <v>0</v>
      </c>
      <c r="L573">
        <f t="shared" si="8"/>
        <v>0</v>
      </c>
    </row>
    <row r="574" spans="1:12" ht="12.75" customHeight="1">
      <c r="A574" s="321"/>
      <c r="B574">
        <f>'Quick View_ Sample Data'!P575</f>
        <v>0</v>
      </c>
      <c r="C574">
        <f>'Quick View_ Sample Data'!O575</f>
        <v>0</v>
      </c>
      <c r="D574">
        <f>'Quick View_ Sample Data'!AN575</f>
        <v>0</v>
      </c>
      <c r="E574">
        <f>'Quick View_ Sample Data'!O575</f>
        <v>0</v>
      </c>
      <c r="F574">
        <f>'Quick View_ Sample Data'!AO575</f>
        <v>0</v>
      </c>
      <c r="G574">
        <f>'Quick View_ Sample Data'!O575</f>
        <v>0</v>
      </c>
      <c r="H574" t="e">
        <f>'Quick View_ Sample Data'!AP575</f>
        <v>#DIV/0!</v>
      </c>
      <c r="I574">
        <f>'Quick View_ Sample Data'!AF575</f>
        <v>0</v>
      </c>
      <c r="J574">
        <f>'Quick View_ Sample Data'!AJ575</f>
        <v>0</v>
      </c>
      <c r="K574">
        <f>'Quick View_ Sample Data'!AH575</f>
        <v>0</v>
      </c>
      <c r="L574">
        <f t="shared" si="8"/>
        <v>0</v>
      </c>
    </row>
    <row r="575" spans="1:12" ht="12.75" customHeight="1">
      <c r="A575" s="321"/>
      <c r="B575">
        <f>'Quick View_ Sample Data'!P576</f>
        <v>0</v>
      </c>
      <c r="C575">
        <f>'Quick View_ Sample Data'!O576</f>
        <v>0</v>
      </c>
      <c r="D575">
        <f>'Quick View_ Sample Data'!AN576</f>
        <v>0</v>
      </c>
      <c r="E575">
        <f>'Quick View_ Sample Data'!O576</f>
        <v>0</v>
      </c>
      <c r="F575">
        <f>'Quick View_ Sample Data'!AO576</f>
        <v>0</v>
      </c>
      <c r="G575">
        <f>'Quick View_ Sample Data'!O576</f>
        <v>0</v>
      </c>
      <c r="H575" t="e">
        <f>'Quick View_ Sample Data'!AP576</f>
        <v>#DIV/0!</v>
      </c>
      <c r="I575">
        <f>'Quick View_ Sample Data'!AF576</f>
        <v>0</v>
      </c>
      <c r="J575">
        <f>'Quick View_ Sample Data'!AJ576</f>
        <v>0</v>
      </c>
      <c r="K575">
        <f>'Quick View_ Sample Data'!AH576</f>
        <v>0</v>
      </c>
      <c r="L575">
        <f t="shared" si="8"/>
        <v>0</v>
      </c>
    </row>
    <row r="576" spans="1:12" ht="12.75" customHeight="1">
      <c r="A576" s="321"/>
      <c r="B576">
        <f>'Quick View_ Sample Data'!P577</f>
        <v>0</v>
      </c>
      <c r="C576">
        <f>'Quick View_ Sample Data'!O577</f>
        <v>0</v>
      </c>
      <c r="D576">
        <f>'Quick View_ Sample Data'!AN577</f>
        <v>0</v>
      </c>
      <c r="E576">
        <f>'Quick View_ Sample Data'!O577</f>
        <v>0</v>
      </c>
      <c r="F576">
        <f>'Quick View_ Sample Data'!AO577</f>
        <v>0</v>
      </c>
      <c r="G576">
        <f>'Quick View_ Sample Data'!O577</f>
        <v>0</v>
      </c>
      <c r="H576" t="e">
        <f>'Quick View_ Sample Data'!AP577</f>
        <v>#DIV/0!</v>
      </c>
      <c r="I576">
        <f>'Quick View_ Sample Data'!AF577</f>
        <v>0</v>
      </c>
      <c r="J576">
        <f>'Quick View_ Sample Data'!AJ577</f>
        <v>0</v>
      </c>
      <c r="K576">
        <f>'Quick View_ Sample Data'!AH577</f>
        <v>0</v>
      </c>
      <c r="L576">
        <f t="shared" si="8"/>
        <v>0</v>
      </c>
    </row>
    <row r="577" spans="1:12" ht="12.75" customHeight="1">
      <c r="A577" s="321"/>
      <c r="B577">
        <f>'Quick View_ Sample Data'!P578</f>
        <v>0</v>
      </c>
      <c r="C577">
        <f>'Quick View_ Sample Data'!O578</f>
        <v>0</v>
      </c>
      <c r="D577">
        <f>'Quick View_ Sample Data'!AN578</f>
        <v>0</v>
      </c>
      <c r="E577">
        <f>'Quick View_ Sample Data'!O578</f>
        <v>0</v>
      </c>
      <c r="F577">
        <f>'Quick View_ Sample Data'!AO578</f>
        <v>0</v>
      </c>
      <c r="G577">
        <f>'Quick View_ Sample Data'!O578</f>
        <v>0</v>
      </c>
      <c r="H577" t="e">
        <f>'Quick View_ Sample Data'!AP578</f>
        <v>#DIV/0!</v>
      </c>
      <c r="I577">
        <f>'Quick View_ Sample Data'!AF578</f>
        <v>0</v>
      </c>
      <c r="J577">
        <f>'Quick View_ Sample Data'!AJ578</f>
        <v>0</v>
      </c>
      <c r="K577">
        <f>'Quick View_ Sample Data'!AH578</f>
        <v>0</v>
      </c>
      <c r="L577">
        <f t="shared" si="8"/>
        <v>0</v>
      </c>
    </row>
    <row r="578" spans="1:12" ht="12.75" customHeight="1">
      <c r="A578" s="321"/>
      <c r="B578">
        <f>'Quick View_ Sample Data'!P579</f>
        <v>0</v>
      </c>
      <c r="C578">
        <f>'Quick View_ Sample Data'!O579</f>
        <v>0</v>
      </c>
      <c r="D578">
        <f>'Quick View_ Sample Data'!AN579</f>
        <v>0</v>
      </c>
      <c r="E578">
        <f>'Quick View_ Sample Data'!O579</f>
        <v>0</v>
      </c>
      <c r="F578">
        <f>'Quick View_ Sample Data'!AO579</f>
        <v>0</v>
      </c>
      <c r="G578">
        <f>'Quick View_ Sample Data'!O579</f>
        <v>0</v>
      </c>
      <c r="H578" t="e">
        <f>'Quick View_ Sample Data'!AP579</f>
        <v>#DIV/0!</v>
      </c>
      <c r="I578">
        <f>'Quick View_ Sample Data'!AF579</f>
        <v>0</v>
      </c>
      <c r="J578">
        <f>'Quick View_ Sample Data'!AJ579</f>
        <v>0</v>
      </c>
      <c r="K578">
        <f>'Quick View_ Sample Data'!AH579</f>
        <v>0</v>
      </c>
      <c r="L578">
        <f t="shared" ref="L578:L641" si="9">I578*J578</f>
        <v>0</v>
      </c>
    </row>
    <row r="579" spans="1:12" ht="12.75" customHeight="1">
      <c r="A579" s="321"/>
      <c r="B579">
        <f>'Quick View_ Sample Data'!P580</f>
        <v>0</v>
      </c>
      <c r="C579">
        <f>'Quick View_ Sample Data'!O580</f>
        <v>0</v>
      </c>
      <c r="D579">
        <f>'Quick View_ Sample Data'!AN580</f>
        <v>0</v>
      </c>
      <c r="E579">
        <f>'Quick View_ Sample Data'!O580</f>
        <v>0</v>
      </c>
      <c r="F579">
        <f>'Quick View_ Sample Data'!AO580</f>
        <v>0</v>
      </c>
      <c r="G579">
        <f>'Quick View_ Sample Data'!O580</f>
        <v>0</v>
      </c>
      <c r="H579" t="e">
        <f>'Quick View_ Sample Data'!AP580</f>
        <v>#DIV/0!</v>
      </c>
      <c r="I579">
        <f>'Quick View_ Sample Data'!AF580</f>
        <v>0</v>
      </c>
      <c r="J579">
        <f>'Quick View_ Sample Data'!AJ580</f>
        <v>0</v>
      </c>
      <c r="K579">
        <f>'Quick View_ Sample Data'!AH580</f>
        <v>0</v>
      </c>
      <c r="L579">
        <f t="shared" si="9"/>
        <v>0</v>
      </c>
    </row>
    <row r="580" spans="1:12" ht="12.75" customHeight="1">
      <c r="A580" s="321"/>
      <c r="B580">
        <f>'Quick View_ Sample Data'!P581</f>
        <v>0</v>
      </c>
      <c r="C580">
        <f>'Quick View_ Sample Data'!O581</f>
        <v>0</v>
      </c>
      <c r="D580">
        <f>'Quick View_ Sample Data'!AN581</f>
        <v>0</v>
      </c>
      <c r="E580">
        <f>'Quick View_ Sample Data'!O581</f>
        <v>0</v>
      </c>
      <c r="F580">
        <f>'Quick View_ Sample Data'!AO581</f>
        <v>0</v>
      </c>
      <c r="G580">
        <f>'Quick View_ Sample Data'!O581</f>
        <v>0</v>
      </c>
      <c r="H580" t="e">
        <f>'Quick View_ Sample Data'!AP581</f>
        <v>#DIV/0!</v>
      </c>
      <c r="I580">
        <f>'Quick View_ Sample Data'!AF581</f>
        <v>0</v>
      </c>
      <c r="J580">
        <f>'Quick View_ Sample Data'!AJ581</f>
        <v>0</v>
      </c>
      <c r="K580">
        <f>'Quick View_ Sample Data'!AH581</f>
        <v>0</v>
      </c>
      <c r="L580">
        <f t="shared" si="9"/>
        <v>0</v>
      </c>
    </row>
    <row r="581" spans="1:12" ht="12.75" customHeight="1">
      <c r="A581" s="321"/>
      <c r="B581" t="str">
        <f>'Quick View_ Sample Data'!P582</f>
        <v>MgO</v>
      </c>
      <c r="C581">
        <f>'Quick View_ Sample Data'!O582</f>
        <v>211</v>
      </c>
      <c r="D581">
        <f>'Quick View_ Sample Data'!AN582</f>
        <v>0</v>
      </c>
      <c r="E581">
        <f>'Quick View_ Sample Data'!O582</f>
        <v>211</v>
      </c>
      <c r="F581">
        <f>'Quick View_ Sample Data'!AO582</f>
        <v>0</v>
      </c>
      <c r="G581">
        <f>'Quick View_ Sample Data'!O582</f>
        <v>211</v>
      </c>
      <c r="H581">
        <f>'Quick View_ Sample Data'!AP582</f>
        <v>0</v>
      </c>
      <c r="I581">
        <f>'Quick View_ Sample Data'!AF582</f>
        <v>0</v>
      </c>
      <c r="J581">
        <f>'Quick View_ Sample Data'!AJ582</f>
        <v>0</v>
      </c>
      <c r="K581">
        <f>'Quick View_ Sample Data'!AH582</f>
        <v>2391.73</v>
      </c>
      <c r="L581">
        <f t="shared" si="9"/>
        <v>0</v>
      </c>
    </row>
    <row r="582" spans="1:12" ht="12.75" customHeight="1">
      <c r="A582" s="321"/>
      <c r="B582" t="str">
        <f>'Quick View_ Sample Data'!P583</f>
        <v>MgO</v>
      </c>
      <c r="C582">
        <f>'Quick View_ Sample Data'!O583</f>
        <v>211</v>
      </c>
      <c r="D582">
        <f>'Quick View_ Sample Data'!AN583</f>
        <v>0</v>
      </c>
      <c r="E582">
        <f>'Quick View_ Sample Data'!O583</f>
        <v>211</v>
      </c>
      <c r="F582">
        <f>'Quick View_ Sample Data'!AO583</f>
        <v>0</v>
      </c>
      <c r="G582">
        <f>'Quick View_ Sample Data'!O583</f>
        <v>211</v>
      </c>
      <c r="H582">
        <f>'Quick View_ Sample Data'!AP583</f>
        <v>0</v>
      </c>
      <c r="I582">
        <f>'Quick View_ Sample Data'!AF583</f>
        <v>0</v>
      </c>
      <c r="J582">
        <f>'Quick View_ Sample Data'!AJ583</f>
        <v>0</v>
      </c>
      <c r="K582">
        <f>'Quick View_ Sample Data'!AH583</f>
        <v>2321.4299999999998</v>
      </c>
      <c r="L582">
        <f t="shared" si="9"/>
        <v>0</v>
      </c>
    </row>
    <row r="583" spans="1:12" ht="12.75" customHeight="1">
      <c r="A583" s="321"/>
      <c r="B583" t="str">
        <f>'Quick View_ Sample Data'!P584</f>
        <v>MgO</v>
      </c>
      <c r="C583">
        <f>'Quick View_ Sample Data'!O584</f>
        <v>211</v>
      </c>
      <c r="D583">
        <f>'Quick View_ Sample Data'!AN584</f>
        <v>0</v>
      </c>
      <c r="E583">
        <f>'Quick View_ Sample Data'!O584</f>
        <v>211</v>
      </c>
      <c r="F583">
        <f>'Quick View_ Sample Data'!AO584</f>
        <v>0</v>
      </c>
      <c r="G583">
        <f>'Quick View_ Sample Data'!O584</f>
        <v>211</v>
      </c>
      <c r="H583">
        <f>'Quick View_ Sample Data'!AP584</f>
        <v>0</v>
      </c>
      <c r="I583">
        <f>'Quick View_ Sample Data'!AF584</f>
        <v>0</v>
      </c>
      <c r="J583">
        <f>'Quick View_ Sample Data'!AJ584</f>
        <v>0</v>
      </c>
      <c r="K583">
        <f>'Quick View_ Sample Data'!AH584</f>
        <v>3347.92</v>
      </c>
      <c r="L583">
        <f t="shared" si="9"/>
        <v>0</v>
      </c>
    </row>
    <row r="584" spans="1:12" ht="12.75" customHeight="1">
      <c r="A584" s="321"/>
      <c r="B584" t="str">
        <f>'Quick View_ Sample Data'!P585</f>
        <v>MgO</v>
      </c>
      <c r="C584">
        <f>'Quick View_ Sample Data'!O585</f>
        <v>211</v>
      </c>
      <c r="D584">
        <f>'Quick View_ Sample Data'!AN585</f>
        <v>0</v>
      </c>
      <c r="E584">
        <f>'Quick View_ Sample Data'!O585</f>
        <v>211</v>
      </c>
      <c r="F584">
        <f>'Quick View_ Sample Data'!AO585</f>
        <v>0</v>
      </c>
      <c r="G584">
        <f>'Quick View_ Sample Data'!O585</f>
        <v>211</v>
      </c>
      <c r="H584">
        <f>'Quick View_ Sample Data'!AP585</f>
        <v>0</v>
      </c>
      <c r="I584">
        <f>'Quick View_ Sample Data'!AF585</f>
        <v>0</v>
      </c>
      <c r="J584">
        <f>'Quick View_ Sample Data'!AJ585</f>
        <v>0</v>
      </c>
      <c r="K584">
        <f>'Quick View_ Sample Data'!AH585</f>
        <v>2161.2199999999998</v>
      </c>
      <c r="L584">
        <f t="shared" si="9"/>
        <v>0</v>
      </c>
    </row>
    <row r="585" spans="1:12" ht="12.75" customHeight="1">
      <c r="A585" s="321"/>
      <c r="B585" t="str">
        <f>'Quick View_ Sample Data'!P586</f>
        <v>MgO</v>
      </c>
      <c r="C585">
        <f>'Quick View_ Sample Data'!O586</f>
        <v>212</v>
      </c>
      <c r="D585">
        <f>'Quick View_ Sample Data'!AN586</f>
        <v>0</v>
      </c>
      <c r="E585">
        <f>'Quick View_ Sample Data'!O586</f>
        <v>212</v>
      </c>
      <c r="F585">
        <f>'Quick View_ Sample Data'!AO586</f>
        <v>0</v>
      </c>
      <c r="G585">
        <f>'Quick View_ Sample Data'!O586</f>
        <v>212</v>
      </c>
      <c r="H585">
        <f>'Quick View_ Sample Data'!AP586</f>
        <v>0</v>
      </c>
      <c r="I585">
        <f>'Quick View_ Sample Data'!AF586</f>
        <v>0</v>
      </c>
      <c r="J585">
        <f>'Quick View_ Sample Data'!AJ586</f>
        <v>0</v>
      </c>
      <c r="K585">
        <f>'Quick View_ Sample Data'!AH586</f>
        <v>1585.84</v>
      </c>
      <c r="L585">
        <f t="shared" si="9"/>
        <v>0</v>
      </c>
    </row>
    <row r="586" spans="1:12" ht="12.75" customHeight="1">
      <c r="A586" s="321"/>
      <c r="B586" t="str">
        <f>'Quick View_ Sample Data'!P587</f>
        <v>MgO</v>
      </c>
      <c r="C586">
        <f>'Quick View_ Sample Data'!O587</f>
        <v>212</v>
      </c>
      <c r="D586">
        <f>'Quick View_ Sample Data'!AN587</f>
        <v>0</v>
      </c>
      <c r="E586">
        <f>'Quick View_ Sample Data'!O587</f>
        <v>212</v>
      </c>
      <c r="F586">
        <f>'Quick View_ Sample Data'!AO587</f>
        <v>0</v>
      </c>
      <c r="G586">
        <f>'Quick View_ Sample Data'!O587</f>
        <v>212</v>
      </c>
      <c r="H586">
        <f>'Quick View_ Sample Data'!AP587</f>
        <v>0</v>
      </c>
      <c r="I586">
        <f>'Quick View_ Sample Data'!AF587</f>
        <v>0</v>
      </c>
      <c r="J586">
        <f>'Quick View_ Sample Data'!AJ587</f>
        <v>0</v>
      </c>
      <c r="K586">
        <f>'Quick View_ Sample Data'!AH587</f>
        <v>1554.08</v>
      </c>
      <c r="L586">
        <f t="shared" si="9"/>
        <v>0</v>
      </c>
    </row>
    <row r="587" spans="1:12" ht="12.75" customHeight="1">
      <c r="A587" s="321"/>
      <c r="B587" t="str">
        <f>'Quick View_ Sample Data'!P588</f>
        <v>MgO</v>
      </c>
      <c r="C587">
        <f>'Quick View_ Sample Data'!O588</f>
        <v>212</v>
      </c>
      <c r="D587">
        <f>'Quick View_ Sample Data'!AN588</f>
        <v>0</v>
      </c>
      <c r="E587">
        <f>'Quick View_ Sample Data'!O588</f>
        <v>212</v>
      </c>
      <c r="F587">
        <f>'Quick View_ Sample Data'!AO588</f>
        <v>0</v>
      </c>
      <c r="G587">
        <f>'Quick View_ Sample Data'!O588</f>
        <v>212</v>
      </c>
      <c r="H587">
        <f>'Quick View_ Sample Data'!AP588</f>
        <v>0</v>
      </c>
      <c r="I587">
        <f>'Quick View_ Sample Data'!AF588</f>
        <v>0</v>
      </c>
      <c r="J587">
        <f>'Quick View_ Sample Data'!AJ588</f>
        <v>0</v>
      </c>
      <c r="K587">
        <f>'Quick View_ Sample Data'!AH588</f>
        <v>1504.34</v>
      </c>
      <c r="L587">
        <f t="shared" si="9"/>
        <v>0</v>
      </c>
    </row>
    <row r="588" spans="1:12" ht="12.75" customHeight="1">
      <c r="A588" s="321"/>
      <c r="B588" t="str">
        <f>'Quick View_ Sample Data'!P589</f>
        <v>MgO</v>
      </c>
      <c r="C588">
        <f>'Quick View_ Sample Data'!O589</f>
        <v>212</v>
      </c>
      <c r="D588">
        <f>'Quick View_ Sample Data'!AN589</f>
        <v>0</v>
      </c>
      <c r="E588">
        <f>'Quick View_ Sample Data'!O589</f>
        <v>212</v>
      </c>
      <c r="F588">
        <f>'Quick View_ Sample Data'!AO589</f>
        <v>0</v>
      </c>
      <c r="G588">
        <f>'Quick View_ Sample Data'!O589</f>
        <v>212</v>
      </c>
      <c r="H588">
        <f>'Quick View_ Sample Data'!AP589</f>
        <v>0</v>
      </c>
      <c r="I588">
        <f>'Quick View_ Sample Data'!AF589</f>
        <v>0</v>
      </c>
      <c r="J588">
        <f>'Quick View_ Sample Data'!AJ589</f>
        <v>0</v>
      </c>
      <c r="K588">
        <f>'Quick View_ Sample Data'!AH589</f>
        <v>0</v>
      </c>
      <c r="L588">
        <f t="shared" si="9"/>
        <v>0</v>
      </c>
    </row>
    <row r="589" spans="1:12" ht="12.75" customHeight="1">
      <c r="A589" s="321"/>
      <c r="B589" t="str">
        <f>'Quick View_ Sample Data'!P590</f>
        <v>MgO</v>
      </c>
      <c r="C589">
        <f>'Quick View_ Sample Data'!O590</f>
        <v>213</v>
      </c>
      <c r="D589">
        <f>'Quick View_ Sample Data'!AN590</f>
        <v>0</v>
      </c>
      <c r="E589">
        <f>'Quick View_ Sample Data'!O590</f>
        <v>213</v>
      </c>
      <c r="F589" t="e">
        <f>'Quick View_ Sample Data'!AO590</f>
        <v>#VALUE!</v>
      </c>
      <c r="G589">
        <f>'Quick View_ Sample Data'!O590</f>
        <v>213</v>
      </c>
      <c r="H589">
        <f>'Quick View_ Sample Data'!AP590</f>
        <v>0</v>
      </c>
      <c r="I589">
        <f>'Quick View_ Sample Data'!AF590</f>
        <v>0</v>
      </c>
      <c r="J589" t="str">
        <f>'Quick View_ Sample Data'!AJ590</f>
        <v>&lt;4.2K</v>
      </c>
      <c r="K589">
        <f>'Quick View_ Sample Data'!AH590</f>
        <v>1421.2646997268</v>
      </c>
      <c r="L589" t="e">
        <f t="shared" si="9"/>
        <v>#VALUE!</v>
      </c>
    </row>
    <row r="590" spans="1:12" ht="12.75" customHeight="1">
      <c r="A590" s="321"/>
      <c r="B590" t="str">
        <f>'Quick View_ Sample Data'!P591</f>
        <v>MgO</v>
      </c>
      <c r="C590">
        <f>'Quick View_ Sample Data'!O591</f>
        <v>213</v>
      </c>
      <c r="D590">
        <f>'Quick View_ Sample Data'!AN591</f>
        <v>0</v>
      </c>
      <c r="E590">
        <f>'Quick View_ Sample Data'!O591</f>
        <v>213</v>
      </c>
      <c r="F590">
        <f>'Quick View_ Sample Data'!AO591</f>
        <v>0</v>
      </c>
      <c r="G590">
        <f>'Quick View_ Sample Data'!O591</f>
        <v>213</v>
      </c>
      <c r="H590">
        <f>'Quick View_ Sample Data'!AP591</f>
        <v>0</v>
      </c>
      <c r="I590">
        <f>'Quick View_ Sample Data'!AF591</f>
        <v>0</v>
      </c>
      <c r="J590">
        <f>'Quick View_ Sample Data'!AJ591</f>
        <v>0</v>
      </c>
      <c r="K590">
        <f>'Quick View_ Sample Data'!AH591</f>
        <v>1474.61119046472</v>
      </c>
      <c r="L590">
        <f t="shared" si="9"/>
        <v>0</v>
      </c>
    </row>
    <row r="591" spans="1:12" ht="12.75" customHeight="1">
      <c r="A591" s="321"/>
      <c r="B591" t="str">
        <f>'Quick View_ Sample Data'!P592</f>
        <v>MgO</v>
      </c>
      <c r="C591">
        <f>'Quick View_ Sample Data'!O592</f>
        <v>213</v>
      </c>
      <c r="D591">
        <f>'Quick View_ Sample Data'!AN592</f>
        <v>0</v>
      </c>
      <c r="E591">
        <f>'Quick View_ Sample Data'!O592</f>
        <v>213</v>
      </c>
      <c r="F591">
        <f>'Quick View_ Sample Data'!AO592</f>
        <v>0</v>
      </c>
      <c r="G591">
        <f>'Quick View_ Sample Data'!O592</f>
        <v>213</v>
      </c>
      <c r="H591">
        <f>'Quick View_ Sample Data'!AP592</f>
        <v>0</v>
      </c>
      <c r="I591">
        <f>'Quick View_ Sample Data'!AF592</f>
        <v>0</v>
      </c>
      <c r="J591">
        <f>'Quick View_ Sample Data'!AJ592</f>
        <v>0</v>
      </c>
      <c r="K591">
        <f>'Quick View_ Sample Data'!AH592</f>
        <v>1378.80160676484</v>
      </c>
      <c r="L591">
        <f t="shared" si="9"/>
        <v>0</v>
      </c>
    </row>
    <row r="592" spans="1:12" ht="12.75" customHeight="1">
      <c r="A592" s="321"/>
      <c r="B592" t="str">
        <f>'Quick View_ Sample Data'!P593</f>
        <v>MgO</v>
      </c>
      <c r="C592">
        <f>'Quick View_ Sample Data'!O593</f>
        <v>213</v>
      </c>
      <c r="D592">
        <f>'Quick View_ Sample Data'!AN593</f>
        <v>0</v>
      </c>
      <c r="E592">
        <f>'Quick View_ Sample Data'!O593</f>
        <v>213</v>
      </c>
      <c r="F592">
        <f>'Quick View_ Sample Data'!AO593</f>
        <v>0</v>
      </c>
      <c r="G592">
        <f>'Quick View_ Sample Data'!O593</f>
        <v>213</v>
      </c>
      <c r="H592">
        <f>'Quick View_ Sample Data'!AP593</f>
        <v>0</v>
      </c>
      <c r="I592">
        <f>'Quick View_ Sample Data'!AF593</f>
        <v>0</v>
      </c>
      <c r="J592">
        <f>'Quick View_ Sample Data'!AJ593</f>
        <v>0</v>
      </c>
      <c r="K592">
        <f>'Quick View_ Sample Data'!AH593</f>
        <v>1388.4360900419199</v>
      </c>
      <c r="L592">
        <f t="shared" si="9"/>
        <v>0</v>
      </c>
    </row>
    <row r="593" spans="1:12" ht="12.75" customHeight="1">
      <c r="A593" s="321"/>
      <c r="B593" t="str">
        <f>'Quick View_ Sample Data'!P594</f>
        <v>Al2O3</v>
      </c>
      <c r="C593">
        <f>'Quick View_ Sample Data'!O594</f>
        <v>215</v>
      </c>
      <c r="D593">
        <f>'Quick View_ Sample Data'!AN594</f>
        <v>357.72747199632505</v>
      </c>
      <c r="E593">
        <f>'Quick View_ Sample Data'!O594</f>
        <v>215</v>
      </c>
      <c r="F593">
        <f>'Quick View_ Sample Data'!AO594</f>
        <v>0</v>
      </c>
      <c r="G593">
        <f>'Quick View_ Sample Data'!O594</f>
        <v>215</v>
      </c>
      <c r="H593">
        <f>'Quick View_ Sample Data'!AP594</f>
        <v>2.6924999999999999</v>
      </c>
      <c r="I593">
        <f>'Quick View_ Sample Data'!AF594</f>
        <v>3.59</v>
      </c>
      <c r="J593">
        <f>'Quick View_ Sample Data'!AJ594</f>
        <v>0</v>
      </c>
      <c r="K593">
        <f>'Quick View_ Sample Data'!AH594</f>
        <v>996.45535375020904</v>
      </c>
      <c r="L593">
        <f t="shared" si="9"/>
        <v>0</v>
      </c>
    </row>
    <row r="594" spans="1:12" ht="12.75" customHeight="1">
      <c r="A594" s="321"/>
      <c r="B594" t="str">
        <f>'Quick View_ Sample Data'!P595</f>
        <v>Al2O3</v>
      </c>
      <c r="C594">
        <f>'Quick View_ Sample Data'!O595</f>
        <v>215</v>
      </c>
      <c r="D594">
        <f>'Quick View_ Sample Data'!AN595</f>
        <v>392.90850134802452</v>
      </c>
      <c r="E594">
        <f>'Quick View_ Sample Data'!O595</f>
        <v>215</v>
      </c>
      <c r="F594">
        <f>'Quick View_ Sample Data'!AO595</f>
        <v>0</v>
      </c>
      <c r="G594">
        <f>'Quick View_ Sample Data'!O595</f>
        <v>215</v>
      </c>
      <c r="H594">
        <f>'Quick View_ Sample Data'!AP595</f>
        <v>2.73</v>
      </c>
      <c r="I594">
        <f>'Quick View_ Sample Data'!AF595</f>
        <v>3.64</v>
      </c>
      <c r="J594">
        <f>'Quick View_ Sample Data'!AJ595</f>
        <v>0</v>
      </c>
      <c r="K594">
        <f>'Quick View_ Sample Data'!AH595</f>
        <v>1079.4189597473201</v>
      </c>
      <c r="L594">
        <f t="shared" si="9"/>
        <v>0</v>
      </c>
    </row>
    <row r="595" spans="1:12" ht="12.75" customHeight="1">
      <c r="A595" s="321"/>
      <c r="B595" t="str">
        <f>'Quick View_ Sample Data'!P596</f>
        <v>MgO</v>
      </c>
      <c r="C595">
        <f>'Quick View_ Sample Data'!O596</f>
        <v>215</v>
      </c>
      <c r="D595">
        <f>'Quick View_ Sample Data'!AN596</f>
        <v>350.69519128583784</v>
      </c>
      <c r="E595">
        <f>'Quick View_ Sample Data'!O596</f>
        <v>215</v>
      </c>
      <c r="F595">
        <f>'Quick View_ Sample Data'!AO596</f>
        <v>0</v>
      </c>
      <c r="G595">
        <f>'Quick View_ Sample Data'!O596</f>
        <v>215</v>
      </c>
      <c r="H595">
        <f>'Quick View_ Sample Data'!AP596</f>
        <v>2.34</v>
      </c>
      <c r="I595">
        <f>'Quick View_ Sample Data'!AF596</f>
        <v>3.12</v>
      </c>
      <c r="J595">
        <f>'Quick View_ Sample Data'!AJ596</f>
        <v>0</v>
      </c>
      <c r="K595">
        <f>'Quick View_ Sample Data'!AH596</f>
        <v>1124.02304899307</v>
      </c>
      <c r="L595">
        <f t="shared" si="9"/>
        <v>0</v>
      </c>
    </row>
    <row r="596" spans="1:12" ht="12.75" customHeight="1">
      <c r="A596" s="321"/>
      <c r="B596" t="str">
        <f>'Quick View_ Sample Data'!P597</f>
        <v>Al2O3</v>
      </c>
      <c r="C596">
        <f>'Quick View_ Sample Data'!O597</f>
        <v>215</v>
      </c>
      <c r="D596">
        <f>'Quick View_ Sample Data'!AN597</f>
        <v>336.32375373085586</v>
      </c>
      <c r="E596">
        <f>'Quick View_ Sample Data'!O597</f>
        <v>215</v>
      </c>
      <c r="F596">
        <f>'Quick View_ Sample Data'!AO597</f>
        <v>0</v>
      </c>
      <c r="G596">
        <f>'Quick View_ Sample Data'!O597</f>
        <v>215</v>
      </c>
      <c r="H596">
        <f>'Quick View_ Sample Data'!AP597</f>
        <v>2.6549999999999998</v>
      </c>
      <c r="I596">
        <f>'Quick View_ Sample Data'!AF597</f>
        <v>3.54</v>
      </c>
      <c r="J596">
        <f>'Quick View_ Sample Data'!AJ597</f>
        <v>0</v>
      </c>
      <c r="K596">
        <f>'Quick View_ Sample Data'!AH597</f>
        <v>950.06710093462095</v>
      </c>
      <c r="L596">
        <f t="shared" si="9"/>
        <v>0</v>
      </c>
    </row>
    <row r="597" spans="1:12" ht="12.75" customHeight="1">
      <c r="A597" s="321"/>
      <c r="B597" t="str">
        <f>'Quick View_ Sample Data'!P598</f>
        <v>Al2O3</v>
      </c>
      <c r="C597">
        <f>'Quick View_ Sample Data'!O598</f>
        <v>216</v>
      </c>
      <c r="D597">
        <f>'Quick View_ Sample Data'!AN598</f>
        <v>308.33825605628329</v>
      </c>
      <c r="E597">
        <f>'Quick View_ Sample Data'!O598</f>
        <v>216</v>
      </c>
      <c r="F597">
        <f>'Quick View_ Sample Data'!AO598</f>
        <v>0</v>
      </c>
      <c r="G597">
        <f>'Quick View_ Sample Data'!O598</f>
        <v>216</v>
      </c>
      <c r="H597">
        <f>'Quick View_ Sample Data'!AP598</f>
        <v>2.718</v>
      </c>
      <c r="I597">
        <f>'Quick View_ Sample Data'!AF598</f>
        <v>4.53</v>
      </c>
      <c r="J597">
        <f>'Quick View_ Sample Data'!AJ598</f>
        <v>0</v>
      </c>
      <c r="K597">
        <f>'Quick View_ Sample Data'!AH598</f>
        <v>680.65840189025005</v>
      </c>
      <c r="L597">
        <f t="shared" si="9"/>
        <v>0</v>
      </c>
    </row>
    <row r="598" spans="1:12" ht="12.75" customHeight="1">
      <c r="A598" s="321"/>
      <c r="B598" t="str">
        <f>'Quick View_ Sample Data'!P599</f>
        <v>Al2O3</v>
      </c>
      <c r="C598">
        <f>'Quick View_ Sample Data'!O599</f>
        <v>216</v>
      </c>
      <c r="D598">
        <f>'Quick View_ Sample Data'!AN599</f>
        <v>309.83784553672535</v>
      </c>
      <c r="E598">
        <f>'Quick View_ Sample Data'!O599</f>
        <v>216</v>
      </c>
      <c r="F598">
        <f>'Quick View_ Sample Data'!AO599</f>
        <v>0</v>
      </c>
      <c r="G598">
        <f>'Quick View_ Sample Data'!O599</f>
        <v>216</v>
      </c>
      <c r="H598">
        <f>'Quick View_ Sample Data'!AP599</f>
        <v>2.7420000000000004</v>
      </c>
      <c r="I598">
        <f>'Quick View_ Sample Data'!AF599</f>
        <v>4.57</v>
      </c>
      <c r="J598">
        <f>'Quick View_ Sample Data'!AJ599</f>
        <v>0</v>
      </c>
      <c r="K598">
        <f>'Quick View_ Sample Data'!AH599</f>
        <v>677.98215653550403</v>
      </c>
      <c r="L598">
        <f t="shared" si="9"/>
        <v>0</v>
      </c>
    </row>
    <row r="599" spans="1:12" ht="12.75" customHeight="1">
      <c r="A599" s="321"/>
      <c r="B599" t="str">
        <f>'Quick View_ Sample Data'!P600</f>
        <v>Al2O3</v>
      </c>
      <c r="C599">
        <f>'Quick View_ Sample Data'!O600</f>
        <v>216</v>
      </c>
      <c r="D599">
        <f>'Quick View_ Sample Data'!AN600</f>
        <v>265.77257368905737</v>
      </c>
      <c r="E599">
        <f>'Quick View_ Sample Data'!O600</f>
        <v>216</v>
      </c>
      <c r="F599">
        <f>'Quick View_ Sample Data'!AO600</f>
        <v>0</v>
      </c>
      <c r="G599">
        <f>'Quick View_ Sample Data'!O600</f>
        <v>216</v>
      </c>
      <c r="H599">
        <f>'Quick View_ Sample Data'!AP600</f>
        <v>2.6640000000000001</v>
      </c>
      <c r="I599">
        <f>'Quick View_ Sample Data'!AF600</f>
        <v>4.4400000000000004</v>
      </c>
      <c r="J599">
        <f>'Quick View_ Sample Data'!AJ600</f>
        <v>0</v>
      </c>
      <c r="K599">
        <f>'Quick View_ Sample Data'!AH600</f>
        <v>598.58687767805702</v>
      </c>
      <c r="L599">
        <f t="shared" si="9"/>
        <v>0</v>
      </c>
    </row>
    <row r="600" spans="1:12" ht="12.75" customHeight="1">
      <c r="A600" s="321"/>
      <c r="B600" t="str">
        <f>'Quick View_ Sample Data'!P601</f>
        <v>Al2O3</v>
      </c>
      <c r="C600">
        <f>'Quick View_ Sample Data'!O601</f>
        <v>216</v>
      </c>
      <c r="D600">
        <f>'Quick View_ Sample Data'!AN601</f>
        <v>267.33550097622862</v>
      </c>
      <c r="E600">
        <f>'Quick View_ Sample Data'!O601</f>
        <v>216</v>
      </c>
      <c r="F600">
        <f>'Quick View_ Sample Data'!AO601</f>
        <v>23659.191836396232</v>
      </c>
      <c r="G600">
        <f>'Quick View_ Sample Data'!O601</f>
        <v>216</v>
      </c>
      <c r="H600">
        <f>'Quick View_ Sample Data'!AP601</f>
        <v>2.6519999999999997</v>
      </c>
      <c r="I600">
        <f>'Quick View_ Sample Data'!AF601</f>
        <v>4.42</v>
      </c>
      <c r="J600">
        <f>'Quick View_ Sample Data'!AJ601</f>
        <v>8.85</v>
      </c>
      <c r="K600">
        <f>'Quick View_ Sample Data'!AH601</f>
        <v>604.83145017246295</v>
      </c>
      <c r="L600">
        <f t="shared" si="9"/>
        <v>39.116999999999997</v>
      </c>
    </row>
    <row r="601" spans="1:12" ht="12.75" customHeight="1">
      <c r="A601" s="321"/>
      <c r="B601" t="str">
        <f>'Quick View_ Sample Data'!P602</f>
        <v>Al2O3</v>
      </c>
      <c r="C601">
        <f>'Quick View_ Sample Data'!O602</f>
        <v>217</v>
      </c>
      <c r="D601">
        <f>'Quick View_ Sample Data'!AN602</f>
        <v>299.09718084634716</v>
      </c>
      <c r="E601">
        <f>'Quick View_ Sample Data'!O602</f>
        <v>217</v>
      </c>
      <c r="F601">
        <f>'Quick View_ Sample Data'!AO602</f>
        <v>0</v>
      </c>
      <c r="G601">
        <f>'Quick View_ Sample Data'!O602</f>
        <v>217</v>
      </c>
      <c r="H601">
        <f>'Quick View_ Sample Data'!AP602</f>
        <v>2.8540540540540542</v>
      </c>
      <c r="I601">
        <f>'Quick View_ Sample Data'!AF602</f>
        <v>5.28</v>
      </c>
      <c r="J601">
        <f>'Quick View_ Sample Data'!AJ602</f>
        <v>0</v>
      </c>
      <c r="K601">
        <f>'Quick View_ Sample Data'!AH602</f>
        <v>566.471933421112</v>
      </c>
      <c r="L601">
        <f t="shared" si="9"/>
        <v>0</v>
      </c>
    </row>
    <row r="602" spans="1:12" ht="12.75" customHeight="1">
      <c r="A602" s="321"/>
      <c r="B602" t="str">
        <f>'Quick View_ Sample Data'!P603</f>
        <v>Al2O3</v>
      </c>
      <c r="C602">
        <f>'Quick View_ Sample Data'!O603</f>
        <v>217</v>
      </c>
      <c r="D602">
        <f>'Quick View_ Sample Data'!AN603</f>
        <v>273.43198789433893</v>
      </c>
      <c r="E602">
        <f>'Quick View_ Sample Data'!O603</f>
        <v>217</v>
      </c>
      <c r="F602">
        <f>'Quick View_ Sample Data'!AO603</f>
        <v>0</v>
      </c>
      <c r="G602">
        <f>'Quick View_ Sample Data'!O603</f>
        <v>217</v>
      </c>
      <c r="H602">
        <f>'Quick View_ Sample Data'!AP603</f>
        <v>2.7567567567567566</v>
      </c>
      <c r="I602">
        <f>'Quick View_ Sample Data'!AF603</f>
        <v>5.0999999999999996</v>
      </c>
      <c r="J602">
        <f>'Quick View_ Sample Data'!AJ603</f>
        <v>0</v>
      </c>
      <c r="K602">
        <f>'Quick View_ Sample Data'!AH603</f>
        <v>536.14115273399796</v>
      </c>
      <c r="L602">
        <f t="shared" si="9"/>
        <v>0</v>
      </c>
    </row>
    <row r="603" spans="1:12" ht="12.75" customHeight="1">
      <c r="A603" s="321"/>
      <c r="B603" t="str">
        <f>'Quick View_ Sample Data'!P604</f>
        <v>Al2O3</v>
      </c>
      <c r="C603">
        <f>'Quick View_ Sample Data'!O604</f>
        <v>217</v>
      </c>
      <c r="D603">
        <f>'Quick View_ Sample Data'!AN604</f>
        <v>269.79229421188523</v>
      </c>
      <c r="E603">
        <f>'Quick View_ Sample Data'!O604</f>
        <v>217</v>
      </c>
      <c r="F603">
        <f>'Quick View_ Sample Data'!AO604</f>
        <v>21340.570472160125</v>
      </c>
      <c r="G603">
        <f>'Quick View_ Sample Data'!O604</f>
        <v>217</v>
      </c>
      <c r="H603">
        <f>'Quick View_ Sample Data'!AP604</f>
        <v>2.7567567567567566</v>
      </c>
      <c r="I603">
        <f>'Quick View_ Sample Data'!AF604</f>
        <v>5.0999999999999996</v>
      </c>
      <c r="J603">
        <f>'Quick View_ Sample Data'!AJ604</f>
        <v>7.91</v>
      </c>
      <c r="K603">
        <f>'Quick View_ Sample Data'!AH604</f>
        <v>529.00449845467699</v>
      </c>
      <c r="L603">
        <f t="shared" si="9"/>
        <v>40.341000000000001</v>
      </c>
    </row>
    <row r="604" spans="1:12" ht="12.75" customHeight="1">
      <c r="A604" s="321"/>
      <c r="B604" t="str">
        <f>'Quick View_ Sample Data'!P605</f>
        <v>Al2O3</v>
      </c>
      <c r="C604">
        <f>'Quick View_ Sample Data'!O605</f>
        <v>217</v>
      </c>
      <c r="D604">
        <f>'Quick View_ Sample Data'!AN605</f>
        <v>234.37486318718402</v>
      </c>
      <c r="E604">
        <f>'Quick View_ Sample Data'!O605</f>
        <v>217</v>
      </c>
      <c r="F604">
        <f>'Quick View_ Sample Data'!AO605</f>
        <v>0</v>
      </c>
      <c r="G604">
        <f>'Quick View_ Sample Data'!O605</f>
        <v>217</v>
      </c>
      <c r="H604">
        <f>'Quick View_ Sample Data'!AP605</f>
        <v>2.6594594594594594</v>
      </c>
      <c r="I604">
        <f>'Quick View_ Sample Data'!AF605</f>
        <v>4.92</v>
      </c>
      <c r="J604">
        <f>'Quick View_ Sample Data'!AJ605</f>
        <v>0</v>
      </c>
      <c r="K604">
        <f>'Quick View_ Sample Data'!AH605</f>
        <v>476.37167314468297</v>
      </c>
      <c r="L604">
        <f t="shared" si="9"/>
        <v>0</v>
      </c>
    </row>
    <row r="605" spans="1:12" ht="12.75" customHeight="1">
      <c r="A605" s="321"/>
      <c r="B605" t="str">
        <f>'Quick View_ Sample Data'!P606</f>
        <v>Al2O3</v>
      </c>
      <c r="C605">
        <f>'Quick View_ Sample Data'!O606</f>
        <v>218</v>
      </c>
      <c r="D605">
        <f>'Quick View_ Sample Data'!AN606</f>
        <v>228.77615790505683</v>
      </c>
      <c r="E605">
        <f>'Quick View_ Sample Data'!O606</f>
        <v>218</v>
      </c>
      <c r="F605">
        <f>'Quick View_ Sample Data'!AO606</f>
        <v>0</v>
      </c>
      <c r="G605">
        <f>'Quick View_ Sample Data'!O606</f>
        <v>218</v>
      </c>
      <c r="H605">
        <f>'Quick View_ Sample Data'!AP606</f>
        <v>2.6864864864864866</v>
      </c>
      <c r="I605">
        <f>'Quick View_ Sample Data'!AF606</f>
        <v>4.97</v>
      </c>
      <c r="J605">
        <f>'Quick View_ Sample Data'!AJ606</f>
        <v>0</v>
      </c>
      <c r="K605">
        <f>'Quick View_ Sample Data'!AH606</f>
        <v>460.31420101621097</v>
      </c>
      <c r="L605">
        <f t="shared" si="9"/>
        <v>0</v>
      </c>
    </row>
    <row r="606" spans="1:12" ht="12.75" customHeight="1">
      <c r="A606" s="321"/>
      <c r="B606" t="str">
        <f>'Quick View_ Sample Data'!P607</f>
        <v>Al2O3</v>
      </c>
      <c r="C606">
        <f>'Quick View_ Sample Data'!O607</f>
        <v>218</v>
      </c>
      <c r="D606">
        <f>'Quick View_ Sample Data'!AN607</f>
        <v>233.23478266606261</v>
      </c>
      <c r="E606">
        <f>'Quick View_ Sample Data'!O607</f>
        <v>218</v>
      </c>
      <c r="F606">
        <f>'Quick View_ Sample Data'!AO607</f>
        <v>0</v>
      </c>
      <c r="G606">
        <f>'Quick View_ Sample Data'!O607</f>
        <v>218</v>
      </c>
      <c r="H606">
        <f>'Quick View_ Sample Data'!AP607</f>
        <v>2.6918918918918924</v>
      </c>
      <c r="I606">
        <f>'Quick View_ Sample Data'!AF607</f>
        <v>4.9800000000000004</v>
      </c>
      <c r="J606">
        <f>'Quick View_ Sample Data'!AJ607</f>
        <v>0</v>
      </c>
      <c r="K606">
        <f>'Quick View_ Sample Data'!AH607</f>
        <v>468.34293708044697</v>
      </c>
      <c r="L606">
        <f t="shared" si="9"/>
        <v>0</v>
      </c>
    </row>
    <row r="607" spans="1:12" ht="12.75" customHeight="1">
      <c r="A607" s="321"/>
      <c r="B607" t="str">
        <f>'Quick View_ Sample Data'!P608</f>
        <v>Al2O3</v>
      </c>
      <c r="C607">
        <f>'Quick View_ Sample Data'!O608</f>
        <v>218</v>
      </c>
      <c r="D607">
        <f>'Quick View_ Sample Data'!AN608</f>
        <v>244.62220665050458</v>
      </c>
      <c r="E607">
        <f>'Quick View_ Sample Data'!O608</f>
        <v>218</v>
      </c>
      <c r="F607">
        <f>'Quick View_ Sample Data'!AO608</f>
        <v>23728.354045098942</v>
      </c>
      <c r="G607">
        <f>'Quick View_ Sample Data'!O608</f>
        <v>218</v>
      </c>
      <c r="H607">
        <f>'Quick View_ Sample Data'!AP608</f>
        <v>2.7297297297297298</v>
      </c>
      <c r="I607">
        <f>'Quick View_ Sample Data'!AF608</f>
        <v>5.05</v>
      </c>
      <c r="J607">
        <f>'Quick View_ Sample Data'!AJ608</f>
        <v>9.6999999999999993</v>
      </c>
      <c r="K607">
        <f>'Quick View_ Sample Data'!AH608</f>
        <v>484.40040920892</v>
      </c>
      <c r="L607">
        <f t="shared" si="9"/>
        <v>48.984999999999992</v>
      </c>
    </row>
    <row r="608" spans="1:12" ht="12.75" customHeight="1">
      <c r="A608" s="321"/>
      <c r="B608" t="str">
        <f>'Quick View_ Sample Data'!P609</f>
        <v>Al2O3</v>
      </c>
      <c r="C608">
        <f>'Quick View_ Sample Data'!O609</f>
        <v>218</v>
      </c>
      <c r="D608">
        <f>'Quick View_ Sample Data'!AN609</f>
        <v>269.92343023426753</v>
      </c>
      <c r="E608">
        <f>'Quick View_ Sample Data'!O609</f>
        <v>218</v>
      </c>
      <c r="F608">
        <f>'Quick View_ Sample Data'!AO609</f>
        <v>0</v>
      </c>
      <c r="G608">
        <f>'Quick View_ Sample Data'!O609</f>
        <v>218</v>
      </c>
      <c r="H608">
        <f>'Quick View_ Sample Data'!AP609</f>
        <v>2.8054054054054056</v>
      </c>
      <c r="I608">
        <f>'Quick View_ Sample Data'!AF609</f>
        <v>5.19</v>
      </c>
      <c r="J608">
        <f>'Quick View_ Sample Data'!AJ609</f>
        <v>0</v>
      </c>
      <c r="K608">
        <f>'Quick View_ Sample Data'!AH609</f>
        <v>520.08368060552505</v>
      </c>
      <c r="L608">
        <f t="shared" si="9"/>
        <v>0</v>
      </c>
    </row>
    <row r="609" spans="1:12" ht="12.75" customHeight="1">
      <c r="A609" s="321"/>
      <c r="B609" t="str">
        <f>'Quick View_ Sample Data'!P610</f>
        <v>Al2O3</v>
      </c>
      <c r="C609">
        <f>'Quick View_ Sample Data'!O610</f>
        <v>219</v>
      </c>
      <c r="D609">
        <f>'Quick View_ Sample Data'!AN610</f>
        <v>207.85184439080155</v>
      </c>
      <c r="E609">
        <f>'Quick View_ Sample Data'!O610</f>
        <v>219</v>
      </c>
      <c r="F609">
        <f>'Quick View_ Sample Data'!AO610</f>
        <v>22593.495485280124</v>
      </c>
      <c r="G609">
        <f>'Quick View_ Sample Data'!O610</f>
        <v>219</v>
      </c>
      <c r="H609">
        <f>'Quick View_ Sample Data'!AP610</f>
        <v>2.5999999999999996</v>
      </c>
      <c r="I609">
        <f>'Quick View_ Sample Data'!AF610</f>
        <v>4.8099999999999996</v>
      </c>
      <c r="J609">
        <f>'Quick View_ Sample Data'!AJ610</f>
        <v>10.87</v>
      </c>
      <c r="K609">
        <f>'Quick View_ Sample Data'!AH610</f>
        <v>432.12441661289301</v>
      </c>
      <c r="L609">
        <f t="shared" si="9"/>
        <v>52.284699999999994</v>
      </c>
    </row>
    <row r="610" spans="1:12" ht="12.75" customHeight="1">
      <c r="A610" s="321"/>
      <c r="B610" t="str">
        <f>'Quick View_ Sample Data'!P611</f>
        <v>Al2O3</v>
      </c>
      <c r="C610">
        <f>'Quick View_ Sample Data'!O611</f>
        <v>219</v>
      </c>
      <c r="D610">
        <f>'Quick View_ Sample Data'!AN611</f>
        <v>212.00323618508224</v>
      </c>
      <c r="E610">
        <f>'Quick View_ Sample Data'!O611</f>
        <v>219</v>
      </c>
      <c r="F610">
        <f>'Quick View_ Sample Data'!AO611</f>
        <v>0</v>
      </c>
      <c r="G610">
        <f>'Quick View_ Sample Data'!O611</f>
        <v>219</v>
      </c>
      <c r="H610">
        <f>'Quick View_ Sample Data'!AP611</f>
        <v>2.6216216216216215</v>
      </c>
      <c r="I610">
        <f>'Quick View_ Sample Data'!AF611</f>
        <v>4.8499999999999996</v>
      </c>
      <c r="J610">
        <f>'Quick View_ Sample Data'!AJ611</f>
        <v>0</v>
      </c>
      <c r="K610">
        <f>'Quick View_ Sample Data'!AH611</f>
        <v>437.12007460841699</v>
      </c>
      <c r="L610">
        <f t="shared" si="9"/>
        <v>0</v>
      </c>
    </row>
    <row r="611" spans="1:12" ht="12.75" customHeight="1">
      <c r="A611" s="321"/>
      <c r="B611" t="str">
        <f>'Quick View_ Sample Data'!P612</f>
        <v>Al2O3</v>
      </c>
      <c r="C611">
        <f>'Quick View_ Sample Data'!O612</f>
        <v>219</v>
      </c>
      <c r="D611">
        <f>'Quick View_ Sample Data'!AN612</f>
        <v>209.35366407570615</v>
      </c>
      <c r="E611">
        <f>'Quick View_ Sample Data'!O612</f>
        <v>219</v>
      </c>
      <c r="F611">
        <f>'Quick View_ Sample Data'!AO612</f>
        <v>0</v>
      </c>
      <c r="G611">
        <f>'Quick View_ Sample Data'!O612</f>
        <v>219</v>
      </c>
      <c r="H611">
        <f>'Quick View_ Sample Data'!AP612</f>
        <v>2.5999999999999996</v>
      </c>
      <c r="I611">
        <f>'Quick View_ Sample Data'!AF612</f>
        <v>4.8099999999999996</v>
      </c>
      <c r="J611">
        <f>'Quick View_ Sample Data'!AJ612</f>
        <v>0</v>
      </c>
      <c r="K611">
        <f>'Quick View_ Sample Data'!AH612</f>
        <v>435.24670286009598</v>
      </c>
      <c r="L611">
        <f t="shared" si="9"/>
        <v>0</v>
      </c>
    </row>
    <row r="612" spans="1:12" ht="12.75" customHeight="1">
      <c r="A612" s="321"/>
      <c r="B612" t="str">
        <f>'Quick View_ Sample Data'!P613</f>
        <v>Al2O3</v>
      </c>
      <c r="C612">
        <f>'Quick View_ Sample Data'!O613</f>
        <v>219</v>
      </c>
      <c r="D612">
        <f>'Quick View_ Sample Data'!AN613</f>
        <v>213.15411089580121</v>
      </c>
      <c r="E612">
        <f>'Quick View_ Sample Data'!O613</f>
        <v>219</v>
      </c>
      <c r="F612">
        <f>'Quick View_ Sample Data'!AO613</f>
        <v>0</v>
      </c>
      <c r="G612">
        <f>'Quick View_ Sample Data'!O613</f>
        <v>219</v>
      </c>
      <c r="H612">
        <f>'Quick View_ Sample Data'!AP613</f>
        <v>2.6108108108108108</v>
      </c>
      <c r="I612">
        <f>'Quick View_ Sample Data'!AF613</f>
        <v>4.83</v>
      </c>
      <c r="J612">
        <f>'Quick View_ Sample Data'!AJ613</f>
        <v>0</v>
      </c>
      <c r="K612">
        <f>'Quick View_ Sample Data'!AH613</f>
        <v>441.31285899751799</v>
      </c>
      <c r="L612">
        <f t="shared" si="9"/>
        <v>0</v>
      </c>
    </row>
    <row r="613" spans="1:12" ht="12.75" customHeight="1">
      <c r="A613" s="321"/>
      <c r="B613" t="str">
        <f>'Quick View_ Sample Data'!P614</f>
        <v>MgO</v>
      </c>
      <c r="C613">
        <f>'Quick View_ Sample Data'!O614</f>
        <v>220</v>
      </c>
      <c r="D613">
        <f>'Quick View_ Sample Data'!AN614</f>
        <v>189.206978253361</v>
      </c>
      <c r="E613">
        <f>'Quick View_ Sample Data'!O614</f>
        <v>220</v>
      </c>
      <c r="F613">
        <f>'Quick View_ Sample Data'!AO614</f>
        <v>0</v>
      </c>
      <c r="G613">
        <f>'Quick View_ Sample Data'!O614</f>
        <v>220</v>
      </c>
      <c r="H613">
        <f>'Quick View_ Sample Data'!AP614</f>
        <v>2.285714285714286</v>
      </c>
      <c r="I613">
        <f>'Quick View_ Sample Data'!AF614</f>
        <v>3.2</v>
      </c>
      <c r="J613">
        <f>'Quick View_ Sample Data'!AJ614</f>
        <v>0</v>
      </c>
      <c r="K613">
        <f>'Quick View_ Sample Data'!AH614</f>
        <v>591.27180704175305</v>
      </c>
      <c r="L613">
        <f t="shared" si="9"/>
        <v>0</v>
      </c>
    </row>
    <row r="614" spans="1:12" ht="12.75" customHeight="1">
      <c r="A614" s="321"/>
      <c r="B614" t="str">
        <f>'Quick View_ Sample Data'!P615</f>
        <v>MgO</v>
      </c>
      <c r="C614">
        <f>'Quick View_ Sample Data'!O615</f>
        <v>220</v>
      </c>
      <c r="D614">
        <f>'Quick View_ Sample Data'!AN615</f>
        <v>193.93188942716421</v>
      </c>
      <c r="E614">
        <f>'Quick View_ Sample Data'!O615</f>
        <v>220</v>
      </c>
      <c r="F614">
        <f>'Quick View_ Sample Data'!AO615</f>
        <v>0</v>
      </c>
      <c r="G614">
        <f>'Quick View_ Sample Data'!O615</f>
        <v>220</v>
      </c>
      <c r="H614">
        <f>'Quick View_ Sample Data'!AP615</f>
        <v>2.3214285714285716</v>
      </c>
      <c r="I614">
        <f>'Quick View_ Sample Data'!AF615</f>
        <v>3.25</v>
      </c>
      <c r="J614">
        <f>'Quick View_ Sample Data'!AJ615</f>
        <v>0</v>
      </c>
      <c r="K614">
        <f>'Quick View_ Sample Data'!AH615</f>
        <v>596.71350592973602</v>
      </c>
      <c r="L614">
        <f t="shared" si="9"/>
        <v>0</v>
      </c>
    </row>
    <row r="615" spans="1:12" ht="12.75" customHeight="1">
      <c r="A615" s="321"/>
      <c r="B615" t="str">
        <f>'Quick View_ Sample Data'!P616</f>
        <v>MgO</v>
      </c>
      <c r="C615">
        <f>'Quick View_ Sample Data'!O616</f>
        <v>220</v>
      </c>
      <c r="D615">
        <f>'Quick View_ Sample Data'!AN616</f>
        <v>189.18307046152543</v>
      </c>
      <c r="E615">
        <f>'Quick View_ Sample Data'!O616</f>
        <v>220</v>
      </c>
      <c r="F615">
        <f>'Quick View_ Sample Data'!AO616</f>
        <v>0</v>
      </c>
      <c r="G615">
        <f>'Quick View_ Sample Data'!O616</f>
        <v>220</v>
      </c>
      <c r="H615">
        <f>'Quick View_ Sample Data'!AP616</f>
        <v>2.3000000000000003</v>
      </c>
      <c r="I615">
        <f>'Quick View_ Sample Data'!AF616</f>
        <v>3.22</v>
      </c>
      <c r="J615">
        <f>'Quick View_ Sample Data'!AJ616</f>
        <v>0</v>
      </c>
      <c r="K615">
        <f>'Quick View_ Sample Data'!AH616</f>
        <v>587.52506354511002</v>
      </c>
      <c r="L615">
        <f t="shared" si="9"/>
        <v>0</v>
      </c>
    </row>
    <row r="616" spans="1:12" ht="12.75" customHeight="1">
      <c r="A616" s="321"/>
      <c r="B616" t="str">
        <f>'Quick View_ Sample Data'!P617</f>
        <v>MgO</v>
      </c>
      <c r="C616">
        <f>'Quick View_ Sample Data'!O617</f>
        <v>220</v>
      </c>
      <c r="D616">
        <f>'Quick View_ Sample Data'!AN617</f>
        <v>190.58934818726564</v>
      </c>
      <c r="E616">
        <f>'Quick View_ Sample Data'!O617</f>
        <v>220</v>
      </c>
      <c r="F616">
        <f>'Quick View_ Sample Data'!AO617</f>
        <v>15876.092703999228</v>
      </c>
      <c r="G616">
        <f>'Quick View_ Sample Data'!O617</f>
        <v>220</v>
      </c>
      <c r="H616">
        <f>'Quick View_ Sample Data'!AP617</f>
        <v>2.3142857142857145</v>
      </c>
      <c r="I616">
        <f>'Quick View_ Sample Data'!AF617</f>
        <v>3.24</v>
      </c>
      <c r="J616">
        <f>'Quick View_ Sample Data'!AJ617</f>
        <v>8.33</v>
      </c>
      <c r="K616">
        <f>'Quick View_ Sample Data'!AH617</f>
        <v>588.23872897304204</v>
      </c>
      <c r="L616">
        <f t="shared" si="9"/>
        <v>26.9892</v>
      </c>
    </row>
    <row r="617" spans="1:12" ht="12.75" customHeight="1">
      <c r="A617" s="321"/>
      <c r="B617" t="str">
        <f>'Quick View_ Sample Data'!P618</f>
        <v>MgO</v>
      </c>
      <c r="C617">
        <f>'Quick View_ Sample Data'!O618</f>
        <v>221</v>
      </c>
      <c r="D617">
        <f>'Quick View_ Sample Data'!AN618</f>
        <v>192.71419779075489</v>
      </c>
      <c r="E617">
        <f>'Quick View_ Sample Data'!O618</f>
        <v>221</v>
      </c>
      <c r="F617">
        <f>'Quick View_ Sample Data'!AO618</f>
        <v>0</v>
      </c>
      <c r="G617">
        <f>'Quick View_ Sample Data'!O618</f>
        <v>221</v>
      </c>
      <c r="H617">
        <f>'Quick View_ Sample Data'!AP618</f>
        <v>2.3214285714285716</v>
      </c>
      <c r="I617">
        <f>'Quick View_ Sample Data'!AF618</f>
        <v>3.25</v>
      </c>
      <c r="J617">
        <f>'Quick View_ Sample Data'!AJ618</f>
        <v>0</v>
      </c>
      <c r="K617">
        <f>'Quick View_ Sample Data'!AH618</f>
        <v>592.96676243309196</v>
      </c>
      <c r="L617">
        <f t="shared" si="9"/>
        <v>0</v>
      </c>
    </row>
    <row r="618" spans="1:12" ht="12.75" customHeight="1">
      <c r="A618" s="321"/>
      <c r="B618" t="str">
        <f>'Quick View_ Sample Data'!P619</f>
        <v>MgO</v>
      </c>
      <c r="C618">
        <f>'Quick View_ Sample Data'!O619</f>
        <v>221</v>
      </c>
      <c r="D618">
        <f>'Quick View_ Sample Data'!AN619</f>
        <v>196.53275387108417</v>
      </c>
      <c r="E618">
        <f>'Quick View_ Sample Data'!O619</f>
        <v>221</v>
      </c>
      <c r="F618">
        <f>'Quick View_ Sample Data'!AO619</f>
        <v>16233.605469751552</v>
      </c>
      <c r="G618">
        <f>'Quick View_ Sample Data'!O619</f>
        <v>221</v>
      </c>
      <c r="H618">
        <f>'Quick View_ Sample Data'!AP619</f>
        <v>2.3571428571428572</v>
      </c>
      <c r="I618">
        <f>'Quick View_ Sample Data'!AF619</f>
        <v>3.3</v>
      </c>
      <c r="J618">
        <f>'Quick View_ Sample Data'!AJ619</f>
        <v>8.26</v>
      </c>
      <c r="K618">
        <f>'Quick View_ Sample Data'!AH619</f>
        <v>595.55379960934602</v>
      </c>
      <c r="L618">
        <f t="shared" si="9"/>
        <v>27.257999999999999</v>
      </c>
    </row>
    <row r="619" spans="1:12" ht="12.75" customHeight="1">
      <c r="A619" s="321"/>
      <c r="B619" t="str">
        <f>'Quick View_ Sample Data'!P620</f>
        <v>MgO</v>
      </c>
      <c r="C619">
        <f>'Quick View_ Sample Data'!O620</f>
        <v>221</v>
      </c>
      <c r="D619">
        <f>'Quick View_ Sample Data'!AN620</f>
        <v>201.66936078862548</v>
      </c>
      <c r="E619">
        <f>'Quick View_ Sample Data'!O620</f>
        <v>221</v>
      </c>
      <c r="F619">
        <f>'Quick View_ Sample Data'!AO620</f>
        <v>0</v>
      </c>
      <c r="G619">
        <f>'Quick View_ Sample Data'!O620</f>
        <v>221</v>
      </c>
      <c r="H619">
        <f>'Quick View_ Sample Data'!AP620</f>
        <v>2.4285714285714288</v>
      </c>
      <c r="I619">
        <f>'Quick View_ Sample Data'!AF620</f>
        <v>3.4</v>
      </c>
      <c r="J619">
        <f>'Quick View_ Sample Data'!AJ620</f>
        <v>0</v>
      </c>
      <c r="K619">
        <f>'Quick View_ Sample Data'!AH620</f>
        <v>593.14517879007497</v>
      </c>
      <c r="L619">
        <f t="shared" si="9"/>
        <v>0</v>
      </c>
    </row>
    <row r="620" spans="1:12" ht="12.75" customHeight="1">
      <c r="A620" s="321"/>
      <c r="B620" t="str">
        <f>'Quick View_ Sample Data'!P621</f>
        <v>MgO</v>
      </c>
      <c r="C620">
        <f>'Quick View_ Sample Data'!O621</f>
        <v>221</v>
      </c>
      <c r="D620">
        <f>'Quick View_ Sample Data'!AN621</f>
        <v>194.90996789614508</v>
      </c>
      <c r="E620">
        <f>'Quick View_ Sample Data'!O621</f>
        <v>221</v>
      </c>
      <c r="F620">
        <f>'Quick View_ Sample Data'!AO621</f>
        <v>0</v>
      </c>
      <c r="G620">
        <f>'Quick View_ Sample Data'!O621</f>
        <v>221</v>
      </c>
      <c r="H620">
        <f>'Quick View_ Sample Data'!AP621</f>
        <v>2.35</v>
      </c>
      <c r="I620">
        <f>'Quick View_ Sample Data'!AF621</f>
        <v>3.29</v>
      </c>
      <c r="J620">
        <f>'Quick View_ Sample Data'!AJ621</f>
        <v>0</v>
      </c>
      <c r="K620">
        <f>'Quick View_ Sample Data'!AH621</f>
        <v>592.43151336214305</v>
      </c>
      <c r="L620">
        <f t="shared" si="9"/>
        <v>0</v>
      </c>
    </row>
    <row r="621" spans="1:12" ht="12.75" customHeight="1">
      <c r="A621" s="321"/>
      <c r="B621" t="str">
        <f>'Quick View_ Sample Data'!P622</f>
        <v>MgO</v>
      </c>
      <c r="C621">
        <f>'Quick View_ Sample Data'!O622</f>
        <v>222</v>
      </c>
      <c r="D621">
        <f>'Quick View_ Sample Data'!AN622</f>
        <v>190.11333334683474</v>
      </c>
      <c r="E621">
        <f>'Quick View_ Sample Data'!O622</f>
        <v>222</v>
      </c>
      <c r="F621">
        <f>'Quick View_ Sample Data'!AO622</f>
        <v>0</v>
      </c>
      <c r="G621">
        <f>'Quick View_ Sample Data'!O622</f>
        <v>222</v>
      </c>
      <c r="H621">
        <f>'Quick View_ Sample Data'!AP622</f>
        <v>2.2666666666666666</v>
      </c>
      <c r="I621">
        <f>'Quick View_ Sample Data'!AF622</f>
        <v>3.4</v>
      </c>
      <c r="J621">
        <f>'Quick View_ Sample Data'!AJ622</f>
        <v>0</v>
      </c>
      <c r="K621">
        <f>'Quick View_ Sample Data'!AH622</f>
        <v>559.15686278480803</v>
      </c>
      <c r="L621">
        <f t="shared" si="9"/>
        <v>0</v>
      </c>
    </row>
    <row r="622" spans="1:12" ht="12.75" customHeight="1">
      <c r="A622" s="321"/>
      <c r="B622" t="str">
        <f>'Quick View_ Sample Data'!P623</f>
        <v>MgO</v>
      </c>
      <c r="C622">
        <f>'Quick View_ Sample Data'!O623</f>
        <v>222</v>
      </c>
      <c r="D622">
        <f>'Quick View_ Sample Data'!AN623</f>
        <v>191.21505435120508</v>
      </c>
      <c r="E622">
        <f>'Quick View_ Sample Data'!O623</f>
        <v>222</v>
      </c>
      <c r="F622">
        <f>'Quick View_ Sample Data'!AO623</f>
        <v>17859.486076402554</v>
      </c>
      <c r="G622">
        <f>'Quick View_ Sample Data'!O623</f>
        <v>222</v>
      </c>
      <c r="H622">
        <f>'Quick View_ Sample Data'!AP623</f>
        <v>2.3066666666666666</v>
      </c>
      <c r="I622">
        <f>'Quick View_ Sample Data'!AF623</f>
        <v>3.46</v>
      </c>
      <c r="J622">
        <f>'Quick View_ Sample Data'!AJ623</f>
        <v>9.34</v>
      </c>
      <c r="K622">
        <f>'Quick View_ Sample Data'!AH623</f>
        <v>552.64466575492804</v>
      </c>
      <c r="L622">
        <f t="shared" si="9"/>
        <v>32.316400000000002</v>
      </c>
    </row>
    <row r="623" spans="1:12" ht="12.75" customHeight="1">
      <c r="A623" s="321"/>
      <c r="B623" t="str">
        <f>'Quick View_ Sample Data'!P624</f>
        <v>MgO</v>
      </c>
      <c r="C623">
        <f>'Quick View_ Sample Data'!O624</f>
        <v>222</v>
      </c>
      <c r="D623">
        <f>'Quick View_ Sample Data'!AN624</f>
        <v>194.04090182128078</v>
      </c>
      <c r="E623">
        <f>'Quick View_ Sample Data'!O624</f>
        <v>222</v>
      </c>
      <c r="F623">
        <f>'Quick View_ Sample Data'!AO624</f>
        <v>0</v>
      </c>
      <c r="G623">
        <f>'Quick View_ Sample Data'!O624</f>
        <v>222</v>
      </c>
      <c r="H623">
        <f>'Quick View_ Sample Data'!AP624</f>
        <v>2.34</v>
      </c>
      <c r="I623">
        <f>'Quick View_ Sample Data'!AF624</f>
        <v>3.51</v>
      </c>
      <c r="J623">
        <f>'Quick View_ Sample Data'!AJ624</f>
        <v>0</v>
      </c>
      <c r="K623">
        <f>'Quick View_ Sample Data'!AH624</f>
        <v>552.82308211191105</v>
      </c>
      <c r="L623">
        <f t="shared" si="9"/>
        <v>0</v>
      </c>
    </row>
    <row r="624" spans="1:12" ht="12.75" customHeight="1">
      <c r="A624" s="321"/>
      <c r="B624" t="str">
        <f>'Quick View_ Sample Data'!P625</f>
        <v>MgO</v>
      </c>
      <c r="C624">
        <f>'Quick View_ Sample Data'!O625</f>
        <v>222</v>
      </c>
      <c r="D624">
        <f>'Quick View_ Sample Data'!AN625</f>
        <v>182.26444097043748</v>
      </c>
      <c r="E624">
        <f>'Quick View_ Sample Data'!O625</f>
        <v>222</v>
      </c>
      <c r="F624">
        <f>'Quick View_ Sample Data'!AO625</f>
        <v>0</v>
      </c>
      <c r="G624">
        <f>'Quick View_ Sample Data'!O625</f>
        <v>222</v>
      </c>
      <c r="H624">
        <f>'Quick View_ Sample Data'!AP625</f>
        <v>2.3133333333333335</v>
      </c>
      <c r="I624">
        <f>'Quick View_ Sample Data'!AF625</f>
        <v>3.47</v>
      </c>
      <c r="J624">
        <f>'Quick View_ Sample Data'!AJ625</f>
        <v>0</v>
      </c>
      <c r="K624">
        <f>'Quick View_ Sample Data'!AH625</f>
        <v>525.25775495803305</v>
      </c>
      <c r="L624">
        <f t="shared" si="9"/>
        <v>0</v>
      </c>
    </row>
    <row r="625" spans="1:12" ht="12.75" customHeight="1">
      <c r="A625" s="321"/>
      <c r="B625" t="str">
        <f>'Quick View_ Sample Data'!P626</f>
        <v>SiNx</v>
      </c>
      <c r="C625">
        <f>'Quick View_ Sample Data'!O626</f>
        <v>223</v>
      </c>
      <c r="D625">
        <f>'Quick View_ Sample Data'!AN626</f>
        <v>0</v>
      </c>
      <c r="E625">
        <f>'Quick View_ Sample Data'!O626</f>
        <v>223</v>
      </c>
      <c r="F625">
        <f>'Quick View_ Sample Data'!AO626</f>
        <v>0</v>
      </c>
      <c r="G625">
        <f>'Quick View_ Sample Data'!O626</f>
        <v>223</v>
      </c>
      <c r="H625">
        <f>'Quick View_ Sample Data'!AP626</f>
        <v>0</v>
      </c>
      <c r="I625">
        <f>'Quick View_ Sample Data'!AF626</f>
        <v>0</v>
      </c>
      <c r="J625">
        <f>'Quick View_ Sample Data'!AJ626</f>
        <v>0</v>
      </c>
      <c r="K625">
        <f>'Quick View_ Sample Data'!AH626</f>
        <v>555.23170293118199</v>
      </c>
      <c r="L625">
        <f t="shared" si="9"/>
        <v>0</v>
      </c>
    </row>
    <row r="626" spans="1:12" ht="12.75" customHeight="1">
      <c r="A626" s="321"/>
      <c r="B626" t="str">
        <f>'Quick View_ Sample Data'!P627</f>
        <v>SiNx</v>
      </c>
      <c r="C626">
        <f>'Quick View_ Sample Data'!O627</f>
        <v>223</v>
      </c>
      <c r="D626">
        <f>'Quick View_ Sample Data'!AN627</f>
        <v>0</v>
      </c>
      <c r="E626">
        <f>'Quick View_ Sample Data'!O627</f>
        <v>223</v>
      </c>
      <c r="F626">
        <f>'Quick View_ Sample Data'!AO627</f>
        <v>0</v>
      </c>
      <c r="G626">
        <f>'Quick View_ Sample Data'!O627</f>
        <v>223</v>
      </c>
      <c r="H626">
        <f>'Quick View_ Sample Data'!AP627</f>
        <v>0</v>
      </c>
      <c r="I626">
        <f>'Quick View_ Sample Data'!AF627</f>
        <v>0</v>
      </c>
      <c r="J626">
        <f>'Quick View_ Sample Data'!AJ627</f>
        <v>9.18</v>
      </c>
      <c r="K626">
        <f>'Quick View_ Sample Data'!AH627</f>
        <v>567.09639067055298</v>
      </c>
      <c r="L626">
        <f t="shared" si="9"/>
        <v>0</v>
      </c>
    </row>
    <row r="627" spans="1:12" ht="12.75" customHeight="1">
      <c r="A627" s="321"/>
      <c r="B627" t="str">
        <f>'Quick View_ Sample Data'!P628</f>
        <v>MgO</v>
      </c>
      <c r="C627">
        <f>'Quick View_ Sample Data'!O628</f>
        <v>223</v>
      </c>
      <c r="D627">
        <f>'Quick View_ Sample Data'!AN628</f>
        <v>159.5663120350568</v>
      </c>
      <c r="E627">
        <f>'Quick View_ Sample Data'!O628</f>
        <v>223</v>
      </c>
      <c r="F627">
        <f>'Quick View_ Sample Data'!AO628</f>
        <v>0</v>
      </c>
      <c r="G627">
        <f>'Quick View_ Sample Data'!O628</f>
        <v>223</v>
      </c>
      <c r="H627">
        <f>'Quick View_ Sample Data'!AP628</f>
        <v>2.3210526315789477</v>
      </c>
      <c r="I627">
        <f>'Quick View_ Sample Data'!AF628</f>
        <v>4.41</v>
      </c>
      <c r="J627">
        <f>'Quick View_ Sample Data'!AJ628</f>
        <v>0</v>
      </c>
      <c r="K627">
        <f>'Quick View_ Sample Data'!AH628</f>
        <v>361.82837196157999</v>
      </c>
      <c r="L627">
        <f t="shared" si="9"/>
        <v>0</v>
      </c>
    </row>
    <row r="628" spans="1:12" ht="12.75" customHeight="1">
      <c r="A628" s="321"/>
      <c r="B628" t="str">
        <f>'Quick View_ Sample Data'!P629</f>
        <v>SiNx</v>
      </c>
      <c r="C628">
        <f>'Quick View_ Sample Data'!O629</f>
        <v>223</v>
      </c>
      <c r="D628">
        <f>'Quick View_ Sample Data'!AN629</f>
        <v>0</v>
      </c>
      <c r="E628">
        <f>'Quick View_ Sample Data'!O629</f>
        <v>223</v>
      </c>
      <c r="F628">
        <f>'Quick View_ Sample Data'!AO629</f>
        <v>0</v>
      </c>
      <c r="G628">
        <f>'Quick View_ Sample Data'!O629</f>
        <v>223</v>
      </c>
      <c r="H628">
        <f>'Quick View_ Sample Data'!AP629</f>
        <v>0</v>
      </c>
      <c r="I628">
        <f>'Quick View_ Sample Data'!AF629</f>
        <v>0</v>
      </c>
      <c r="J628">
        <f>'Quick View_ Sample Data'!AJ629</f>
        <v>0</v>
      </c>
      <c r="K628">
        <f>'Quick View_ Sample Data'!AH629</f>
        <v>563.52806353089204</v>
      </c>
      <c r="L628">
        <f t="shared" si="9"/>
        <v>0</v>
      </c>
    </row>
    <row r="629" spans="1:12" ht="12.75" customHeight="1">
      <c r="A629" s="321"/>
      <c r="B629" t="str">
        <f>'Quick View_ Sample Data'!P630</f>
        <v>MgO</v>
      </c>
      <c r="C629">
        <f>'Quick View_ Sample Data'!O630</f>
        <v>225</v>
      </c>
      <c r="D629">
        <f>'Quick View_ Sample Data'!AN630</f>
        <v>205.42859343025802</v>
      </c>
      <c r="E629">
        <f>'Quick View_ Sample Data'!O630</f>
        <v>225</v>
      </c>
      <c r="F629">
        <f>'Quick View_ Sample Data'!AO630</f>
        <v>19906.030703392</v>
      </c>
      <c r="G629">
        <f>'Quick View_ Sample Data'!O630</f>
        <v>225</v>
      </c>
      <c r="H629">
        <f>'Quick View_ Sample Data'!AP630</f>
        <v>3.6071428571428568</v>
      </c>
      <c r="I629">
        <f>'Quick View_ Sample Data'!AF630</f>
        <v>5.05</v>
      </c>
      <c r="J629">
        <f>'Quick View_ Sample Data'!AJ630</f>
        <v>9.69</v>
      </c>
      <c r="K629">
        <f>'Quick View_ Sample Data'!AH630</f>
        <v>406.789293921303</v>
      </c>
      <c r="L629">
        <f t="shared" si="9"/>
        <v>48.934499999999993</v>
      </c>
    </row>
    <row r="630" spans="1:12" ht="12.75" customHeight="1">
      <c r="A630" s="321"/>
      <c r="B630" t="str">
        <f>'Quick View_ Sample Data'!P631</f>
        <v>MgO</v>
      </c>
      <c r="C630">
        <f>'Quick View_ Sample Data'!O631</f>
        <v>225</v>
      </c>
      <c r="D630">
        <f>'Quick View_ Sample Data'!AN631</f>
        <v>204.02936315061871</v>
      </c>
      <c r="E630">
        <f>'Quick View_ Sample Data'!O631</f>
        <v>225</v>
      </c>
      <c r="F630">
        <f>'Quick View_ Sample Data'!AO631</f>
        <v>0</v>
      </c>
      <c r="G630">
        <f>'Quick View_ Sample Data'!O631</f>
        <v>225</v>
      </c>
      <c r="H630">
        <f>'Quick View_ Sample Data'!AP631</f>
        <v>3.6785714285714288</v>
      </c>
      <c r="I630">
        <f>'Quick View_ Sample Data'!AF631</f>
        <v>5.15</v>
      </c>
      <c r="J630">
        <f>'Quick View_ Sample Data'!AJ631</f>
        <v>0</v>
      </c>
      <c r="K630">
        <f>'Quick View_ Sample Data'!AH631</f>
        <v>396.173520680813</v>
      </c>
      <c r="L630">
        <f t="shared" si="9"/>
        <v>0</v>
      </c>
    </row>
    <row r="631" spans="1:12" ht="12.75" customHeight="1">
      <c r="A631" s="321"/>
      <c r="B631" t="str">
        <f>'Quick View_ Sample Data'!P632</f>
        <v>MgO</v>
      </c>
      <c r="C631">
        <f>'Quick View_ Sample Data'!O632</f>
        <v>225</v>
      </c>
      <c r="D631">
        <f>'Quick View_ Sample Data'!AN632</f>
        <v>198.90176625910479</v>
      </c>
      <c r="E631">
        <f>'Quick View_ Sample Data'!O632</f>
        <v>225</v>
      </c>
      <c r="F631">
        <f>'Quick View_ Sample Data'!AO632</f>
        <v>0</v>
      </c>
      <c r="G631">
        <f>'Quick View_ Sample Data'!O632</f>
        <v>225</v>
      </c>
      <c r="H631">
        <f>'Quick View_ Sample Data'!AP632</f>
        <v>3.6857142857142859</v>
      </c>
      <c r="I631">
        <f>'Quick View_ Sample Data'!AF632</f>
        <v>5.16</v>
      </c>
      <c r="J631">
        <f>'Quick View_ Sample Data'!AJ632</f>
        <v>0</v>
      </c>
      <c r="K631">
        <f>'Quick View_ Sample Data'!AH632</f>
        <v>385.46853926183098</v>
      </c>
      <c r="L631">
        <f t="shared" si="9"/>
        <v>0</v>
      </c>
    </row>
    <row r="632" spans="1:12" ht="12.75" customHeight="1">
      <c r="A632" s="321"/>
      <c r="B632" t="str">
        <f>'Quick View_ Sample Data'!P633</f>
        <v>MgO</v>
      </c>
      <c r="C632">
        <f>'Quick View_ Sample Data'!O633</f>
        <v>225</v>
      </c>
      <c r="D632">
        <f>'Quick View_ Sample Data'!AN633</f>
        <v>0</v>
      </c>
      <c r="E632">
        <f>'Quick View_ Sample Data'!O633</f>
        <v>225</v>
      </c>
      <c r="F632">
        <f>'Quick View_ Sample Data'!AO633</f>
        <v>0</v>
      </c>
      <c r="G632">
        <f>'Quick View_ Sample Data'!O633</f>
        <v>225</v>
      </c>
      <c r="H632">
        <f>'Quick View_ Sample Data'!AP633</f>
        <v>0</v>
      </c>
      <c r="I632">
        <f>'Quick View_ Sample Data'!AF633</f>
        <v>0</v>
      </c>
      <c r="J632">
        <f>'Quick View_ Sample Data'!AJ633</f>
        <v>0</v>
      </c>
      <c r="K632">
        <f>'Quick View_ Sample Data'!AH633</f>
        <v>393.94331621852501</v>
      </c>
      <c r="L632">
        <f t="shared" si="9"/>
        <v>0</v>
      </c>
    </row>
    <row r="633" spans="1:12" ht="12.75" customHeight="1">
      <c r="A633" s="321"/>
      <c r="B633" t="str">
        <f>'Quick View_ Sample Data'!P634</f>
        <v>MgO</v>
      </c>
      <c r="C633">
        <f>'Quick View_ Sample Data'!O634</f>
        <v>228</v>
      </c>
      <c r="D633">
        <f>'Quick View_ Sample Data'!AN634</f>
        <v>130.34171276123675</v>
      </c>
      <c r="E633">
        <f>'Quick View_ Sample Data'!O634</f>
        <v>228</v>
      </c>
      <c r="F633">
        <f>'Quick View_ Sample Data'!AO634</f>
        <v>0</v>
      </c>
      <c r="G633">
        <f>'Quick View_ Sample Data'!O634</f>
        <v>228</v>
      </c>
      <c r="H633">
        <f>'Quick View_ Sample Data'!AP634</f>
        <v>4.2476190476190476</v>
      </c>
      <c r="I633">
        <f>'Quick View_ Sample Data'!AF634</f>
        <v>4.46</v>
      </c>
      <c r="J633">
        <f>'Quick View_ Sample Data'!AJ634</f>
        <v>0</v>
      </c>
      <c r="K633">
        <f>'Quick View_ Sample Data'!AH634</f>
        <v>292.24599273819899</v>
      </c>
      <c r="L633">
        <f t="shared" si="9"/>
        <v>0</v>
      </c>
    </row>
    <row r="634" spans="1:12" ht="12.75" customHeight="1">
      <c r="A634" s="321"/>
      <c r="B634" t="str">
        <f>'Quick View_ Sample Data'!P635</f>
        <v>MgO</v>
      </c>
      <c r="C634">
        <f>'Quick View_ Sample Data'!O635</f>
        <v>228</v>
      </c>
      <c r="D634">
        <f>'Quick View_ Sample Data'!AN635</f>
        <v>130.76322140460897</v>
      </c>
      <c r="E634">
        <f>'Quick View_ Sample Data'!O635</f>
        <v>228</v>
      </c>
      <c r="F634">
        <f>'Quick View_ Sample Data'!AO635</f>
        <v>16240.792098452435</v>
      </c>
      <c r="G634">
        <f>'Quick View_ Sample Data'!O635</f>
        <v>228</v>
      </c>
      <c r="H634">
        <f>'Quick View_ Sample Data'!AP635</f>
        <v>4.1809523809523803</v>
      </c>
      <c r="I634">
        <f>'Quick View_ Sample Data'!AF635</f>
        <v>4.3899999999999997</v>
      </c>
      <c r="J634">
        <f>'Quick View_ Sample Data'!AJ635</f>
        <v>12.42</v>
      </c>
      <c r="K634">
        <f>'Quick View_ Sample Data'!AH635</f>
        <v>297.866107983164</v>
      </c>
      <c r="L634">
        <f t="shared" si="9"/>
        <v>54.523799999999994</v>
      </c>
    </row>
    <row r="635" spans="1:12" ht="12.75" customHeight="1">
      <c r="A635" s="321"/>
      <c r="B635" t="str">
        <f>'Quick View_ Sample Data'!P636</f>
        <v>MgO</v>
      </c>
      <c r="C635">
        <f>'Quick View_ Sample Data'!O636</f>
        <v>228</v>
      </c>
      <c r="D635">
        <f>'Quick View_ Sample Data'!AN636</f>
        <v>128.37431559278488</v>
      </c>
      <c r="E635">
        <f>'Quick View_ Sample Data'!O636</f>
        <v>228</v>
      </c>
      <c r="F635">
        <f>'Quick View_ Sample Data'!AO636</f>
        <v>0</v>
      </c>
      <c r="G635">
        <f>'Quick View_ Sample Data'!O636</f>
        <v>228</v>
      </c>
      <c r="H635">
        <f>'Quick View_ Sample Data'!AP636</f>
        <v>4.1809523809523803</v>
      </c>
      <c r="I635">
        <f>'Quick View_ Sample Data'!AF636</f>
        <v>4.3899999999999997</v>
      </c>
      <c r="J635">
        <f>'Quick View_ Sample Data'!AJ636</f>
        <v>0</v>
      </c>
      <c r="K635">
        <f>'Quick View_ Sample Data'!AH636</f>
        <v>292.424409095182</v>
      </c>
      <c r="L635">
        <f t="shared" si="9"/>
        <v>0</v>
      </c>
    </row>
    <row r="636" spans="1:12" ht="12.75" customHeight="1">
      <c r="A636" s="321"/>
      <c r="B636" t="str">
        <f>'Quick View_ Sample Data'!P637</f>
        <v>MgO</v>
      </c>
      <c r="C636">
        <f>'Quick View_ Sample Data'!O637</f>
        <v>228</v>
      </c>
      <c r="D636">
        <f>'Quick View_ Sample Data'!AN637</f>
        <v>135.93747417347376</v>
      </c>
      <c r="E636">
        <f>'Quick View_ Sample Data'!O637</f>
        <v>228</v>
      </c>
      <c r="F636">
        <f>'Quick View_ Sample Data'!AO637</f>
        <v>0</v>
      </c>
      <c r="G636">
        <f>'Quick View_ Sample Data'!O637</f>
        <v>228</v>
      </c>
      <c r="H636">
        <f>'Quick View_ Sample Data'!AP637</f>
        <v>4.2571428571428571</v>
      </c>
      <c r="I636">
        <f>'Quick View_ Sample Data'!AF637</f>
        <v>4.47</v>
      </c>
      <c r="J636">
        <f>'Quick View_ Sample Data'!AJ637</f>
        <v>0</v>
      </c>
      <c r="K636">
        <f>'Quick View_ Sample Data'!AH637</f>
        <v>304.11068047756999</v>
      </c>
      <c r="L636">
        <f t="shared" si="9"/>
        <v>0</v>
      </c>
    </row>
    <row r="637" spans="1:12" ht="12.75" customHeight="1">
      <c r="A637" s="321"/>
      <c r="B637" t="str">
        <f>'Quick View_ Sample Data'!P638</f>
        <v>MgO</v>
      </c>
      <c r="C637">
        <f>'Quick View_ Sample Data'!O638</f>
        <v>229</v>
      </c>
      <c r="D637">
        <f>'Quick View_ Sample Data'!AN638</f>
        <v>149.24456895087448</v>
      </c>
      <c r="E637">
        <f>'Quick View_ Sample Data'!O638</f>
        <v>229</v>
      </c>
      <c r="F637">
        <f>'Quick View_ Sample Data'!AO638</f>
        <v>0</v>
      </c>
      <c r="G637">
        <f>'Quick View_ Sample Data'!O638</f>
        <v>229</v>
      </c>
      <c r="H637">
        <f>'Quick View_ Sample Data'!AP638</f>
        <v>4.4857142857142858</v>
      </c>
      <c r="I637">
        <f>'Quick View_ Sample Data'!AF638</f>
        <v>3.14</v>
      </c>
      <c r="J637">
        <f>'Quick View_ Sample Data'!AJ638</f>
        <v>0</v>
      </c>
      <c r="K637">
        <f>'Quick View_ Sample Data'!AH638</f>
        <v>475.30117500278499</v>
      </c>
      <c r="L637">
        <f t="shared" si="9"/>
        <v>0</v>
      </c>
    </row>
    <row r="638" spans="1:12" ht="12.75" customHeight="1">
      <c r="A638" s="321"/>
      <c r="B638" t="str">
        <f>'Quick View_ Sample Data'!P639</f>
        <v>MgO</v>
      </c>
      <c r="C638">
        <f>'Quick View_ Sample Data'!O639</f>
        <v>229</v>
      </c>
      <c r="D638">
        <f>'Quick View_ Sample Data'!AN639</f>
        <v>129.13294194267672</v>
      </c>
      <c r="E638">
        <f>'Quick View_ Sample Data'!O639</f>
        <v>229</v>
      </c>
      <c r="F638">
        <f>'Quick View_ Sample Data'!AO639</f>
        <v>14708.242087270879</v>
      </c>
      <c r="G638">
        <f>'Quick View_ Sample Data'!O639</f>
        <v>229</v>
      </c>
      <c r="H638">
        <f>'Quick View_ Sample Data'!AP639</f>
        <v>3.9714285714285715</v>
      </c>
      <c r="I638">
        <f>'Quick View_ Sample Data'!AF639</f>
        <v>2.78</v>
      </c>
      <c r="J638">
        <f>'Quick View_ Sample Data'!AJ639</f>
        <v>11.39</v>
      </c>
      <c r="K638">
        <f>'Quick View_ Sample Data'!AH639</f>
        <v>464.50698540531198</v>
      </c>
      <c r="L638">
        <f t="shared" si="9"/>
        <v>31.664200000000001</v>
      </c>
    </row>
    <row r="639" spans="1:12" ht="12.75" customHeight="1">
      <c r="A639" s="321"/>
      <c r="B639" t="str">
        <f>'Quick View_ Sample Data'!P640</f>
        <v>MgO</v>
      </c>
      <c r="C639">
        <f>'Quick View_ Sample Data'!O640</f>
        <v>229</v>
      </c>
      <c r="D639">
        <f>'Quick View_ Sample Data'!AN640</f>
        <v>156.90077166173032</v>
      </c>
      <c r="E639">
        <f>'Quick View_ Sample Data'!O640</f>
        <v>229</v>
      </c>
      <c r="F639">
        <f>'Quick View_ Sample Data'!AO640</f>
        <v>0</v>
      </c>
      <c r="G639">
        <f>'Quick View_ Sample Data'!O640</f>
        <v>229</v>
      </c>
      <c r="H639">
        <f>'Quick View_ Sample Data'!AP640</f>
        <v>3.9857142857142862</v>
      </c>
      <c r="I639">
        <f>'Quick View_ Sample Data'!AF640</f>
        <v>2.79</v>
      </c>
      <c r="J639">
        <f>'Quick View_ Sample Data'!AJ640</f>
        <v>0</v>
      </c>
      <c r="K639">
        <f>'Quick View_ Sample Data'!AH640</f>
        <v>562.36835721050295</v>
      </c>
      <c r="L639">
        <f t="shared" si="9"/>
        <v>0</v>
      </c>
    </row>
    <row r="640" spans="1:12" ht="12.75" customHeight="1">
      <c r="A640" s="321"/>
      <c r="B640" t="str">
        <f>'Quick View_ Sample Data'!P641</f>
        <v>MgO</v>
      </c>
      <c r="C640">
        <f>'Quick View_ Sample Data'!O641</f>
        <v>229</v>
      </c>
      <c r="D640">
        <f>'Quick View_ Sample Data'!AN641</f>
        <v>130.05053726664045</v>
      </c>
      <c r="E640">
        <f>'Quick View_ Sample Data'!O641</f>
        <v>229</v>
      </c>
      <c r="F640">
        <f>'Quick View_ Sample Data'!AO641</f>
        <v>0</v>
      </c>
      <c r="G640">
        <f>'Quick View_ Sample Data'!O641</f>
        <v>229</v>
      </c>
      <c r="H640">
        <f>'Quick View_ Sample Data'!AP641</f>
        <v>3.9714285714285715</v>
      </c>
      <c r="I640">
        <f>'Quick View_ Sample Data'!AF641</f>
        <v>2.78</v>
      </c>
      <c r="J640">
        <f>'Quick View_ Sample Data'!AJ641</f>
        <v>0</v>
      </c>
      <c r="K640">
        <f>'Quick View_ Sample Data'!AH641</f>
        <v>467.80768800949801</v>
      </c>
      <c r="L640">
        <f t="shared" si="9"/>
        <v>0</v>
      </c>
    </row>
    <row r="641" spans="1:12" ht="12.75" customHeight="1">
      <c r="A641" s="321"/>
      <c r="B641" t="str">
        <f>'Quick View_ Sample Data'!P642</f>
        <v>MgO</v>
      </c>
      <c r="C641">
        <f>'Quick View_ Sample Data'!O642</f>
        <v>230</v>
      </c>
      <c r="D641">
        <f>'Quick View_ Sample Data'!AN642</f>
        <v>131.18526529705247</v>
      </c>
      <c r="E641">
        <f>'Quick View_ Sample Data'!O642</f>
        <v>230</v>
      </c>
      <c r="F641">
        <f>'Quick View_ Sample Data'!AO642</f>
        <v>15112.542562220442</v>
      </c>
      <c r="G641">
        <f>'Quick View_ Sample Data'!O642</f>
        <v>230</v>
      </c>
      <c r="H641">
        <f>'Quick View_ Sample Data'!AP642</f>
        <v>4.0571428571428569</v>
      </c>
      <c r="I641">
        <f>'Quick View_ Sample Data'!AF642</f>
        <v>2.84</v>
      </c>
      <c r="J641">
        <f>'Quick View_ Sample Data'!AJ642</f>
        <v>11.52</v>
      </c>
      <c r="K641">
        <f>'Quick View_ Sample Data'!AH642</f>
        <v>461.91994822905798</v>
      </c>
      <c r="L641">
        <f t="shared" si="9"/>
        <v>32.716799999999999</v>
      </c>
    </row>
    <row r="642" spans="1:12" ht="12.75" customHeight="1">
      <c r="A642" s="321"/>
      <c r="B642" t="str">
        <f>'Quick View_ Sample Data'!P643</f>
        <v>MgO</v>
      </c>
      <c r="C642">
        <f>'Quick View_ Sample Data'!O643</f>
        <v>230</v>
      </c>
      <c r="D642">
        <f>'Quick View_ Sample Data'!AN643</f>
        <v>128.46753813930854</v>
      </c>
      <c r="E642">
        <f>'Quick View_ Sample Data'!O643</f>
        <v>230</v>
      </c>
      <c r="F642">
        <f>'Quick View_ Sample Data'!AO643</f>
        <v>14388.364271602555</v>
      </c>
      <c r="G642">
        <f>'Quick View_ Sample Data'!O643</f>
        <v>230</v>
      </c>
      <c r="H642">
        <f>'Quick View_ Sample Data'!AP643</f>
        <v>4.1285714285714281</v>
      </c>
      <c r="I642">
        <f>'Quick View_ Sample Data'!AF643</f>
        <v>2.89</v>
      </c>
      <c r="J642">
        <f>'Quick View_ Sample Data'!AJ643</f>
        <v>11.2</v>
      </c>
      <c r="K642">
        <f>'Quick View_ Sample Data'!AH643</f>
        <v>444.52435342321297</v>
      </c>
      <c r="L642">
        <f t="shared" ref="L642:L705" si="10">I642*J642</f>
        <v>32.368000000000002</v>
      </c>
    </row>
    <row r="643" spans="1:12" ht="12.75" customHeight="1">
      <c r="A643" s="321"/>
      <c r="B643" t="str">
        <f>'Quick View_ Sample Data'!P644</f>
        <v>MgO</v>
      </c>
      <c r="C643">
        <f>'Quick View_ Sample Data'!O644</f>
        <v>230</v>
      </c>
      <c r="D643">
        <f>'Quick View_ Sample Data'!AN644</f>
        <v>127.34039280406819</v>
      </c>
      <c r="E643">
        <f>'Quick View_ Sample Data'!O644</f>
        <v>230</v>
      </c>
      <c r="F643">
        <f>'Quick View_ Sample Data'!AO644</f>
        <v>14720.549408150284</v>
      </c>
      <c r="G643">
        <f>'Quick View_ Sample Data'!O644</f>
        <v>230</v>
      </c>
      <c r="H643">
        <f>'Quick View_ Sample Data'!AP644</f>
        <v>4.0428571428571436</v>
      </c>
      <c r="I643">
        <f>'Quick View_ Sample Data'!AF644</f>
        <v>2.83</v>
      </c>
      <c r="J643">
        <f>'Quick View_ Sample Data'!AJ644</f>
        <v>11.56</v>
      </c>
      <c r="K643">
        <f>'Quick View_ Sample Data'!AH644</f>
        <v>449.96605231119503</v>
      </c>
      <c r="L643">
        <f t="shared" si="10"/>
        <v>32.714800000000004</v>
      </c>
    </row>
    <row r="644" spans="1:12" ht="12.75" customHeight="1">
      <c r="A644" s="321"/>
      <c r="B644" t="str">
        <f>'Quick View_ Sample Data'!P645</f>
        <v>MgO</v>
      </c>
      <c r="C644">
        <f>'Quick View_ Sample Data'!O645</f>
        <v>230</v>
      </c>
      <c r="D644">
        <f>'Quick View_ Sample Data'!AN645</f>
        <v>129.29253537399825</v>
      </c>
      <c r="E644">
        <f>'Quick View_ Sample Data'!O645</f>
        <v>230</v>
      </c>
      <c r="F644">
        <f>'Quick View_ Sample Data'!AO645</f>
        <v>14519.551722500004</v>
      </c>
      <c r="G644">
        <f>'Quick View_ Sample Data'!O645</f>
        <v>230</v>
      </c>
      <c r="H644">
        <f>'Quick View_ Sample Data'!AP645</f>
        <v>4.1285714285714281</v>
      </c>
      <c r="I644">
        <f>'Quick View_ Sample Data'!AF645</f>
        <v>2.89</v>
      </c>
      <c r="J644">
        <f>'Quick View_ Sample Data'!AJ645</f>
        <v>11.23</v>
      </c>
      <c r="K644">
        <f>'Quick View_ Sample Data'!AH645</f>
        <v>447.37901513494199</v>
      </c>
      <c r="L644">
        <f t="shared" si="10"/>
        <v>32.454700000000003</v>
      </c>
    </row>
    <row r="645" spans="1:12" ht="12.75" customHeight="1">
      <c r="A645" s="321"/>
      <c r="B645" t="str">
        <f>'Quick View_ Sample Data'!P646</f>
        <v>MgO</v>
      </c>
      <c r="C645">
        <f>'Quick View_ Sample Data'!O646</f>
        <v>231</v>
      </c>
      <c r="D645">
        <f>'Quick View_ Sample Data'!AN646</f>
        <v>140.99664839208458</v>
      </c>
      <c r="E645">
        <f>'Quick View_ Sample Data'!O646</f>
        <v>231</v>
      </c>
      <c r="F645">
        <f>'Quick View_ Sample Data'!AO646</f>
        <v>16130.016576054475</v>
      </c>
      <c r="G645">
        <f>'Quick View_ Sample Data'!O646</f>
        <v>231</v>
      </c>
      <c r="H645">
        <f>'Quick View_ Sample Data'!AP646</f>
        <v>3.9857142857142862</v>
      </c>
      <c r="I645">
        <f>'Quick View_ Sample Data'!AF646</f>
        <v>2.79</v>
      </c>
      <c r="J645">
        <f>'Quick View_ Sample Data'!AJ646</f>
        <v>11.44</v>
      </c>
      <c r="K645">
        <f>'Quick View_ Sample Data'!AH646</f>
        <v>505.36433115442497</v>
      </c>
      <c r="L645">
        <f t="shared" si="10"/>
        <v>31.9176</v>
      </c>
    </row>
    <row r="646" spans="1:12" ht="12.75" customHeight="1">
      <c r="A646" s="321"/>
      <c r="B646" t="str">
        <f>'Quick View_ Sample Data'!P647</f>
        <v>MgO</v>
      </c>
      <c r="C646">
        <f>'Quick View_ Sample Data'!O647</f>
        <v>231</v>
      </c>
      <c r="D646">
        <f>'Quick View_ Sample Data'!AN647</f>
        <v>131.97377638673908</v>
      </c>
      <c r="E646">
        <f>'Quick View_ Sample Data'!O647</f>
        <v>231</v>
      </c>
      <c r="F646">
        <f>'Quick View_ Sample Data'!AO647</f>
        <v>14517.115402541298</v>
      </c>
      <c r="G646">
        <f>'Quick View_ Sample Data'!O647</f>
        <v>231</v>
      </c>
      <c r="H646">
        <f>'Quick View_ Sample Data'!AP647</f>
        <v>4.1285714285714281</v>
      </c>
      <c r="I646">
        <f>'Quick View_ Sample Data'!AF647</f>
        <v>2.89</v>
      </c>
      <c r="J646">
        <f>'Quick View_ Sample Data'!AJ647</f>
        <v>11</v>
      </c>
      <c r="K646">
        <f>'Quick View_ Sample Data'!AH647</f>
        <v>456.65666569805899</v>
      </c>
      <c r="L646">
        <f t="shared" si="10"/>
        <v>31.790000000000003</v>
      </c>
    </row>
    <row r="647" spans="1:12" ht="12.75" customHeight="1">
      <c r="A647" s="321"/>
      <c r="B647" t="str">
        <f>'Quick View_ Sample Data'!P648</f>
        <v>MgO</v>
      </c>
      <c r="C647">
        <f>'Quick View_ Sample Data'!O648</f>
        <v>231</v>
      </c>
      <c r="D647">
        <f>'Quick View_ Sample Data'!AN648</f>
        <v>163.65882643153336</v>
      </c>
      <c r="E647">
        <f>'Quick View_ Sample Data'!O648</f>
        <v>231</v>
      </c>
      <c r="F647">
        <f>'Quick View_ Sample Data'!AO648</f>
        <v>18297.056795045428</v>
      </c>
      <c r="G647">
        <f>'Quick View_ Sample Data'!O648</f>
        <v>231</v>
      </c>
      <c r="H647">
        <f>'Quick View_ Sample Data'!AP648</f>
        <v>3.9428571428571426</v>
      </c>
      <c r="I647">
        <f>'Quick View_ Sample Data'!AF648</f>
        <v>2.76</v>
      </c>
      <c r="J647">
        <f>'Quick View_ Sample Data'!AJ648</f>
        <v>11.18</v>
      </c>
      <c r="K647">
        <f>'Quick View_ Sample Data'!AH648</f>
        <v>592.96676243309196</v>
      </c>
      <c r="L647">
        <f t="shared" si="10"/>
        <v>30.856799999999996</v>
      </c>
    </row>
    <row r="648" spans="1:12" ht="12.75" customHeight="1">
      <c r="A648" s="321"/>
      <c r="B648" t="str">
        <f>'Quick View_ Sample Data'!P649</f>
        <v>MgO</v>
      </c>
      <c r="C648">
        <f>'Quick View_ Sample Data'!O649</f>
        <v>231</v>
      </c>
      <c r="D648">
        <f>'Quick View_ Sample Data'!AN649</f>
        <v>132.82740944672429</v>
      </c>
      <c r="E648">
        <f>'Quick View_ Sample Data'!O649</f>
        <v>231</v>
      </c>
      <c r="F648">
        <f>'Quick View_ Sample Data'!AO649</f>
        <v>14557.884075360982</v>
      </c>
      <c r="G648">
        <f>'Quick View_ Sample Data'!O649</f>
        <v>231</v>
      </c>
      <c r="H648">
        <f>'Quick View_ Sample Data'!AP649</f>
        <v>4.1142857142857148</v>
      </c>
      <c r="I648">
        <f>'Quick View_ Sample Data'!AF649</f>
        <v>2.88</v>
      </c>
      <c r="J648">
        <f>'Quick View_ Sample Data'!AJ649</f>
        <v>10.96</v>
      </c>
      <c r="K648">
        <f>'Quick View_ Sample Data'!AH649</f>
        <v>461.20628280112601</v>
      </c>
      <c r="L648">
        <f t="shared" si="10"/>
        <v>31.564800000000002</v>
      </c>
    </row>
    <row r="649" spans="1:12" ht="12.75" customHeight="1">
      <c r="A649" s="321"/>
      <c r="B649" t="str">
        <f>'Quick View_ Sample Data'!P650</f>
        <v>MgO</v>
      </c>
      <c r="C649">
        <f>'Quick View_ Sample Data'!O650</f>
        <v>232</v>
      </c>
      <c r="D649">
        <f>'Quick View_ Sample Data'!AN650</f>
        <v>117.92304223343316</v>
      </c>
      <c r="E649">
        <f>'Quick View_ Sample Data'!O650</f>
        <v>232</v>
      </c>
      <c r="F649">
        <f>'Quick View_ Sample Data'!AO650</f>
        <v>13997.465113108516</v>
      </c>
      <c r="G649">
        <f>'Quick View_ Sample Data'!O650</f>
        <v>232</v>
      </c>
      <c r="H649">
        <f>'Quick View_ Sample Data'!AP650</f>
        <v>4.1285714285714281</v>
      </c>
      <c r="I649">
        <f>'Quick View_ Sample Data'!AF650</f>
        <v>2.89</v>
      </c>
      <c r="J649">
        <f>'Quick View_ Sample Data'!AJ650</f>
        <v>11.87</v>
      </c>
      <c r="K649">
        <f>'Quick View_ Sample Data'!AH650</f>
        <v>408.03820842018399</v>
      </c>
      <c r="L649">
        <f t="shared" si="10"/>
        <v>34.304299999999998</v>
      </c>
    </row>
    <row r="650" spans="1:12" ht="12.75" customHeight="1">
      <c r="A650" s="321"/>
      <c r="B650" t="str">
        <f>'Quick View_ Sample Data'!P651</f>
        <v>MgO</v>
      </c>
      <c r="C650">
        <f>'Quick View_ Sample Data'!O651</f>
        <v>232</v>
      </c>
      <c r="D650">
        <f>'Quick View_ Sample Data'!AN651</f>
        <v>123.34101174593687</v>
      </c>
      <c r="E650">
        <f>'Quick View_ Sample Data'!O651</f>
        <v>232</v>
      </c>
      <c r="F650">
        <f>'Quick View_ Sample Data'!AO651</f>
        <v>14048.54123786221</v>
      </c>
      <c r="G650">
        <f>'Quick View_ Sample Data'!O651</f>
        <v>232</v>
      </c>
      <c r="H650">
        <f>'Quick View_ Sample Data'!AP651</f>
        <v>4.1714285714285708</v>
      </c>
      <c r="I650">
        <f>'Quick View_ Sample Data'!AF651</f>
        <v>2.92</v>
      </c>
      <c r="J650">
        <f>'Quick View_ Sample Data'!AJ651</f>
        <v>11.39</v>
      </c>
      <c r="K650">
        <f>'Quick View_ Sample Data'!AH651</f>
        <v>422.40072515731799</v>
      </c>
      <c r="L650">
        <f t="shared" si="10"/>
        <v>33.258800000000001</v>
      </c>
    </row>
    <row r="651" spans="1:12" ht="12.75" customHeight="1">
      <c r="A651" s="321"/>
      <c r="B651" t="str">
        <f>'Quick View_ Sample Data'!P652</f>
        <v>MgO</v>
      </c>
      <c r="C651">
        <f>'Quick View_ Sample Data'!O652</f>
        <v>232</v>
      </c>
      <c r="D651">
        <f>'Quick View_ Sample Data'!AN652</f>
        <v>122.01252355184099</v>
      </c>
      <c r="E651">
        <f>'Quick View_ Sample Data'!O652</f>
        <v>232</v>
      </c>
      <c r="F651">
        <f>'Quick View_ Sample Data'!AO652</f>
        <v>14360.874022051685</v>
      </c>
      <c r="G651">
        <f>'Quick View_ Sample Data'!O652</f>
        <v>232</v>
      </c>
      <c r="H651">
        <f>'Quick View_ Sample Data'!AP652</f>
        <v>4.1714285714285708</v>
      </c>
      <c r="I651">
        <f>'Quick View_ Sample Data'!AF652</f>
        <v>2.92</v>
      </c>
      <c r="J651">
        <f>'Quick View_ Sample Data'!AJ652</f>
        <v>11.77</v>
      </c>
      <c r="K651">
        <f>'Quick View_ Sample Data'!AH652</f>
        <v>417.85110805425001</v>
      </c>
      <c r="L651">
        <f t="shared" si="10"/>
        <v>34.368400000000001</v>
      </c>
    </row>
    <row r="652" spans="1:12" ht="12.75" customHeight="1">
      <c r="A652" s="321"/>
      <c r="B652" t="str">
        <f>'Quick View_ Sample Data'!P653</f>
        <v>MgO</v>
      </c>
      <c r="C652">
        <f>'Quick View_ Sample Data'!O653</f>
        <v>232</v>
      </c>
      <c r="D652">
        <f>'Quick View_ Sample Data'!AN653</f>
        <v>123.65538136694093</v>
      </c>
      <c r="E652">
        <f>'Quick View_ Sample Data'!O653</f>
        <v>232</v>
      </c>
      <c r="F652">
        <f>'Quick View_ Sample Data'!AO653</f>
        <v>14034.885785147795</v>
      </c>
      <c r="G652">
        <f>'Quick View_ Sample Data'!O653</f>
        <v>232</v>
      </c>
      <c r="H652">
        <f>'Quick View_ Sample Data'!AP653</f>
        <v>4.1142857142857148</v>
      </c>
      <c r="I652">
        <f>'Quick View_ Sample Data'!AF653</f>
        <v>2.88</v>
      </c>
      <c r="J652">
        <f>'Quick View_ Sample Data'!AJ653</f>
        <v>11.35</v>
      </c>
      <c r="K652">
        <f>'Quick View_ Sample Data'!AH653</f>
        <v>429.35896307965601</v>
      </c>
      <c r="L652">
        <f t="shared" si="10"/>
        <v>32.687999999999995</v>
      </c>
    </row>
    <row r="653" spans="1:12" ht="12.75" customHeight="1">
      <c r="A653" s="321"/>
      <c r="B653" t="str">
        <f>'Quick View_ Sample Data'!P654</f>
        <v>MgO</v>
      </c>
      <c r="C653">
        <f>'Quick View_ Sample Data'!O654</f>
        <v>233</v>
      </c>
      <c r="D653">
        <f>'Quick View_ Sample Data'!AN654</f>
        <v>152.19807332437153</v>
      </c>
      <c r="E653">
        <f>'Quick View_ Sample Data'!O654</f>
        <v>233</v>
      </c>
      <c r="F653">
        <f>'Quick View_ Sample Data'!AO654</f>
        <v>0</v>
      </c>
      <c r="G653">
        <f>'Quick View_ Sample Data'!O654</f>
        <v>233</v>
      </c>
      <c r="H653">
        <f>'Quick View_ Sample Data'!AP654</f>
        <v>3.9285714285714288</v>
      </c>
      <c r="I653">
        <f>'Quick View_ Sample Data'!AF654</f>
        <v>2.75</v>
      </c>
      <c r="J653">
        <f>'Quick View_ Sample Data'!AJ654</f>
        <v>0</v>
      </c>
      <c r="K653">
        <f>'Quick View_ Sample Data'!AH654</f>
        <v>553.44753936135101</v>
      </c>
      <c r="L653">
        <f t="shared" si="10"/>
        <v>0</v>
      </c>
    </row>
    <row r="654" spans="1:12" ht="12.75" customHeight="1">
      <c r="A654" s="321"/>
      <c r="B654" t="str">
        <f>'Quick View_ Sample Data'!P655</f>
        <v>MgO</v>
      </c>
      <c r="C654">
        <f>'Quick View_ Sample Data'!O655</f>
        <v>233</v>
      </c>
      <c r="D654">
        <f>'Quick View_ Sample Data'!AN655</f>
        <v>149.2745428988477</v>
      </c>
      <c r="E654">
        <f>'Quick View_ Sample Data'!O655</f>
        <v>233</v>
      </c>
      <c r="F654">
        <f>'Quick View_ Sample Data'!AO655</f>
        <v>0</v>
      </c>
      <c r="G654">
        <f>'Quick View_ Sample Data'!O655</f>
        <v>233</v>
      </c>
      <c r="H654">
        <f>'Quick View_ Sample Data'!AP655</f>
        <v>4.0571428571428569</v>
      </c>
      <c r="I654">
        <f>'Quick View_ Sample Data'!AF655</f>
        <v>2.84</v>
      </c>
      <c r="J654">
        <f>'Quick View_ Sample Data'!AJ655</f>
        <v>0</v>
      </c>
      <c r="K654">
        <f>'Quick View_ Sample Data'!AH655</f>
        <v>525.61458767199895</v>
      </c>
      <c r="L654">
        <f t="shared" si="10"/>
        <v>0</v>
      </c>
    </row>
    <row r="655" spans="1:12" ht="12.75" customHeight="1">
      <c r="A655" s="321"/>
      <c r="B655" t="str">
        <f>'Quick View_ Sample Data'!P656</f>
        <v>MgO</v>
      </c>
      <c r="C655">
        <f>'Quick View_ Sample Data'!O656</f>
        <v>233</v>
      </c>
      <c r="D655">
        <f>'Quick View_ Sample Data'!AN656</f>
        <v>122.06462112808008</v>
      </c>
      <c r="E655">
        <f>'Quick View_ Sample Data'!O656</f>
        <v>233</v>
      </c>
      <c r="F655">
        <f>'Quick View_ Sample Data'!AO656</f>
        <v>0</v>
      </c>
      <c r="G655">
        <f>'Quick View_ Sample Data'!O656</f>
        <v>233</v>
      </c>
      <c r="H655">
        <f>'Quick View_ Sample Data'!AP656</f>
        <v>4.0571428571428569</v>
      </c>
      <c r="I655">
        <f>'Quick View_ Sample Data'!AF656</f>
        <v>2.84</v>
      </c>
      <c r="J655">
        <f>'Quick View_ Sample Data'!AJ656</f>
        <v>0</v>
      </c>
      <c r="K655">
        <f>'Quick View_ Sample Data'!AH656</f>
        <v>429.80500397211301</v>
      </c>
      <c r="L655">
        <f t="shared" si="10"/>
        <v>0</v>
      </c>
    </row>
    <row r="656" spans="1:12" ht="12.75" customHeight="1">
      <c r="A656" s="321"/>
      <c r="B656" t="str">
        <f>'Quick View_ Sample Data'!P657</f>
        <v>MgO</v>
      </c>
      <c r="C656">
        <f>'Quick View_ Sample Data'!O657</f>
        <v>233</v>
      </c>
      <c r="D656">
        <f>'Quick View_ Sample Data'!AN657</f>
        <v>135.76771100980457</v>
      </c>
      <c r="E656">
        <f>'Quick View_ Sample Data'!O657</f>
        <v>233</v>
      </c>
      <c r="F656">
        <f>'Quick View_ Sample Data'!AO657</f>
        <v>14554.298620251051</v>
      </c>
      <c r="G656">
        <f>'Quick View_ Sample Data'!O657</f>
        <v>233</v>
      </c>
      <c r="H656">
        <f>'Quick View_ Sample Data'!AP657</f>
        <v>4.1428571428571432</v>
      </c>
      <c r="I656">
        <f>'Quick View_ Sample Data'!AF657</f>
        <v>2.9</v>
      </c>
      <c r="J656">
        <f>'Quick View_ Sample Data'!AJ657</f>
        <v>10.72</v>
      </c>
      <c r="K656">
        <f>'Quick View_ Sample Data'!AH657</f>
        <v>468.16452072346402</v>
      </c>
      <c r="L656">
        <f t="shared" si="10"/>
        <v>31.088000000000001</v>
      </c>
    </row>
    <row r="657" spans="1:12" ht="12.75" customHeight="1">
      <c r="A657" s="321"/>
      <c r="B657" t="str">
        <f>'Quick View_ Sample Data'!P658</f>
        <v>MgO</v>
      </c>
      <c r="C657">
        <f>'Quick View_ Sample Data'!O658</f>
        <v>234</v>
      </c>
      <c r="D657">
        <f>'Quick View_ Sample Data'!AN658</f>
        <v>134.03537739167783</v>
      </c>
      <c r="E657">
        <f>'Quick View_ Sample Data'!O658</f>
        <v>234</v>
      </c>
      <c r="F657">
        <f>'Quick View_ Sample Data'!AO658</f>
        <v>13323.116512732775</v>
      </c>
      <c r="G657">
        <f>'Quick View_ Sample Data'!O658</f>
        <v>234</v>
      </c>
      <c r="H657">
        <f>'Quick View_ Sample Data'!AP658</f>
        <v>3.7999999999999994</v>
      </c>
      <c r="I657">
        <f>'Quick View_ Sample Data'!AF658</f>
        <v>2.09</v>
      </c>
      <c r="J657">
        <f>'Quick View_ Sample Data'!AJ658</f>
        <v>9.94</v>
      </c>
      <c r="K657">
        <f>'Quick View_ Sample Data'!AH658</f>
        <v>641.31759517549199</v>
      </c>
      <c r="L657">
        <f t="shared" si="10"/>
        <v>20.774599999999996</v>
      </c>
    </row>
    <row r="658" spans="1:12" ht="12.75" customHeight="1">
      <c r="A658" s="321"/>
      <c r="B658" t="str">
        <f>'Quick View_ Sample Data'!P659</f>
        <v>MgO</v>
      </c>
      <c r="C658">
        <f>'Quick View_ Sample Data'!O659</f>
        <v>234</v>
      </c>
      <c r="D658">
        <f>'Quick View_ Sample Data'!AN659</f>
        <v>134.84529844420234</v>
      </c>
      <c r="E658">
        <f>'Quick View_ Sample Data'!O659</f>
        <v>234</v>
      </c>
      <c r="F658">
        <f>'Quick View_ Sample Data'!AO659</f>
        <v>13241.808307220672</v>
      </c>
      <c r="G658">
        <f>'Quick View_ Sample Data'!O659</f>
        <v>234</v>
      </c>
      <c r="H658">
        <f>'Quick View_ Sample Data'!AP659</f>
        <v>3.8181818181818188</v>
      </c>
      <c r="I658">
        <f>'Quick View_ Sample Data'!AF659</f>
        <v>2.1</v>
      </c>
      <c r="J658">
        <f>'Quick View_ Sample Data'!AJ659</f>
        <v>9.82</v>
      </c>
      <c r="K658">
        <f>'Quick View_ Sample Data'!AH659</f>
        <v>642.12046878191597</v>
      </c>
      <c r="L658">
        <f t="shared" si="10"/>
        <v>20.622</v>
      </c>
    </row>
    <row r="659" spans="1:12" ht="12.75" customHeight="1">
      <c r="A659" s="321"/>
      <c r="B659" t="str">
        <f>'Quick View_ Sample Data'!P660</f>
        <v>MgO</v>
      </c>
      <c r="C659">
        <f>'Quick View_ Sample Data'!O660</f>
        <v>234</v>
      </c>
      <c r="D659">
        <f>'Quick View_ Sample Data'!AN660</f>
        <v>131.24708656474724</v>
      </c>
      <c r="E659">
        <f>'Quick View_ Sample Data'!O660</f>
        <v>234</v>
      </c>
      <c r="F659">
        <f>'Quick View_ Sample Data'!AO660</f>
        <v>12954.087443940552</v>
      </c>
      <c r="G659">
        <f>'Quick View_ Sample Data'!O660</f>
        <v>234</v>
      </c>
      <c r="H659">
        <f>'Quick View_ Sample Data'!AP660</f>
        <v>3.9090909090909092</v>
      </c>
      <c r="I659">
        <f>'Quick View_ Sample Data'!AF660</f>
        <v>2.15</v>
      </c>
      <c r="J659">
        <f>'Quick View_ Sample Data'!AJ660</f>
        <v>9.8699999999999992</v>
      </c>
      <c r="K659">
        <f>'Quick View_ Sample Data'!AH660</f>
        <v>610.45156541742904</v>
      </c>
      <c r="L659">
        <f t="shared" si="10"/>
        <v>21.220499999999998</v>
      </c>
    </row>
    <row r="660" spans="1:12" ht="12.75" customHeight="1">
      <c r="A660" s="321"/>
      <c r="B660" t="str">
        <f>'Quick View_ Sample Data'!P661</f>
        <v>MgO</v>
      </c>
      <c r="C660">
        <f>'Quick View_ Sample Data'!O661</f>
        <v>234</v>
      </c>
      <c r="D660">
        <f>'Quick View_ Sample Data'!AN661</f>
        <v>137.33545553861441</v>
      </c>
      <c r="E660">
        <f>'Quick View_ Sample Data'!O661</f>
        <v>234</v>
      </c>
      <c r="F660">
        <f>'Quick View_ Sample Data'!AO661</f>
        <v>13651.144280538272</v>
      </c>
      <c r="G660">
        <f>'Quick View_ Sample Data'!O661</f>
        <v>234</v>
      </c>
      <c r="H660">
        <f>'Quick View_ Sample Data'!AP661</f>
        <v>3.7999999999999994</v>
      </c>
      <c r="I660">
        <f>'Quick View_ Sample Data'!AF661</f>
        <v>2.09</v>
      </c>
      <c r="J660">
        <f>'Quick View_ Sample Data'!AJ661</f>
        <v>9.94</v>
      </c>
      <c r="K660">
        <f>'Quick View_ Sample Data'!AH661</f>
        <v>657.10744276849005</v>
      </c>
      <c r="L660">
        <f t="shared" si="10"/>
        <v>20.774599999999996</v>
      </c>
    </row>
    <row r="661" spans="1:12" ht="12.75" customHeight="1">
      <c r="A661" s="321"/>
      <c r="B661" t="str">
        <f>'Quick View_ Sample Data'!P662</f>
        <v>SINx</v>
      </c>
      <c r="C661">
        <f>'Quick View_ Sample Data'!O662</f>
        <v>235</v>
      </c>
      <c r="D661">
        <f>'Quick View_ Sample Data'!AN662</f>
        <v>0</v>
      </c>
      <c r="E661">
        <f>'Quick View_ Sample Data'!O662</f>
        <v>235</v>
      </c>
      <c r="F661">
        <f>'Quick View_ Sample Data'!AO662</f>
        <v>0</v>
      </c>
      <c r="G661">
        <f>'Quick View_ Sample Data'!O662</f>
        <v>235</v>
      </c>
      <c r="H661">
        <f>'Quick View_ Sample Data'!AP662</f>
        <v>0</v>
      </c>
      <c r="I661">
        <f>'Quick View_ Sample Data'!AF662</f>
        <v>0</v>
      </c>
      <c r="J661">
        <f>'Quick View_ Sample Data'!AJ662</f>
        <v>9.26</v>
      </c>
      <c r="K661">
        <f>'Quick View_ Sample Data'!AH662</f>
        <v>428.020840402283</v>
      </c>
      <c r="L661">
        <f t="shared" si="10"/>
        <v>0</v>
      </c>
    </row>
    <row r="662" spans="1:12" ht="12.75" customHeight="1">
      <c r="A662" s="321"/>
      <c r="B662" t="str">
        <f>'Quick View_ Sample Data'!P663</f>
        <v>MgO</v>
      </c>
      <c r="C662">
        <f>'Quick View_ Sample Data'!O663</f>
        <v>235</v>
      </c>
      <c r="D662">
        <f>'Quick View_ Sample Data'!AN663</f>
        <v>111.22832527035924</v>
      </c>
      <c r="E662">
        <f>'Quick View_ Sample Data'!O663</f>
        <v>235</v>
      </c>
      <c r="F662">
        <f>'Quick View_ Sample Data'!AO663</f>
        <v>0</v>
      </c>
      <c r="G662">
        <f>'Quick View_ Sample Data'!O663</f>
        <v>235</v>
      </c>
      <c r="H662">
        <f>'Quick View_ Sample Data'!AP663</f>
        <v>4.2583333333333337</v>
      </c>
      <c r="I662">
        <f>'Quick View_ Sample Data'!AF663</f>
        <v>5.1100000000000003</v>
      </c>
      <c r="J662">
        <f>'Quick View_ Sample Data'!AJ663</f>
        <v>0</v>
      </c>
      <c r="K662">
        <f>'Quick View_ Sample Data'!AH663</f>
        <v>217.667955519294</v>
      </c>
      <c r="L662">
        <f t="shared" si="10"/>
        <v>0</v>
      </c>
    </row>
    <row r="663" spans="1:12" ht="12.75" customHeight="1">
      <c r="A663" s="321"/>
      <c r="B663" t="str">
        <f>'Quick View_ Sample Data'!P664</f>
        <v>SiNx</v>
      </c>
      <c r="C663">
        <f>'Quick View_ Sample Data'!O664</f>
        <v>235</v>
      </c>
      <c r="D663">
        <f>'Quick View_ Sample Data'!AN664</f>
        <v>0</v>
      </c>
      <c r="E663">
        <f>'Quick View_ Sample Data'!O664</f>
        <v>235</v>
      </c>
      <c r="F663">
        <f>'Quick View_ Sample Data'!AO664</f>
        <v>0</v>
      </c>
      <c r="G663">
        <f>'Quick View_ Sample Data'!O664</f>
        <v>235</v>
      </c>
      <c r="H663">
        <f>'Quick View_ Sample Data'!AP664</f>
        <v>0</v>
      </c>
      <c r="I663">
        <f>'Quick View_ Sample Data'!AF664</f>
        <v>0</v>
      </c>
      <c r="J663">
        <f>'Quick View_ Sample Data'!AJ664</f>
        <v>9.32</v>
      </c>
      <c r="K663">
        <f>'Quick View_ Sample Data'!AH664</f>
        <v>426.77192590340201</v>
      </c>
      <c r="L663">
        <f t="shared" si="10"/>
        <v>0</v>
      </c>
    </row>
    <row r="664" spans="1:12" ht="12.75" customHeight="1">
      <c r="A664" s="321"/>
      <c r="B664" t="str">
        <f>'Quick View_ Sample Data'!P665</f>
        <v>SiNx</v>
      </c>
      <c r="C664">
        <f>'Quick View_ Sample Data'!O665</f>
        <v>235</v>
      </c>
      <c r="D664">
        <f>'Quick View_ Sample Data'!AN665</f>
        <v>0</v>
      </c>
      <c r="E664">
        <f>'Quick View_ Sample Data'!O665</f>
        <v>235</v>
      </c>
      <c r="F664">
        <f>'Quick View_ Sample Data'!AO665</f>
        <v>0</v>
      </c>
      <c r="G664">
        <f>'Quick View_ Sample Data'!O665</f>
        <v>235</v>
      </c>
      <c r="H664">
        <f>'Quick View_ Sample Data'!AP665</f>
        <v>0</v>
      </c>
      <c r="I664">
        <f>'Quick View_ Sample Data'!AF665</f>
        <v>0</v>
      </c>
      <c r="J664">
        <f>'Quick View_ Sample Data'!AJ665</f>
        <v>9.31</v>
      </c>
      <c r="K664">
        <f>'Quick View_ Sample Data'!AH665</f>
        <v>426.32588501094398</v>
      </c>
      <c r="L664">
        <f t="shared" si="10"/>
        <v>0</v>
      </c>
    </row>
    <row r="665" spans="1:12" ht="12.75" customHeight="1">
      <c r="A665" s="321"/>
      <c r="B665" t="str">
        <f>'Quick View_ Sample Data'!P666</f>
        <v>SiNx</v>
      </c>
      <c r="C665">
        <f>'Quick View_ Sample Data'!O666</f>
        <v>236</v>
      </c>
      <c r="D665">
        <f>'Quick View_ Sample Data'!AN666</f>
        <v>0</v>
      </c>
      <c r="E665">
        <f>'Quick View_ Sample Data'!O666</f>
        <v>236</v>
      </c>
      <c r="F665">
        <f>'Quick View_ Sample Data'!AO666</f>
        <v>0</v>
      </c>
      <c r="G665">
        <f>'Quick View_ Sample Data'!O666</f>
        <v>236</v>
      </c>
      <c r="H665">
        <f>'Quick View_ Sample Data'!AP666</f>
        <v>0</v>
      </c>
      <c r="I665">
        <f>'Quick View_ Sample Data'!AF666</f>
        <v>0</v>
      </c>
      <c r="J665">
        <f>'Quick View_ Sample Data'!AJ666</f>
        <v>0</v>
      </c>
      <c r="K665">
        <f>'Quick View_ Sample Data'!AH666</f>
        <v>39.046419725735603</v>
      </c>
      <c r="L665">
        <f t="shared" si="10"/>
        <v>0</v>
      </c>
    </row>
    <row r="666" spans="1:12" ht="12.75" customHeight="1">
      <c r="A666" s="321"/>
      <c r="B666" t="str">
        <f>'Quick View_ Sample Data'!P667</f>
        <v>SiNx</v>
      </c>
      <c r="C666">
        <f>'Quick View_ Sample Data'!O667</f>
        <v>236</v>
      </c>
      <c r="D666">
        <f>'Quick View_ Sample Data'!AN667</f>
        <v>0</v>
      </c>
      <c r="E666">
        <f>'Quick View_ Sample Data'!O667</f>
        <v>236</v>
      </c>
      <c r="F666">
        <f>'Quick View_ Sample Data'!AO667</f>
        <v>0</v>
      </c>
      <c r="G666">
        <f>'Quick View_ Sample Data'!O667</f>
        <v>236</v>
      </c>
      <c r="H666">
        <f>'Quick View_ Sample Data'!AP667</f>
        <v>0</v>
      </c>
      <c r="I666">
        <f>'Quick View_ Sample Data'!AF667</f>
        <v>0</v>
      </c>
      <c r="J666">
        <f>'Quick View_ Sample Data'!AJ667</f>
        <v>11.23</v>
      </c>
      <c r="K666">
        <f>'Quick View_ Sample Data'!AH667</f>
        <v>39.305123443360998</v>
      </c>
      <c r="L666">
        <f t="shared" si="10"/>
        <v>0</v>
      </c>
    </row>
    <row r="667" spans="1:12" ht="12.75" customHeight="1">
      <c r="A667" s="321"/>
      <c r="B667" t="str">
        <f>'Quick View_ Sample Data'!P668</f>
        <v>SiNx</v>
      </c>
      <c r="C667">
        <f>'Quick View_ Sample Data'!O668</f>
        <v>236</v>
      </c>
      <c r="D667">
        <f>'Quick View_ Sample Data'!AN668</f>
        <v>0</v>
      </c>
      <c r="E667">
        <f>'Quick View_ Sample Data'!O668</f>
        <v>236</v>
      </c>
      <c r="F667">
        <f>'Quick View_ Sample Data'!AO668</f>
        <v>0</v>
      </c>
      <c r="G667">
        <f>'Quick View_ Sample Data'!O668</f>
        <v>236</v>
      </c>
      <c r="H667">
        <f>'Quick View_ Sample Data'!AP668</f>
        <v>0</v>
      </c>
      <c r="I667">
        <f>'Quick View_ Sample Data'!AF668</f>
        <v>0</v>
      </c>
      <c r="J667">
        <f>'Quick View_ Sample Data'!AJ668</f>
        <v>0</v>
      </c>
      <c r="K667">
        <f>'Quick View_ Sample Data'!AH668</f>
        <v>38.957211547244</v>
      </c>
      <c r="L667">
        <f t="shared" si="10"/>
        <v>0</v>
      </c>
    </row>
    <row r="668" spans="1:12" ht="12.75" customHeight="1">
      <c r="A668" s="321"/>
      <c r="B668" t="str">
        <f>'Quick View_ Sample Data'!P669</f>
        <v>MgO</v>
      </c>
      <c r="C668">
        <f>'Quick View_ Sample Data'!O669</f>
        <v>236</v>
      </c>
      <c r="D668">
        <f>'Quick View_ Sample Data'!AN669</f>
        <v>108.05536877777278</v>
      </c>
      <c r="E668">
        <f>'Quick View_ Sample Data'!O669</f>
        <v>236</v>
      </c>
      <c r="F668">
        <f>'Quick View_ Sample Data'!AO669</f>
        <v>15451.91773522151</v>
      </c>
      <c r="G668">
        <f>'Quick View_ Sample Data'!O669</f>
        <v>236</v>
      </c>
      <c r="H668">
        <f>'Quick View_ Sample Data'!AP669</f>
        <v>2.3200000000000003</v>
      </c>
      <c r="I668">
        <f>'Quick View_ Sample Data'!AF669</f>
        <v>23.2</v>
      </c>
      <c r="J668">
        <f>'Quick View_ Sample Data'!AJ669</f>
        <v>14.3</v>
      </c>
      <c r="K668">
        <f>'Quick View_ Sample Data'!AH669</f>
        <v>46.575589990419303</v>
      </c>
      <c r="L668">
        <f t="shared" si="10"/>
        <v>331.76</v>
      </c>
    </row>
    <row r="669" spans="1:12" ht="12.75" customHeight="1">
      <c r="A669" s="321"/>
      <c r="B669" t="str">
        <f>'Quick View_ Sample Data'!P670</f>
        <v>MgO</v>
      </c>
      <c r="C669">
        <f>'Quick View_ Sample Data'!O670</f>
        <v>242</v>
      </c>
      <c r="D669">
        <f>'Quick View_ Sample Data'!AN670</f>
        <v>123.70123437068544</v>
      </c>
      <c r="E669">
        <f>'Quick View_ Sample Data'!O670</f>
        <v>242</v>
      </c>
      <c r="F669">
        <f>'Quick View_ Sample Data'!AO670</f>
        <v>14126.680965132276</v>
      </c>
      <c r="G669">
        <f>'Quick View_ Sample Data'!O670</f>
        <v>242</v>
      </c>
      <c r="H669">
        <f>'Quick View_ Sample Data'!AP670</f>
        <v>3.8000000000000003</v>
      </c>
      <c r="I669">
        <f>'Quick View_ Sample Data'!AF670</f>
        <v>2.66</v>
      </c>
      <c r="J669">
        <f>'Quick View_ Sample Data'!AJ670</f>
        <v>11.42</v>
      </c>
      <c r="K669">
        <f>'Quick View_ Sample Data'!AH670</f>
        <v>465.042234476261</v>
      </c>
      <c r="L669">
        <f t="shared" si="10"/>
        <v>30.377200000000002</v>
      </c>
    </row>
    <row r="670" spans="1:12" ht="12.75" customHeight="1">
      <c r="A670" s="321"/>
      <c r="B670" t="str">
        <f>'Quick View_ Sample Data'!P671</f>
        <v>MgO</v>
      </c>
      <c r="C670">
        <f>'Quick View_ Sample Data'!O671</f>
        <v>242</v>
      </c>
      <c r="D670">
        <f>'Quick View_ Sample Data'!AN671</f>
        <v>121.28422798263632</v>
      </c>
      <c r="E670">
        <f>'Quick View_ Sample Data'!O671</f>
        <v>242</v>
      </c>
      <c r="F670">
        <f>'Quick View_ Sample Data'!AO671</f>
        <v>0</v>
      </c>
      <c r="G670">
        <f>'Quick View_ Sample Data'!O671</f>
        <v>242</v>
      </c>
      <c r="H670">
        <f>'Quick View_ Sample Data'!AP671</f>
        <v>3.8285714285714292</v>
      </c>
      <c r="I670">
        <f>'Quick View_ Sample Data'!AF671</f>
        <v>2.68</v>
      </c>
      <c r="J670">
        <f>'Quick View_ Sample Data'!AJ671</f>
        <v>0</v>
      </c>
      <c r="K670">
        <f>'Quick View_ Sample Data'!AH671</f>
        <v>452.55308948744897</v>
      </c>
      <c r="L670">
        <f t="shared" si="10"/>
        <v>0</v>
      </c>
    </row>
    <row r="671" spans="1:12" ht="12.75" customHeight="1">
      <c r="A671" s="321"/>
      <c r="B671" t="str">
        <f>'Quick View_ Sample Data'!P672</f>
        <v>MgO</v>
      </c>
      <c r="C671">
        <f>'Quick View_ Sample Data'!O672</f>
        <v>242</v>
      </c>
      <c r="D671">
        <f>'Quick View_ Sample Data'!AN672</f>
        <v>146.2129182130189</v>
      </c>
      <c r="E671">
        <f>'Quick View_ Sample Data'!O672</f>
        <v>242</v>
      </c>
      <c r="F671">
        <f>'Quick View_ Sample Data'!AO672</f>
        <v>0</v>
      </c>
      <c r="G671">
        <f>'Quick View_ Sample Data'!O672</f>
        <v>242</v>
      </c>
      <c r="H671">
        <f>'Quick View_ Sample Data'!AP672</f>
        <v>3.8714285714285714</v>
      </c>
      <c r="I671">
        <f>'Quick View_ Sample Data'!AF672</f>
        <v>2.71</v>
      </c>
      <c r="J671">
        <f>'Quick View_ Sample Data'!AJ672</f>
        <v>0</v>
      </c>
      <c r="K671">
        <f>'Quick View_ Sample Data'!AH672</f>
        <v>539.53106351667498</v>
      </c>
      <c r="L671">
        <f t="shared" si="10"/>
        <v>0</v>
      </c>
    </row>
    <row r="672" spans="1:12" ht="12.75" customHeight="1">
      <c r="A672" s="321"/>
      <c r="B672" t="str">
        <f>'Quick View_ Sample Data'!P673</f>
        <v>MgO</v>
      </c>
      <c r="C672">
        <f>'Quick View_ Sample Data'!O673</f>
        <v>242</v>
      </c>
      <c r="D672">
        <f>'Quick View_ Sample Data'!AN673</f>
        <v>124.53568767229505</v>
      </c>
      <c r="E672">
        <f>'Quick View_ Sample Data'!O673</f>
        <v>242</v>
      </c>
      <c r="F672">
        <f>'Quick View_ Sample Data'!AO673</f>
        <v>0</v>
      </c>
      <c r="G672">
        <f>'Quick View_ Sample Data'!O673</f>
        <v>242</v>
      </c>
      <c r="H672">
        <f>'Quick View_ Sample Data'!AP673</f>
        <v>3.8285714285714292</v>
      </c>
      <c r="I672">
        <f>'Quick View_ Sample Data'!AF673</f>
        <v>2.68</v>
      </c>
      <c r="J672">
        <f>'Quick View_ Sample Data'!AJ673</f>
        <v>0</v>
      </c>
      <c r="K672">
        <f>'Quick View_ Sample Data'!AH673</f>
        <v>464.68540176229499</v>
      </c>
      <c r="L672">
        <f t="shared" si="10"/>
        <v>0</v>
      </c>
    </row>
    <row r="673" spans="1:12" ht="12.75" customHeight="1">
      <c r="A673" s="321"/>
      <c r="B673" t="str">
        <f>'Quick View_ Sample Data'!P674</f>
        <v>MgO</v>
      </c>
      <c r="C673">
        <f>'Quick View_ Sample Data'!O674</f>
        <v>244</v>
      </c>
      <c r="D673">
        <f>'Quick View_ Sample Data'!AN674</f>
        <v>126.68988676650822</v>
      </c>
      <c r="E673">
        <f>'Quick View_ Sample Data'!O674</f>
        <v>244</v>
      </c>
      <c r="F673">
        <f>'Quick View_ Sample Data'!AO674</f>
        <v>15012.751581831224</v>
      </c>
      <c r="G673">
        <f>'Quick View_ Sample Data'!O674</f>
        <v>244</v>
      </c>
      <c r="H673">
        <f>'Quick View_ Sample Data'!AP674</f>
        <v>4</v>
      </c>
      <c r="I673">
        <f>'Quick View_ Sample Data'!AF674</f>
        <v>2.8</v>
      </c>
      <c r="J673">
        <f>'Quick View_ Sample Data'!AJ674</f>
        <v>11.85</v>
      </c>
      <c r="K673">
        <f>'Quick View_ Sample Data'!AH674</f>
        <v>452.46388130895798</v>
      </c>
      <c r="L673">
        <f t="shared" si="10"/>
        <v>33.18</v>
      </c>
    </row>
    <row r="674" spans="1:12" ht="12.75" customHeight="1">
      <c r="A674" s="321"/>
      <c r="B674" t="str">
        <f>'Quick View_ Sample Data'!P675</f>
        <v>MgO</v>
      </c>
      <c r="C674">
        <f>'Quick View_ Sample Data'!O675</f>
        <v>244</v>
      </c>
      <c r="D674">
        <f>'Quick View_ Sample Data'!AN675</f>
        <v>138.60649366576146</v>
      </c>
      <c r="E674">
        <f>'Quick View_ Sample Data'!O675</f>
        <v>244</v>
      </c>
      <c r="F674">
        <f>'Quick View_ Sample Data'!AO675</f>
        <v>15717.97638169735</v>
      </c>
      <c r="G674">
        <f>'Quick View_ Sample Data'!O675</f>
        <v>244</v>
      </c>
      <c r="H674">
        <f>'Quick View_ Sample Data'!AP675</f>
        <v>3.9714285714285715</v>
      </c>
      <c r="I674">
        <f>'Quick View_ Sample Data'!AF675</f>
        <v>2.78</v>
      </c>
      <c r="J674">
        <f>'Quick View_ Sample Data'!AJ675</f>
        <v>11.34</v>
      </c>
      <c r="K674">
        <f>'Quick View_ Sample Data'!AH675</f>
        <v>498.58450958907002</v>
      </c>
      <c r="L674">
        <f t="shared" si="10"/>
        <v>31.525199999999998</v>
      </c>
    </row>
    <row r="675" spans="1:12" ht="12.75" customHeight="1">
      <c r="A675" s="321"/>
      <c r="B675" t="str">
        <f>'Quick View_ Sample Data'!P676</f>
        <v>MgO</v>
      </c>
      <c r="C675">
        <f>'Quick View_ Sample Data'!O676</f>
        <v>244</v>
      </c>
      <c r="D675">
        <f>'Quick View_ Sample Data'!AN676</f>
        <v>139.89157316020317</v>
      </c>
      <c r="E675">
        <f>'Quick View_ Sample Data'!O676</f>
        <v>244</v>
      </c>
      <c r="F675">
        <f>'Quick View_ Sample Data'!AO676</f>
        <v>15919.661025631121</v>
      </c>
      <c r="G675">
        <f>'Quick View_ Sample Data'!O676</f>
        <v>244</v>
      </c>
      <c r="H675">
        <f>'Quick View_ Sample Data'!AP676</f>
        <v>3.9857142857142862</v>
      </c>
      <c r="I675">
        <f>'Quick View_ Sample Data'!AF676</f>
        <v>2.79</v>
      </c>
      <c r="J675">
        <f>'Quick View_ Sample Data'!AJ676</f>
        <v>11.38</v>
      </c>
      <c r="K675">
        <f>'Quick View_ Sample Data'!AH676</f>
        <v>501.40348802940201</v>
      </c>
      <c r="L675">
        <f t="shared" si="10"/>
        <v>31.750200000000003</v>
      </c>
    </row>
    <row r="676" spans="1:12" ht="12.75" customHeight="1">
      <c r="A676" s="321"/>
      <c r="B676" t="str">
        <f>'Quick View_ Sample Data'!P677</f>
        <v>MgO</v>
      </c>
      <c r="C676">
        <f>'Quick View_ Sample Data'!O677</f>
        <v>244</v>
      </c>
      <c r="D676">
        <f>'Quick View_ Sample Data'!AN677</f>
        <v>140.92269481211528</v>
      </c>
      <c r="E676">
        <f>'Quick View_ Sample Data'!O677</f>
        <v>244</v>
      </c>
      <c r="F676">
        <f>'Quick View_ Sample Data'!AO677</f>
        <v>15994.725861175084</v>
      </c>
      <c r="G676">
        <f>'Quick View_ Sample Data'!O677</f>
        <v>244</v>
      </c>
      <c r="H676">
        <f>'Quick View_ Sample Data'!AP677</f>
        <v>4.0428571428571436</v>
      </c>
      <c r="I676">
        <f>'Quick View_ Sample Data'!AF677</f>
        <v>2.83</v>
      </c>
      <c r="J676">
        <f>'Quick View_ Sample Data'!AJ677</f>
        <v>11.35</v>
      </c>
      <c r="K676">
        <f>'Quick View_ Sample Data'!AH677</f>
        <v>497.96005233963001</v>
      </c>
      <c r="L676">
        <f t="shared" si="10"/>
        <v>32.1205</v>
      </c>
    </row>
    <row r="677" spans="1:12" ht="12.75" customHeight="1">
      <c r="A677" s="321"/>
      <c r="B677" t="str">
        <f>'Quick View_ Sample Data'!P678</f>
        <v>MgO</v>
      </c>
      <c r="C677">
        <f>'Quick View_ Sample Data'!O678</f>
        <v>245</v>
      </c>
      <c r="D677">
        <f>'Quick View_ Sample Data'!AN678</f>
        <v>124.69742209990011</v>
      </c>
      <c r="E677">
        <f>'Quick View_ Sample Data'!O678</f>
        <v>245</v>
      </c>
      <c r="F677">
        <f>'Quick View_ Sample Data'!AO678</f>
        <v>0</v>
      </c>
      <c r="G677">
        <f>'Quick View_ Sample Data'!O678</f>
        <v>245</v>
      </c>
      <c r="H677">
        <f>'Quick View_ Sample Data'!AP678</f>
        <v>3.9285714285714288</v>
      </c>
      <c r="I677">
        <f>'Quick View_ Sample Data'!AF678</f>
        <v>2.75</v>
      </c>
      <c r="J677">
        <f>'Quick View_ Sample Data'!AJ678</f>
        <v>0</v>
      </c>
      <c r="K677">
        <f>'Quick View_ Sample Data'!AH678</f>
        <v>453.44517127236401</v>
      </c>
      <c r="L677">
        <f t="shared" si="10"/>
        <v>0</v>
      </c>
    </row>
    <row r="678" spans="1:12" ht="12.75" customHeight="1">
      <c r="A678" s="321"/>
      <c r="B678" t="str">
        <f>'Quick View_ Sample Data'!P679</f>
        <v>MgO</v>
      </c>
      <c r="C678">
        <f>'Quick View_ Sample Data'!O679</f>
        <v>245</v>
      </c>
      <c r="D678">
        <f>'Quick View_ Sample Data'!AN679</f>
        <v>115.34037625792544</v>
      </c>
      <c r="E678">
        <f>'Quick View_ Sample Data'!O679</f>
        <v>245</v>
      </c>
      <c r="F678">
        <f>'Quick View_ Sample Data'!AO679</f>
        <v>0</v>
      </c>
      <c r="G678">
        <f>'Quick View_ Sample Data'!O679</f>
        <v>245</v>
      </c>
      <c r="H678">
        <f>'Quick View_ Sample Data'!AP679</f>
        <v>3.7857142857142856</v>
      </c>
      <c r="I678">
        <f>'Quick View_ Sample Data'!AF679</f>
        <v>2.65</v>
      </c>
      <c r="J678">
        <f>'Quick View_ Sample Data'!AJ679</f>
        <v>0</v>
      </c>
      <c r="K678">
        <f>'Quick View_ Sample Data'!AH679</f>
        <v>435.24670286009598</v>
      </c>
      <c r="L678">
        <f t="shared" si="10"/>
        <v>0</v>
      </c>
    </row>
    <row r="679" spans="1:12" ht="12.75" customHeight="1">
      <c r="A679" s="321"/>
      <c r="B679" t="str">
        <f>'Quick View_ Sample Data'!P680</f>
        <v>MgO</v>
      </c>
      <c r="C679">
        <f>'Quick View_ Sample Data'!O680</f>
        <v>245</v>
      </c>
      <c r="D679">
        <f>'Quick View_ Sample Data'!AN680</f>
        <v>116.33745606892505</v>
      </c>
      <c r="E679">
        <f>'Quick View_ Sample Data'!O680</f>
        <v>245</v>
      </c>
      <c r="F679">
        <f>'Quick View_ Sample Data'!AO680</f>
        <v>13809.256035381402</v>
      </c>
      <c r="G679">
        <f>'Quick View_ Sample Data'!O680</f>
        <v>245</v>
      </c>
      <c r="H679">
        <f>'Quick View_ Sample Data'!AP680</f>
        <v>3.842857142857143</v>
      </c>
      <c r="I679">
        <f>'Quick View_ Sample Data'!AF680</f>
        <v>2.69</v>
      </c>
      <c r="J679">
        <f>'Quick View_ Sample Data'!AJ680</f>
        <v>11.87</v>
      </c>
      <c r="K679">
        <f>'Quick View_ Sample Data'!AH680</f>
        <v>432.48124932685897</v>
      </c>
      <c r="L679">
        <f t="shared" si="10"/>
        <v>31.930299999999999</v>
      </c>
    </row>
    <row r="680" spans="1:12" ht="12.75" customHeight="1">
      <c r="A680" s="321"/>
      <c r="B680" t="str">
        <f>'Quick View_ Sample Data'!P681</f>
        <v>MgO</v>
      </c>
      <c r="C680">
        <f>'Quick View_ Sample Data'!O681</f>
        <v>245</v>
      </c>
      <c r="D680">
        <f>'Quick View_ Sample Data'!AN681</f>
        <v>120.03977389267978</v>
      </c>
      <c r="E680">
        <f>'Quick View_ Sample Data'!O681</f>
        <v>245</v>
      </c>
      <c r="F680">
        <f>'Quick View_ Sample Data'!AO681</f>
        <v>13876.597861993783</v>
      </c>
      <c r="G680">
        <f>'Quick View_ Sample Data'!O681</f>
        <v>245</v>
      </c>
      <c r="H680">
        <f>'Quick View_ Sample Data'!AP681</f>
        <v>3.914285714285715</v>
      </c>
      <c r="I680">
        <f>'Quick View_ Sample Data'!AF681</f>
        <v>2.74</v>
      </c>
      <c r="J680">
        <f>'Quick View_ Sample Data'!AJ681</f>
        <v>11.56</v>
      </c>
      <c r="K680">
        <f>'Quick View_ Sample Data'!AH681</f>
        <v>438.10136457182398</v>
      </c>
      <c r="L680">
        <f t="shared" si="10"/>
        <v>31.674400000000002</v>
      </c>
    </row>
    <row r="681" spans="1:12" ht="12.75" customHeight="1">
      <c r="A681" s="321"/>
      <c r="B681" t="str">
        <f>'Quick View_ Sample Data'!P682</f>
        <v>MgO</v>
      </c>
      <c r="C681">
        <f>'Quick View_ Sample Data'!O682</f>
        <v>246</v>
      </c>
      <c r="D681">
        <f>'Quick View_ Sample Data'!AN682</f>
        <v>143.36111116300225</v>
      </c>
      <c r="E681">
        <f>'Quick View_ Sample Data'!O682</f>
        <v>246</v>
      </c>
      <c r="F681">
        <f>'Quick View_ Sample Data'!AO682</f>
        <v>15196.277783278236</v>
      </c>
      <c r="G681">
        <f>'Quick View_ Sample Data'!O682</f>
        <v>246</v>
      </c>
      <c r="H681">
        <f>'Quick View_ Sample Data'!AP682</f>
        <v>4</v>
      </c>
      <c r="I681">
        <f>'Quick View_ Sample Data'!AF682</f>
        <v>2.4</v>
      </c>
      <c r="J681">
        <f>'Quick View_ Sample Data'!AJ682</f>
        <v>10.6</v>
      </c>
      <c r="K681">
        <f>'Quick View_ Sample Data'!AH682</f>
        <v>597.33796317917597</v>
      </c>
      <c r="L681">
        <f t="shared" si="10"/>
        <v>25.439999999999998</v>
      </c>
    </row>
    <row r="682" spans="1:12" ht="12.75" customHeight="1">
      <c r="A682" s="321"/>
      <c r="B682" t="str">
        <f>'Quick View_ Sample Data'!P683</f>
        <v>Al2O3</v>
      </c>
      <c r="C682">
        <f>'Quick View_ Sample Data'!O683</f>
        <v>246</v>
      </c>
      <c r="D682">
        <f>'Quick View_ Sample Data'!AN683</f>
        <v>231.4459802709508</v>
      </c>
      <c r="E682">
        <f>'Quick View_ Sample Data'!O683</f>
        <v>246</v>
      </c>
      <c r="F682">
        <f>'Quick View_ Sample Data'!AO683</f>
        <v>0</v>
      </c>
      <c r="G682">
        <f>'Quick View_ Sample Data'!O683</f>
        <v>246</v>
      </c>
      <c r="H682">
        <f>'Quick View_ Sample Data'!AP683</f>
        <v>4.3</v>
      </c>
      <c r="I682">
        <f>'Quick View_ Sample Data'!AF683</f>
        <v>2.58</v>
      </c>
      <c r="J682">
        <f>'Quick View_ Sample Data'!AJ683</f>
        <v>0</v>
      </c>
      <c r="K682">
        <f>'Quick View_ Sample Data'!AH683</f>
        <v>897.07744291066194</v>
      </c>
      <c r="L682">
        <f t="shared" si="10"/>
        <v>0</v>
      </c>
    </row>
    <row r="683" spans="1:12" ht="12.75" customHeight="1">
      <c r="A683" s="321"/>
      <c r="B683" t="str">
        <f>'Quick View_ Sample Data'!P684</f>
        <v>MgO</v>
      </c>
      <c r="C683">
        <f>'Quick View_ Sample Data'!O684</f>
        <v>246</v>
      </c>
      <c r="D683">
        <f>'Quick View_ Sample Data'!AN684</f>
        <v>156.3241299959611</v>
      </c>
      <c r="E683">
        <f>'Quick View_ Sample Data'!O684</f>
        <v>246</v>
      </c>
      <c r="F683">
        <f>'Quick View_ Sample Data'!AO684</f>
        <v>16273.341932579551</v>
      </c>
      <c r="G683">
        <f>'Quick View_ Sample Data'!O684</f>
        <v>246</v>
      </c>
      <c r="H683">
        <f>'Quick View_ Sample Data'!AP684</f>
        <v>3.7333333333333338</v>
      </c>
      <c r="I683">
        <f>'Quick View_ Sample Data'!AF684</f>
        <v>2.2400000000000002</v>
      </c>
      <c r="J683">
        <f>'Quick View_ Sample Data'!AJ684</f>
        <v>10.41</v>
      </c>
      <c r="K683">
        <f>'Quick View_ Sample Data'!AH684</f>
        <v>697.87558033911205</v>
      </c>
      <c r="L683">
        <f t="shared" si="10"/>
        <v>23.318400000000004</v>
      </c>
    </row>
    <row r="684" spans="1:12" ht="12.75" customHeight="1">
      <c r="A684" s="321"/>
      <c r="B684" t="str">
        <f>'Quick View_ Sample Data'!P685</f>
        <v>Al2O3</v>
      </c>
      <c r="C684">
        <f>'Quick View_ Sample Data'!O685</f>
        <v>246</v>
      </c>
      <c r="D684">
        <f>'Quick View_ Sample Data'!AN685</f>
        <v>239.31735310832809</v>
      </c>
      <c r="E684">
        <f>'Quick View_ Sample Data'!O685</f>
        <v>246</v>
      </c>
      <c r="F684">
        <f>'Quick View_ Sample Data'!AO685</f>
        <v>0</v>
      </c>
      <c r="G684">
        <f>'Quick View_ Sample Data'!O685</f>
        <v>246</v>
      </c>
      <c r="H684">
        <f>'Quick View_ Sample Data'!AP685</f>
        <v>4.3</v>
      </c>
      <c r="I684">
        <f>'Quick View_ Sample Data'!AF685</f>
        <v>2.58</v>
      </c>
      <c r="J684">
        <f>'Quick View_ Sample Data'!AJ685</f>
        <v>0</v>
      </c>
      <c r="K684">
        <f>'Quick View_ Sample Data'!AH685</f>
        <v>927.58663995476002</v>
      </c>
      <c r="L684">
        <f t="shared" si="10"/>
        <v>0</v>
      </c>
    </row>
    <row r="685" spans="1:12" ht="12.75" customHeight="1">
      <c r="A685" s="321"/>
      <c r="B685" t="str">
        <f>'Quick View_ Sample Data'!P686</f>
        <v>SiNx</v>
      </c>
      <c r="C685">
        <f>'Quick View_ Sample Data'!O686</f>
        <v>247</v>
      </c>
      <c r="D685">
        <f>'Quick View_ Sample Data'!AN686</f>
        <v>0</v>
      </c>
      <c r="E685">
        <f>'Quick View_ Sample Data'!O686</f>
        <v>247</v>
      </c>
      <c r="F685">
        <f>'Quick View_ Sample Data'!AO686</f>
        <v>0</v>
      </c>
      <c r="G685">
        <f>'Quick View_ Sample Data'!O686</f>
        <v>247</v>
      </c>
      <c r="H685">
        <f>'Quick View_ Sample Data'!AP686</f>
        <v>0</v>
      </c>
      <c r="I685">
        <f>'Quick View_ Sample Data'!AF686</f>
        <v>0</v>
      </c>
      <c r="J685">
        <f>'Quick View_ Sample Data'!AJ686</f>
        <v>10.77</v>
      </c>
      <c r="K685">
        <f>'Quick View_ Sample Data'!AH686</f>
        <v>439.70711178467099</v>
      </c>
      <c r="L685">
        <f t="shared" si="10"/>
        <v>0</v>
      </c>
    </row>
    <row r="686" spans="1:12" ht="12.75" customHeight="1">
      <c r="A686" s="321"/>
      <c r="B686" t="str">
        <f>'Quick View_ Sample Data'!P687</f>
        <v>SiNx</v>
      </c>
      <c r="C686">
        <f>'Quick View_ Sample Data'!O687</f>
        <v>247</v>
      </c>
      <c r="D686">
        <f>'Quick View_ Sample Data'!AN687</f>
        <v>0</v>
      </c>
      <c r="E686">
        <f>'Quick View_ Sample Data'!O687</f>
        <v>247</v>
      </c>
      <c r="F686">
        <f>'Quick View_ Sample Data'!AO687</f>
        <v>0</v>
      </c>
      <c r="G686">
        <f>'Quick View_ Sample Data'!O687</f>
        <v>247</v>
      </c>
      <c r="H686">
        <f>'Quick View_ Sample Data'!AP687</f>
        <v>0</v>
      </c>
      <c r="I686">
        <f>'Quick View_ Sample Data'!AF687</f>
        <v>0</v>
      </c>
      <c r="J686">
        <f>'Quick View_ Sample Data'!AJ687</f>
        <v>10.75</v>
      </c>
      <c r="K686">
        <f>'Quick View_ Sample Data'!AH687</f>
        <v>436.049576466519</v>
      </c>
      <c r="L686">
        <f t="shared" si="10"/>
        <v>0</v>
      </c>
    </row>
    <row r="687" spans="1:12" ht="12.75" customHeight="1">
      <c r="A687" s="321"/>
      <c r="B687" t="str">
        <f>'Quick View_ Sample Data'!P688</f>
        <v>MgO</v>
      </c>
      <c r="C687">
        <f>'Quick View_ Sample Data'!O688</f>
        <v>247</v>
      </c>
      <c r="D687">
        <f>'Quick View_ Sample Data'!AN688</f>
        <v>136.41893071279242</v>
      </c>
      <c r="E687">
        <f>'Quick View_ Sample Data'!O688</f>
        <v>247</v>
      </c>
      <c r="F687">
        <f>'Quick View_ Sample Data'!AO688</f>
        <v>0</v>
      </c>
      <c r="G687">
        <f>'Quick View_ Sample Data'!O688</f>
        <v>247</v>
      </c>
      <c r="H687">
        <f>'Quick View_ Sample Data'!AP688</f>
        <v>3.8499999999999996</v>
      </c>
      <c r="I687">
        <f>'Quick View_ Sample Data'!AF688</f>
        <v>4.62</v>
      </c>
      <c r="J687">
        <f>'Quick View_ Sample Data'!AJ688</f>
        <v>0</v>
      </c>
      <c r="K687">
        <f>'Quick View_ Sample Data'!AH688</f>
        <v>295.27907080691</v>
      </c>
      <c r="L687">
        <f t="shared" si="10"/>
        <v>0</v>
      </c>
    </row>
    <row r="688" spans="1:12" ht="12.75" customHeight="1">
      <c r="A688" s="321"/>
      <c r="B688" t="str">
        <f>'Quick View_ Sample Data'!P689</f>
        <v>SiNx</v>
      </c>
      <c r="C688">
        <f>'Quick View_ Sample Data'!O689</f>
        <v>247</v>
      </c>
      <c r="D688">
        <f>'Quick View_ Sample Data'!AN689</f>
        <v>0</v>
      </c>
      <c r="E688">
        <f>'Quick View_ Sample Data'!O689</f>
        <v>247</v>
      </c>
      <c r="F688">
        <f>'Quick View_ Sample Data'!AO689</f>
        <v>0</v>
      </c>
      <c r="G688">
        <f>'Quick View_ Sample Data'!O689</f>
        <v>247</v>
      </c>
      <c r="H688">
        <f>'Quick View_ Sample Data'!AP689</f>
        <v>0</v>
      </c>
      <c r="I688">
        <f>'Quick View_ Sample Data'!AF689</f>
        <v>0</v>
      </c>
      <c r="J688">
        <f>'Quick View_ Sample Data'!AJ689</f>
        <v>0</v>
      </c>
      <c r="K688">
        <f>'Quick View_ Sample Data'!AH689</f>
        <v>437.56611550087501</v>
      </c>
      <c r="L688">
        <f t="shared" si="10"/>
        <v>0</v>
      </c>
    </row>
    <row r="689" spans="1:12" ht="12.75" customHeight="1">
      <c r="A689" s="321"/>
      <c r="B689" t="str">
        <f>'Quick View_ Sample Data'!P690</f>
        <v>SiNx</v>
      </c>
      <c r="C689">
        <f>'Quick View_ Sample Data'!O690</f>
        <v>249</v>
      </c>
      <c r="D689">
        <f>'Quick View_ Sample Data'!AN690</f>
        <v>0</v>
      </c>
      <c r="E689">
        <f>'Quick View_ Sample Data'!O690</f>
        <v>249</v>
      </c>
      <c r="F689">
        <f>'Quick View_ Sample Data'!AO690</f>
        <v>0</v>
      </c>
      <c r="G689">
        <f>'Quick View_ Sample Data'!O690</f>
        <v>249</v>
      </c>
      <c r="H689">
        <f>'Quick View_ Sample Data'!AP690</f>
        <v>0</v>
      </c>
      <c r="I689">
        <f>'Quick View_ Sample Data'!AF690</f>
        <v>0</v>
      </c>
      <c r="J689">
        <f>'Quick View_ Sample Data'!AJ690</f>
        <v>10.41</v>
      </c>
      <c r="K689">
        <f>'Quick View_ Sample Data'!AH690</f>
        <v>512.32256907676299</v>
      </c>
      <c r="L689">
        <f t="shared" si="10"/>
        <v>0</v>
      </c>
    </row>
    <row r="690" spans="1:12" ht="12.75" customHeight="1">
      <c r="A690" s="321"/>
      <c r="B690" t="str">
        <f>'Quick View_ Sample Data'!P691</f>
        <v>SiNx</v>
      </c>
      <c r="C690">
        <f>'Quick View_ Sample Data'!O691</f>
        <v>249</v>
      </c>
      <c r="D690">
        <f>'Quick View_ Sample Data'!AN691</f>
        <v>0</v>
      </c>
      <c r="E690">
        <f>'Quick View_ Sample Data'!O691</f>
        <v>249</v>
      </c>
      <c r="F690">
        <f>'Quick View_ Sample Data'!AO691</f>
        <v>0</v>
      </c>
      <c r="G690">
        <f>'Quick View_ Sample Data'!O691</f>
        <v>249</v>
      </c>
      <c r="H690">
        <f>'Quick View_ Sample Data'!AP691</f>
        <v>0</v>
      </c>
      <c r="I690">
        <f>'Quick View_ Sample Data'!AF691</f>
        <v>0</v>
      </c>
      <c r="J690">
        <f>'Quick View_ Sample Data'!AJ691</f>
        <v>10.45</v>
      </c>
      <c r="K690">
        <f>'Quick View_ Sample Data'!AH691</f>
        <v>503.84779212006998</v>
      </c>
      <c r="L690">
        <f t="shared" si="10"/>
        <v>0</v>
      </c>
    </row>
    <row r="691" spans="1:12" ht="12.75" customHeight="1">
      <c r="A691" s="321"/>
      <c r="B691" t="str">
        <f>'Quick View_ Sample Data'!P692</f>
        <v>SiNx</v>
      </c>
      <c r="C691">
        <f>'Quick View_ Sample Data'!O692</f>
        <v>249</v>
      </c>
      <c r="D691">
        <f>'Quick View_ Sample Data'!AN692</f>
        <v>0</v>
      </c>
      <c r="E691">
        <f>'Quick View_ Sample Data'!O692</f>
        <v>249</v>
      </c>
      <c r="F691">
        <f>'Quick View_ Sample Data'!AO692</f>
        <v>0</v>
      </c>
      <c r="G691">
        <f>'Quick View_ Sample Data'!O692</f>
        <v>249</v>
      </c>
      <c r="H691">
        <f>'Quick View_ Sample Data'!AP692</f>
        <v>0</v>
      </c>
      <c r="I691">
        <f>'Quick View_ Sample Data'!AF692</f>
        <v>0</v>
      </c>
      <c r="J691">
        <f>'Quick View_ Sample Data'!AJ692</f>
        <v>10.35</v>
      </c>
      <c r="K691">
        <f>'Quick View_ Sample Data'!AH692</f>
        <v>512.41177725525495</v>
      </c>
      <c r="L691">
        <f t="shared" si="10"/>
        <v>0</v>
      </c>
    </row>
    <row r="692" spans="1:12" ht="12.75" customHeight="1">
      <c r="A692" s="321"/>
      <c r="B692" t="str">
        <f>'Quick View_ Sample Data'!P693</f>
        <v>Al2O3</v>
      </c>
      <c r="C692">
        <f>'Quick View_ Sample Data'!O693</f>
        <v>249</v>
      </c>
      <c r="D692">
        <f>'Quick View_ Sample Data'!AN693</f>
        <v>171.58443784143358</v>
      </c>
      <c r="E692">
        <f>'Quick View_ Sample Data'!O693</f>
        <v>249</v>
      </c>
      <c r="F692">
        <f>'Quick View_ Sample Data'!AO693</f>
        <v>21362.262511258479</v>
      </c>
      <c r="G692">
        <f>'Quick View_ Sample Data'!O693</f>
        <v>249</v>
      </c>
      <c r="H692">
        <f>'Quick View_ Sample Data'!AP693</f>
        <v>4.4000000000000004</v>
      </c>
      <c r="I692">
        <f>'Quick View_ Sample Data'!AF693</f>
        <v>4.84</v>
      </c>
      <c r="J692">
        <f>'Quick View_ Sample Data'!AJ693</f>
        <v>12.45</v>
      </c>
      <c r="K692">
        <f>'Quick View_ Sample Data'!AH693</f>
        <v>354.51330132527602</v>
      </c>
      <c r="L692">
        <f t="shared" si="10"/>
        <v>60.257999999999996</v>
      </c>
    </row>
    <row r="693" spans="1:12" ht="12.75" customHeight="1">
      <c r="A693" s="321"/>
      <c r="B693" t="str">
        <f>'Quick View_ Sample Data'!P694</f>
        <v>MgO</v>
      </c>
      <c r="C693">
        <f>'Quick View_ Sample Data'!O694</f>
        <v>250</v>
      </c>
      <c r="D693">
        <f>'Quick View_ Sample Data'!AN694</f>
        <v>131.90553213019291</v>
      </c>
      <c r="E693">
        <f>'Quick View_ Sample Data'!O694</f>
        <v>250</v>
      </c>
      <c r="F693">
        <f>'Quick View_ Sample Data'!AO694</f>
        <v>0</v>
      </c>
      <c r="G693">
        <f>'Quick View_ Sample Data'!O694</f>
        <v>250</v>
      </c>
      <c r="H693">
        <f>'Quick View_ Sample Data'!AP694</f>
        <v>3.9571428571428573</v>
      </c>
      <c r="I693">
        <f>'Quick View_ Sample Data'!AF694</f>
        <v>2.77</v>
      </c>
      <c r="J693">
        <f>'Quick View_ Sample Data'!AJ694</f>
        <v>0</v>
      </c>
      <c r="K693">
        <f>'Quick View_ Sample Data'!AH694</f>
        <v>476.19325678770002</v>
      </c>
      <c r="L693">
        <f t="shared" si="10"/>
        <v>0</v>
      </c>
    </row>
    <row r="694" spans="1:12" ht="12.75" customHeight="1">
      <c r="A694" s="321"/>
      <c r="B694" t="str">
        <f>'Quick View_ Sample Data'!P695</f>
        <v>MgO</v>
      </c>
      <c r="C694">
        <f>'Quick View_ Sample Data'!O695</f>
        <v>250</v>
      </c>
      <c r="D694">
        <f>'Quick View_ Sample Data'!AN695</f>
        <v>119.11861024157653</v>
      </c>
      <c r="E694">
        <f>'Quick View_ Sample Data'!O695</f>
        <v>250</v>
      </c>
      <c r="F694">
        <f>'Quick View_ Sample Data'!AO695</f>
        <v>0</v>
      </c>
      <c r="G694">
        <f>'Quick View_ Sample Data'!O695</f>
        <v>250</v>
      </c>
      <c r="H694">
        <f>'Quick View_ Sample Data'!AP695</f>
        <v>3.9428571428571426</v>
      </c>
      <c r="I694">
        <f>'Quick View_ Sample Data'!AF695</f>
        <v>2.76</v>
      </c>
      <c r="J694">
        <f>'Quick View_ Sample Data'!AJ695</f>
        <v>0</v>
      </c>
      <c r="K694">
        <f>'Quick View_ Sample Data'!AH695</f>
        <v>431.58916754194399</v>
      </c>
      <c r="L694">
        <f t="shared" si="10"/>
        <v>0</v>
      </c>
    </row>
    <row r="695" spans="1:12" ht="12.75" customHeight="1">
      <c r="A695" s="321"/>
      <c r="B695" t="str">
        <f>'Quick View_ Sample Data'!P696</f>
        <v>MgO</v>
      </c>
      <c r="C695">
        <f>'Quick View_ Sample Data'!O696</f>
        <v>250</v>
      </c>
      <c r="D695">
        <f>'Quick View_ Sample Data'!AN696</f>
        <v>130.15107488380042</v>
      </c>
      <c r="E695">
        <f>'Quick View_ Sample Data'!O696</f>
        <v>250</v>
      </c>
      <c r="F695">
        <f>'Quick View_ Sample Data'!AO696</f>
        <v>0</v>
      </c>
      <c r="G695">
        <f>'Quick View_ Sample Data'!O696</f>
        <v>250</v>
      </c>
      <c r="H695">
        <f>'Quick View_ Sample Data'!AP696</f>
        <v>3.9571428571428573</v>
      </c>
      <c r="I695">
        <f>'Quick View_ Sample Data'!AF696</f>
        <v>2.77</v>
      </c>
      <c r="J695">
        <f>'Quick View_ Sample Data'!AJ696</f>
        <v>0</v>
      </c>
      <c r="K695">
        <f>'Quick View_ Sample Data'!AH696</f>
        <v>469.85947611480299</v>
      </c>
      <c r="L695">
        <f t="shared" si="10"/>
        <v>0</v>
      </c>
    </row>
    <row r="696" spans="1:12" ht="12.75" customHeight="1">
      <c r="A696" s="321"/>
      <c r="B696" t="str">
        <f>'Quick View_ Sample Data'!P697</f>
        <v>MgO</v>
      </c>
      <c r="C696">
        <f>'Quick View_ Sample Data'!O697</f>
        <v>250</v>
      </c>
      <c r="D696">
        <f>'Quick View_ Sample Data'!AN697</f>
        <v>118.14731159416075</v>
      </c>
      <c r="E696">
        <f>'Quick View_ Sample Data'!O697</f>
        <v>250</v>
      </c>
      <c r="F696">
        <f>'Quick View_ Sample Data'!AO697</f>
        <v>0</v>
      </c>
      <c r="G696">
        <f>'Quick View_ Sample Data'!O697</f>
        <v>250</v>
      </c>
      <c r="H696">
        <f>'Quick View_ Sample Data'!AP697</f>
        <v>3.9285714285714288</v>
      </c>
      <c r="I696">
        <f>'Quick View_ Sample Data'!AF697</f>
        <v>2.75</v>
      </c>
      <c r="J696">
        <f>'Quick View_ Sample Data'!AJ697</f>
        <v>0</v>
      </c>
      <c r="K696">
        <f>'Quick View_ Sample Data'!AH697</f>
        <v>429.62658761513001</v>
      </c>
      <c r="L696">
        <f t="shared" si="10"/>
        <v>0</v>
      </c>
    </row>
    <row r="697" spans="1:12" ht="12.75" customHeight="1">
      <c r="A697" s="321"/>
      <c r="B697" t="str">
        <f>'Quick View_ Sample Data'!P698</f>
        <v>MgO</v>
      </c>
      <c r="C697">
        <f>'Quick View_ Sample Data'!O698</f>
        <v>251</v>
      </c>
      <c r="D697">
        <f>'Quick View_ Sample Data'!AN698</f>
        <v>0</v>
      </c>
      <c r="E697">
        <f>'Quick View_ Sample Data'!O698</f>
        <v>251</v>
      </c>
      <c r="F697">
        <f>'Quick View_ Sample Data'!AO698</f>
        <v>0</v>
      </c>
      <c r="G697">
        <f>'Quick View_ Sample Data'!O698</f>
        <v>251</v>
      </c>
      <c r="H697">
        <f>'Quick View_ Sample Data'!AP698</f>
        <v>0</v>
      </c>
      <c r="I697">
        <f>'Quick View_ Sample Data'!AF698</f>
        <v>0</v>
      </c>
      <c r="J697">
        <f>'Quick View_ Sample Data'!AJ698</f>
        <v>0</v>
      </c>
      <c r="K697">
        <f>'Quick View_ Sample Data'!AH698</f>
        <v>0</v>
      </c>
      <c r="L697">
        <f t="shared" si="10"/>
        <v>0</v>
      </c>
    </row>
    <row r="698" spans="1:12" ht="12.75" customHeight="1">
      <c r="A698" s="321"/>
      <c r="B698" t="str">
        <f>'Quick View_ Sample Data'!P699</f>
        <v>MgO</v>
      </c>
      <c r="C698">
        <f>'Quick View_ Sample Data'!O699</f>
        <v>251</v>
      </c>
      <c r="D698">
        <f>'Quick View_ Sample Data'!AN699</f>
        <v>0</v>
      </c>
      <c r="E698">
        <f>'Quick View_ Sample Data'!O699</f>
        <v>251</v>
      </c>
      <c r="F698">
        <f>'Quick View_ Sample Data'!AO699</f>
        <v>0</v>
      </c>
      <c r="G698">
        <f>'Quick View_ Sample Data'!O699</f>
        <v>251</v>
      </c>
      <c r="H698">
        <f>'Quick View_ Sample Data'!AP699</f>
        <v>0</v>
      </c>
      <c r="I698">
        <f>'Quick View_ Sample Data'!AF699</f>
        <v>0</v>
      </c>
      <c r="J698">
        <f>'Quick View_ Sample Data'!AJ699</f>
        <v>0</v>
      </c>
      <c r="K698">
        <f>'Quick View_ Sample Data'!AH699</f>
        <v>0</v>
      </c>
      <c r="L698">
        <f t="shared" si="10"/>
        <v>0</v>
      </c>
    </row>
    <row r="699" spans="1:12" ht="12.75" customHeight="1">
      <c r="A699" s="321"/>
      <c r="B699" t="str">
        <f>'Quick View_ Sample Data'!P700</f>
        <v>MgO</v>
      </c>
      <c r="C699">
        <f>'Quick View_ Sample Data'!O700</f>
        <v>251</v>
      </c>
      <c r="D699">
        <f>'Quick View_ Sample Data'!AN700</f>
        <v>0</v>
      </c>
      <c r="E699">
        <f>'Quick View_ Sample Data'!O700</f>
        <v>251</v>
      </c>
      <c r="F699">
        <f>'Quick View_ Sample Data'!AO700</f>
        <v>0</v>
      </c>
      <c r="G699">
        <f>'Quick View_ Sample Data'!O700</f>
        <v>251</v>
      </c>
      <c r="H699">
        <f>'Quick View_ Sample Data'!AP700</f>
        <v>0</v>
      </c>
      <c r="I699">
        <f>'Quick View_ Sample Data'!AF700</f>
        <v>0</v>
      </c>
      <c r="J699">
        <f>'Quick View_ Sample Data'!AJ700</f>
        <v>0</v>
      </c>
      <c r="K699">
        <f>'Quick View_ Sample Data'!AH700</f>
        <v>0</v>
      </c>
      <c r="L699">
        <f t="shared" si="10"/>
        <v>0</v>
      </c>
    </row>
    <row r="700" spans="1:12" ht="12.75" customHeight="1">
      <c r="A700" s="321"/>
      <c r="B700" t="str">
        <f>'Quick View_ Sample Data'!P701</f>
        <v>MgO</v>
      </c>
      <c r="C700">
        <f>'Quick View_ Sample Data'!O701</f>
        <v>251</v>
      </c>
      <c r="D700">
        <f>'Quick View_ Sample Data'!AN701</f>
        <v>0</v>
      </c>
      <c r="E700">
        <f>'Quick View_ Sample Data'!O701</f>
        <v>251</v>
      </c>
      <c r="F700">
        <f>'Quick View_ Sample Data'!AO701</f>
        <v>0</v>
      </c>
      <c r="G700">
        <f>'Quick View_ Sample Data'!O701</f>
        <v>251</v>
      </c>
      <c r="H700">
        <f>'Quick View_ Sample Data'!AP701</f>
        <v>0</v>
      </c>
      <c r="I700">
        <f>'Quick View_ Sample Data'!AF701</f>
        <v>0</v>
      </c>
      <c r="J700">
        <f>'Quick View_ Sample Data'!AJ701</f>
        <v>0</v>
      </c>
      <c r="K700">
        <f>'Quick View_ Sample Data'!AH701</f>
        <v>0</v>
      </c>
      <c r="L700">
        <f t="shared" si="10"/>
        <v>0</v>
      </c>
    </row>
    <row r="701" spans="1:12" ht="12.75" customHeight="1">
      <c r="A701" s="321"/>
      <c r="B701" t="str">
        <f>'Quick View_ Sample Data'!P702</f>
        <v>MgO</v>
      </c>
      <c r="C701">
        <f>'Quick View_ Sample Data'!O702</f>
        <v>252</v>
      </c>
      <c r="D701">
        <f>'Quick View_ Sample Data'!AN702</f>
        <v>0</v>
      </c>
      <c r="E701">
        <f>'Quick View_ Sample Data'!O702</f>
        <v>252</v>
      </c>
      <c r="F701">
        <f>'Quick View_ Sample Data'!AO702</f>
        <v>0</v>
      </c>
      <c r="G701">
        <f>'Quick View_ Sample Data'!O702</f>
        <v>252</v>
      </c>
      <c r="H701" t="e">
        <f>'Quick View_ Sample Data'!AP702</f>
        <v>#DIV/0!</v>
      </c>
      <c r="I701">
        <f>'Quick View_ Sample Data'!AF702</f>
        <v>0</v>
      </c>
      <c r="J701">
        <f>'Quick View_ Sample Data'!AJ702</f>
        <v>0</v>
      </c>
      <c r="K701">
        <f>'Quick View_ Sample Data'!AH702</f>
        <v>0</v>
      </c>
      <c r="L701">
        <f t="shared" si="10"/>
        <v>0</v>
      </c>
    </row>
    <row r="702" spans="1:12" ht="12.75" customHeight="1">
      <c r="A702" s="321"/>
      <c r="B702" t="str">
        <f>'Quick View_ Sample Data'!P703</f>
        <v>SiNx</v>
      </c>
      <c r="C702">
        <f>'Quick View_ Sample Data'!O703</f>
        <v>252</v>
      </c>
      <c r="D702">
        <f>'Quick View_ Sample Data'!AN703</f>
        <v>0</v>
      </c>
      <c r="E702">
        <f>'Quick View_ Sample Data'!O703</f>
        <v>252</v>
      </c>
      <c r="F702">
        <f>'Quick View_ Sample Data'!AO703</f>
        <v>0</v>
      </c>
      <c r="G702">
        <f>'Quick View_ Sample Data'!O703</f>
        <v>252</v>
      </c>
      <c r="H702" t="e">
        <f>'Quick View_ Sample Data'!AP703</f>
        <v>#DIV/0!</v>
      </c>
      <c r="I702">
        <f>'Quick View_ Sample Data'!AF703</f>
        <v>0</v>
      </c>
      <c r="J702">
        <f>'Quick View_ Sample Data'!AJ703</f>
        <v>0</v>
      </c>
      <c r="K702">
        <f>'Quick View_ Sample Data'!AH703</f>
        <v>0</v>
      </c>
      <c r="L702">
        <f t="shared" si="10"/>
        <v>0</v>
      </c>
    </row>
    <row r="703" spans="1:12" ht="12.75" customHeight="1">
      <c r="A703" s="321"/>
      <c r="B703" t="str">
        <f>'Quick View_ Sample Data'!P704</f>
        <v>SiNx</v>
      </c>
      <c r="C703">
        <f>'Quick View_ Sample Data'!O704</f>
        <v>252</v>
      </c>
      <c r="D703">
        <f>'Quick View_ Sample Data'!AN704</f>
        <v>0</v>
      </c>
      <c r="E703">
        <f>'Quick View_ Sample Data'!O704</f>
        <v>252</v>
      </c>
      <c r="F703">
        <f>'Quick View_ Sample Data'!AO704</f>
        <v>0</v>
      </c>
      <c r="G703">
        <f>'Quick View_ Sample Data'!O704</f>
        <v>252</v>
      </c>
      <c r="H703" t="e">
        <f>'Quick View_ Sample Data'!AP704</f>
        <v>#DIV/0!</v>
      </c>
      <c r="I703">
        <f>'Quick View_ Sample Data'!AF704</f>
        <v>0</v>
      </c>
      <c r="J703">
        <f>'Quick View_ Sample Data'!AJ704</f>
        <v>0</v>
      </c>
      <c r="K703">
        <f>'Quick View_ Sample Data'!AH704</f>
        <v>0</v>
      </c>
      <c r="L703">
        <f t="shared" si="10"/>
        <v>0</v>
      </c>
    </row>
    <row r="704" spans="1:12" ht="12.75" customHeight="1">
      <c r="A704" s="321"/>
      <c r="B704" t="str">
        <f>'Quick View_ Sample Data'!P705</f>
        <v>SiNx</v>
      </c>
      <c r="C704">
        <f>'Quick View_ Sample Data'!O705</f>
        <v>252</v>
      </c>
      <c r="D704">
        <f>'Quick View_ Sample Data'!AN705</f>
        <v>0</v>
      </c>
      <c r="E704">
        <f>'Quick View_ Sample Data'!O705</f>
        <v>252</v>
      </c>
      <c r="F704">
        <f>'Quick View_ Sample Data'!AO705</f>
        <v>0</v>
      </c>
      <c r="G704">
        <f>'Quick View_ Sample Data'!O705</f>
        <v>252</v>
      </c>
      <c r="H704" t="e">
        <f>'Quick View_ Sample Data'!AP705</f>
        <v>#DIV/0!</v>
      </c>
      <c r="I704">
        <f>'Quick View_ Sample Data'!AF705</f>
        <v>0</v>
      </c>
      <c r="J704">
        <f>'Quick View_ Sample Data'!AJ705</f>
        <v>0</v>
      </c>
      <c r="K704">
        <f>'Quick View_ Sample Data'!AH705</f>
        <v>0</v>
      </c>
      <c r="L704">
        <f t="shared" si="10"/>
        <v>0</v>
      </c>
    </row>
    <row r="705" spans="1:12" ht="12.75" customHeight="1">
      <c r="A705" s="321"/>
      <c r="B705" t="str">
        <f>'Quick View_ Sample Data'!P706</f>
        <v>MgO</v>
      </c>
      <c r="C705">
        <f>'Quick View_ Sample Data'!O706</f>
        <v>257</v>
      </c>
      <c r="D705">
        <f>'Quick View_ Sample Data'!AN706</f>
        <v>185.30483410978511</v>
      </c>
      <c r="E705">
        <f>'Quick View_ Sample Data'!O706</f>
        <v>257</v>
      </c>
      <c r="F705">
        <f>'Quick View_ Sample Data'!AO706</f>
        <v>17440.890986412975</v>
      </c>
      <c r="G705">
        <f>'Quick View_ Sample Data'!O706</f>
        <v>257</v>
      </c>
      <c r="H705">
        <f>'Quick View_ Sample Data'!AP706</f>
        <v>4.0857142857142854</v>
      </c>
      <c r="I705">
        <f>'Quick View_ Sample Data'!AF706</f>
        <v>2.86</v>
      </c>
      <c r="J705">
        <f>'Quick View_ Sample Data'!AJ706</f>
        <v>9.4120000000000008</v>
      </c>
      <c r="K705">
        <f>'Quick View_ Sample Data'!AH706</f>
        <v>647.91900038386405</v>
      </c>
      <c r="L705">
        <f t="shared" si="10"/>
        <v>26.918320000000001</v>
      </c>
    </row>
    <row r="706" spans="1:12" ht="12.75" customHeight="1">
      <c r="A706" s="321"/>
      <c r="B706" t="str">
        <f>'Quick View_ Sample Data'!P707</f>
        <v>MgO</v>
      </c>
      <c r="C706">
        <f>'Quick View_ Sample Data'!O707</f>
        <v>257</v>
      </c>
      <c r="D706">
        <f>'Quick View_ Sample Data'!AN707</f>
        <v>183.97723799747442</v>
      </c>
      <c r="E706">
        <f>'Quick View_ Sample Data'!O707</f>
        <v>257</v>
      </c>
      <c r="F706">
        <f>'Quick View_ Sample Data'!AO707</f>
        <v>16449.404849354189</v>
      </c>
      <c r="G706">
        <f>'Quick View_ Sample Data'!O707</f>
        <v>257</v>
      </c>
      <c r="H706">
        <f>'Quick View_ Sample Data'!AP707</f>
        <v>4.3428571428571425</v>
      </c>
      <c r="I706">
        <f>'Quick View_ Sample Data'!AF707</f>
        <v>3.04</v>
      </c>
      <c r="J706">
        <f>'Quick View_ Sample Data'!AJ707</f>
        <v>8.9410000000000007</v>
      </c>
      <c r="K706">
        <f>'Quick View_ Sample Data'!AH707</f>
        <v>605.18828288642896</v>
      </c>
      <c r="L706">
        <f t="shared" ref="L706:L769" si="11">I706*J706</f>
        <v>27.180640000000004</v>
      </c>
    </row>
    <row r="707" spans="1:12" ht="12.75" customHeight="1">
      <c r="A707" s="321"/>
      <c r="B707" t="str">
        <f>'Quick View_ Sample Data'!P708</f>
        <v>MgO</v>
      </c>
      <c r="C707">
        <f>'Quick View_ Sample Data'!O708</f>
        <v>257</v>
      </c>
      <c r="D707">
        <f>'Quick View_ Sample Data'!AN708</f>
        <v>187.95610117455297</v>
      </c>
      <c r="E707">
        <f>'Quick View_ Sample Data'!O708</f>
        <v>257</v>
      </c>
      <c r="F707">
        <f>'Quick View_ Sample Data'!AO708</f>
        <v>17558.858971726739</v>
      </c>
      <c r="G707">
        <f>'Quick View_ Sample Data'!O708</f>
        <v>257</v>
      </c>
      <c r="H707">
        <f>'Quick View_ Sample Data'!AP708</f>
        <v>4.0142857142857142</v>
      </c>
      <c r="I707">
        <f>'Quick View_ Sample Data'!AF708</f>
        <v>2.81</v>
      </c>
      <c r="J707">
        <f>'Quick View_ Sample Data'!AJ708</f>
        <v>9.3420000000000005</v>
      </c>
      <c r="K707">
        <f>'Quick View_ Sample Data'!AH708</f>
        <v>668.88292232936999</v>
      </c>
      <c r="L707">
        <f t="shared" si="11"/>
        <v>26.25102</v>
      </c>
    </row>
    <row r="708" spans="1:12" ht="12.75" customHeight="1">
      <c r="A708" s="321"/>
      <c r="B708" t="str">
        <f>'Quick View_ Sample Data'!P709</f>
        <v>MgO</v>
      </c>
      <c r="C708">
        <f>'Quick View_ Sample Data'!O709</f>
        <v>257</v>
      </c>
      <c r="D708">
        <f>'Quick View_ Sample Data'!AN709</f>
        <v>191.11995843293295</v>
      </c>
      <c r="E708">
        <f>'Quick View_ Sample Data'!O709</f>
        <v>257</v>
      </c>
      <c r="F708">
        <f>'Quick View_ Sample Data'!AO709</f>
        <v>16457.339620659855</v>
      </c>
      <c r="G708">
        <f>'Quick View_ Sample Data'!O709</f>
        <v>257</v>
      </c>
      <c r="H708">
        <f>'Quick View_ Sample Data'!AP709</f>
        <v>4.5571428571428569</v>
      </c>
      <c r="I708">
        <f>'Quick View_ Sample Data'!AF709</f>
        <v>3.19</v>
      </c>
      <c r="J708">
        <f>'Quick View_ Sample Data'!AJ709</f>
        <v>8.6110000000000007</v>
      </c>
      <c r="K708">
        <f>'Quick View_ Sample Data'!AH709</f>
        <v>599.12212674900604</v>
      </c>
      <c r="L708">
        <f t="shared" si="11"/>
        <v>27.469090000000001</v>
      </c>
    </row>
    <row r="709" spans="1:12" ht="12.75" customHeight="1">
      <c r="A709" s="321"/>
      <c r="B709" t="str">
        <f>'Quick View_ Sample Data'!P710</f>
        <v>SiNx</v>
      </c>
      <c r="C709">
        <f>'Quick View_ Sample Data'!O710</f>
        <v>258</v>
      </c>
      <c r="D709">
        <f>'Quick View_ Sample Data'!AN710</f>
        <v>0</v>
      </c>
      <c r="E709">
        <f>'Quick View_ Sample Data'!O710</f>
        <v>258</v>
      </c>
      <c r="F709">
        <f>'Quick View_ Sample Data'!AO710</f>
        <v>0</v>
      </c>
      <c r="G709">
        <f>'Quick View_ Sample Data'!O710</f>
        <v>258</v>
      </c>
      <c r="H709">
        <f>'Quick View_ Sample Data'!AP710</f>
        <v>0</v>
      </c>
      <c r="I709">
        <f>'Quick View_ Sample Data'!AF710</f>
        <v>0</v>
      </c>
      <c r="J709">
        <f>'Quick View_ Sample Data'!AJ710</f>
        <v>8.0299999999999994</v>
      </c>
      <c r="K709">
        <f>'Quick View_ Sample Data'!AH710</f>
        <v>363.79095188839301</v>
      </c>
      <c r="L709">
        <f t="shared" si="11"/>
        <v>0</v>
      </c>
    </row>
    <row r="710" spans="1:12" ht="12.75" customHeight="1">
      <c r="A710" s="321"/>
      <c r="B710" t="str">
        <f>'Quick View_ Sample Data'!P711</f>
        <v>SiNx</v>
      </c>
      <c r="C710">
        <f>'Quick View_ Sample Data'!O711</f>
        <v>258</v>
      </c>
      <c r="D710">
        <f>'Quick View_ Sample Data'!AN711</f>
        <v>0</v>
      </c>
      <c r="E710">
        <f>'Quick View_ Sample Data'!O711</f>
        <v>258</v>
      </c>
      <c r="F710">
        <f>'Quick View_ Sample Data'!AO711</f>
        <v>0</v>
      </c>
      <c r="G710">
        <f>'Quick View_ Sample Data'!O711</f>
        <v>258</v>
      </c>
      <c r="H710">
        <f>'Quick View_ Sample Data'!AP711</f>
        <v>0</v>
      </c>
      <c r="I710">
        <f>'Quick View_ Sample Data'!AF711</f>
        <v>0</v>
      </c>
      <c r="J710">
        <f>'Quick View_ Sample Data'!AJ711</f>
        <v>7.99</v>
      </c>
      <c r="K710">
        <f>'Quick View_ Sample Data'!AH711</f>
        <v>364.593825494817</v>
      </c>
      <c r="L710">
        <f t="shared" si="11"/>
        <v>0</v>
      </c>
    </row>
    <row r="711" spans="1:12" ht="12.75" customHeight="1">
      <c r="A711" s="321"/>
      <c r="B711" t="str">
        <f>'Quick View_ Sample Data'!P712</f>
        <v>SiNx</v>
      </c>
      <c r="C711">
        <f>'Quick View_ Sample Data'!O712</f>
        <v>258</v>
      </c>
      <c r="D711">
        <f>'Quick View_ Sample Data'!AN712</f>
        <v>0</v>
      </c>
      <c r="E711">
        <f>'Quick View_ Sample Data'!O712</f>
        <v>258</v>
      </c>
      <c r="F711">
        <f>'Quick View_ Sample Data'!AO712</f>
        <v>0</v>
      </c>
      <c r="G711">
        <f>'Quick View_ Sample Data'!O712</f>
        <v>258</v>
      </c>
      <c r="H711">
        <f>'Quick View_ Sample Data'!AP712</f>
        <v>0</v>
      </c>
      <c r="I711">
        <f>'Quick View_ Sample Data'!AF712</f>
        <v>0</v>
      </c>
      <c r="J711">
        <f>'Quick View_ Sample Data'!AJ712</f>
        <v>7.9640000000000004</v>
      </c>
      <c r="K711">
        <f>'Quick View_ Sample Data'!AH712</f>
        <v>369.32185895486703</v>
      </c>
      <c r="L711">
        <f t="shared" si="11"/>
        <v>0</v>
      </c>
    </row>
    <row r="712" spans="1:12" ht="12.75" customHeight="1">
      <c r="A712" s="321"/>
      <c r="B712" t="str">
        <f>'Quick View_ Sample Data'!P713</f>
        <v>MgO</v>
      </c>
      <c r="C712">
        <f>'Quick View_ Sample Data'!O713</f>
        <v>258</v>
      </c>
      <c r="D712">
        <f>'Quick View_ Sample Data'!AN713</f>
        <v>155.19439762354486</v>
      </c>
      <c r="E712">
        <f>'Quick View_ Sample Data'!O713</f>
        <v>258</v>
      </c>
      <c r="F712">
        <f>'Quick View_ Sample Data'!AO713</f>
        <v>17855.115446588839</v>
      </c>
      <c r="G712">
        <f>'Quick View_ Sample Data'!O713</f>
        <v>258</v>
      </c>
      <c r="H712">
        <f>'Quick View_ Sample Data'!AP713</f>
        <v>4.7724137931034489</v>
      </c>
      <c r="I712">
        <f>'Quick View_ Sample Data'!AF713</f>
        <v>6.92</v>
      </c>
      <c r="J712">
        <f>'Quick View_ Sample Data'!AJ713</f>
        <v>11.505000000000001</v>
      </c>
      <c r="K712">
        <f>'Quick View_ Sample Data'!AH713</f>
        <v>224.269360727666</v>
      </c>
      <c r="L712">
        <f t="shared" si="11"/>
        <v>79.61460000000001</v>
      </c>
    </row>
    <row r="713" spans="1:12" ht="12.75" customHeight="1">
      <c r="A713" s="321"/>
      <c r="B713" t="str">
        <f>'Quick View_ Sample Data'!P714</f>
        <v>MgO</v>
      </c>
      <c r="C713">
        <f>'Quick View_ Sample Data'!O714</f>
        <v>259</v>
      </c>
      <c r="D713">
        <f>'Quick View_ Sample Data'!AN714</f>
        <v>143.18198114059118</v>
      </c>
      <c r="E713">
        <f>'Quick View_ Sample Data'!O714</f>
        <v>259</v>
      </c>
      <c r="F713">
        <f>'Quick View_ Sample Data'!AO714</f>
        <v>13015.242085679736</v>
      </c>
      <c r="G713">
        <f>'Quick View_ Sample Data'!O714</f>
        <v>259</v>
      </c>
      <c r="H713">
        <f>'Quick View_ Sample Data'!AP714</f>
        <v>3.4857142857142858</v>
      </c>
      <c r="I713">
        <f>'Quick View_ Sample Data'!AF714</f>
        <v>2.44</v>
      </c>
      <c r="J713">
        <f>'Quick View_ Sample Data'!AJ714</f>
        <v>9.09</v>
      </c>
      <c r="K713">
        <f>'Quick View_ Sample Data'!AH714</f>
        <v>586.81139811717696</v>
      </c>
      <c r="L713">
        <f t="shared" si="11"/>
        <v>22.179600000000001</v>
      </c>
    </row>
    <row r="714" spans="1:12" ht="12.75" customHeight="1">
      <c r="A714" s="321"/>
      <c r="B714" t="str">
        <f>'Quick View_ Sample Data'!P715</f>
        <v>MgO</v>
      </c>
      <c r="C714">
        <f>'Quick View_ Sample Data'!O715</f>
        <v>259</v>
      </c>
      <c r="D714">
        <f>'Quick View_ Sample Data'!AN715</f>
        <v>145.34358451361913</v>
      </c>
      <c r="E714">
        <f>'Quick View_ Sample Data'!O715</f>
        <v>259</v>
      </c>
      <c r="F714">
        <f>'Quick View_ Sample Data'!AO715</f>
        <v>0</v>
      </c>
      <c r="G714">
        <f>'Quick View_ Sample Data'!O715</f>
        <v>259</v>
      </c>
      <c r="H714">
        <f>'Quick View_ Sample Data'!AP715</f>
        <v>3.4142857142857146</v>
      </c>
      <c r="I714">
        <f>'Quick View_ Sample Data'!AF715</f>
        <v>2.39</v>
      </c>
      <c r="J714">
        <f>'Quick View_ Sample Data'!AJ715</f>
        <v>0</v>
      </c>
      <c r="K714">
        <f>'Quick View_ Sample Data'!AH715</f>
        <v>608.13215277664904</v>
      </c>
      <c r="L714">
        <f t="shared" si="11"/>
        <v>0</v>
      </c>
    </row>
    <row r="715" spans="1:12" ht="12.75" customHeight="1">
      <c r="A715" s="321"/>
      <c r="B715" t="str">
        <f>'Quick View_ Sample Data'!P716</f>
        <v>MgO</v>
      </c>
      <c r="C715">
        <f>'Quick View_ Sample Data'!O716</f>
        <v>259</v>
      </c>
      <c r="D715">
        <f>'Quick View_ Sample Data'!AN716</f>
        <v>148.2811206231662</v>
      </c>
      <c r="E715">
        <f>'Quick View_ Sample Data'!O716</f>
        <v>259</v>
      </c>
      <c r="F715">
        <f>'Quick View_ Sample Data'!AO716</f>
        <v>0</v>
      </c>
      <c r="G715">
        <f>'Quick View_ Sample Data'!O716</f>
        <v>259</v>
      </c>
      <c r="H715">
        <f>'Quick View_ Sample Data'!AP716</f>
        <v>3.4</v>
      </c>
      <c r="I715">
        <f>'Quick View_ Sample Data'!AF716</f>
        <v>2.38</v>
      </c>
      <c r="J715">
        <f>'Quick View_ Sample Data'!AJ716</f>
        <v>0</v>
      </c>
      <c r="K715">
        <f>'Quick View_ Sample Data'!AH716</f>
        <v>623.02991858473194</v>
      </c>
      <c r="L715">
        <f t="shared" si="11"/>
        <v>0</v>
      </c>
    </row>
    <row r="716" spans="1:12" ht="12.75" customHeight="1">
      <c r="A716" s="321"/>
      <c r="B716" t="str">
        <f>'Quick View_ Sample Data'!P717</f>
        <v>MgO</v>
      </c>
      <c r="C716">
        <f>'Quick View_ Sample Data'!O717</f>
        <v>260</v>
      </c>
      <c r="D716">
        <f>'Quick View_ Sample Data'!AN717</f>
        <v>98.605189597453005</v>
      </c>
      <c r="E716">
        <f>'Quick View_ Sample Data'!O717</f>
        <v>260</v>
      </c>
      <c r="F716">
        <f>'Quick View_ Sample Data'!AO717</f>
        <v>10353.544907732567</v>
      </c>
      <c r="G716">
        <f>'Quick View_ Sample Data'!O717</f>
        <v>260</v>
      </c>
      <c r="H716">
        <f>'Quick View_ Sample Data'!AP717</f>
        <v>3.4357142857142855</v>
      </c>
      <c r="I716">
        <f>'Quick View_ Sample Data'!AF717</f>
        <v>4.8099999999999996</v>
      </c>
      <c r="J716">
        <f>'Quick View_ Sample Data'!AJ717</f>
        <v>10.5</v>
      </c>
      <c r="K716">
        <f>'Quick View_ Sample Data'!AH717</f>
        <v>205.00039417349899</v>
      </c>
      <c r="L716">
        <f t="shared" si="11"/>
        <v>50.504999999999995</v>
      </c>
    </row>
    <row r="717" spans="1:12" ht="12.75" customHeight="1">
      <c r="A717" s="321"/>
      <c r="B717" t="str">
        <f>'Quick View_ Sample Data'!P718</f>
        <v>MgO</v>
      </c>
      <c r="C717">
        <f>'Quick View_ Sample Data'!O718</f>
        <v>260</v>
      </c>
      <c r="D717">
        <f>'Quick View_ Sample Data'!AN718</f>
        <v>96.773032027594084</v>
      </c>
      <c r="E717">
        <f>'Quick View_ Sample Data'!O718</f>
        <v>260</v>
      </c>
      <c r="F717">
        <f>'Quick View_ Sample Data'!AO718</f>
        <v>9077.3104041883253</v>
      </c>
      <c r="G717">
        <f>'Quick View_ Sample Data'!O718</f>
        <v>260</v>
      </c>
      <c r="H717">
        <f>'Quick View_ Sample Data'!AP718</f>
        <v>3.4285714285714284</v>
      </c>
      <c r="I717">
        <f>'Quick View_ Sample Data'!AF718</f>
        <v>4.8</v>
      </c>
      <c r="J717">
        <f>'Quick View_ Sample Data'!AJ718</f>
        <v>9.3800000000000008</v>
      </c>
      <c r="K717">
        <f>'Quick View_ Sample Data'!AH718</f>
        <v>201.610483390821</v>
      </c>
      <c r="L717">
        <f t="shared" si="11"/>
        <v>45.024000000000001</v>
      </c>
    </row>
    <row r="718" spans="1:12" ht="12.75" customHeight="1">
      <c r="A718" s="321"/>
      <c r="B718" t="str">
        <f>'Quick View_ Sample Data'!P719</f>
        <v>MgO</v>
      </c>
      <c r="C718">
        <f>'Quick View_ Sample Data'!O719</f>
        <v>261</v>
      </c>
      <c r="D718">
        <f>'Quick View_ Sample Data'!AN719</f>
        <v>123.17481690940717</v>
      </c>
      <c r="E718">
        <f>'Quick View_ Sample Data'!O719</f>
        <v>261</v>
      </c>
      <c r="F718">
        <f>'Quick View_ Sample Data'!AO719</f>
        <v>0</v>
      </c>
      <c r="G718">
        <f>'Quick View_ Sample Data'!O719</f>
        <v>261</v>
      </c>
      <c r="H718">
        <f>'Quick View_ Sample Data'!AP719</f>
        <v>3.3294117647058821</v>
      </c>
      <c r="I718">
        <f>'Quick View_ Sample Data'!AF719</f>
        <v>2.83</v>
      </c>
      <c r="J718">
        <f>'Quick View_ Sample Data'!AJ719</f>
        <v>0</v>
      </c>
      <c r="K718">
        <f>'Quick View_ Sample Data'!AH719</f>
        <v>435.24670286009598</v>
      </c>
      <c r="L718">
        <f t="shared" si="11"/>
        <v>0</v>
      </c>
    </row>
    <row r="719" spans="1:12" ht="12.75" customHeight="1">
      <c r="A719" s="321"/>
      <c r="B719" t="str">
        <f>'Quick View_ Sample Data'!P720</f>
        <v>MgO</v>
      </c>
      <c r="C719">
        <f>'Quick View_ Sample Data'!O720</f>
        <v>261</v>
      </c>
      <c r="D719">
        <f>'Quick View_ Sample Data'!AN720</f>
        <v>124.28126594723729</v>
      </c>
      <c r="E719">
        <f>'Quick View_ Sample Data'!O720</f>
        <v>261</v>
      </c>
      <c r="F719">
        <f>'Quick View_ Sample Data'!AO720</f>
        <v>0</v>
      </c>
      <c r="G719">
        <f>'Quick View_ Sample Data'!O720</f>
        <v>261</v>
      </c>
      <c r="H719">
        <f>'Quick View_ Sample Data'!AP720</f>
        <v>3.4117647058823528</v>
      </c>
      <c r="I719">
        <f>'Quick View_ Sample Data'!AF720</f>
        <v>2.9</v>
      </c>
      <c r="J719">
        <f>'Quick View_ Sample Data'!AJ720</f>
        <v>0</v>
      </c>
      <c r="K719">
        <f>'Quick View_ Sample Data'!AH720</f>
        <v>428.55608947323202</v>
      </c>
      <c r="L719">
        <f t="shared" si="11"/>
        <v>0</v>
      </c>
    </row>
    <row r="720" spans="1:12" ht="12.75" customHeight="1">
      <c r="A720" s="321"/>
      <c r="B720" t="str">
        <f>'Quick View_ Sample Data'!P721</f>
        <v>MgO</v>
      </c>
      <c r="C720">
        <f>'Quick View_ Sample Data'!O721</f>
        <v>261</v>
      </c>
      <c r="D720">
        <f>'Quick View_ Sample Data'!AN721</f>
        <v>112.92176412266345</v>
      </c>
      <c r="E720">
        <f>'Quick View_ Sample Data'!O721</f>
        <v>261</v>
      </c>
      <c r="F720">
        <f>'Quick View_ Sample Data'!AO721</f>
        <v>0</v>
      </c>
      <c r="G720">
        <f>'Quick View_ Sample Data'!O721</f>
        <v>261</v>
      </c>
      <c r="H720">
        <f>'Quick View_ Sample Data'!AP721</f>
        <v>3.2823529411764709</v>
      </c>
      <c r="I720">
        <f>'Quick View_ Sample Data'!AF721</f>
        <v>2.79</v>
      </c>
      <c r="J720">
        <f>'Quick View_ Sample Data'!AJ721</f>
        <v>0</v>
      </c>
      <c r="K720">
        <f>'Quick View_ Sample Data'!AH721</f>
        <v>404.73750581599802</v>
      </c>
      <c r="L720">
        <f t="shared" si="11"/>
        <v>0</v>
      </c>
    </row>
    <row r="721" spans="1:12" ht="12.75" customHeight="1">
      <c r="A721" s="321"/>
      <c r="B721" t="str">
        <f>'Quick View_ Sample Data'!P722</f>
        <v>SiNx</v>
      </c>
      <c r="C721">
        <f>'Quick View_ Sample Data'!O722</f>
        <v>262</v>
      </c>
      <c r="D721">
        <f>'Quick View_ Sample Data'!AN722</f>
        <v>0</v>
      </c>
      <c r="E721">
        <f>'Quick View_ Sample Data'!O722</f>
        <v>262</v>
      </c>
      <c r="F721">
        <f>'Quick View_ Sample Data'!AO722</f>
        <v>0</v>
      </c>
      <c r="G721">
        <f>'Quick View_ Sample Data'!O722</f>
        <v>262</v>
      </c>
      <c r="H721">
        <f>'Quick View_ Sample Data'!AP722</f>
        <v>0</v>
      </c>
      <c r="I721">
        <f>'Quick View_ Sample Data'!AF722</f>
        <v>0</v>
      </c>
      <c r="J721">
        <f>'Quick View_ Sample Data'!AJ722</f>
        <v>8.8699999999999992</v>
      </c>
      <c r="K721">
        <f>'Quick View_ Sample Data'!AH722</f>
        <v>810.99155066635205</v>
      </c>
      <c r="L721">
        <f t="shared" si="11"/>
        <v>0</v>
      </c>
    </row>
    <row r="722" spans="1:12" ht="12.75" customHeight="1">
      <c r="A722" s="321"/>
      <c r="B722" t="str">
        <f>'Quick View_ Sample Data'!P723</f>
        <v>MgO</v>
      </c>
      <c r="C722">
        <f>'Quick View_ Sample Data'!O723</f>
        <v>262</v>
      </c>
      <c r="D722">
        <f>'Quick View_ Sample Data'!AN723</f>
        <v>145.123240312745</v>
      </c>
      <c r="E722">
        <f>'Quick View_ Sample Data'!O723</f>
        <v>262</v>
      </c>
      <c r="F722">
        <f>'Quick View_ Sample Data'!AO723</f>
        <v>0</v>
      </c>
      <c r="G722">
        <f>'Quick View_ Sample Data'!O723</f>
        <v>262</v>
      </c>
      <c r="H722">
        <f>'Quick View_ Sample Data'!AP723</f>
        <v>3.07</v>
      </c>
      <c r="I722">
        <f>'Quick View_ Sample Data'!AF723</f>
        <v>3.07</v>
      </c>
      <c r="J722">
        <f>'Quick View_ Sample Data'!AJ723</f>
        <v>0</v>
      </c>
      <c r="K722">
        <f>'Quick View_ Sample Data'!AH723</f>
        <v>472.71413782653099</v>
      </c>
      <c r="L722">
        <f t="shared" si="11"/>
        <v>0</v>
      </c>
    </row>
    <row r="723" spans="1:12" ht="12.75" customHeight="1">
      <c r="A723" s="321"/>
      <c r="B723" t="str">
        <f>'Quick View_ Sample Data'!P724</f>
        <v>MgO</v>
      </c>
      <c r="C723">
        <f>'Quick View_ Sample Data'!O724</f>
        <v>262</v>
      </c>
      <c r="D723">
        <f>'Quick View_ Sample Data'!AN724</f>
        <v>156.83877197767873</v>
      </c>
      <c r="E723">
        <f>'Quick View_ Sample Data'!O724</f>
        <v>262</v>
      </c>
      <c r="F723">
        <f>'Quick View_ Sample Data'!AO724</f>
        <v>0</v>
      </c>
      <c r="G723">
        <f>'Quick View_ Sample Data'!O724</f>
        <v>262</v>
      </c>
      <c r="H723">
        <f>'Quick View_ Sample Data'!AP724</f>
        <v>3.13</v>
      </c>
      <c r="I723">
        <f>'Quick View_ Sample Data'!AF724</f>
        <v>3.13</v>
      </c>
      <c r="J723">
        <f>'Quick View_ Sample Data'!AJ724</f>
        <v>0</v>
      </c>
      <c r="K723">
        <f>'Quick View_ Sample Data'!AH724</f>
        <v>501.08233858683298</v>
      </c>
      <c r="L723">
        <f t="shared" si="11"/>
        <v>0</v>
      </c>
    </row>
    <row r="724" spans="1:12" ht="12.75" customHeight="1">
      <c r="A724" s="321"/>
      <c r="B724" t="str">
        <f>'Quick View_ Sample Data'!P725</f>
        <v>MgO</v>
      </c>
      <c r="C724">
        <f>'Quick View_ Sample Data'!O725</f>
        <v>262</v>
      </c>
      <c r="D724">
        <f>'Quick View_ Sample Data'!AN725</f>
        <v>150.10765807778</v>
      </c>
      <c r="E724">
        <f>'Quick View_ Sample Data'!O725</f>
        <v>262</v>
      </c>
      <c r="F724">
        <f>'Quick View_ Sample Data'!AO725</f>
        <v>0</v>
      </c>
      <c r="G724">
        <f>'Quick View_ Sample Data'!O725</f>
        <v>262</v>
      </c>
      <c r="H724">
        <f>'Quick View_ Sample Data'!AP725</f>
        <v>3.07</v>
      </c>
      <c r="I724">
        <f>'Quick View_ Sample Data'!AF725</f>
        <v>3.07</v>
      </c>
      <c r="J724">
        <f>'Quick View_ Sample Data'!AJ725</f>
        <v>0</v>
      </c>
      <c r="K724">
        <f>'Quick View_ Sample Data'!AH725</f>
        <v>488.95002631198702</v>
      </c>
      <c r="L724">
        <f t="shared" si="11"/>
        <v>0</v>
      </c>
    </row>
    <row r="725" spans="1:12" ht="12.75" customHeight="1">
      <c r="A725" s="321"/>
      <c r="B725" t="str">
        <f>'Quick View_ Sample Data'!P726</f>
        <v>MgO</v>
      </c>
      <c r="C725">
        <f>'Quick View_ Sample Data'!O726</f>
        <v>265</v>
      </c>
      <c r="D725">
        <f>'Quick View_ Sample Data'!AN726</f>
        <v>97.090880767559327</v>
      </c>
      <c r="E725">
        <f>'Quick View_ Sample Data'!O726</f>
        <v>265</v>
      </c>
      <c r="F725">
        <f>'Quick View_ Sample Data'!AO726</f>
        <v>12990.759846699439</v>
      </c>
      <c r="G725">
        <f>'Quick View_ Sample Data'!O726</f>
        <v>265</v>
      </c>
      <c r="H725">
        <f>'Quick View_ Sample Data'!AP726</f>
        <v>3.4866666666666668</v>
      </c>
      <c r="I725">
        <f>'Quick View_ Sample Data'!AF726</f>
        <v>5.23</v>
      </c>
      <c r="J725">
        <f>'Quick View_ Sample Data'!AJ726</f>
        <v>13.38</v>
      </c>
      <c r="K725">
        <f>'Quick View_ Sample Data'!AH726</f>
        <v>185.64221944083999</v>
      </c>
      <c r="L725">
        <f t="shared" si="11"/>
        <v>69.977400000000003</v>
      </c>
    </row>
    <row r="726" spans="1:12" ht="12.75" customHeight="1">
      <c r="A726" s="321"/>
      <c r="B726" t="str">
        <f>'Quick View_ Sample Data'!P727</f>
        <v>SiNx</v>
      </c>
      <c r="C726">
        <f>'Quick View_ Sample Data'!O727</f>
        <v>265</v>
      </c>
      <c r="D726">
        <f>'Quick View_ Sample Data'!AN727</f>
        <v>0</v>
      </c>
      <c r="E726">
        <f>'Quick View_ Sample Data'!O727</f>
        <v>265</v>
      </c>
      <c r="F726">
        <f>'Quick View_ Sample Data'!AO727</f>
        <v>0</v>
      </c>
      <c r="G726">
        <f>'Quick View_ Sample Data'!O727</f>
        <v>265</v>
      </c>
      <c r="H726">
        <f>'Quick View_ Sample Data'!AP727</f>
        <v>0</v>
      </c>
      <c r="I726">
        <f>'Quick View_ Sample Data'!AF727</f>
        <v>0</v>
      </c>
      <c r="J726">
        <f>'Quick View_ Sample Data'!AJ727</f>
        <v>11</v>
      </c>
      <c r="K726">
        <f>'Quick View_ Sample Data'!AH727</f>
        <v>299.47185519601197</v>
      </c>
      <c r="L726">
        <f t="shared" si="11"/>
        <v>0</v>
      </c>
    </row>
    <row r="727" spans="1:12" ht="12.75" customHeight="1">
      <c r="A727" s="321"/>
      <c r="B727" t="str">
        <f>'Quick View_ Sample Data'!P728</f>
        <v>MgO</v>
      </c>
      <c r="C727">
        <f>'Quick View_ Sample Data'!O728</f>
        <v>265</v>
      </c>
      <c r="D727">
        <f>'Quick View_ Sample Data'!AN728</f>
        <v>120.8287310232588</v>
      </c>
      <c r="E727">
        <f>'Quick View_ Sample Data'!O728</f>
        <v>265</v>
      </c>
      <c r="F727">
        <f>'Quick View_ Sample Data'!AO728</f>
        <v>11478.729447209585</v>
      </c>
      <c r="G727">
        <f>'Quick View_ Sample Data'!O728</f>
        <v>265</v>
      </c>
      <c r="H727">
        <f>'Quick View_ Sample Data'!AP728</f>
        <v>3.6133333333333333</v>
      </c>
      <c r="I727">
        <f>'Quick View_ Sample Data'!AF728</f>
        <v>5.42</v>
      </c>
      <c r="J727">
        <f>'Quick View_ Sample Data'!AJ728</f>
        <v>9.5</v>
      </c>
      <c r="K727">
        <f>'Quick View_ Sample Data'!AH728</f>
        <v>222.93123805029299</v>
      </c>
      <c r="L727">
        <f t="shared" si="11"/>
        <v>51.49</v>
      </c>
    </row>
    <row r="728" spans="1:12" ht="12.75" customHeight="1">
      <c r="A728" s="321"/>
      <c r="B728" t="str">
        <f>'Quick View_ Sample Data'!P729</f>
        <v>MgO</v>
      </c>
      <c r="C728">
        <f>'Quick View_ Sample Data'!O729</f>
        <v>265</v>
      </c>
      <c r="D728">
        <f>'Quick View_ Sample Data'!AN729</f>
        <v>104.92095021829513</v>
      </c>
      <c r="E728">
        <f>'Quick View_ Sample Data'!O729</f>
        <v>265</v>
      </c>
      <c r="F728">
        <f>'Quick View_ Sample Data'!AO729</f>
        <v>9967.4902707380388</v>
      </c>
      <c r="G728">
        <f>'Quick View_ Sample Data'!O729</f>
        <v>265</v>
      </c>
      <c r="H728">
        <f>'Quick View_ Sample Data'!AP729</f>
        <v>3.5066666666666668</v>
      </c>
      <c r="I728">
        <f>'Quick View_ Sample Data'!AF729</f>
        <v>5.26</v>
      </c>
      <c r="J728">
        <f>'Quick View_ Sample Data'!AJ729</f>
        <v>9.5</v>
      </c>
      <c r="K728">
        <f>'Quick View_ Sample Data'!AH729</f>
        <v>199.469487107025</v>
      </c>
      <c r="L728">
        <f t="shared" si="11"/>
        <v>49.97</v>
      </c>
    </row>
    <row r="729" spans="1:12" ht="12.75" customHeight="1">
      <c r="A729" s="321"/>
      <c r="B729" t="str">
        <f>'Quick View_ Sample Data'!P730</f>
        <v>MgO</v>
      </c>
      <c r="C729">
        <f>'Quick View_ Sample Data'!O730</f>
        <v>266</v>
      </c>
      <c r="D729">
        <f>'Quick View_ Sample Data'!AN730</f>
        <v>125.19208144963548</v>
      </c>
      <c r="E729">
        <f>'Quick View_ Sample Data'!O730</f>
        <v>266</v>
      </c>
      <c r="F729">
        <f>'Quick View_ Sample Data'!AO730</f>
        <v>16149.778507002977</v>
      </c>
      <c r="G729">
        <f>'Quick View_ Sample Data'!O730</f>
        <v>266</v>
      </c>
      <c r="H729">
        <f>'Quick View_ Sample Data'!AP730</f>
        <v>3.3533333333333335</v>
      </c>
      <c r="I729">
        <f>'Quick View_ Sample Data'!AF730</f>
        <v>5.03</v>
      </c>
      <c r="J729">
        <f>'Quick View_ Sample Data'!AJ730</f>
        <v>12.9</v>
      </c>
      <c r="K729">
        <f>'Quick View_ Sample Data'!AH730</f>
        <v>248.89081799132299</v>
      </c>
      <c r="L729">
        <f t="shared" si="11"/>
        <v>64.887</v>
      </c>
    </row>
    <row r="730" spans="1:12" ht="12.75" customHeight="1">
      <c r="A730" s="321"/>
      <c r="B730" t="str">
        <f>'Quick View_ Sample Data'!P731</f>
        <v>MgO</v>
      </c>
      <c r="C730">
        <f>'Quick View_ Sample Data'!O731</f>
        <v>266</v>
      </c>
      <c r="D730">
        <f>'Quick View_ Sample Data'!AN731</f>
        <v>124.6760121370622</v>
      </c>
      <c r="E730">
        <f>'Quick View_ Sample Data'!O731</f>
        <v>266</v>
      </c>
      <c r="F730">
        <f>'Quick View_ Sample Data'!AO731</f>
        <v>13365.268501093069</v>
      </c>
      <c r="G730">
        <f>'Quick View_ Sample Data'!O731</f>
        <v>266</v>
      </c>
      <c r="H730">
        <f>'Quick View_ Sample Data'!AP731</f>
        <v>3.4066666666666667</v>
      </c>
      <c r="I730">
        <f>'Quick View_ Sample Data'!AF731</f>
        <v>5.1100000000000003</v>
      </c>
      <c r="J730">
        <f>'Quick View_ Sample Data'!AJ731</f>
        <v>10.72</v>
      </c>
      <c r="K730">
        <f>'Quick View_ Sample Data'!AH731</f>
        <v>243.98436817429001</v>
      </c>
      <c r="L730">
        <f t="shared" si="11"/>
        <v>54.77920000000001</v>
      </c>
    </row>
    <row r="731" spans="1:12" ht="12.75" customHeight="1">
      <c r="A731" s="321"/>
      <c r="B731" t="str">
        <f>'Quick View_ Sample Data'!P732</f>
        <v>SiNx</v>
      </c>
      <c r="C731">
        <f>'Quick View_ Sample Data'!O732</f>
        <v>266</v>
      </c>
      <c r="D731">
        <f>'Quick View_ Sample Data'!AN732</f>
        <v>0</v>
      </c>
      <c r="E731">
        <f>'Quick View_ Sample Data'!O732</f>
        <v>266</v>
      </c>
      <c r="F731">
        <f>'Quick View_ Sample Data'!AO732</f>
        <v>0</v>
      </c>
      <c r="G731">
        <f>'Quick View_ Sample Data'!O732</f>
        <v>266</v>
      </c>
      <c r="H731">
        <f>'Quick View_ Sample Data'!AP732</f>
        <v>0</v>
      </c>
      <c r="I731">
        <f>'Quick View_ Sample Data'!AF732</f>
        <v>0</v>
      </c>
      <c r="J731">
        <f>'Quick View_ Sample Data'!AJ732</f>
        <v>11.32</v>
      </c>
      <c r="K731">
        <f>'Quick View_ Sample Data'!AH732</f>
        <v>351.83705597053</v>
      </c>
      <c r="L731">
        <f t="shared" si="11"/>
        <v>0</v>
      </c>
    </row>
    <row r="732" spans="1:12" ht="12.75" customHeight="1">
      <c r="A732" s="321"/>
      <c r="B732" t="str">
        <f>'Quick View_ Sample Data'!P733</f>
        <v>MgO</v>
      </c>
      <c r="C732">
        <f>'Quick View_ Sample Data'!O733</f>
        <v>266</v>
      </c>
      <c r="D732">
        <f>'Quick View_ Sample Data'!AN733</f>
        <v>138.74191168071144</v>
      </c>
      <c r="E732">
        <f>'Quick View_ Sample Data'!O733</f>
        <v>266</v>
      </c>
      <c r="F732">
        <f>'Quick View_ Sample Data'!AO733</f>
        <v>13430.217050692869</v>
      </c>
      <c r="G732">
        <f>'Quick View_ Sample Data'!O733</f>
        <v>266</v>
      </c>
      <c r="H732">
        <f>'Quick View_ Sample Data'!AP733</f>
        <v>3.5266666666666664</v>
      </c>
      <c r="I732">
        <f>'Quick View_ Sample Data'!AF733</f>
        <v>5.29</v>
      </c>
      <c r="J732">
        <f>'Quick View_ Sample Data'!AJ733</f>
        <v>9.68</v>
      </c>
      <c r="K732">
        <f>'Quick View_ Sample Data'!AH733</f>
        <v>262.27204476505</v>
      </c>
      <c r="L732">
        <f t="shared" si="11"/>
        <v>51.2072</v>
      </c>
    </row>
    <row r="733" spans="1:12" ht="12.75" customHeight="1">
      <c r="A733" s="321"/>
      <c r="B733" t="str">
        <f>'Quick View_ Sample Data'!P734</f>
        <v>MgO</v>
      </c>
      <c r="C733">
        <f>'Quick View_ Sample Data'!O734</f>
        <v>267</v>
      </c>
      <c r="D733">
        <f>'Quick View_ Sample Data'!AN734</f>
        <v>151.79128403045007</v>
      </c>
      <c r="E733">
        <f>'Quick View_ Sample Data'!O734</f>
        <v>267</v>
      </c>
      <c r="F733">
        <f>'Quick View_ Sample Data'!AO734</f>
        <v>13811.488933930654</v>
      </c>
      <c r="G733">
        <f>'Quick View_ Sample Data'!O734</f>
        <v>267</v>
      </c>
      <c r="H733">
        <f>'Quick View_ Sample Data'!AP734</f>
        <v>2.76</v>
      </c>
      <c r="I733">
        <f>'Quick View_ Sample Data'!AF734</f>
        <v>4.1399999999999997</v>
      </c>
      <c r="J733">
        <f>'Quick View_ Sample Data'!AJ734</f>
        <v>9.0990000000000002</v>
      </c>
      <c r="K733">
        <f>'Quick View_ Sample Data'!AH734</f>
        <v>366.64561360012101</v>
      </c>
      <c r="L733">
        <f t="shared" si="11"/>
        <v>37.66986</v>
      </c>
    </row>
    <row r="734" spans="1:12" ht="12.75" customHeight="1">
      <c r="A734" s="321"/>
      <c r="B734" t="str">
        <f>'Quick View_ Sample Data'!P735</f>
        <v>MgO</v>
      </c>
      <c r="C734">
        <f>'Quick View_ Sample Data'!O735</f>
        <v>267</v>
      </c>
      <c r="D734">
        <f>'Quick View_ Sample Data'!AN735</f>
        <v>177.00151527215195</v>
      </c>
      <c r="E734">
        <f>'Quick View_ Sample Data'!O735</f>
        <v>267</v>
      </c>
      <c r="F734">
        <f>'Quick View_ Sample Data'!AO735</f>
        <v>11628.999553380385</v>
      </c>
      <c r="G734">
        <f>'Quick View_ Sample Data'!O735</f>
        <v>267</v>
      </c>
      <c r="H734">
        <f>'Quick View_ Sample Data'!AP735</f>
        <v>2.92</v>
      </c>
      <c r="I734">
        <f>'Quick View_ Sample Data'!AF735</f>
        <v>4.38</v>
      </c>
      <c r="J734">
        <f>'Quick View_ Sample Data'!AJ735</f>
        <v>6.57</v>
      </c>
      <c r="K734">
        <f>'Quick View_ Sample Data'!AH735</f>
        <v>404.11304856655698</v>
      </c>
      <c r="L734">
        <f t="shared" si="11"/>
        <v>28.776600000000002</v>
      </c>
    </row>
    <row r="735" spans="1:12" ht="12.75" customHeight="1">
      <c r="A735" s="321"/>
      <c r="B735" t="str">
        <f>'Quick View_ Sample Data'!P736</f>
        <v>MgO</v>
      </c>
      <c r="C735">
        <f>'Quick View_ Sample Data'!O736</f>
        <v>267</v>
      </c>
      <c r="D735">
        <f>'Quick View_ Sample Data'!AN736</f>
        <v>155.22758306594363</v>
      </c>
      <c r="E735">
        <f>'Quick View_ Sample Data'!O736</f>
        <v>267</v>
      </c>
      <c r="F735">
        <f>'Quick View_ Sample Data'!AO736</f>
        <v>9779.3377331544489</v>
      </c>
      <c r="G735">
        <f>'Quick View_ Sample Data'!O736</f>
        <v>267</v>
      </c>
      <c r="H735">
        <f>'Quick View_ Sample Data'!AP736</f>
        <v>2.8000000000000003</v>
      </c>
      <c r="I735">
        <f>'Quick View_ Sample Data'!AF736</f>
        <v>4.2</v>
      </c>
      <c r="J735">
        <f>'Quick View_ Sample Data'!AJ736</f>
        <v>6.3</v>
      </c>
      <c r="K735">
        <f>'Quick View_ Sample Data'!AH736</f>
        <v>369.58948349034199</v>
      </c>
      <c r="L735">
        <f t="shared" si="11"/>
        <v>26.46</v>
      </c>
    </row>
    <row r="736" spans="1:12" ht="12.75" customHeight="1">
      <c r="A736" s="321"/>
      <c r="B736" t="str">
        <f>'Quick View_ Sample Data'!P737</f>
        <v>SiNx</v>
      </c>
      <c r="C736">
        <f>'Quick View_ Sample Data'!O737</f>
        <v>267</v>
      </c>
      <c r="D736">
        <f>'Quick View_ Sample Data'!AN737</f>
        <v>0</v>
      </c>
      <c r="E736">
        <f>'Quick View_ Sample Data'!O737</f>
        <v>267</v>
      </c>
      <c r="F736">
        <f>'Quick View_ Sample Data'!AO737</f>
        <v>0</v>
      </c>
      <c r="G736">
        <f>'Quick View_ Sample Data'!O737</f>
        <v>267</v>
      </c>
      <c r="H736">
        <f>'Quick View_ Sample Data'!AP737</f>
        <v>0</v>
      </c>
      <c r="I736">
        <f>'Quick View_ Sample Data'!AF737</f>
        <v>0</v>
      </c>
      <c r="J736">
        <f>'Quick View_ Sample Data'!AJ737</f>
        <v>9.4</v>
      </c>
      <c r="K736">
        <f>'Quick View_ Sample Data'!AH737</f>
        <v>539.35264715969197</v>
      </c>
      <c r="L736">
        <f t="shared" si="11"/>
        <v>0</v>
      </c>
    </row>
    <row r="737" spans="1:12" ht="12.75" customHeight="1">
      <c r="A737" s="321"/>
      <c r="B737" t="str">
        <f>'Quick View_ Sample Data'!P738</f>
        <v>SiNx</v>
      </c>
      <c r="C737">
        <f>'Quick View_ Sample Data'!O738</f>
        <v>268</v>
      </c>
      <c r="D737">
        <f>'Quick View_ Sample Data'!AN738</f>
        <v>0</v>
      </c>
      <c r="E737">
        <f>'Quick View_ Sample Data'!O738</f>
        <v>268</v>
      </c>
      <c r="F737">
        <f>'Quick View_ Sample Data'!AO738</f>
        <v>0</v>
      </c>
      <c r="G737">
        <f>'Quick View_ Sample Data'!O738</f>
        <v>268</v>
      </c>
      <c r="H737">
        <f>'Quick View_ Sample Data'!AP738</f>
        <v>0</v>
      </c>
      <c r="I737">
        <f>'Quick View_ Sample Data'!AF738</f>
        <v>0</v>
      </c>
      <c r="J737">
        <f>'Quick View_ Sample Data'!AJ738</f>
        <v>6.69</v>
      </c>
      <c r="K737">
        <f>'Quick View_ Sample Data'!AH738</f>
        <v>388.50161733054199</v>
      </c>
      <c r="L737">
        <f t="shared" si="11"/>
        <v>0</v>
      </c>
    </row>
    <row r="738" spans="1:12" ht="12.75" customHeight="1">
      <c r="A738" s="321"/>
      <c r="B738" t="str">
        <f>'Quick View_ Sample Data'!P739</f>
        <v>MgO</v>
      </c>
      <c r="C738">
        <f>'Quick View_ Sample Data'!O739</f>
        <v>268</v>
      </c>
      <c r="D738">
        <f>'Quick View_ Sample Data'!AN739</f>
        <v>172.80418126594793</v>
      </c>
      <c r="E738">
        <f>'Quick View_ Sample Data'!O739</f>
        <v>268</v>
      </c>
      <c r="F738">
        <f>'Quick View_ Sample Data'!AO739</f>
        <v>0</v>
      </c>
      <c r="G738">
        <f>'Quick View_ Sample Data'!O739</f>
        <v>268</v>
      </c>
      <c r="H738">
        <f>'Quick View_ Sample Data'!AP739</f>
        <v>5.6466666666666674</v>
      </c>
      <c r="I738">
        <f>'Quick View_ Sample Data'!AF739</f>
        <v>8.4700000000000006</v>
      </c>
      <c r="J738">
        <f>'Quick View_ Sample Data'!AJ739</f>
        <v>0</v>
      </c>
      <c r="K738">
        <f>'Quick View_ Sample Data'!AH739</f>
        <v>204.019104210092</v>
      </c>
      <c r="L738">
        <f t="shared" si="11"/>
        <v>0</v>
      </c>
    </row>
    <row r="739" spans="1:12" ht="12.75" customHeight="1">
      <c r="A739" s="321"/>
      <c r="B739" t="str">
        <f>'Quick View_ Sample Data'!P740</f>
        <v>MgO</v>
      </c>
      <c r="C739">
        <f>'Quick View_ Sample Data'!O740</f>
        <v>268</v>
      </c>
      <c r="D739">
        <f>'Quick View_ Sample Data'!AN740</f>
        <v>101.83149258077715</v>
      </c>
      <c r="E739">
        <f>'Quick View_ Sample Data'!O740</f>
        <v>268</v>
      </c>
      <c r="F739">
        <f>'Quick View_ Sample Data'!AO740</f>
        <v>0</v>
      </c>
      <c r="G739">
        <f>'Quick View_ Sample Data'!O740</f>
        <v>268</v>
      </c>
      <c r="H739">
        <f>'Quick View_ Sample Data'!AP740</f>
        <v>4.2466666666666661</v>
      </c>
      <c r="I739">
        <f>'Quick View_ Sample Data'!AF740</f>
        <v>6.37</v>
      </c>
      <c r="J739">
        <f>'Quick View_ Sample Data'!AJ740</f>
        <v>0</v>
      </c>
      <c r="K739">
        <f>'Quick View_ Sample Data'!AH740</f>
        <v>159.861055856793</v>
      </c>
      <c r="L739">
        <f t="shared" si="11"/>
        <v>0</v>
      </c>
    </row>
    <row r="740" spans="1:12" ht="12.75" customHeight="1">
      <c r="A740" s="321"/>
      <c r="B740" t="str">
        <f>'Quick View_ Sample Data'!P741</f>
        <v>MgO</v>
      </c>
      <c r="C740">
        <f>'Quick View_ Sample Data'!O741</f>
        <v>268</v>
      </c>
      <c r="D740">
        <f>'Quick View_ Sample Data'!AN741</f>
        <v>126.19388929409517</v>
      </c>
      <c r="E740">
        <f>'Quick View_ Sample Data'!O741</f>
        <v>268</v>
      </c>
      <c r="F740">
        <f>'Quick View_ Sample Data'!AO741</f>
        <v>0</v>
      </c>
      <c r="G740">
        <f>'Quick View_ Sample Data'!O741</f>
        <v>268</v>
      </c>
      <c r="H740">
        <f>'Quick View_ Sample Data'!AP741</f>
        <v>4.2866666666666662</v>
      </c>
      <c r="I740">
        <f>'Quick View_ Sample Data'!AF741</f>
        <v>6.43</v>
      </c>
      <c r="J740">
        <f>'Quick View_ Sample Data'!AJ741</f>
        <v>0</v>
      </c>
      <c r="K740">
        <f>'Quick View_ Sample Data'!AH741</f>
        <v>196.25799268132999</v>
      </c>
      <c r="L740">
        <f t="shared" si="11"/>
        <v>0</v>
      </c>
    </row>
    <row r="741" spans="1:12" ht="12.75" customHeight="1">
      <c r="A741" s="321"/>
      <c r="B741" t="str">
        <f>'Quick View_ Sample Data'!P742</f>
        <v>MgO</v>
      </c>
      <c r="C741">
        <f>'Quick View_ Sample Data'!O742</f>
        <v>269</v>
      </c>
      <c r="D741">
        <f>'Quick View_ Sample Data'!AN742</f>
        <v>227.05765155459622</v>
      </c>
      <c r="E741">
        <f>'Quick View_ Sample Data'!O742</f>
        <v>269</v>
      </c>
      <c r="F741">
        <f>'Quick View_ Sample Data'!AO742</f>
        <v>0</v>
      </c>
      <c r="G741">
        <f>'Quick View_ Sample Data'!O742</f>
        <v>269</v>
      </c>
      <c r="H741">
        <f>'Quick View_ Sample Data'!AP742</f>
        <v>7.0466666666666669</v>
      </c>
      <c r="I741">
        <f>'Quick View_ Sample Data'!AF742</f>
        <v>10.57</v>
      </c>
      <c r="J741">
        <f>'Quick View_ Sample Data'!AJ742</f>
        <v>0</v>
      </c>
      <c r="K741">
        <f>'Quick View_ Sample Data'!AH742</f>
        <v>214.813293807565</v>
      </c>
      <c r="L741">
        <f t="shared" si="11"/>
        <v>0</v>
      </c>
    </row>
    <row r="742" spans="1:12" ht="12.75" customHeight="1">
      <c r="A742" s="321"/>
      <c r="B742" t="str">
        <f>'Quick View_ Sample Data'!P743</f>
        <v>SiNx</v>
      </c>
      <c r="C742">
        <f>'Quick View_ Sample Data'!O743</f>
        <v>269</v>
      </c>
      <c r="D742">
        <f>'Quick View_ Sample Data'!AN743</f>
        <v>0</v>
      </c>
      <c r="E742">
        <f>'Quick View_ Sample Data'!O743</f>
        <v>269</v>
      </c>
      <c r="F742">
        <f>'Quick View_ Sample Data'!AO743</f>
        <v>0</v>
      </c>
      <c r="G742">
        <f>'Quick View_ Sample Data'!O743</f>
        <v>269</v>
      </c>
      <c r="H742">
        <f>'Quick View_ Sample Data'!AP743</f>
        <v>0</v>
      </c>
      <c r="I742">
        <f>'Quick View_ Sample Data'!AF743</f>
        <v>0</v>
      </c>
      <c r="J742">
        <f>'Quick View_ Sample Data'!AJ743</f>
        <v>0</v>
      </c>
      <c r="K742">
        <f>'Quick View_ Sample Data'!AH743</f>
        <v>300.54235333791001</v>
      </c>
      <c r="L742">
        <f t="shared" si="11"/>
        <v>0</v>
      </c>
    </row>
    <row r="743" spans="1:12" ht="12.75" customHeight="1">
      <c r="A743" s="321"/>
      <c r="B743" t="str">
        <f>'Quick View_ Sample Data'!P744</f>
        <v>MgO</v>
      </c>
      <c r="C743">
        <f>'Quick View_ Sample Data'!O744</f>
        <v>269</v>
      </c>
      <c r="D743">
        <f>'Quick View_ Sample Data'!AN744</f>
        <v>232.49792311172232</v>
      </c>
      <c r="E743">
        <f>'Quick View_ Sample Data'!O744</f>
        <v>269</v>
      </c>
      <c r="F743">
        <f>'Quick View_ Sample Data'!AO744</f>
        <v>0</v>
      </c>
      <c r="G743">
        <f>'Quick View_ Sample Data'!O744</f>
        <v>269</v>
      </c>
      <c r="H743">
        <f>'Quick View_ Sample Data'!AP744</f>
        <v>6.9333333333333336</v>
      </c>
      <c r="I743">
        <f>'Quick View_ Sample Data'!AF744</f>
        <v>10.4</v>
      </c>
      <c r="J743">
        <f>'Quick View_ Sample Data'!AJ744</f>
        <v>0</v>
      </c>
      <c r="K743">
        <f>'Quick View_ Sample Data'!AH744</f>
        <v>223.555695299733</v>
      </c>
      <c r="L743">
        <f t="shared" si="11"/>
        <v>0</v>
      </c>
    </row>
    <row r="744" spans="1:12" ht="12.75" customHeight="1">
      <c r="A744" s="321"/>
      <c r="B744" t="str">
        <f>'Quick View_ Sample Data'!P745</f>
        <v>MgO</v>
      </c>
      <c r="C744">
        <f>'Quick View_ Sample Data'!O745</f>
        <v>269</v>
      </c>
      <c r="D744">
        <f>'Quick View_ Sample Data'!AN745</f>
        <v>237.97173694396233</v>
      </c>
      <c r="E744">
        <f>'Quick View_ Sample Data'!O745</f>
        <v>269</v>
      </c>
      <c r="F744">
        <f>'Quick View_ Sample Data'!AO745</f>
        <v>0</v>
      </c>
      <c r="G744">
        <f>'Quick View_ Sample Data'!O745</f>
        <v>269</v>
      </c>
      <c r="H744">
        <f>'Quick View_ Sample Data'!AP745</f>
        <v>6.9333333333333336</v>
      </c>
      <c r="I744">
        <f>'Quick View_ Sample Data'!AF745</f>
        <v>10.4</v>
      </c>
      <c r="J744">
        <f>'Quick View_ Sample Data'!AJ745</f>
        <v>0</v>
      </c>
      <c r="K744">
        <f>'Quick View_ Sample Data'!AH745</f>
        <v>228.81897783073299</v>
      </c>
      <c r="L744">
        <f t="shared" si="11"/>
        <v>0</v>
      </c>
    </row>
    <row r="745" spans="1:12" ht="12.75" customHeight="1">
      <c r="A745" s="321"/>
      <c r="B745" t="str">
        <f>'Quick View_ Sample Data'!P746</f>
        <v>SiNx</v>
      </c>
      <c r="C745">
        <f>'Quick View_ Sample Data'!O746</f>
        <v>270</v>
      </c>
      <c r="D745">
        <f>'Quick View_ Sample Data'!AN746</f>
        <v>0</v>
      </c>
      <c r="E745">
        <f>'Quick View_ Sample Data'!O746</f>
        <v>270</v>
      </c>
      <c r="F745">
        <f>'Quick View_ Sample Data'!AO746</f>
        <v>0</v>
      </c>
      <c r="G745">
        <f>'Quick View_ Sample Data'!O746</f>
        <v>270</v>
      </c>
      <c r="H745">
        <f>'Quick View_ Sample Data'!AP746</f>
        <v>0</v>
      </c>
      <c r="I745">
        <f>'Quick View_ Sample Data'!AF746</f>
        <v>0</v>
      </c>
      <c r="J745">
        <f>'Quick View_ Sample Data'!AJ746</f>
        <v>10.086</v>
      </c>
      <c r="K745">
        <f>'Quick View_ Sample Data'!AH746</f>
        <v>573.43017134344996</v>
      </c>
      <c r="L745">
        <f t="shared" si="11"/>
        <v>0</v>
      </c>
    </row>
    <row r="746" spans="1:12" ht="12.75" customHeight="1">
      <c r="A746" s="321"/>
      <c r="B746" t="str">
        <f>'Quick View_ Sample Data'!P747</f>
        <v>SiNx</v>
      </c>
      <c r="C746">
        <f>'Quick View_ Sample Data'!O747</f>
        <v>270</v>
      </c>
      <c r="D746">
        <f>'Quick View_ Sample Data'!AN747</f>
        <v>0</v>
      </c>
      <c r="E746">
        <f>'Quick View_ Sample Data'!O747</f>
        <v>270</v>
      </c>
      <c r="F746">
        <f>'Quick View_ Sample Data'!AO747</f>
        <v>0</v>
      </c>
      <c r="G746">
        <f>'Quick View_ Sample Data'!O747</f>
        <v>270</v>
      </c>
      <c r="H746">
        <f>'Quick View_ Sample Data'!AP747</f>
        <v>0</v>
      </c>
      <c r="I746">
        <f>'Quick View_ Sample Data'!AF747</f>
        <v>0</v>
      </c>
      <c r="J746">
        <f>'Quick View_ Sample Data'!AJ747</f>
        <v>10.06</v>
      </c>
      <c r="K746">
        <f>'Quick View_ Sample Data'!AH747</f>
        <v>586.18694086773701</v>
      </c>
      <c r="L746">
        <f t="shared" si="11"/>
        <v>0</v>
      </c>
    </row>
    <row r="747" spans="1:12" ht="12.75" customHeight="1">
      <c r="A747" s="321"/>
      <c r="B747" t="str">
        <f>'Quick View_ Sample Data'!P748</f>
        <v>SiNx</v>
      </c>
      <c r="C747">
        <f>'Quick View_ Sample Data'!O748</f>
        <v>270</v>
      </c>
      <c r="D747">
        <f>'Quick View_ Sample Data'!AN748</f>
        <v>0</v>
      </c>
      <c r="E747">
        <f>'Quick View_ Sample Data'!O748</f>
        <v>270</v>
      </c>
      <c r="F747">
        <f>'Quick View_ Sample Data'!AO748</f>
        <v>0</v>
      </c>
      <c r="G747">
        <f>'Quick View_ Sample Data'!O748</f>
        <v>270</v>
      </c>
      <c r="H747">
        <f>'Quick View_ Sample Data'!AP748</f>
        <v>0</v>
      </c>
      <c r="I747">
        <f>'Quick View_ Sample Data'!AF748</f>
        <v>0</v>
      </c>
      <c r="J747">
        <f>'Quick View_ Sample Data'!AJ748</f>
        <v>9.9589999999999996</v>
      </c>
      <c r="K747">
        <f>'Quick View_ Sample Data'!AH748</f>
        <v>576.28483305517898</v>
      </c>
      <c r="L747">
        <f t="shared" si="11"/>
        <v>0</v>
      </c>
    </row>
    <row r="748" spans="1:12" ht="12.75" customHeight="1">
      <c r="A748" s="321"/>
      <c r="B748" t="str">
        <f>'Quick View_ Sample Data'!P749</f>
        <v>SiNx</v>
      </c>
      <c r="C748">
        <f>'Quick View_ Sample Data'!O749</f>
        <v>270</v>
      </c>
      <c r="D748">
        <f>'Quick View_ Sample Data'!AN749</f>
        <v>0</v>
      </c>
      <c r="E748">
        <f>'Quick View_ Sample Data'!O749</f>
        <v>270</v>
      </c>
      <c r="F748">
        <f>'Quick View_ Sample Data'!AO749</f>
        <v>0</v>
      </c>
      <c r="G748">
        <f>'Quick View_ Sample Data'!O749</f>
        <v>270</v>
      </c>
      <c r="H748">
        <f>'Quick View_ Sample Data'!AP749</f>
        <v>0</v>
      </c>
      <c r="I748">
        <f>'Quick View_ Sample Data'!AF749</f>
        <v>0</v>
      </c>
      <c r="J748">
        <f>'Quick View_ Sample Data'!AJ749</f>
        <v>9.9570000000000007</v>
      </c>
      <c r="K748">
        <f>'Quick View_ Sample Data'!AH749</f>
        <v>582.70782190656803</v>
      </c>
      <c r="L748">
        <f t="shared" si="11"/>
        <v>0</v>
      </c>
    </row>
    <row r="749" spans="1:12" ht="12.75" customHeight="1">
      <c r="A749" s="321"/>
      <c r="B749" t="str">
        <f>'Quick View_ Sample Data'!P750</f>
        <v>SiNx</v>
      </c>
      <c r="C749">
        <f>'Quick View_ Sample Data'!O750</f>
        <v>271</v>
      </c>
      <c r="D749">
        <f>'Quick View_ Sample Data'!AN750</f>
        <v>0</v>
      </c>
      <c r="E749">
        <f>'Quick View_ Sample Data'!O750</f>
        <v>271</v>
      </c>
      <c r="F749">
        <f>'Quick View_ Sample Data'!AO750</f>
        <v>0</v>
      </c>
      <c r="G749">
        <f>'Quick View_ Sample Data'!O750</f>
        <v>271</v>
      </c>
      <c r="H749">
        <f>'Quick View_ Sample Data'!AP750</f>
        <v>0</v>
      </c>
      <c r="I749">
        <f>'Quick View_ Sample Data'!AF750</f>
        <v>0</v>
      </c>
      <c r="J749">
        <f>'Quick View_ Sample Data'!AJ750</f>
        <v>10.6</v>
      </c>
      <c r="K749">
        <f>'Quick View_ Sample Data'!AH750</f>
        <v>484.04357649495398</v>
      </c>
      <c r="L749">
        <f t="shared" si="11"/>
        <v>0</v>
      </c>
    </row>
    <row r="750" spans="1:12" ht="12.75" customHeight="1">
      <c r="A750" s="321"/>
      <c r="B750" t="str">
        <f>'Quick View_ Sample Data'!P751</f>
        <v>SiNx</v>
      </c>
      <c r="C750">
        <f>'Quick View_ Sample Data'!O751</f>
        <v>271</v>
      </c>
      <c r="D750">
        <f>'Quick View_ Sample Data'!AN751</f>
        <v>0</v>
      </c>
      <c r="E750">
        <f>'Quick View_ Sample Data'!O751</f>
        <v>271</v>
      </c>
      <c r="F750">
        <f>'Quick View_ Sample Data'!AO751</f>
        <v>0</v>
      </c>
      <c r="G750">
        <f>'Quick View_ Sample Data'!O751</f>
        <v>271</v>
      </c>
      <c r="H750">
        <f>'Quick View_ Sample Data'!AP751</f>
        <v>0</v>
      </c>
      <c r="I750">
        <f>'Quick View_ Sample Data'!AF751</f>
        <v>0</v>
      </c>
      <c r="J750">
        <f>'Quick View_ Sample Data'!AJ751</f>
        <v>10.6</v>
      </c>
      <c r="K750">
        <f>'Quick View_ Sample Data'!AH751</f>
        <v>488.860818133495</v>
      </c>
      <c r="L750">
        <f t="shared" si="11"/>
        <v>0</v>
      </c>
    </row>
    <row r="751" spans="1:12" ht="12.75" customHeight="1">
      <c r="A751" s="321"/>
      <c r="B751" t="str">
        <f>'Quick View_ Sample Data'!P752</f>
        <v>MgO</v>
      </c>
      <c r="C751">
        <f>'Quick View_ Sample Data'!O752</f>
        <v>271</v>
      </c>
      <c r="D751">
        <f>'Quick View_ Sample Data'!AN752</f>
        <v>156.77373921555846</v>
      </c>
      <c r="E751">
        <f>'Quick View_ Sample Data'!O752</f>
        <v>271</v>
      </c>
      <c r="F751">
        <f>'Quick View_ Sample Data'!AO752</f>
        <v>16539.629487241422</v>
      </c>
      <c r="G751">
        <f>'Quick View_ Sample Data'!O752</f>
        <v>271</v>
      </c>
      <c r="H751">
        <f>'Quick View_ Sample Data'!AP752</f>
        <v>3.536</v>
      </c>
      <c r="I751">
        <f>'Quick View_ Sample Data'!AF752</f>
        <v>4.42</v>
      </c>
      <c r="J751">
        <f>'Quick View_ Sample Data'!AJ752</f>
        <v>0</v>
      </c>
      <c r="K751">
        <f>'Quick View_ Sample Data'!AH752</f>
        <v>354.69171768225902</v>
      </c>
      <c r="L751">
        <f t="shared" si="11"/>
        <v>0</v>
      </c>
    </row>
    <row r="752" spans="1:12" ht="12.75" customHeight="1">
      <c r="A752" s="321"/>
      <c r="B752" t="str">
        <f>'Quick View_ Sample Data'!P753</f>
        <v>SiNx</v>
      </c>
      <c r="C752">
        <f>'Quick View_ Sample Data'!O753</f>
        <v>271</v>
      </c>
      <c r="D752">
        <f>'Quick View_ Sample Data'!AN753</f>
        <v>0</v>
      </c>
      <c r="E752">
        <f>'Quick View_ Sample Data'!O753</f>
        <v>271</v>
      </c>
      <c r="F752">
        <f>'Quick View_ Sample Data'!AO753</f>
        <v>0</v>
      </c>
      <c r="G752">
        <f>'Quick View_ Sample Data'!O753</f>
        <v>271</v>
      </c>
      <c r="H752">
        <f>'Quick View_ Sample Data'!AP753</f>
        <v>0</v>
      </c>
      <c r="I752">
        <f>'Quick View_ Sample Data'!AF753</f>
        <v>0</v>
      </c>
      <c r="J752">
        <f>'Quick View_ Sample Data'!AJ753</f>
        <v>10.55</v>
      </c>
      <c r="K752">
        <f>'Quick View_ Sample Data'!AH753</f>
        <v>493.14281070108802</v>
      </c>
      <c r="L752">
        <f t="shared" si="11"/>
        <v>0</v>
      </c>
    </row>
    <row r="753" spans="1:12" ht="12.75" customHeight="1">
      <c r="A753" s="321"/>
      <c r="B753" t="str">
        <f>'Quick View_ Sample Data'!P754</f>
        <v>MgO</v>
      </c>
      <c r="C753">
        <f>'Quick View_ Sample Data'!O754</f>
        <v>274</v>
      </c>
      <c r="D753">
        <f>'Quick View_ Sample Data'!AN754</f>
        <v>96.775173023877826</v>
      </c>
      <c r="E753">
        <f>'Quick View_ Sample Data'!O754</f>
        <v>274</v>
      </c>
      <c r="F753">
        <f>'Quick View_ Sample Data'!AO754</f>
        <v>12967.873185199629</v>
      </c>
      <c r="G753">
        <f>'Quick View_ Sample Data'!O754</f>
        <v>274</v>
      </c>
      <c r="H753">
        <f>'Quick View_ Sample Data'!AP754</f>
        <v>3.2933333333333334</v>
      </c>
      <c r="I753">
        <f>'Quick View_ Sample Data'!AF754</f>
        <v>4.9400000000000004</v>
      </c>
      <c r="J753">
        <f>'Quick View_ Sample Data'!AJ754</f>
        <v>13.4</v>
      </c>
      <c r="K753">
        <f>'Quick View_ Sample Data'!AH754</f>
        <v>195.90115996736401</v>
      </c>
      <c r="L753">
        <f t="shared" si="11"/>
        <v>66.196000000000012</v>
      </c>
    </row>
    <row r="754" spans="1:12" ht="12.75" customHeight="1">
      <c r="A754" s="321"/>
      <c r="B754" t="str">
        <f>'Quick View_ Sample Data'!P755</f>
        <v>MgO</v>
      </c>
      <c r="C754">
        <f>'Quick View_ Sample Data'!O755</f>
        <v>274</v>
      </c>
      <c r="D754">
        <f>'Quick View_ Sample Data'!AN755</f>
        <v>125.60930810044056</v>
      </c>
      <c r="E754">
        <f>'Quick View_ Sample Data'!O755</f>
        <v>274</v>
      </c>
      <c r="F754">
        <f>'Quick View_ Sample Data'!AO755</f>
        <v>16241.283537386964</v>
      </c>
      <c r="G754">
        <f>'Quick View_ Sample Data'!O755</f>
        <v>274</v>
      </c>
      <c r="H754">
        <f>'Quick View_ Sample Data'!AP755</f>
        <v>3.4600000000000004</v>
      </c>
      <c r="I754">
        <f>'Quick View_ Sample Data'!AF755</f>
        <v>5.19</v>
      </c>
      <c r="J754">
        <f>'Quick View_ Sample Data'!AJ755</f>
        <v>12.93</v>
      </c>
      <c r="K754">
        <f>'Quick View_ Sample Data'!AH755</f>
        <v>242.02178824747699</v>
      </c>
      <c r="L754">
        <f t="shared" si="11"/>
        <v>67.106700000000004</v>
      </c>
    </row>
    <row r="755" spans="1:12" ht="12.75" customHeight="1">
      <c r="A755" s="321"/>
      <c r="B755" t="str">
        <f>'Quick View_ Sample Data'!P756</f>
        <v>MgO</v>
      </c>
      <c r="C755">
        <f>'Quick View_ Sample Data'!O756</f>
        <v>274</v>
      </c>
      <c r="D755">
        <f>'Quick View_ Sample Data'!AN756</f>
        <v>98.852385460052915</v>
      </c>
      <c r="E755">
        <f>'Quick View_ Sample Data'!O756</f>
        <v>274</v>
      </c>
      <c r="F755">
        <f>'Quick View_ Sample Data'!AO756</f>
        <v>12712.416770162805</v>
      </c>
      <c r="G755">
        <f>'Quick View_ Sample Data'!O756</f>
        <v>274</v>
      </c>
      <c r="H755">
        <f>'Quick View_ Sample Data'!AP756</f>
        <v>3.3533333333333335</v>
      </c>
      <c r="I755">
        <f>'Quick View_ Sample Data'!AF756</f>
        <v>5.03</v>
      </c>
      <c r="J755">
        <f>'Quick View_ Sample Data'!AJ756</f>
        <v>12.86</v>
      </c>
      <c r="K755">
        <f>'Quick View_ Sample Data'!AH756</f>
        <v>196.52561721680499</v>
      </c>
      <c r="L755">
        <f t="shared" si="11"/>
        <v>64.6858</v>
      </c>
    </row>
    <row r="756" spans="1:12" ht="12.75" customHeight="1">
      <c r="A756" s="321"/>
      <c r="B756" t="str">
        <f>'Quick View_ Sample Data'!P757</f>
        <v>MgO</v>
      </c>
      <c r="C756">
        <f>'Quick View_ Sample Data'!O757</f>
        <v>274</v>
      </c>
      <c r="D756">
        <f>'Quick View_ Sample Data'!AN757</f>
        <v>125.33106779172556</v>
      </c>
      <c r="E756">
        <f>'Quick View_ Sample Data'!O757</f>
        <v>274</v>
      </c>
      <c r="F756">
        <f>'Quick View_ Sample Data'!AO757</f>
        <v>15603.717940069831</v>
      </c>
      <c r="G756">
        <f>'Quick View_ Sample Data'!O757</f>
        <v>274</v>
      </c>
      <c r="H756">
        <f>'Quick View_ Sample Data'!AP757</f>
        <v>3.4133333333333336</v>
      </c>
      <c r="I756">
        <f>'Quick View_ Sample Data'!AF757</f>
        <v>5.12</v>
      </c>
      <c r="J756">
        <f>'Quick View_ Sample Data'!AJ757</f>
        <v>12.45</v>
      </c>
      <c r="K756">
        <f>'Quick View_ Sample Data'!AH757</f>
        <v>244.787241780714</v>
      </c>
      <c r="L756">
        <f t="shared" si="11"/>
        <v>63.744</v>
      </c>
    </row>
    <row r="757" spans="1:12" ht="12.75" customHeight="1">
      <c r="A757" s="321"/>
      <c r="B757" t="str">
        <f>'Quick View_ Sample Data'!P758</f>
        <v>MgO</v>
      </c>
      <c r="C757">
        <f>'Quick View_ Sample Data'!O758</f>
        <v>275</v>
      </c>
      <c r="D757">
        <f>'Quick View_ Sample Data'!AN758</f>
        <v>115.00682687854548</v>
      </c>
      <c r="E757">
        <f>'Quick View_ Sample Data'!O758</f>
        <v>275</v>
      </c>
      <c r="F757">
        <f>'Quick View_ Sample Data'!AO758</f>
        <v>14237.845167563932</v>
      </c>
      <c r="G757">
        <f>'Quick View_ Sample Data'!O758</f>
        <v>275</v>
      </c>
      <c r="H757">
        <f>'Quick View_ Sample Data'!AP758</f>
        <v>3.4600000000000004</v>
      </c>
      <c r="I757">
        <f>'Quick View_ Sample Data'!AF758</f>
        <v>5.19</v>
      </c>
      <c r="J757">
        <f>'Quick View_ Sample Data'!AJ758</f>
        <v>12.38</v>
      </c>
      <c r="K757">
        <f>'Quick View_ Sample Data'!AH758</f>
        <v>221.59311537292001</v>
      </c>
      <c r="L757">
        <f t="shared" si="11"/>
        <v>64.252200000000002</v>
      </c>
    </row>
    <row r="758" spans="1:12" ht="12.75" customHeight="1">
      <c r="A758" s="321"/>
      <c r="B758" t="str">
        <f>'Quick View_ Sample Data'!P759</f>
        <v>MgO</v>
      </c>
      <c r="C758">
        <f>'Quick View_ Sample Data'!O759</f>
        <v>275</v>
      </c>
      <c r="D758">
        <f>'Quick View_ Sample Data'!AN759</f>
        <v>117.65586373885108</v>
      </c>
      <c r="E758">
        <f>'Quick View_ Sample Data'!O759</f>
        <v>275</v>
      </c>
      <c r="F758">
        <f>'Quick View_ Sample Data'!AO759</f>
        <v>15448.214908911148</v>
      </c>
      <c r="G758">
        <f>'Quick View_ Sample Data'!O759</f>
        <v>275</v>
      </c>
      <c r="H758">
        <f>'Quick View_ Sample Data'!AP759</f>
        <v>3.4066666666666667</v>
      </c>
      <c r="I758">
        <f>'Quick View_ Sample Data'!AF759</f>
        <v>5.1100000000000003</v>
      </c>
      <c r="J758">
        <f>'Quick View_ Sample Data'!AJ759</f>
        <v>13.13</v>
      </c>
      <c r="K758">
        <f>'Quick View_ Sample Data'!AH759</f>
        <v>230.24630868659699</v>
      </c>
      <c r="L758">
        <f t="shared" si="11"/>
        <v>67.094300000000004</v>
      </c>
    </row>
    <row r="759" spans="1:12" ht="12.75" customHeight="1">
      <c r="A759" s="321"/>
      <c r="B759" t="str">
        <f>'Quick View_ Sample Data'!P760</f>
        <v>MgO</v>
      </c>
      <c r="C759">
        <f>'Quick View_ Sample Data'!O760</f>
        <v>275</v>
      </c>
      <c r="D759">
        <f>'Quick View_ Sample Data'!AN760</f>
        <v>125.61153830490295</v>
      </c>
      <c r="E759">
        <f>'Quick View_ Sample Data'!O760</f>
        <v>275</v>
      </c>
      <c r="F759">
        <f>'Quick View_ Sample Data'!AO760</f>
        <v>14935.211904452963</v>
      </c>
      <c r="G759">
        <f>'Quick View_ Sample Data'!O760</f>
        <v>275</v>
      </c>
      <c r="H759">
        <f>'Quick View_ Sample Data'!AP760</f>
        <v>3.5733333333333333</v>
      </c>
      <c r="I759">
        <f>'Quick View_ Sample Data'!AF760</f>
        <v>5.36</v>
      </c>
      <c r="J759">
        <f>'Quick View_ Sample Data'!AJ760</f>
        <v>11.89</v>
      </c>
      <c r="K759">
        <f>'Quick View_ Sample Data'!AH760</f>
        <v>234.349884897207</v>
      </c>
      <c r="L759">
        <f t="shared" si="11"/>
        <v>63.73040000000001</v>
      </c>
    </row>
    <row r="760" spans="1:12" ht="12.75" customHeight="1">
      <c r="A760" s="321"/>
      <c r="B760" t="str">
        <f>'Quick View_ Sample Data'!P761</f>
        <v>MgO</v>
      </c>
      <c r="C760">
        <f>'Quick View_ Sample Data'!O761</f>
        <v>275</v>
      </c>
      <c r="D760">
        <f>'Quick View_ Sample Data'!AN761</f>
        <v>95.692899402419073</v>
      </c>
      <c r="E760">
        <f>'Quick View_ Sample Data'!O761</f>
        <v>275</v>
      </c>
      <c r="F760">
        <f>'Quick View_ Sample Data'!AO761</f>
        <v>13071.650058370446</v>
      </c>
      <c r="G760">
        <f>'Quick View_ Sample Data'!O761</f>
        <v>275</v>
      </c>
      <c r="H760">
        <f>'Quick View_ Sample Data'!AP761</f>
        <v>3.3200000000000003</v>
      </c>
      <c r="I760">
        <f>'Quick View_ Sample Data'!AF761</f>
        <v>4.9800000000000004</v>
      </c>
      <c r="J760">
        <f>'Quick View_ Sample Data'!AJ761</f>
        <v>13.66</v>
      </c>
      <c r="K760">
        <f>'Quick View_ Sample Data'!AH761</f>
        <v>192.154416470721</v>
      </c>
      <c r="L760">
        <f t="shared" si="11"/>
        <v>68.026800000000009</v>
      </c>
    </row>
    <row r="761" spans="1:12" ht="12.75" customHeight="1">
      <c r="A761" s="321"/>
      <c r="B761" t="str">
        <f>'Quick View_ Sample Data'!P762</f>
        <v>MgO</v>
      </c>
      <c r="C761">
        <f>'Quick View_ Sample Data'!O762</f>
        <v>276</v>
      </c>
      <c r="D761">
        <f>'Quick View_ Sample Data'!AN762</f>
        <v>127.19623238762593</v>
      </c>
      <c r="E761">
        <f>'Quick View_ Sample Data'!O762</f>
        <v>276</v>
      </c>
      <c r="F761">
        <f>'Quick View_ Sample Data'!AO762</f>
        <v>15365.304872425211</v>
      </c>
      <c r="G761">
        <f>'Quick View_ Sample Data'!O762</f>
        <v>276</v>
      </c>
      <c r="H761">
        <f>'Quick View_ Sample Data'!AP762</f>
        <v>3.4266666666666663</v>
      </c>
      <c r="I761">
        <f>'Quick View_ Sample Data'!AF762</f>
        <v>5.14</v>
      </c>
      <c r="J761">
        <f>'Quick View_ Sample Data'!AJ762</f>
        <v>12.08</v>
      </c>
      <c r="K761">
        <f>'Quick View_ Sample Data'!AH762</f>
        <v>247.46348713545899</v>
      </c>
      <c r="L761">
        <f t="shared" si="11"/>
        <v>62.091199999999994</v>
      </c>
    </row>
    <row r="762" spans="1:12" ht="12.75" customHeight="1">
      <c r="A762" s="321"/>
      <c r="B762" t="str">
        <f>'Quick View_ Sample Data'!P763</f>
        <v>MgO</v>
      </c>
      <c r="C762">
        <f>'Quick View_ Sample Data'!O763</f>
        <v>276</v>
      </c>
      <c r="D762">
        <f>'Quick View_ Sample Data'!AN763</f>
        <v>125.13623712989984</v>
      </c>
      <c r="E762">
        <f>'Quick View_ Sample Data'!O763</f>
        <v>276</v>
      </c>
      <c r="F762">
        <f>'Quick View_ Sample Data'!AO763</f>
        <v>16142.57458975708</v>
      </c>
      <c r="G762">
        <f>'Quick View_ Sample Data'!O763</f>
        <v>276</v>
      </c>
      <c r="H762">
        <f>'Quick View_ Sample Data'!AP763</f>
        <v>3.4533333333333331</v>
      </c>
      <c r="I762">
        <f>'Quick View_ Sample Data'!AF763</f>
        <v>5.18</v>
      </c>
      <c r="J762">
        <f>'Quick View_ Sample Data'!AJ763</f>
        <v>12.9</v>
      </c>
      <c r="K762">
        <f>'Quick View_ Sample Data'!AH763</f>
        <v>241.57574735501899</v>
      </c>
      <c r="L762">
        <f t="shared" si="11"/>
        <v>66.822000000000003</v>
      </c>
    </row>
    <row r="763" spans="1:12" ht="12.75" customHeight="1">
      <c r="A763" s="321"/>
      <c r="B763" t="str">
        <f>'Quick View_ Sample Data'!P764</f>
        <v>MgO</v>
      </c>
      <c r="C763">
        <f>'Quick View_ Sample Data'!O764</f>
        <v>276</v>
      </c>
      <c r="D763">
        <f>'Quick View_ Sample Data'!AN764</f>
        <v>126.9867715845279</v>
      </c>
      <c r="E763">
        <f>'Quick View_ Sample Data'!O764</f>
        <v>276</v>
      </c>
      <c r="F763">
        <f>'Quick View_ Sample Data'!AO764</f>
        <v>14832.054921072859</v>
      </c>
      <c r="G763">
        <f>'Quick View_ Sample Data'!O764</f>
        <v>276</v>
      </c>
      <c r="H763">
        <f>'Quick View_ Sample Data'!AP764</f>
        <v>3.5200000000000005</v>
      </c>
      <c r="I763">
        <f>'Quick View_ Sample Data'!AF764</f>
        <v>5.28</v>
      </c>
      <c r="J763">
        <f>'Quick View_ Sample Data'!AJ764</f>
        <v>11.68</v>
      </c>
      <c r="K763">
        <f>'Quick View_ Sample Data'!AH764</f>
        <v>240.505249213121</v>
      </c>
      <c r="L763">
        <f t="shared" si="11"/>
        <v>61.670400000000001</v>
      </c>
    </row>
    <row r="764" spans="1:12" ht="12.75" customHeight="1">
      <c r="A764" s="321"/>
      <c r="B764" t="str">
        <f>'Quick View_ Sample Data'!P765</f>
        <v>MgO</v>
      </c>
      <c r="C764">
        <f>'Quick View_ Sample Data'!O765</f>
        <v>276</v>
      </c>
      <c r="D764">
        <f>'Quick View_ Sample Data'!AN765</f>
        <v>123.97412218869115</v>
      </c>
      <c r="E764">
        <f>'Quick View_ Sample Data'!O765</f>
        <v>276</v>
      </c>
      <c r="F764">
        <f>'Quick View_ Sample Data'!AO765</f>
        <v>15409.98338805431</v>
      </c>
      <c r="G764">
        <f>'Quick View_ Sample Data'!O765</f>
        <v>276</v>
      </c>
      <c r="H764">
        <f>'Quick View_ Sample Data'!AP765</f>
        <v>3.42</v>
      </c>
      <c r="I764">
        <f>'Quick View_ Sample Data'!AF765</f>
        <v>5.13</v>
      </c>
      <c r="J764">
        <f>'Quick View_ Sample Data'!AJ765</f>
        <v>12.43</v>
      </c>
      <c r="K764">
        <f>'Quick View_ Sample Data'!AH765</f>
        <v>241.66495553351101</v>
      </c>
      <c r="L764">
        <f t="shared" si="11"/>
        <v>63.765899999999995</v>
      </c>
    </row>
    <row r="765" spans="1:12" ht="12.75" customHeight="1">
      <c r="A765" s="321"/>
      <c r="B765" t="str">
        <f>'Quick View_ Sample Data'!P766</f>
        <v>MgO</v>
      </c>
      <c r="C765">
        <f>'Quick View_ Sample Data'!O766</f>
        <v>277</v>
      </c>
      <c r="D765">
        <f>'Quick View_ Sample Data'!AN766</f>
        <v>169.35717724903594</v>
      </c>
      <c r="E765">
        <f>'Quick View_ Sample Data'!O766</f>
        <v>277</v>
      </c>
      <c r="F765">
        <f>'Quick View_ Sample Data'!AO766</f>
        <v>17951.860788397811</v>
      </c>
      <c r="G765">
        <f>'Quick View_ Sample Data'!O766</f>
        <v>277</v>
      </c>
      <c r="H765">
        <f>'Quick View_ Sample Data'!AP766</f>
        <v>3.686666666666667</v>
      </c>
      <c r="I765">
        <f>'Quick View_ Sample Data'!AF766</f>
        <v>5.53</v>
      </c>
      <c r="J765">
        <f>'Quick View_ Sample Data'!AJ766</f>
        <v>10.6</v>
      </c>
      <c r="K765">
        <f>'Quick View_ Sample Data'!AH766</f>
        <v>306.25167676136698</v>
      </c>
      <c r="L765">
        <f t="shared" si="11"/>
        <v>58.618000000000002</v>
      </c>
    </row>
    <row r="766" spans="1:12" ht="12.75" customHeight="1">
      <c r="A766" s="321"/>
      <c r="B766" t="str">
        <f>'Quick View_ Sample Data'!P767</f>
        <v>MgO</v>
      </c>
      <c r="C766">
        <f>'Quick View_ Sample Data'!O767</f>
        <v>277</v>
      </c>
      <c r="D766">
        <f>'Quick View_ Sample Data'!AN767</f>
        <v>105.95790608508021</v>
      </c>
      <c r="E766">
        <f>'Quick View_ Sample Data'!O767</f>
        <v>277</v>
      </c>
      <c r="F766">
        <f>'Quick View_ Sample Data'!AO767</f>
        <v>14675.169992783609</v>
      </c>
      <c r="G766">
        <f>'Quick View_ Sample Data'!O767</f>
        <v>277</v>
      </c>
      <c r="H766">
        <f>'Quick View_ Sample Data'!AP767</f>
        <v>3.2666666666666671</v>
      </c>
      <c r="I766">
        <f>'Quick View_ Sample Data'!AF767</f>
        <v>4.9000000000000004</v>
      </c>
      <c r="J766">
        <f>'Quick View_ Sample Data'!AJ767</f>
        <v>13.85</v>
      </c>
      <c r="K766">
        <f>'Quick View_ Sample Data'!AH767</f>
        <v>216.240624663429</v>
      </c>
      <c r="L766">
        <f t="shared" si="11"/>
        <v>67.865000000000009</v>
      </c>
    </row>
    <row r="767" spans="1:12" ht="12.75" customHeight="1">
      <c r="A767" s="321"/>
      <c r="B767" t="str">
        <f>'Quick View_ Sample Data'!P768</f>
        <v>MgO</v>
      </c>
      <c r="C767">
        <f>'Quick View_ Sample Data'!O768</f>
        <v>277</v>
      </c>
      <c r="D767">
        <f>'Quick View_ Sample Data'!AN768</f>
        <v>177.33988189317066</v>
      </c>
      <c r="E767">
        <f>'Quick View_ Sample Data'!O768</f>
        <v>277</v>
      </c>
      <c r="F767">
        <f>'Quick View_ Sample Data'!AO768</f>
        <v>18922.165398001307</v>
      </c>
      <c r="G767">
        <f>'Quick View_ Sample Data'!O768</f>
        <v>277</v>
      </c>
      <c r="H767">
        <f>'Quick View_ Sample Data'!AP768</f>
        <v>3.7133333333333334</v>
      </c>
      <c r="I767">
        <f>'Quick View_ Sample Data'!AF768</f>
        <v>5.57</v>
      </c>
      <c r="J767">
        <f>'Quick View_ Sample Data'!AJ768</f>
        <v>10.67</v>
      </c>
      <c r="K767">
        <f>'Quick View_ Sample Data'!AH768</f>
        <v>318.38398903621299</v>
      </c>
      <c r="L767">
        <f t="shared" si="11"/>
        <v>59.431900000000006</v>
      </c>
    </row>
    <row r="768" spans="1:12" ht="12.75" customHeight="1">
      <c r="A768" s="321"/>
      <c r="B768" t="str">
        <f>'Quick View_ Sample Data'!P769</f>
        <v>MgO</v>
      </c>
      <c r="C768">
        <f>'Quick View_ Sample Data'!O769</f>
        <v>277</v>
      </c>
      <c r="D768">
        <f>'Quick View_ Sample Data'!AN769</f>
        <v>100.54118548707552</v>
      </c>
      <c r="E768">
        <f>'Quick View_ Sample Data'!O769</f>
        <v>277</v>
      </c>
      <c r="F768">
        <f>'Quick View_ Sample Data'!AO769</f>
        <v>13914.900071411252</v>
      </c>
      <c r="G768">
        <f>'Quick View_ Sample Data'!O769</f>
        <v>277</v>
      </c>
      <c r="H768">
        <f>'Quick View_ Sample Data'!AP769</f>
        <v>3.1999999999999997</v>
      </c>
      <c r="I768">
        <f>'Quick View_ Sample Data'!AF769</f>
        <v>4.8</v>
      </c>
      <c r="J768">
        <f>'Quick View_ Sample Data'!AJ769</f>
        <v>13.84</v>
      </c>
      <c r="K768">
        <f>'Quick View_ Sample Data'!AH769</f>
        <v>209.460803098074</v>
      </c>
      <c r="L768">
        <f t="shared" si="11"/>
        <v>66.432000000000002</v>
      </c>
    </row>
    <row r="769" spans="1:12" ht="12.75" customHeight="1">
      <c r="A769" s="321"/>
      <c r="B769" t="str">
        <f>'Quick View_ Sample Data'!P770</f>
        <v>MgO</v>
      </c>
      <c r="C769">
        <f>'Quick View_ Sample Data'!O770</f>
        <v>278</v>
      </c>
      <c r="D769">
        <f>'Quick View_ Sample Data'!AN770</f>
        <v>217.07293696875504</v>
      </c>
      <c r="E769">
        <f>'Quick View_ Sample Data'!O770</f>
        <v>278</v>
      </c>
      <c r="F769">
        <f>'Quick View_ Sample Data'!AO770</f>
        <v>22445.341682569269</v>
      </c>
      <c r="G769">
        <f>'Quick View_ Sample Data'!O770</f>
        <v>278</v>
      </c>
      <c r="H769">
        <f>'Quick View_ Sample Data'!AP770</f>
        <v>3.8000000000000003</v>
      </c>
      <c r="I769">
        <f>'Quick View_ Sample Data'!AF770</f>
        <v>5.7</v>
      </c>
      <c r="J769">
        <f>'Quick View_ Sample Data'!AJ770</f>
        <v>10.34</v>
      </c>
      <c r="K769">
        <f>'Quick View_ Sample Data'!AH770</f>
        <v>380.829713980272</v>
      </c>
      <c r="L769">
        <f t="shared" si="11"/>
        <v>58.938000000000002</v>
      </c>
    </row>
    <row r="770" spans="1:12" ht="12.75" customHeight="1">
      <c r="A770" s="321"/>
      <c r="B770" t="str">
        <f>'Quick View_ Sample Data'!P771</f>
        <v>MgO</v>
      </c>
      <c r="C770">
        <f>'Quick View_ Sample Data'!O771</f>
        <v>278</v>
      </c>
      <c r="D770">
        <f>'Quick View_ Sample Data'!AN771</f>
        <v>112.88938155387098</v>
      </c>
      <c r="E770">
        <f>'Quick View_ Sample Data'!O771</f>
        <v>278</v>
      </c>
      <c r="F770">
        <f>'Quick View_ Sample Data'!AO771</f>
        <v>15115.888190063324</v>
      </c>
      <c r="G770">
        <f>'Quick View_ Sample Data'!O771</f>
        <v>278</v>
      </c>
      <c r="H770">
        <f>'Quick View_ Sample Data'!AP771</f>
        <v>3.22</v>
      </c>
      <c r="I770">
        <f>'Quick View_ Sample Data'!AF771</f>
        <v>4.83</v>
      </c>
      <c r="J770">
        <f>'Quick View_ Sample Data'!AJ771</f>
        <v>13.39</v>
      </c>
      <c r="K770">
        <f>'Quick View_ Sample Data'!AH771</f>
        <v>233.725427647766</v>
      </c>
      <c r="L770">
        <f t="shared" ref="L770:L833" si="12">I770*J770</f>
        <v>64.673699999999997</v>
      </c>
    </row>
    <row r="771" spans="1:12" ht="12.75" customHeight="1">
      <c r="A771" s="321"/>
      <c r="B771" t="str">
        <f>'Quick View_ Sample Data'!P772</f>
        <v>MgO</v>
      </c>
      <c r="C771">
        <f>'Quick View_ Sample Data'!O772</f>
        <v>278</v>
      </c>
      <c r="D771">
        <f>'Quick View_ Sample Data'!AN772</f>
        <v>178.31920927665041</v>
      </c>
      <c r="E771">
        <f>'Quick View_ Sample Data'!O772</f>
        <v>278</v>
      </c>
      <c r="F771">
        <f>'Quick View_ Sample Data'!AO772</f>
        <v>18848.34042054195</v>
      </c>
      <c r="G771">
        <f>'Quick View_ Sample Data'!O772</f>
        <v>278</v>
      </c>
      <c r="H771">
        <f>'Quick View_ Sample Data'!AP772</f>
        <v>3.5133333333333328</v>
      </c>
      <c r="I771">
        <f>'Quick View_ Sample Data'!AF772</f>
        <v>5.27</v>
      </c>
      <c r="J771">
        <f>'Quick View_ Sample Data'!AJ772</f>
        <v>10.57</v>
      </c>
      <c r="K771">
        <f>'Quick View_ Sample Data'!AH772</f>
        <v>338.366621018312</v>
      </c>
      <c r="L771">
        <f t="shared" si="12"/>
        <v>55.703899999999997</v>
      </c>
    </row>
    <row r="772" spans="1:12" ht="12.75" customHeight="1">
      <c r="A772" s="321"/>
      <c r="B772" t="str">
        <f>'Quick View_ Sample Data'!P773</f>
        <v>MgO</v>
      </c>
      <c r="C772">
        <f>'Quick View_ Sample Data'!O773</f>
        <v>278</v>
      </c>
      <c r="D772">
        <f>'Quick View_ Sample Data'!AN773</f>
        <v>112.25243515944143</v>
      </c>
      <c r="E772">
        <f>'Quick View_ Sample Data'!O773</f>
        <v>278</v>
      </c>
      <c r="F772">
        <f>'Quick View_ Sample Data'!AO773</f>
        <v>15625.538974194249</v>
      </c>
      <c r="G772">
        <f>'Quick View_ Sample Data'!O773</f>
        <v>278</v>
      </c>
      <c r="H772">
        <f>'Quick View_ Sample Data'!AP773</f>
        <v>3.2666666666666671</v>
      </c>
      <c r="I772">
        <f>'Quick View_ Sample Data'!AF773</f>
        <v>4.9000000000000004</v>
      </c>
      <c r="J772">
        <f>'Quick View_ Sample Data'!AJ773</f>
        <v>13.92</v>
      </c>
      <c r="K772">
        <f>'Quick View_ Sample Data'!AH773</f>
        <v>229.08660236620699</v>
      </c>
      <c r="L772">
        <f t="shared" si="12"/>
        <v>68.207999999999998</v>
      </c>
    </row>
    <row r="773" spans="1:12" ht="12.75" customHeight="1">
      <c r="A773" s="321"/>
      <c r="B773" t="str">
        <f>'Quick View_ Sample Data'!P774</f>
        <v>Al2O3</v>
      </c>
      <c r="C773">
        <f>'Quick View_ Sample Data'!O774</f>
        <v>279</v>
      </c>
      <c r="D773">
        <f>'Quick View_ Sample Data'!AN774</f>
        <v>227.74312719812511</v>
      </c>
      <c r="E773">
        <f>'Quick View_ Sample Data'!O774</f>
        <v>279</v>
      </c>
      <c r="F773">
        <f>'Quick View_ Sample Data'!AO774</f>
        <v>22774.312719812511</v>
      </c>
      <c r="G773">
        <f>'Quick View_ Sample Data'!O774</f>
        <v>279</v>
      </c>
      <c r="H773">
        <f>'Quick View_ Sample Data'!AP774</f>
        <v>3.9000000000000004</v>
      </c>
      <c r="I773">
        <f>'Quick View_ Sample Data'!AF774</f>
        <v>5.85</v>
      </c>
      <c r="J773">
        <f>'Quick View_ Sample Data'!AJ774</f>
        <v>10</v>
      </c>
      <c r="K773">
        <f>'Quick View_ Sample Data'!AH774</f>
        <v>389.30449093696598</v>
      </c>
      <c r="L773">
        <f t="shared" si="12"/>
        <v>58.5</v>
      </c>
    </row>
    <row r="774" spans="1:12" ht="12.75" customHeight="1">
      <c r="A774" s="321"/>
      <c r="B774" t="str">
        <f>'Quick View_ Sample Data'!P775</f>
        <v>Al2O3</v>
      </c>
      <c r="C774">
        <f>'Quick View_ Sample Data'!O775</f>
        <v>279</v>
      </c>
      <c r="D774">
        <f>'Quick View_ Sample Data'!AN775</f>
        <v>175.11636804426948</v>
      </c>
      <c r="E774">
        <f>'Quick View_ Sample Data'!O775</f>
        <v>279</v>
      </c>
      <c r="F774">
        <f>'Quick View_ Sample Data'!AO775</f>
        <v>21574.336543054</v>
      </c>
      <c r="G774">
        <f>'Quick View_ Sample Data'!O775</f>
        <v>279</v>
      </c>
      <c r="H774">
        <f>'Quick View_ Sample Data'!AP775</f>
        <v>3.84</v>
      </c>
      <c r="I774">
        <f>'Quick View_ Sample Data'!AF775</f>
        <v>5.76</v>
      </c>
      <c r="J774">
        <f>'Quick View_ Sample Data'!AJ775</f>
        <v>12.32</v>
      </c>
      <c r="K774">
        <f>'Quick View_ Sample Data'!AH775</f>
        <v>304.02147229907899</v>
      </c>
      <c r="L774">
        <f t="shared" si="12"/>
        <v>70.963200000000001</v>
      </c>
    </row>
    <row r="775" spans="1:12" ht="12.75" customHeight="1">
      <c r="A775" s="321"/>
      <c r="B775" t="str">
        <f>'Quick View_ Sample Data'!P776</f>
        <v>Al2O3</v>
      </c>
      <c r="C775">
        <f>'Quick View_ Sample Data'!O776</f>
        <v>279</v>
      </c>
      <c r="D775">
        <f>'Quick View_ Sample Data'!AN776</f>
        <v>240.33450475948834</v>
      </c>
      <c r="E775">
        <f>'Quick View_ Sample Data'!O776</f>
        <v>279</v>
      </c>
      <c r="F775">
        <f>'Quick View_ Sample Data'!AO776</f>
        <v>0</v>
      </c>
      <c r="G775">
        <f>'Quick View_ Sample Data'!O776</f>
        <v>279</v>
      </c>
      <c r="H775">
        <f>'Quick View_ Sample Data'!AP776</f>
        <v>3.9266666666666667</v>
      </c>
      <c r="I775">
        <f>'Quick View_ Sample Data'!AF776</f>
        <v>5.89</v>
      </c>
      <c r="J775">
        <f>'Quick View_ Sample Data'!AJ776</f>
        <v>0</v>
      </c>
      <c r="K775">
        <f>'Quick View_ Sample Data'!AH776</f>
        <v>408.03820842018399</v>
      </c>
      <c r="L775">
        <f t="shared" si="12"/>
        <v>0</v>
      </c>
    </row>
    <row r="776" spans="1:12" ht="12.75" customHeight="1">
      <c r="A776" s="321"/>
      <c r="B776" t="str">
        <f>'Quick View_ Sample Data'!P777</f>
        <v>Al2O3</v>
      </c>
      <c r="C776">
        <f>'Quick View_ Sample Data'!O777</f>
        <v>279</v>
      </c>
      <c r="D776">
        <f>'Quick View_ Sample Data'!AN777</f>
        <v>178.48629619496475</v>
      </c>
      <c r="E776">
        <f>'Quick View_ Sample Data'!O777</f>
        <v>279</v>
      </c>
      <c r="F776">
        <f>'Quick View_ Sample Data'!AO777</f>
        <v>21757.479506166204</v>
      </c>
      <c r="G776">
        <f>'Quick View_ Sample Data'!O777</f>
        <v>279</v>
      </c>
      <c r="H776">
        <f>'Quick View_ Sample Data'!AP777</f>
        <v>3.8066666666666666</v>
      </c>
      <c r="I776">
        <f>'Quick View_ Sample Data'!AF777</f>
        <v>5.71</v>
      </c>
      <c r="J776">
        <f>'Quick View_ Sample Data'!AJ777</f>
        <v>12.19</v>
      </c>
      <c r="K776">
        <f>'Quick View_ Sample Data'!AH777</f>
        <v>312.58545743426401</v>
      </c>
      <c r="L776">
        <f t="shared" si="12"/>
        <v>69.604900000000001</v>
      </c>
    </row>
    <row r="777" spans="1:12" ht="12.75" customHeight="1">
      <c r="A777" s="321"/>
      <c r="B777" t="str">
        <f>'Quick View_ Sample Data'!P778</f>
        <v>Al2O3</v>
      </c>
      <c r="C777">
        <f>'Quick View_ Sample Data'!O778</f>
        <v>280</v>
      </c>
      <c r="D777">
        <f>'Quick View_ Sample Data'!AN778</f>
        <v>268.13569833729781</v>
      </c>
      <c r="E777">
        <f>'Quick View_ Sample Data'!O778</f>
        <v>280</v>
      </c>
      <c r="F777">
        <f>'Quick View_ Sample Data'!AO778</f>
        <v>18849.939593112034</v>
      </c>
      <c r="G777">
        <f>'Quick View_ Sample Data'!O778</f>
        <v>280</v>
      </c>
      <c r="H777">
        <f>'Quick View_ Sample Data'!AP778</f>
        <v>3.67</v>
      </c>
      <c r="I777">
        <f>'Quick View_ Sample Data'!AF778</f>
        <v>3.67</v>
      </c>
      <c r="J777">
        <f>'Quick View_ Sample Data'!AJ778</f>
        <v>7.03</v>
      </c>
      <c r="K777">
        <f>'Quick View_ Sample Data'!AH778</f>
        <v>730.61498184549805</v>
      </c>
      <c r="L777">
        <f t="shared" si="12"/>
        <v>25.8001</v>
      </c>
    </row>
    <row r="778" spans="1:12" ht="12.75" customHeight="1">
      <c r="A778" s="321"/>
      <c r="B778" t="str">
        <f>'Quick View_ Sample Data'!P779</f>
        <v>Al2O3</v>
      </c>
      <c r="C778">
        <f>'Quick View_ Sample Data'!O779</f>
        <v>280</v>
      </c>
      <c r="D778">
        <f>'Quick View_ Sample Data'!AN779</f>
        <v>200.67558168023004</v>
      </c>
      <c r="E778">
        <f>'Quick View_ Sample Data'!O779</f>
        <v>280</v>
      </c>
      <c r="F778">
        <f>'Quick View_ Sample Data'!AO779</f>
        <v>22234.854450169489</v>
      </c>
      <c r="G778">
        <f>'Quick View_ Sample Data'!O779</f>
        <v>280</v>
      </c>
      <c r="H778">
        <f>'Quick View_ Sample Data'!AP779</f>
        <v>3.64</v>
      </c>
      <c r="I778">
        <f>'Quick View_ Sample Data'!AF779</f>
        <v>3.64</v>
      </c>
      <c r="J778">
        <f>'Quick View_ Sample Data'!AJ779</f>
        <v>11.08</v>
      </c>
      <c r="K778">
        <f>'Quick View_ Sample Data'!AH779</f>
        <v>551.30654307755503</v>
      </c>
      <c r="L778">
        <f t="shared" si="12"/>
        <v>40.331200000000003</v>
      </c>
    </row>
    <row r="779" spans="1:12" ht="12.75" customHeight="1">
      <c r="A779" s="321"/>
      <c r="B779" t="str">
        <f>'Quick View_ Sample Data'!P780</f>
        <v>Al2O3</v>
      </c>
      <c r="C779">
        <f>'Quick View_ Sample Data'!O780</f>
        <v>280</v>
      </c>
      <c r="D779">
        <f>'Quick View_ Sample Data'!AN780</f>
        <v>297.05377830982053</v>
      </c>
      <c r="E779">
        <f>'Quick View_ Sample Data'!O780</f>
        <v>280</v>
      </c>
      <c r="F779">
        <f>'Quick View_ Sample Data'!AO780</f>
        <v>22694.908662870286</v>
      </c>
      <c r="G779">
        <f>'Quick View_ Sample Data'!O780</f>
        <v>280</v>
      </c>
      <c r="H779">
        <f>'Quick View_ Sample Data'!AP780</f>
        <v>3.82</v>
      </c>
      <c r="I779">
        <f>'Quick View_ Sample Data'!AF780</f>
        <v>3.82</v>
      </c>
      <c r="J779">
        <f>'Quick View_ Sample Data'!AJ780</f>
        <v>7.64</v>
      </c>
      <c r="K779">
        <f>'Quick View_ Sample Data'!AH780</f>
        <v>777.62769191052496</v>
      </c>
      <c r="L779">
        <f t="shared" si="12"/>
        <v>29.184799999999999</v>
      </c>
    </row>
    <row r="780" spans="1:12" ht="12.75" customHeight="1">
      <c r="A780" s="321"/>
      <c r="B780" t="str">
        <f>'Quick View_ Sample Data'!P781</f>
        <v>Al2O3</v>
      </c>
      <c r="C780">
        <f>'Quick View_ Sample Data'!O781</f>
        <v>280</v>
      </c>
      <c r="D780">
        <f>'Quick View_ Sample Data'!AN781</f>
        <v>218.16136595453003</v>
      </c>
      <c r="E780">
        <f>'Quick View_ Sample Data'!O781</f>
        <v>280</v>
      </c>
      <c r="F780">
        <f>'Quick View_ Sample Data'!AO781</f>
        <v>22470.620693316596</v>
      </c>
      <c r="G780">
        <f>'Quick View_ Sample Data'!O781</f>
        <v>280</v>
      </c>
      <c r="H780">
        <f>'Quick View_ Sample Data'!AP781</f>
        <v>3.63</v>
      </c>
      <c r="I780">
        <f>'Quick View_ Sample Data'!AF781</f>
        <v>3.63</v>
      </c>
      <c r="J780">
        <f>'Quick View_ Sample Data'!AJ781</f>
        <v>10.3</v>
      </c>
      <c r="K780">
        <f>'Quick View_ Sample Data'!AH781</f>
        <v>600.99549849732796</v>
      </c>
      <c r="L780">
        <f t="shared" si="12"/>
        <v>37.389000000000003</v>
      </c>
    </row>
    <row r="781" spans="1:12" ht="12.75" customHeight="1">
      <c r="A781" s="321"/>
      <c r="B781" t="str">
        <f>'Quick View_ Sample Data'!P782</f>
        <v>Al2O3</v>
      </c>
      <c r="C781">
        <f>'Quick View_ Sample Data'!O782</f>
        <v>281</v>
      </c>
      <c r="D781">
        <f>'Quick View_ Sample Data'!AN782</f>
        <v>214.39312328687015</v>
      </c>
      <c r="E781">
        <f>'Quick View_ Sample Data'!O782</f>
        <v>281</v>
      </c>
      <c r="F781">
        <f>'Quick View_ Sample Data'!AO782</f>
        <v>20796.132958826402</v>
      </c>
      <c r="G781">
        <f>'Quick View_ Sample Data'!O782</f>
        <v>281</v>
      </c>
      <c r="H781">
        <f>'Quick View_ Sample Data'!AP782</f>
        <v>3.669565217391304</v>
      </c>
      <c r="I781">
        <f>'Quick View_ Sample Data'!AF782</f>
        <v>4.22</v>
      </c>
      <c r="J781">
        <f>'Quick View_ Sample Data'!AJ782</f>
        <v>9.6999999999999993</v>
      </c>
      <c r="K781">
        <f>'Quick View_ Sample Data'!AH782</f>
        <v>508.04057650917099</v>
      </c>
      <c r="L781">
        <f t="shared" si="12"/>
        <v>40.933999999999997</v>
      </c>
    </row>
    <row r="782" spans="1:12" ht="12.75" customHeight="1">
      <c r="A782" s="321"/>
      <c r="B782" t="str">
        <f>'Quick View_ Sample Data'!P783</f>
        <v>Al2O3</v>
      </c>
      <c r="C782">
        <f>'Quick View_ Sample Data'!O783</f>
        <v>281</v>
      </c>
      <c r="D782">
        <f>'Quick View_ Sample Data'!AN783</f>
        <v>213.38061046099128</v>
      </c>
      <c r="E782">
        <f>'Quick View_ Sample Data'!O783</f>
        <v>281</v>
      </c>
      <c r="F782">
        <f>'Quick View_ Sample Data'!AO783</f>
        <v>21316.722985053031</v>
      </c>
      <c r="G782">
        <f>'Quick View_ Sample Data'!O783</f>
        <v>281</v>
      </c>
      <c r="H782">
        <f>'Quick View_ Sample Data'!AP783</f>
        <v>3.5652173913043477</v>
      </c>
      <c r="I782">
        <f>'Quick View_ Sample Data'!AF783</f>
        <v>4.0999999999999996</v>
      </c>
      <c r="J782">
        <f>'Quick View_ Sample Data'!AJ783</f>
        <v>9.99</v>
      </c>
      <c r="K782">
        <f>'Quick View_ Sample Data'!AH783</f>
        <v>520.44051331949095</v>
      </c>
      <c r="L782">
        <f t="shared" si="12"/>
        <v>40.958999999999996</v>
      </c>
    </row>
    <row r="783" spans="1:12" ht="12.75" customHeight="1">
      <c r="A783" s="321"/>
      <c r="B783" t="str">
        <f>'Quick View_ Sample Data'!P784</f>
        <v>MgO</v>
      </c>
      <c r="C783">
        <f>'Quick View_ Sample Data'!O784</f>
        <v>282</v>
      </c>
      <c r="D783">
        <f>'Quick View_ Sample Data'!AN784</f>
        <v>301.10525694419124</v>
      </c>
      <c r="E783">
        <f>'Quick View_ Sample Data'!O784</f>
        <v>282</v>
      </c>
      <c r="F783">
        <f>'Quick View_ Sample Data'!AO784</f>
        <v>21498.915345815254</v>
      </c>
      <c r="G783">
        <f>'Quick View_ Sample Data'!O784</f>
        <v>282</v>
      </c>
      <c r="H783">
        <f>'Quick View_ Sample Data'!AP784</f>
        <v>3.4333333333333336</v>
      </c>
      <c r="I783">
        <f>'Quick View_ Sample Data'!AF784</f>
        <v>5.15</v>
      </c>
      <c r="J783">
        <f>'Quick View_ Sample Data'!AJ784</f>
        <v>7.14</v>
      </c>
      <c r="K783">
        <f>'Quick View_ Sample Data'!AH784</f>
        <v>584.67040183338099</v>
      </c>
      <c r="L783">
        <f t="shared" si="12"/>
        <v>36.771000000000001</v>
      </c>
    </row>
    <row r="784" spans="1:12" ht="12.75" customHeight="1">
      <c r="A784" s="321"/>
      <c r="B784" t="str">
        <f>'Quick View_ Sample Data'!P785</f>
        <v>MgO</v>
      </c>
      <c r="C784">
        <f>'Quick View_ Sample Data'!O785</f>
        <v>282</v>
      </c>
      <c r="D784">
        <f>'Quick View_ Sample Data'!AN785</f>
        <v>270.37437757654226</v>
      </c>
      <c r="E784">
        <f>'Quick View_ Sample Data'!O785</f>
        <v>282</v>
      </c>
      <c r="F784">
        <f>'Quick View_ Sample Data'!AO785</f>
        <v>26712.988504562378</v>
      </c>
      <c r="G784">
        <f>'Quick View_ Sample Data'!O785</f>
        <v>282</v>
      </c>
      <c r="H784">
        <f>'Quick View_ Sample Data'!AP785</f>
        <v>3.5</v>
      </c>
      <c r="I784">
        <f>'Quick View_ Sample Data'!AF785</f>
        <v>5.25</v>
      </c>
      <c r="J784">
        <f>'Quick View_ Sample Data'!AJ785</f>
        <v>9.8800000000000008</v>
      </c>
      <c r="K784">
        <f>'Quick View_ Sample Data'!AH785</f>
        <v>514.998814431509</v>
      </c>
      <c r="L784">
        <f t="shared" si="12"/>
        <v>51.870000000000005</v>
      </c>
    </row>
    <row r="785" spans="1:12" ht="12.75" customHeight="1">
      <c r="A785" s="321"/>
      <c r="B785" t="str">
        <f>'Quick View_ Sample Data'!P786</f>
        <v>MgO</v>
      </c>
      <c r="C785">
        <f>'Quick View_ Sample Data'!O786</f>
        <v>282</v>
      </c>
      <c r="D785">
        <f>'Quick View_ Sample Data'!AN786</f>
        <v>448.05164480076729</v>
      </c>
      <c r="E785">
        <f>'Quick View_ Sample Data'!O786</f>
        <v>282</v>
      </c>
      <c r="F785">
        <f>'Quick View_ Sample Data'!AO786</f>
        <v>24418.814641641817</v>
      </c>
      <c r="G785">
        <f>'Quick View_ Sample Data'!O786</f>
        <v>282</v>
      </c>
      <c r="H785">
        <f>'Quick View_ Sample Data'!AP786</f>
        <v>3.6</v>
      </c>
      <c r="I785">
        <f>'Quick View_ Sample Data'!AF786</f>
        <v>5.4</v>
      </c>
      <c r="J785">
        <f>'Quick View_ Sample Data'!AJ786</f>
        <v>5.45</v>
      </c>
      <c r="K785">
        <f>'Quick View_ Sample Data'!AH786</f>
        <v>829.72526814956905</v>
      </c>
      <c r="L785">
        <f t="shared" si="12"/>
        <v>29.430000000000003</v>
      </c>
    </row>
    <row r="786" spans="1:12" ht="12.75" customHeight="1">
      <c r="A786" s="321"/>
      <c r="B786" t="str">
        <f>'Quick View_ Sample Data'!P787</f>
        <v>MgO</v>
      </c>
      <c r="C786">
        <f>'Quick View_ Sample Data'!O787</f>
        <v>282</v>
      </c>
      <c r="D786">
        <f>'Quick View_ Sample Data'!AN787</f>
        <v>140.35952358129811</v>
      </c>
      <c r="E786">
        <f>'Quick View_ Sample Data'!O787</f>
        <v>282</v>
      </c>
      <c r="F786">
        <f>'Quick View_ Sample Data'!AO787</f>
        <v>17530.904495304134</v>
      </c>
      <c r="G786">
        <f>'Quick View_ Sample Data'!O787</f>
        <v>282</v>
      </c>
      <c r="H786">
        <f>'Quick View_ Sample Data'!AP787</f>
        <v>3.0733333333333333</v>
      </c>
      <c r="I786">
        <f>'Quick View_ Sample Data'!AF787</f>
        <v>4.6100000000000003</v>
      </c>
      <c r="J786">
        <f>'Quick View_ Sample Data'!AJ787</f>
        <v>12.49</v>
      </c>
      <c r="K786">
        <f>'Quick View_ Sample Data'!AH787</f>
        <v>304.467513191536</v>
      </c>
      <c r="L786">
        <f t="shared" si="12"/>
        <v>57.578900000000004</v>
      </c>
    </row>
    <row r="787" spans="1:12" ht="12.75" customHeight="1">
      <c r="A787" s="321"/>
      <c r="B787" t="str">
        <f>'Quick View_ Sample Data'!P788</f>
        <v>MgO</v>
      </c>
      <c r="C787">
        <f>'Quick View_ Sample Data'!O788</f>
        <v>283</v>
      </c>
      <c r="D787">
        <f>'Quick View_ Sample Data'!AN788</f>
        <v>336.23490238507827</v>
      </c>
      <c r="E787">
        <f>'Quick View_ Sample Data'!O788</f>
        <v>283</v>
      </c>
      <c r="F787">
        <f>'Quick View_ Sample Data'!AO788</f>
        <v>23132.961284093384</v>
      </c>
      <c r="G787">
        <f>'Quick View_ Sample Data'!O788</f>
        <v>283</v>
      </c>
      <c r="H787">
        <f>'Quick View_ Sample Data'!AP788</f>
        <v>3.5133333333333328</v>
      </c>
      <c r="I787">
        <f>'Quick View_ Sample Data'!AF788</f>
        <v>5.27</v>
      </c>
      <c r="J787">
        <f>'Quick View_ Sample Data'!AJ788</f>
        <v>6.88</v>
      </c>
      <c r="K787">
        <f>'Quick View_ Sample Data'!AH788</f>
        <v>638.01689257130602</v>
      </c>
      <c r="L787">
        <f t="shared" si="12"/>
        <v>36.257599999999996</v>
      </c>
    </row>
    <row r="788" spans="1:12" ht="12.75" customHeight="1">
      <c r="A788" s="321"/>
      <c r="B788" t="str">
        <f>'Quick View_ Sample Data'!P789</f>
        <v>MgO</v>
      </c>
      <c r="C788">
        <f>'Quick View_ Sample Data'!O789</f>
        <v>283</v>
      </c>
      <c r="D788">
        <f>'Quick View_ Sample Data'!AN789</f>
        <v>148.67256611038684</v>
      </c>
      <c r="E788">
        <f>'Quick View_ Sample Data'!O789</f>
        <v>283</v>
      </c>
      <c r="F788">
        <f>'Quick View_ Sample Data'!AO789</f>
        <v>16933.805279973061</v>
      </c>
      <c r="G788">
        <f>'Quick View_ Sample Data'!O789</f>
        <v>283</v>
      </c>
      <c r="H788">
        <f>'Quick View_ Sample Data'!AP789</f>
        <v>3.0666666666666664</v>
      </c>
      <c r="I788">
        <f>'Quick View_ Sample Data'!AF789</f>
        <v>4.5999999999999996</v>
      </c>
      <c r="J788">
        <f>'Quick View_ Sample Data'!AJ789</f>
        <v>11.39</v>
      </c>
      <c r="K788">
        <f>'Quick View_ Sample Data'!AH789</f>
        <v>323.20123067475402</v>
      </c>
      <c r="L788">
        <f t="shared" si="12"/>
        <v>52.393999999999998</v>
      </c>
    </row>
    <row r="789" spans="1:12" ht="12.75" customHeight="1">
      <c r="A789" s="321"/>
      <c r="B789" t="str">
        <f>'Quick View_ Sample Data'!P790</f>
        <v>MgO</v>
      </c>
      <c r="C789">
        <f>'Quick View_ Sample Data'!O790</f>
        <v>283</v>
      </c>
      <c r="D789">
        <f>'Quick View_ Sample Data'!AN790</f>
        <v>312.32889471292253</v>
      </c>
      <c r="E789">
        <f>'Quick View_ Sample Data'!O790</f>
        <v>283</v>
      </c>
      <c r="F789">
        <f>'Quick View_ Sample Data'!AO790</f>
        <v>23206.036877170143</v>
      </c>
      <c r="G789">
        <f>'Quick View_ Sample Data'!O790</f>
        <v>283</v>
      </c>
      <c r="H789">
        <f>'Quick View_ Sample Data'!AP790</f>
        <v>3.4466666666666668</v>
      </c>
      <c r="I789">
        <f>'Quick View_ Sample Data'!AF790</f>
        <v>5.17</v>
      </c>
      <c r="J789">
        <f>'Quick View_ Sample Data'!AJ790</f>
        <v>7.43</v>
      </c>
      <c r="K789">
        <f>'Quick View_ Sample Data'!AH790</f>
        <v>604.11778474453104</v>
      </c>
      <c r="L789">
        <f t="shared" si="12"/>
        <v>38.4131</v>
      </c>
    </row>
    <row r="790" spans="1:12" ht="12.75" customHeight="1">
      <c r="A790" s="321"/>
      <c r="B790" t="str">
        <f>'Quick View_ Sample Data'!P791</f>
        <v>MgO</v>
      </c>
      <c r="C790">
        <f>'Quick View_ Sample Data'!O791</f>
        <v>283</v>
      </c>
      <c r="D790">
        <f>'Quick View_ Sample Data'!AN791</f>
        <v>188.65406596307048</v>
      </c>
      <c r="E790">
        <f>'Quick View_ Sample Data'!O791</f>
        <v>283</v>
      </c>
      <c r="F790">
        <f>'Quick View_ Sample Data'!AO791</f>
        <v>22770.545761742607</v>
      </c>
      <c r="G790">
        <f>'Quick View_ Sample Data'!O791</f>
        <v>283</v>
      </c>
      <c r="H790">
        <f>'Quick View_ Sample Data'!AP791</f>
        <v>3.3266666666666671</v>
      </c>
      <c r="I790">
        <f>'Quick View_ Sample Data'!AF791</f>
        <v>4.99</v>
      </c>
      <c r="J790">
        <f>'Quick View_ Sample Data'!AJ791</f>
        <v>12.07</v>
      </c>
      <c r="K790">
        <f>'Quick View_ Sample Data'!AH791</f>
        <v>378.064260447035</v>
      </c>
      <c r="L790">
        <f t="shared" si="12"/>
        <v>60.229300000000002</v>
      </c>
    </row>
    <row r="791" spans="1:12" ht="12.75" customHeight="1">
      <c r="A791" s="321"/>
      <c r="B791" t="str">
        <f>'Quick View_ Sample Data'!P792</f>
        <v>MgO</v>
      </c>
      <c r="C791">
        <f>'Quick View_ Sample Data'!O792</f>
        <v>284</v>
      </c>
      <c r="D791">
        <f>'Quick View_ Sample Data'!AN792</f>
        <v>0</v>
      </c>
      <c r="E791">
        <f>'Quick View_ Sample Data'!O792</f>
        <v>284</v>
      </c>
      <c r="F791">
        <f>'Quick View_ Sample Data'!AO792</f>
        <v>0</v>
      </c>
      <c r="G791">
        <f>'Quick View_ Sample Data'!O792</f>
        <v>284</v>
      </c>
      <c r="H791">
        <f>'Quick View_ Sample Data'!AP792</f>
        <v>0</v>
      </c>
      <c r="I791">
        <f>'Quick View_ Sample Data'!AF792</f>
        <v>0</v>
      </c>
      <c r="J791">
        <f>'Quick View_ Sample Data'!AJ792</f>
        <v>16.350000000000001</v>
      </c>
      <c r="K791">
        <f>'Quick View_ Sample Data'!AH792</f>
        <v>21.766795551929398</v>
      </c>
      <c r="L791">
        <f t="shared" si="12"/>
        <v>0</v>
      </c>
    </row>
    <row r="792" spans="1:12" ht="12.75" customHeight="1">
      <c r="A792" s="321"/>
      <c r="B792" t="str">
        <f>'Quick View_ Sample Data'!P793</f>
        <v>MgO</v>
      </c>
      <c r="C792">
        <f>'Quick View_ Sample Data'!O793</f>
        <v>284</v>
      </c>
      <c r="D792">
        <f>'Quick View_ Sample Data'!AN793</f>
        <v>0</v>
      </c>
      <c r="E792">
        <f>'Quick View_ Sample Data'!O793</f>
        <v>284</v>
      </c>
      <c r="F792">
        <f>'Quick View_ Sample Data'!AO793</f>
        <v>0</v>
      </c>
      <c r="G792">
        <f>'Quick View_ Sample Data'!O793</f>
        <v>284</v>
      </c>
      <c r="H792">
        <f>'Quick View_ Sample Data'!AP793</f>
        <v>0</v>
      </c>
      <c r="I792">
        <f>'Quick View_ Sample Data'!AF793</f>
        <v>0</v>
      </c>
      <c r="J792">
        <f>'Quick View_ Sample Data'!AJ793</f>
        <v>16.23</v>
      </c>
      <c r="K792">
        <f>'Quick View_ Sample Data'!AH793</f>
        <v>21.766795551929398</v>
      </c>
      <c r="L792">
        <f t="shared" si="12"/>
        <v>0</v>
      </c>
    </row>
    <row r="793" spans="1:12" ht="12.75" customHeight="1">
      <c r="A793" s="321"/>
      <c r="B793" t="str">
        <f>'Quick View_ Sample Data'!P794</f>
        <v>MgO</v>
      </c>
      <c r="C793">
        <f>'Quick View_ Sample Data'!O794</f>
        <v>285</v>
      </c>
      <c r="D793">
        <f>'Quick View_ Sample Data'!AN794</f>
        <v>169.76137950578078</v>
      </c>
      <c r="E793">
        <f>'Quick View_ Sample Data'!O794</f>
        <v>285</v>
      </c>
      <c r="F793">
        <f>'Quick View_ Sample Data'!AO794</f>
        <v>17400.541399342532</v>
      </c>
      <c r="G793">
        <f>'Quick View_ Sample Data'!O794</f>
        <v>285</v>
      </c>
      <c r="H793">
        <f>'Quick View_ Sample Data'!AP794</f>
        <v>3.2866666666666662</v>
      </c>
      <c r="I793">
        <f>'Quick View_ Sample Data'!AF794</f>
        <v>4.93</v>
      </c>
      <c r="J793">
        <f>'Quick View_ Sample Data'!AJ794</f>
        <v>10.25</v>
      </c>
      <c r="K793">
        <f>'Quick View_ Sample Data'!AH794</f>
        <v>344.34356897724302</v>
      </c>
      <c r="L793">
        <f t="shared" si="12"/>
        <v>50.532499999999999</v>
      </c>
    </row>
    <row r="794" spans="1:12" ht="12.75" customHeight="1">
      <c r="A794" s="321"/>
      <c r="B794" t="str">
        <f>'Quick View_ Sample Data'!P795</f>
        <v>MgO</v>
      </c>
      <c r="C794">
        <f>'Quick View_ Sample Data'!O795</f>
        <v>285</v>
      </c>
      <c r="D794">
        <f>'Quick View_ Sample Data'!AN795</f>
        <v>122.20449955195485</v>
      </c>
      <c r="E794">
        <f>'Quick View_ Sample Data'!O795</f>
        <v>285</v>
      </c>
      <c r="F794">
        <f>'Quick View_ Sample Data'!AO795</f>
        <v>15422.207843456703</v>
      </c>
      <c r="G794">
        <f>'Quick View_ Sample Data'!O795</f>
        <v>285</v>
      </c>
      <c r="H794">
        <f>'Quick View_ Sample Data'!AP795</f>
        <v>3.0666666666666664</v>
      </c>
      <c r="I794">
        <f>'Quick View_ Sample Data'!AF795</f>
        <v>4.5999999999999996</v>
      </c>
      <c r="J794">
        <f>'Quick View_ Sample Data'!AJ795</f>
        <v>12.62</v>
      </c>
      <c r="K794">
        <f>'Quick View_ Sample Data'!AH795</f>
        <v>265.66195554772798</v>
      </c>
      <c r="L794">
        <f t="shared" si="12"/>
        <v>58.051999999999992</v>
      </c>
    </row>
    <row r="795" spans="1:12" ht="12.75" customHeight="1">
      <c r="A795" s="321"/>
      <c r="B795" t="str">
        <f>'Quick View_ Sample Data'!P796</f>
        <v>MgO</v>
      </c>
      <c r="C795">
        <f>'Quick View_ Sample Data'!O796</f>
        <v>285</v>
      </c>
      <c r="D795">
        <f>'Quick View_ Sample Data'!AN796</f>
        <v>162.78958194031182</v>
      </c>
      <c r="E795">
        <f>'Quick View_ Sample Data'!O796</f>
        <v>285</v>
      </c>
      <c r="F795">
        <f>'Quick View_ Sample Data'!AO796</f>
        <v>17369.648393031272</v>
      </c>
      <c r="G795">
        <f>'Quick View_ Sample Data'!O796</f>
        <v>285</v>
      </c>
      <c r="H795">
        <f>'Quick View_ Sample Data'!AP796</f>
        <v>3.2800000000000002</v>
      </c>
      <c r="I795">
        <f>'Quick View_ Sample Data'!AF796</f>
        <v>4.92</v>
      </c>
      <c r="J795">
        <f>'Quick View_ Sample Data'!AJ796</f>
        <v>10.67</v>
      </c>
      <c r="K795">
        <f>'Quick View_ Sample Data'!AH796</f>
        <v>330.873134025024</v>
      </c>
      <c r="L795">
        <f t="shared" si="12"/>
        <v>52.496400000000001</v>
      </c>
    </row>
    <row r="796" spans="1:12" ht="12.75" customHeight="1">
      <c r="A796" s="321"/>
      <c r="B796" t="str">
        <f>'Quick View_ Sample Data'!P797</f>
        <v>MgO</v>
      </c>
      <c r="C796">
        <f>'Quick View_ Sample Data'!O797</f>
        <v>285</v>
      </c>
      <c r="D796">
        <f>'Quick View_ Sample Data'!AN797</f>
        <v>108.13190939491858</v>
      </c>
      <c r="E796">
        <f>'Quick View_ Sample Data'!O797</f>
        <v>285</v>
      </c>
      <c r="F796">
        <f>'Quick View_ Sample Data'!AO797</f>
        <v>14878.950732740796</v>
      </c>
      <c r="G796">
        <f>'Quick View_ Sample Data'!O797</f>
        <v>285</v>
      </c>
      <c r="H796">
        <f>'Quick View_ Sample Data'!AP797</f>
        <v>3.1333333333333337</v>
      </c>
      <c r="I796">
        <f>'Quick View_ Sample Data'!AF797</f>
        <v>4.7</v>
      </c>
      <c r="J796">
        <f>'Quick View_ Sample Data'!AJ797</f>
        <v>13.76</v>
      </c>
      <c r="K796">
        <f>'Quick View_ Sample Data'!AH797</f>
        <v>230.06789232961401</v>
      </c>
      <c r="L796">
        <f t="shared" si="12"/>
        <v>64.671999999999997</v>
      </c>
    </row>
    <row r="797" spans="1:12" ht="12.75" customHeight="1">
      <c r="A797" s="321"/>
      <c r="B797" t="str">
        <f>'Quick View_ Sample Data'!P798</f>
        <v>MgO</v>
      </c>
      <c r="C797">
        <f>'Quick View_ Sample Data'!O798</f>
        <v>286</v>
      </c>
      <c r="D797">
        <f>'Quick View_ Sample Data'!AN798</f>
        <v>0</v>
      </c>
      <c r="E797">
        <f>'Quick View_ Sample Data'!O798</f>
        <v>286</v>
      </c>
      <c r="F797">
        <f>'Quick View_ Sample Data'!AO798</f>
        <v>0</v>
      </c>
      <c r="G797">
        <f>'Quick View_ Sample Data'!O798</f>
        <v>286</v>
      </c>
      <c r="H797">
        <f>'Quick View_ Sample Data'!AP798</f>
        <v>0</v>
      </c>
      <c r="I797">
        <f>'Quick View_ Sample Data'!AF798</f>
        <v>0</v>
      </c>
      <c r="J797">
        <f>'Quick View_ Sample Data'!AJ798</f>
        <v>16.3</v>
      </c>
      <c r="K797">
        <f>'Quick View_ Sample Data'!AH798</f>
        <v>6.8422672902991</v>
      </c>
      <c r="L797">
        <f t="shared" si="12"/>
        <v>0</v>
      </c>
    </row>
    <row r="798" spans="1:12" ht="12.75" customHeight="1">
      <c r="A798" s="321"/>
      <c r="B798" t="str">
        <f>'Quick View_ Sample Data'!P799</f>
        <v>MgO</v>
      </c>
      <c r="C798">
        <f>'Quick View_ Sample Data'!O799</f>
        <v>286</v>
      </c>
      <c r="D798">
        <f>'Quick View_ Sample Data'!AN799</f>
        <v>0</v>
      </c>
      <c r="E798">
        <f>'Quick View_ Sample Data'!O799</f>
        <v>286</v>
      </c>
      <c r="F798">
        <f>'Quick View_ Sample Data'!AO799</f>
        <v>0</v>
      </c>
      <c r="G798">
        <f>'Quick View_ Sample Data'!O799</f>
        <v>286</v>
      </c>
      <c r="H798">
        <f>'Quick View_ Sample Data'!AP799</f>
        <v>0</v>
      </c>
      <c r="I798">
        <f>'Quick View_ Sample Data'!AF799</f>
        <v>0</v>
      </c>
      <c r="J798">
        <f>'Quick View_ Sample Data'!AJ799</f>
        <v>16.399999999999999</v>
      </c>
      <c r="K798">
        <f>'Quick View_ Sample Data'!AH799</f>
        <v>7.3864371790973404</v>
      </c>
      <c r="L798">
        <f t="shared" si="12"/>
        <v>0</v>
      </c>
    </row>
    <row r="799" spans="1:12" ht="12.75" customHeight="1">
      <c r="A799" s="321"/>
      <c r="B799" t="str">
        <f>'Quick View_ Sample Data'!P800</f>
        <v>MgO</v>
      </c>
      <c r="C799">
        <f>'Quick View_ Sample Data'!O800</f>
        <v>286</v>
      </c>
      <c r="D799">
        <f>'Quick View_ Sample Data'!AN800</f>
        <v>0</v>
      </c>
      <c r="E799">
        <f>'Quick View_ Sample Data'!O800</f>
        <v>286</v>
      </c>
      <c r="F799">
        <f>'Quick View_ Sample Data'!AO800</f>
        <v>0</v>
      </c>
      <c r="G799">
        <f>'Quick View_ Sample Data'!O800</f>
        <v>286</v>
      </c>
      <c r="H799">
        <f>'Quick View_ Sample Data'!AP800</f>
        <v>0</v>
      </c>
      <c r="I799">
        <f>'Quick View_ Sample Data'!AF800</f>
        <v>0</v>
      </c>
      <c r="J799">
        <f>'Quick View_ Sample Data'!AJ800</f>
        <v>16.2</v>
      </c>
      <c r="K799">
        <f>'Quick View_ Sample Data'!AH800</f>
        <v>9.17060074892761</v>
      </c>
      <c r="L799">
        <f t="shared" si="12"/>
        <v>0</v>
      </c>
    </row>
    <row r="800" spans="1:12" ht="12.75" customHeight="1">
      <c r="A800" s="321"/>
      <c r="B800" t="str">
        <f>'Quick View_ Sample Data'!P801</f>
        <v>MgO</v>
      </c>
      <c r="C800">
        <f>'Quick View_ Sample Data'!O801</f>
        <v>286</v>
      </c>
      <c r="D800">
        <f>'Quick View_ Sample Data'!AN801</f>
        <v>0</v>
      </c>
      <c r="E800">
        <f>'Quick View_ Sample Data'!O801</f>
        <v>286</v>
      </c>
      <c r="F800">
        <f>'Quick View_ Sample Data'!AO801</f>
        <v>0</v>
      </c>
      <c r="G800">
        <f>'Quick View_ Sample Data'!O801</f>
        <v>286</v>
      </c>
      <c r="H800">
        <f>'Quick View_ Sample Data'!AP801</f>
        <v>0</v>
      </c>
      <c r="I800">
        <f>'Quick View_ Sample Data'!AF801</f>
        <v>0</v>
      </c>
      <c r="J800">
        <f>'Quick View_ Sample Data'!AJ801</f>
        <v>15.09</v>
      </c>
      <c r="K800">
        <f>'Quick View_ Sample Data'!AH801</f>
        <v>7.1009710079244996</v>
      </c>
      <c r="L800">
        <f t="shared" si="12"/>
        <v>0</v>
      </c>
    </row>
    <row r="801" spans="1:12" ht="12.75" customHeight="1">
      <c r="A801" s="321"/>
      <c r="B801" t="str">
        <f>'Quick View_ Sample Data'!P802</f>
        <v>MgO</v>
      </c>
      <c r="C801">
        <f>'Quick View_ Sample Data'!O802</f>
        <v>286</v>
      </c>
      <c r="D801">
        <f>'Quick View_ Sample Data'!AN802</f>
        <v>0</v>
      </c>
      <c r="E801">
        <f>'Quick View_ Sample Data'!O802</f>
        <v>286</v>
      </c>
      <c r="F801">
        <f>'Quick View_ Sample Data'!AO802</f>
        <v>0</v>
      </c>
      <c r="G801">
        <f>'Quick View_ Sample Data'!O802</f>
        <v>286</v>
      </c>
      <c r="H801">
        <f>'Quick View_ Sample Data'!AP802</f>
        <v>0</v>
      </c>
      <c r="I801">
        <f>'Quick View_ Sample Data'!AF802</f>
        <v>0</v>
      </c>
      <c r="J801">
        <f>'Quick View_ Sample Data'!AJ802</f>
        <v>15.17</v>
      </c>
      <c r="K801">
        <f>'Quick View_ Sample Data'!AH802</f>
        <v>8.5193810459395607</v>
      </c>
      <c r="L801">
        <f t="shared" si="12"/>
        <v>0</v>
      </c>
    </row>
    <row r="802" spans="1:12" ht="12.75" customHeight="1">
      <c r="A802" s="321"/>
      <c r="B802" t="str">
        <f>'Quick View_ Sample Data'!P803</f>
        <v>MgO</v>
      </c>
      <c r="C802">
        <f>'Quick View_ Sample Data'!O803</f>
        <v>287</v>
      </c>
      <c r="D802">
        <f>'Quick View_ Sample Data'!AN803</f>
        <v>99.022148623721989</v>
      </c>
      <c r="E802">
        <f>'Quick View_ Sample Data'!O803</f>
        <v>287</v>
      </c>
      <c r="F802">
        <f>'Quick View_ Sample Data'!AO803</f>
        <v>11602.425154241506</v>
      </c>
      <c r="G802">
        <f>'Quick View_ Sample Data'!O803</f>
        <v>287</v>
      </c>
      <c r="H802">
        <f>'Quick View_ Sample Data'!AP803</f>
        <v>3.5029411764705887</v>
      </c>
      <c r="I802">
        <f>'Quick View_ Sample Data'!AF803</f>
        <v>3.97</v>
      </c>
      <c r="J802">
        <f>'Quick View_ Sample Data'!AJ803</f>
        <v>11.717000000000001</v>
      </c>
      <c r="K802">
        <f>'Quick View_ Sample Data'!AH803</f>
        <v>249.42606706227201</v>
      </c>
      <c r="L802">
        <f t="shared" si="12"/>
        <v>46.516490000000005</v>
      </c>
    </row>
    <row r="803" spans="1:12" ht="12.75" customHeight="1">
      <c r="A803" s="321"/>
      <c r="B803" t="str">
        <f>'Quick View_ Sample Data'!P804</f>
        <v>MgO</v>
      </c>
      <c r="C803">
        <f>'Quick View_ Sample Data'!O804</f>
        <v>287</v>
      </c>
      <c r="D803">
        <f>'Quick View_ Sample Data'!AN804</f>
        <v>114.19860078141244</v>
      </c>
      <c r="E803">
        <f>'Quick View_ Sample Data'!O804</f>
        <v>287</v>
      </c>
      <c r="F803">
        <f>'Quick View_ Sample Data'!AO804</f>
        <v>13724.387841910147</v>
      </c>
      <c r="G803">
        <f>'Quick View_ Sample Data'!O804</f>
        <v>287</v>
      </c>
      <c r="H803">
        <f>'Quick View_ Sample Data'!AP804</f>
        <v>3.7852941176470591</v>
      </c>
      <c r="I803">
        <f>'Quick View_ Sample Data'!AF804</f>
        <v>4.29</v>
      </c>
      <c r="J803">
        <f>'Quick View_ Sample Data'!AJ804</f>
        <v>12.018000000000001</v>
      </c>
      <c r="K803">
        <f>'Quick View_ Sample Data'!AH804</f>
        <v>266.19720461867701</v>
      </c>
      <c r="L803">
        <f t="shared" si="12"/>
        <v>51.557220000000001</v>
      </c>
    </row>
    <row r="804" spans="1:12" ht="12.75" customHeight="1">
      <c r="A804" s="321"/>
      <c r="B804" t="str">
        <f>'Quick View_ Sample Data'!P805</f>
        <v>MgO</v>
      </c>
      <c r="C804">
        <f>'Quick View_ Sample Data'!O805</f>
        <v>287</v>
      </c>
      <c r="D804">
        <f>'Quick View_ Sample Data'!AN805</f>
        <v>0</v>
      </c>
      <c r="E804">
        <f>'Quick View_ Sample Data'!O805</f>
        <v>287</v>
      </c>
      <c r="F804">
        <f>'Quick View_ Sample Data'!AO805</f>
        <v>0</v>
      </c>
      <c r="G804">
        <f>'Quick View_ Sample Data'!O805</f>
        <v>287</v>
      </c>
      <c r="H804">
        <f>'Quick View_ Sample Data'!AP805</f>
        <v>0</v>
      </c>
      <c r="I804">
        <f>'Quick View_ Sample Data'!AF805</f>
        <v>0</v>
      </c>
      <c r="J804">
        <f>'Quick View_ Sample Data'!AJ806</f>
        <v>10.91</v>
      </c>
      <c r="K804">
        <f>'Quick View_ Sample Data'!AH805</f>
        <v>292.00810426222199</v>
      </c>
      <c r="L804">
        <f t="shared" si="12"/>
        <v>0</v>
      </c>
    </row>
    <row r="805" spans="1:12" ht="12.75" customHeight="1">
      <c r="A805" s="321"/>
      <c r="B805" t="str">
        <f>'Quick View_ Sample Data'!P806</f>
        <v>MgO</v>
      </c>
      <c r="C805">
        <f>'Quick View_ Sample Data'!O806</f>
        <v>287</v>
      </c>
      <c r="D805">
        <f>'Quick View_ Sample Data'!AN806</f>
        <v>109.98821264508885</v>
      </c>
      <c r="E805">
        <f>'Quick View_ Sample Data'!O806</f>
        <v>287</v>
      </c>
      <c r="F805">
        <f>'Quick View_ Sample Data'!AO806</f>
        <v>11999.713999579195</v>
      </c>
      <c r="G805">
        <f>'Quick View_ Sample Data'!O806</f>
        <v>287</v>
      </c>
      <c r="H805">
        <f>'Quick View_ Sample Data'!AP806</f>
        <v>3.5911764705882359</v>
      </c>
      <c r="I805">
        <f>'Quick View_ Sample Data'!AF806</f>
        <v>4.07</v>
      </c>
      <c r="J805">
        <f>'Quick View_ Sample Data'!AJ806</f>
        <v>10.91</v>
      </c>
      <c r="K805">
        <f>'Quick View_ Sample Data'!AH806</f>
        <v>270.241308710292</v>
      </c>
      <c r="L805">
        <f t="shared" si="12"/>
        <v>44.403700000000001</v>
      </c>
    </row>
    <row r="806" spans="1:12" ht="12.75" customHeight="1">
      <c r="A806" s="321"/>
      <c r="B806" t="str">
        <f>'Quick View_ Sample Data'!P807</f>
        <v>MgO</v>
      </c>
      <c r="C806">
        <f>'Quick View_ Sample Data'!O807</f>
        <v>287</v>
      </c>
      <c r="D806">
        <f>'Quick View_ Sample Data'!AN807</f>
        <v>106.05329936394723</v>
      </c>
      <c r="E806">
        <f>'Quick View_ Sample Data'!O807</f>
        <v>287</v>
      </c>
      <c r="F806">
        <f>'Quick View_ Sample Data'!AO807</f>
        <v>12024.323081884337</v>
      </c>
      <c r="G806">
        <f>'Quick View_ Sample Data'!O807</f>
        <v>287</v>
      </c>
      <c r="H806">
        <f>'Quick View_ Sample Data'!AP807</f>
        <v>3.4764705882352938</v>
      </c>
      <c r="I806">
        <f>'Quick View_ Sample Data'!AF807</f>
        <v>3.94</v>
      </c>
      <c r="J806">
        <f>'Quick View_ Sample Data'!AJ807</f>
        <v>11.337999999999999</v>
      </c>
      <c r="K806">
        <f>'Quick View_ Sample Data'!AH807</f>
        <v>269.17081056839402</v>
      </c>
      <c r="L806">
        <f t="shared" si="12"/>
        <v>44.671719999999993</v>
      </c>
    </row>
    <row r="807" spans="1:12" ht="12.75" customHeight="1">
      <c r="A807" s="321"/>
      <c r="B807" t="str">
        <f>'Quick View_ Sample Data'!P808</f>
        <v>MgO</v>
      </c>
      <c r="C807">
        <f>'Quick View_ Sample Data'!O808</f>
        <v>287</v>
      </c>
      <c r="D807">
        <f>'Quick View_ Sample Data'!AN808</f>
        <v>0</v>
      </c>
      <c r="E807">
        <f>'Quick View_ Sample Data'!O808</f>
        <v>287</v>
      </c>
      <c r="F807">
        <f>'Quick View_ Sample Data'!AO808</f>
        <v>0</v>
      </c>
      <c r="G807">
        <f>'Quick View_ Sample Data'!O808</f>
        <v>287</v>
      </c>
      <c r="H807">
        <f>'Quick View_ Sample Data'!AP808</f>
        <v>0</v>
      </c>
      <c r="I807">
        <f>'Quick View_ Sample Data'!AF808</f>
        <v>0</v>
      </c>
      <c r="J807">
        <f>'Quick View_ Sample Data'!AJ808</f>
        <v>5.01</v>
      </c>
      <c r="K807">
        <f>'Quick View_ Sample Data'!AH808</f>
        <v>298.787925827577</v>
      </c>
      <c r="L807">
        <f t="shared" si="12"/>
        <v>0</v>
      </c>
    </row>
    <row r="808" spans="1:12" ht="12.75" customHeight="1">
      <c r="A808" s="321"/>
      <c r="B808" t="str">
        <f>'Quick View_ Sample Data'!P809</f>
        <v>SiNx</v>
      </c>
      <c r="C808">
        <f>'Quick View_ Sample Data'!O809</f>
        <v>288</v>
      </c>
      <c r="D808">
        <f>'Quick View_ Sample Data'!AN809</f>
        <v>0</v>
      </c>
      <c r="E808">
        <f>'Quick View_ Sample Data'!O809</f>
        <v>288</v>
      </c>
      <c r="F808">
        <f>'Quick View_ Sample Data'!AO809</f>
        <v>0</v>
      </c>
      <c r="G808">
        <f>'Quick View_ Sample Data'!O809</f>
        <v>288</v>
      </c>
      <c r="H808">
        <f>'Quick View_ Sample Data'!AP809</f>
        <v>0</v>
      </c>
      <c r="I808">
        <f>'Quick View_ Sample Data'!AF809</f>
        <v>0</v>
      </c>
      <c r="J808">
        <f>'Quick View_ Sample Data'!AJ809</f>
        <v>9.23</v>
      </c>
      <c r="K808">
        <f>'Quick View_ Sample Data'!AH809</f>
        <v>498.49530141057897</v>
      </c>
      <c r="L808">
        <f t="shared" si="12"/>
        <v>0</v>
      </c>
    </row>
    <row r="809" spans="1:12" ht="12.75" customHeight="1">
      <c r="A809" s="321"/>
      <c r="B809" t="str">
        <f>'Quick View_ Sample Data'!P810</f>
        <v>SiNx</v>
      </c>
      <c r="C809">
        <f>'Quick View_ Sample Data'!O810</f>
        <v>288</v>
      </c>
      <c r="D809">
        <f>'Quick View_ Sample Data'!AN810</f>
        <v>0</v>
      </c>
      <c r="E809">
        <f>'Quick View_ Sample Data'!O810</f>
        <v>288</v>
      </c>
      <c r="F809">
        <f>'Quick View_ Sample Data'!AO810</f>
        <v>0</v>
      </c>
      <c r="G809">
        <f>'Quick View_ Sample Data'!O810</f>
        <v>288</v>
      </c>
      <c r="H809">
        <f>'Quick View_ Sample Data'!AP810</f>
        <v>0</v>
      </c>
      <c r="I809">
        <f>'Quick View_ Sample Data'!AF810</f>
        <v>0</v>
      </c>
      <c r="J809">
        <f>'Quick View_ Sample Data'!AJ810</f>
        <v>9.25</v>
      </c>
      <c r="K809">
        <f>'Quick View_ Sample Data'!AH810</f>
        <v>491.35864713125801</v>
      </c>
      <c r="L809">
        <f t="shared" si="12"/>
        <v>0</v>
      </c>
    </row>
    <row r="810" spans="1:12" ht="12.75" customHeight="1">
      <c r="A810" s="321"/>
      <c r="B810" t="str">
        <f>'Quick View_ Sample Data'!P811</f>
        <v>MgO</v>
      </c>
      <c r="C810">
        <f>'Quick View_ Sample Data'!O811</f>
        <v>288</v>
      </c>
      <c r="D810">
        <f>'Quick View_ Sample Data'!AN811</f>
        <v>0</v>
      </c>
      <c r="E810">
        <f>'Quick View_ Sample Data'!O811</f>
        <v>288</v>
      </c>
      <c r="F810">
        <f>'Quick View_ Sample Data'!AO811</f>
        <v>0</v>
      </c>
      <c r="G810">
        <f>'Quick View_ Sample Data'!O811</f>
        <v>288</v>
      </c>
      <c r="H810">
        <f>'Quick View_ Sample Data'!AP811</f>
        <v>0</v>
      </c>
      <c r="I810">
        <f>'Quick View_ Sample Data'!AF811</f>
        <v>0</v>
      </c>
      <c r="J810">
        <f>'Quick View_ Sample Data'!AJ812</f>
        <v>9.3000000000000007</v>
      </c>
      <c r="K810">
        <f>'Quick View_ Sample Data'!AH811</f>
        <v>316.42140910939901</v>
      </c>
      <c r="L810">
        <f t="shared" si="12"/>
        <v>0</v>
      </c>
    </row>
    <row r="811" spans="1:12" ht="12.75" customHeight="1">
      <c r="A811" s="321"/>
      <c r="B811" t="str">
        <f>'Quick View_ Sample Data'!P812</f>
        <v>SiNx</v>
      </c>
      <c r="C811">
        <f>'Quick View_ Sample Data'!O812</f>
        <v>288</v>
      </c>
      <c r="D811">
        <f>'Quick View_ Sample Data'!AN812</f>
        <v>0</v>
      </c>
      <c r="E811">
        <f>'Quick View_ Sample Data'!O812</f>
        <v>288</v>
      </c>
      <c r="F811">
        <f>'Quick View_ Sample Data'!AO812</f>
        <v>0</v>
      </c>
      <c r="G811">
        <f>'Quick View_ Sample Data'!O812</f>
        <v>288</v>
      </c>
      <c r="H811">
        <f>'Quick View_ Sample Data'!AP812</f>
        <v>0</v>
      </c>
      <c r="I811">
        <f>'Quick View_ Sample Data'!AF812</f>
        <v>0</v>
      </c>
      <c r="J811">
        <f>'Quick View_ Sample Data'!AJ812</f>
        <v>9.3000000000000007</v>
      </c>
      <c r="K811">
        <f>'Quick View_ Sample Data'!AH812</f>
        <v>498.049260518121</v>
      </c>
      <c r="L811">
        <f t="shared" si="12"/>
        <v>0</v>
      </c>
    </row>
    <row r="812" spans="1:12" ht="12.75" customHeight="1">
      <c r="A812" s="321"/>
      <c r="B812" t="str">
        <f>'Quick View_ Sample Data'!P813</f>
        <v>SiNx</v>
      </c>
      <c r="C812">
        <f>'Quick View_ Sample Data'!O813</f>
        <v>288</v>
      </c>
      <c r="D812">
        <f>'Quick View_ Sample Data'!AN813</f>
        <v>0</v>
      </c>
      <c r="E812">
        <f>'Quick View_ Sample Data'!O813</f>
        <v>288</v>
      </c>
      <c r="F812">
        <f>'Quick View_ Sample Data'!AO813</f>
        <v>0</v>
      </c>
      <c r="G812">
        <f>'Quick View_ Sample Data'!O813</f>
        <v>288</v>
      </c>
      <c r="H812">
        <f>'Quick View_ Sample Data'!AP813</f>
        <v>0</v>
      </c>
      <c r="I812">
        <f>'Quick View_ Sample Data'!AF813</f>
        <v>0</v>
      </c>
      <c r="J812">
        <f>'Quick View_ Sample Data'!AJ813</f>
        <v>8.86</v>
      </c>
      <c r="K812">
        <f>'Quick View_ Sample Data'!AH813</f>
        <v>497.96005233963001</v>
      </c>
      <c r="L812">
        <f t="shared" si="12"/>
        <v>0</v>
      </c>
    </row>
    <row r="813" spans="1:12" ht="12.75" customHeight="1">
      <c r="A813" s="321"/>
      <c r="B813" t="str">
        <f>'Quick View_ Sample Data'!P814</f>
        <v>SiNx</v>
      </c>
      <c r="C813">
        <f>'Quick View_ Sample Data'!O814</f>
        <v>288</v>
      </c>
      <c r="D813">
        <f>'Quick View_ Sample Data'!AN814</f>
        <v>0</v>
      </c>
      <c r="E813">
        <f>'Quick View_ Sample Data'!O814</f>
        <v>288</v>
      </c>
      <c r="F813">
        <f>'Quick View_ Sample Data'!AO814</f>
        <v>0</v>
      </c>
      <c r="G813">
        <f>'Quick View_ Sample Data'!O814</f>
        <v>288</v>
      </c>
      <c r="H813">
        <f>'Quick View_ Sample Data'!AP814</f>
        <v>0</v>
      </c>
      <c r="I813">
        <f>'Quick View_ Sample Data'!AF814</f>
        <v>0</v>
      </c>
      <c r="J813">
        <f>'Quick View_ Sample Data'!AJ814</f>
        <v>12.59</v>
      </c>
      <c r="K813">
        <f>'Quick View_ Sample Data'!AH814</f>
        <v>354.33488496829301</v>
      </c>
      <c r="L813">
        <f t="shared" si="12"/>
        <v>0</v>
      </c>
    </row>
    <row r="814" spans="1:12" ht="12.75" customHeight="1">
      <c r="A814" s="321"/>
      <c r="B814" t="str">
        <f>'Quick View_ Sample Data'!P815</f>
        <v>Al2O3</v>
      </c>
      <c r="C814">
        <f>'Quick View_ Sample Data'!O815</f>
        <v>290</v>
      </c>
      <c r="D814">
        <f>'Quick View_ Sample Data'!AN815</f>
        <v>0</v>
      </c>
      <c r="E814">
        <f>'Quick View_ Sample Data'!O815</f>
        <v>290</v>
      </c>
      <c r="F814">
        <f>'Quick View_ Sample Data'!AO815</f>
        <v>0</v>
      </c>
      <c r="G814">
        <f>'Quick View_ Sample Data'!O815</f>
        <v>290</v>
      </c>
      <c r="H814">
        <f>'Quick View_ Sample Data'!AP815</f>
        <v>0</v>
      </c>
      <c r="I814">
        <f>'Quick View_ Sample Data'!AF815</f>
        <v>0</v>
      </c>
      <c r="J814">
        <f>'Quick View_ Sample Data'!AJ815</f>
        <v>0</v>
      </c>
      <c r="K814">
        <f>'Quick View_ Sample Data'!AH815</f>
        <v>0</v>
      </c>
      <c r="L814">
        <f t="shared" si="12"/>
        <v>0</v>
      </c>
    </row>
    <row r="815" spans="1:12" ht="12.75" customHeight="1">
      <c r="A815" s="321"/>
      <c r="B815" t="str">
        <f>'Quick View_ Sample Data'!P816</f>
        <v>Al2O3</v>
      </c>
      <c r="C815">
        <f>'Quick View_ Sample Data'!O816</f>
        <v>290</v>
      </c>
      <c r="D815">
        <f>'Quick View_ Sample Data'!AN816</f>
        <v>0</v>
      </c>
      <c r="E815">
        <f>'Quick View_ Sample Data'!O816</f>
        <v>290</v>
      </c>
      <c r="F815">
        <f>'Quick View_ Sample Data'!AO816</f>
        <v>0</v>
      </c>
      <c r="G815">
        <f>'Quick View_ Sample Data'!O816</f>
        <v>290</v>
      </c>
      <c r="H815">
        <f>'Quick View_ Sample Data'!AP816</f>
        <v>0</v>
      </c>
      <c r="I815">
        <f>'Quick View_ Sample Data'!AF816</f>
        <v>0</v>
      </c>
      <c r="J815">
        <f>'Quick View_ Sample Data'!AJ816</f>
        <v>0</v>
      </c>
      <c r="K815">
        <f>'Quick View_ Sample Data'!AH816</f>
        <v>0</v>
      </c>
      <c r="L815">
        <f t="shared" si="12"/>
        <v>0</v>
      </c>
    </row>
    <row r="816" spans="1:12" ht="12.75" customHeight="1">
      <c r="A816" s="321"/>
      <c r="B816" t="str">
        <f>'Quick View_ Sample Data'!P817</f>
        <v>Al2O3</v>
      </c>
      <c r="C816">
        <f>'Quick View_ Sample Data'!O817</f>
        <v>290</v>
      </c>
      <c r="D816">
        <f>'Quick View_ Sample Data'!AN817</f>
        <v>0</v>
      </c>
      <c r="E816">
        <f>'Quick View_ Sample Data'!O817</f>
        <v>290</v>
      </c>
      <c r="F816">
        <f>'Quick View_ Sample Data'!AO817</f>
        <v>0</v>
      </c>
      <c r="G816">
        <f>'Quick View_ Sample Data'!O817</f>
        <v>290</v>
      </c>
      <c r="H816">
        <f>'Quick View_ Sample Data'!AP817</f>
        <v>0</v>
      </c>
      <c r="I816">
        <f>'Quick View_ Sample Data'!AF817</f>
        <v>0</v>
      </c>
      <c r="J816">
        <f>'Quick View_ Sample Data'!AJ817</f>
        <v>0</v>
      </c>
      <c r="K816">
        <f>'Quick View_ Sample Data'!AH817</f>
        <v>0</v>
      </c>
      <c r="L816">
        <f t="shared" si="12"/>
        <v>0</v>
      </c>
    </row>
    <row r="817" spans="1:12" ht="12.75" customHeight="1">
      <c r="A817" s="321"/>
      <c r="B817" t="str">
        <f>'Quick View_ Sample Data'!P818</f>
        <v>Al2O3</v>
      </c>
      <c r="C817">
        <f>'Quick View_ Sample Data'!O818</f>
        <v>290</v>
      </c>
      <c r="D817">
        <f>'Quick View_ Sample Data'!AN818</f>
        <v>0</v>
      </c>
      <c r="E817">
        <f>'Quick View_ Sample Data'!O818</f>
        <v>290</v>
      </c>
      <c r="F817">
        <f>'Quick View_ Sample Data'!AO818</f>
        <v>0</v>
      </c>
      <c r="G817">
        <f>'Quick View_ Sample Data'!O818</f>
        <v>290</v>
      </c>
      <c r="H817">
        <f>'Quick View_ Sample Data'!AP818</f>
        <v>0</v>
      </c>
      <c r="I817">
        <f>'Quick View_ Sample Data'!AF818</f>
        <v>0</v>
      </c>
      <c r="J817">
        <f>'Quick View_ Sample Data'!AJ818</f>
        <v>0</v>
      </c>
      <c r="K817">
        <f>'Quick View_ Sample Data'!AH818</f>
        <v>0</v>
      </c>
      <c r="L817">
        <f t="shared" si="12"/>
        <v>0</v>
      </c>
    </row>
    <row r="818" spans="1:12" ht="12.75" customHeight="1">
      <c r="A818" s="321"/>
      <c r="B818" t="str">
        <f>'Quick View_ Sample Data'!P819</f>
        <v>SiNx</v>
      </c>
      <c r="C818">
        <f>'Quick View_ Sample Data'!O819</f>
        <v>291</v>
      </c>
      <c r="D818">
        <f>'Quick View_ Sample Data'!AN819</f>
        <v>0</v>
      </c>
      <c r="E818">
        <f>'Quick View_ Sample Data'!O819</f>
        <v>291</v>
      </c>
      <c r="F818">
        <f>'Quick View_ Sample Data'!AO819</f>
        <v>0</v>
      </c>
      <c r="G818">
        <f>'Quick View_ Sample Data'!O819</f>
        <v>291</v>
      </c>
      <c r="H818">
        <f>'Quick View_ Sample Data'!AP819</f>
        <v>0</v>
      </c>
      <c r="I818">
        <f>'Quick View_ Sample Data'!AF819</f>
        <v>0</v>
      </c>
      <c r="J818">
        <f>'Quick View_ Sample Data'!AJ819</f>
        <v>10.34</v>
      </c>
      <c r="K818">
        <f>'Quick View_ Sample Data'!AH819</f>
        <v>600.01420853392096</v>
      </c>
      <c r="L818">
        <f t="shared" si="12"/>
        <v>0</v>
      </c>
    </row>
    <row r="819" spans="1:12" ht="12.75" customHeight="1">
      <c r="A819" s="321"/>
      <c r="B819" t="str">
        <f>'Quick View_ Sample Data'!P820</f>
        <v>SiNx</v>
      </c>
      <c r="C819">
        <f>'Quick View_ Sample Data'!O820</f>
        <v>291</v>
      </c>
      <c r="D819">
        <f>'Quick View_ Sample Data'!AN820</f>
        <v>0</v>
      </c>
      <c r="E819">
        <f>'Quick View_ Sample Data'!O820</f>
        <v>291</v>
      </c>
      <c r="F819">
        <f>'Quick View_ Sample Data'!AO820</f>
        <v>0</v>
      </c>
      <c r="G819">
        <f>'Quick View_ Sample Data'!O820</f>
        <v>291</v>
      </c>
      <c r="H819">
        <f>'Quick View_ Sample Data'!AP820</f>
        <v>0</v>
      </c>
      <c r="I819">
        <f>'Quick View_ Sample Data'!AF820</f>
        <v>0</v>
      </c>
      <c r="J819">
        <f>'Quick View_ Sample Data'!AJ820</f>
        <v>10.32</v>
      </c>
      <c r="K819">
        <f>'Quick View_ Sample Data'!AH820</f>
        <v>596.80271410822695</v>
      </c>
      <c r="L819">
        <f t="shared" si="12"/>
        <v>0</v>
      </c>
    </row>
    <row r="820" spans="1:12" ht="12.75" customHeight="1">
      <c r="A820" s="321"/>
      <c r="B820" t="str">
        <f>'Quick View_ Sample Data'!P821</f>
        <v>SiNx</v>
      </c>
      <c r="C820">
        <f>'Quick View_ Sample Data'!O821</f>
        <v>291</v>
      </c>
      <c r="D820">
        <f>'Quick View_ Sample Data'!AN821</f>
        <v>0</v>
      </c>
      <c r="E820">
        <f>'Quick View_ Sample Data'!O821</f>
        <v>291</v>
      </c>
      <c r="F820">
        <f>'Quick View_ Sample Data'!AO821</f>
        <v>0</v>
      </c>
      <c r="G820">
        <f>'Quick View_ Sample Data'!O821</f>
        <v>291</v>
      </c>
      <c r="H820">
        <f>'Quick View_ Sample Data'!AP821</f>
        <v>0</v>
      </c>
      <c r="I820">
        <f>'Quick View_ Sample Data'!AF821</f>
        <v>0</v>
      </c>
      <c r="J820">
        <f>'Quick View_ Sample Data'!AJ821</f>
        <v>10.92</v>
      </c>
      <c r="K820">
        <f>'Quick View_ Sample Data'!AH821</f>
        <v>518.21030885720404</v>
      </c>
      <c r="L820">
        <f t="shared" si="12"/>
        <v>0</v>
      </c>
    </row>
    <row r="821" spans="1:12" ht="12.75" customHeight="1">
      <c r="A821" s="321"/>
      <c r="B821" t="str">
        <f>'Quick View_ Sample Data'!P822</f>
        <v>SiNx</v>
      </c>
      <c r="C821">
        <f>'Quick View_ Sample Data'!O822</f>
        <v>291</v>
      </c>
      <c r="D821">
        <f>'Quick View_ Sample Data'!AN822</f>
        <v>0</v>
      </c>
      <c r="E821">
        <f>'Quick View_ Sample Data'!O822</f>
        <v>291</v>
      </c>
      <c r="F821">
        <f>'Quick View_ Sample Data'!AO822</f>
        <v>0</v>
      </c>
      <c r="G821">
        <f>'Quick View_ Sample Data'!O822</f>
        <v>291</v>
      </c>
      <c r="H821">
        <f>'Quick View_ Sample Data'!AP822</f>
        <v>0</v>
      </c>
      <c r="I821">
        <f>'Quick View_ Sample Data'!AF822</f>
        <v>0</v>
      </c>
      <c r="J821">
        <f>'Quick View_ Sample Data'!AJ822</f>
        <v>10.3</v>
      </c>
      <c r="K821">
        <f>'Quick View_ Sample Data'!AH822</f>
        <v>608.13215277664904</v>
      </c>
      <c r="L821">
        <f t="shared" si="12"/>
        <v>0</v>
      </c>
    </row>
    <row r="822" spans="1:12" ht="12.75" customHeight="1">
      <c r="A822" s="321"/>
      <c r="B822" t="str">
        <f>'Quick View_ Sample Data'!P823</f>
        <v>SiNx</v>
      </c>
      <c r="C822">
        <f>'Quick View_ Sample Data'!O823</f>
        <v>291</v>
      </c>
      <c r="D822">
        <f>'Quick View_ Sample Data'!AN823</f>
        <v>0</v>
      </c>
      <c r="E822">
        <f>'Quick View_ Sample Data'!O823</f>
        <v>291</v>
      </c>
      <c r="F822">
        <f>'Quick View_ Sample Data'!AO823</f>
        <v>0</v>
      </c>
      <c r="G822">
        <f>'Quick View_ Sample Data'!O823</f>
        <v>291</v>
      </c>
      <c r="H822">
        <f>'Quick View_ Sample Data'!AP823</f>
        <v>0</v>
      </c>
      <c r="I822">
        <f>'Quick View_ Sample Data'!AF823</f>
        <v>0</v>
      </c>
      <c r="J822">
        <f>'Quick View_ Sample Data'!AJ823</f>
        <v>10.35</v>
      </c>
      <c r="K822">
        <f>'Quick View_ Sample Data'!AH823</f>
        <v>601.79837210375194</v>
      </c>
      <c r="L822">
        <f t="shared" si="12"/>
        <v>0</v>
      </c>
    </row>
    <row r="823" spans="1:12" ht="12.75" customHeight="1">
      <c r="A823" s="321"/>
      <c r="B823" t="str">
        <f>'Quick View_ Sample Data'!P824</f>
        <v>SiNx</v>
      </c>
      <c r="C823">
        <f>'Quick View_ Sample Data'!O824</f>
        <v>291</v>
      </c>
      <c r="D823">
        <f>'Quick View_ Sample Data'!AN824</f>
        <v>0</v>
      </c>
      <c r="E823">
        <f>'Quick View_ Sample Data'!O824</f>
        <v>291</v>
      </c>
      <c r="F823">
        <f>'Quick View_ Sample Data'!AO824</f>
        <v>0</v>
      </c>
      <c r="G823">
        <f>'Quick View_ Sample Data'!O824</f>
        <v>291</v>
      </c>
      <c r="H823">
        <f>'Quick View_ Sample Data'!AP824</f>
        <v>0</v>
      </c>
      <c r="I823">
        <f>'Quick View_ Sample Data'!AF824</f>
        <v>0</v>
      </c>
      <c r="J823">
        <f>'Quick View_ Sample Data'!AJ824</f>
        <v>11.21</v>
      </c>
      <c r="K823">
        <f>'Quick View_ Sample Data'!AH824</f>
        <v>517.05060253681404</v>
      </c>
      <c r="L823">
        <f t="shared" si="12"/>
        <v>0</v>
      </c>
    </row>
    <row r="824" spans="1:12" ht="12.75" customHeight="1">
      <c r="A824" s="321"/>
      <c r="B824" t="str">
        <f>'Quick View_ Sample Data'!P825</f>
        <v>SiNx</v>
      </c>
      <c r="C824">
        <f>'Quick View_ Sample Data'!O825</f>
        <v>292</v>
      </c>
      <c r="D824">
        <f>'Quick View_ Sample Data'!AN825</f>
        <v>0</v>
      </c>
      <c r="E824">
        <f>'Quick View_ Sample Data'!O825</f>
        <v>292</v>
      </c>
      <c r="F824">
        <f>'Quick View_ Sample Data'!AO825</f>
        <v>0</v>
      </c>
      <c r="G824">
        <f>'Quick View_ Sample Data'!O825</f>
        <v>292</v>
      </c>
      <c r="H824">
        <f>'Quick View_ Sample Data'!AP825</f>
        <v>0</v>
      </c>
      <c r="I824">
        <f>'Quick View_ Sample Data'!AF825</f>
        <v>0</v>
      </c>
      <c r="J824">
        <f>'Quick View_ Sample Data'!AJ825</f>
        <v>10.19</v>
      </c>
      <c r="K824">
        <f>'Quick View_ Sample Data'!AH825</f>
        <v>604.83145017246295</v>
      </c>
      <c r="L824">
        <f t="shared" si="12"/>
        <v>0</v>
      </c>
    </row>
    <row r="825" spans="1:12" ht="12.75" customHeight="1">
      <c r="A825" s="321"/>
      <c r="B825" t="str">
        <f>'Quick View_ Sample Data'!P826</f>
        <v>SiNx</v>
      </c>
      <c r="C825">
        <f>'Quick View_ Sample Data'!O826</f>
        <v>292</v>
      </c>
      <c r="D825">
        <f>'Quick View_ Sample Data'!AN826</f>
        <v>0</v>
      </c>
      <c r="E825">
        <f>'Quick View_ Sample Data'!O826</f>
        <v>292</v>
      </c>
      <c r="F825">
        <f>'Quick View_ Sample Data'!AO826</f>
        <v>0</v>
      </c>
      <c r="G825">
        <f>'Quick View_ Sample Data'!O826</f>
        <v>292</v>
      </c>
      <c r="H825">
        <f>'Quick View_ Sample Data'!AP826</f>
        <v>0</v>
      </c>
      <c r="I825">
        <f>'Quick View_ Sample Data'!AF826</f>
        <v>0</v>
      </c>
      <c r="J825">
        <f>'Quick View_ Sample Data'!AJ826</f>
        <v>10.1</v>
      </c>
      <c r="K825">
        <f>'Quick View_ Sample Data'!AH826</f>
        <v>600.28183306939604</v>
      </c>
      <c r="L825">
        <f t="shared" si="12"/>
        <v>0</v>
      </c>
    </row>
    <row r="826" spans="1:12" ht="12.75" customHeight="1">
      <c r="A826" s="321"/>
      <c r="B826" t="str">
        <f>'Quick View_ Sample Data'!P827</f>
        <v>SiNx</v>
      </c>
      <c r="C826">
        <f>'Quick View_ Sample Data'!O827</f>
        <v>292</v>
      </c>
      <c r="D826">
        <f>'Quick View_ Sample Data'!AN827</f>
        <v>0</v>
      </c>
      <c r="E826">
        <f>'Quick View_ Sample Data'!O827</f>
        <v>292</v>
      </c>
      <c r="F826">
        <f>'Quick View_ Sample Data'!AO827</f>
        <v>0</v>
      </c>
      <c r="G826">
        <f>'Quick View_ Sample Data'!O827</f>
        <v>292</v>
      </c>
      <c r="H826">
        <f>'Quick View_ Sample Data'!AP827</f>
        <v>0</v>
      </c>
      <c r="I826">
        <f>'Quick View_ Sample Data'!AF827</f>
        <v>0</v>
      </c>
      <c r="J826">
        <f>'Quick View_ Sample Data'!AJ827</f>
        <v>10.94</v>
      </c>
      <c r="K826">
        <f>'Quick View_ Sample Data'!AH827</f>
        <v>515.53406350245803</v>
      </c>
      <c r="L826">
        <f t="shared" si="12"/>
        <v>0</v>
      </c>
    </row>
    <row r="827" spans="1:12" ht="12.75" customHeight="1">
      <c r="A827" s="321"/>
      <c r="B827" t="str">
        <f>'Quick View_ Sample Data'!P828</f>
        <v>SiNx</v>
      </c>
      <c r="C827">
        <f>'Quick View_ Sample Data'!O828</f>
        <v>292</v>
      </c>
      <c r="D827">
        <f>'Quick View_ Sample Data'!AN828</f>
        <v>0</v>
      </c>
      <c r="E827">
        <f>'Quick View_ Sample Data'!O828</f>
        <v>292</v>
      </c>
      <c r="F827">
        <f>'Quick View_ Sample Data'!AO828</f>
        <v>0</v>
      </c>
      <c r="G827">
        <f>'Quick View_ Sample Data'!O828</f>
        <v>292</v>
      </c>
      <c r="H827">
        <f>'Quick View_ Sample Data'!AP828</f>
        <v>0</v>
      </c>
      <c r="I827">
        <f>'Quick View_ Sample Data'!AF828</f>
        <v>0</v>
      </c>
      <c r="J827">
        <f>'Quick View_ Sample Data'!AJ828</f>
        <v>10.29</v>
      </c>
      <c r="K827">
        <f>'Quick View_ Sample Data'!AH828</f>
        <v>592.52072154063399</v>
      </c>
      <c r="L827">
        <f t="shared" si="12"/>
        <v>0</v>
      </c>
    </row>
    <row r="828" spans="1:12" ht="12.75" customHeight="1">
      <c r="A828" s="321"/>
      <c r="B828" t="str">
        <f>'Quick View_ Sample Data'!P829</f>
        <v>SiNx</v>
      </c>
      <c r="C828">
        <f>'Quick View_ Sample Data'!O829</f>
        <v>292</v>
      </c>
      <c r="D828">
        <f>'Quick View_ Sample Data'!AN829</f>
        <v>0</v>
      </c>
      <c r="E828">
        <f>'Quick View_ Sample Data'!O829</f>
        <v>292</v>
      </c>
      <c r="F828">
        <f>'Quick View_ Sample Data'!AO829</f>
        <v>0</v>
      </c>
      <c r="G828">
        <f>'Quick View_ Sample Data'!O829</f>
        <v>292</v>
      </c>
      <c r="H828">
        <f>'Quick View_ Sample Data'!AP829</f>
        <v>0</v>
      </c>
      <c r="I828">
        <f>'Quick View_ Sample Data'!AF829</f>
        <v>0</v>
      </c>
      <c r="J828">
        <f>'Quick View_ Sample Data'!AJ829</f>
        <v>10.33</v>
      </c>
      <c r="K828">
        <f>'Quick View_ Sample Data'!AH829</f>
        <v>588.68476986549899</v>
      </c>
      <c r="L828">
        <f t="shared" si="12"/>
        <v>0</v>
      </c>
    </row>
    <row r="829" spans="1:12" ht="12.75" customHeight="1">
      <c r="A829" s="321"/>
      <c r="B829" t="str">
        <f>'Quick View_ Sample Data'!P830</f>
        <v>SiNx</v>
      </c>
      <c r="C829">
        <f>'Quick View_ Sample Data'!O830</f>
        <v>292</v>
      </c>
      <c r="D829">
        <f>'Quick View_ Sample Data'!AN830</f>
        <v>0</v>
      </c>
      <c r="E829">
        <f>'Quick View_ Sample Data'!O830</f>
        <v>292</v>
      </c>
      <c r="F829">
        <f>'Quick View_ Sample Data'!AO830</f>
        <v>0</v>
      </c>
      <c r="G829">
        <f>'Quick View_ Sample Data'!O830</f>
        <v>292</v>
      </c>
      <c r="H829">
        <f>'Quick View_ Sample Data'!AP830</f>
        <v>0</v>
      </c>
      <c r="I829">
        <f>'Quick View_ Sample Data'!AF830</f>
        <v>0</v>
      </c>
      <c r="J829">
        <f>'Quick View_ Sample Data'!AJ830</f>
        <v>10.98</v>
      </c>
      <c r="K829">
        <f>'Quick View_ Sample Data'!AH830</f>
        <v>520.26209696250805</v>
      </c>
      <c r="L829">
        <f t="shared" si="12"/>
        <v>0</v>
      </c>
    </row>
    <row r="830" spans="1:12" ht="12.75" customHeight="1">
      <c r="A830" s="321"/>
      <c r="B830" t="str">
        <f>'Quick View_ Sample Data'!P831</f>
        <v>MgO</v>
      </c>
      <c r="C830">
        <f>'Quick View_ Sample Data'!O831</f>
        <v>293</v>
      </c>
      <c r="D830">
        <f>'Quick View_ Sample Data'!AN831</f>
        <v>95.865285286535723</v>
      </c>
      <c r="E830">
        <f>'Quick View_ Sample Data'!O831</f>
        <v>293</v>
      </c>
      <c r="F830">
        <f>'Quick View_ Sample Data'!AO831</f>
        <v>11273.7575496966</v>
      </c>
      <c r="G830">
        <f>'Quick View_ Sample Data'!O831</f>
        <v>293</v>
      </c>
      <c r="H830">
        <f>'Quick View_ Sample Data'!AP831</f>
        <v>3.45</v>
      </c>
      <c r="I830">
        <f>'Quick View_ Sample Data'!AF831</f>
        <v>3.91</v>
      </c>
      <c r="J830">
        <f>'Quick View_ Sample Data'!AJ831</f>
        <v>11.76</v>
      </c>
      <c r="K830">
        <f>'Quick View_ Sample Data'!AH831</f>
        <v>245.17975776607599</v>
      </c>
      <c r="L830">
        <f t="shared" si="12"/>
        <v>45.9816</v>
      </c>
    </row>
    <row r="831" spans="1:12" ht="12.75" customHeight="1">
      <c r="A831" s="321"/>
      <c r="B831" t="str">
        <f>'Quick View_ Sample Data'!P832</f>
        <v>MgO</v>
      </c>
      <c r="C831">
        <f>'Quick View_ Sample Data'!O832</f>
        <v>293</v>
      </c>
      <c r="D831">
        <f>'Quick View_ Sample Data'!AN832</f>
        <v>98.063172599362204</v>
      </c>
      <c r="E831">
        <f>'Quick View_ Sample Data'!O832</f>
        <v>293</v>
      </c>
      <c r="F831">
        <f>'Quick View_ Sample Data'!AO832</f>
        <v>12267.702892180212</v>
      </c>
      <c r="G831">
        <f>'Quick View_ Sample Data'!O832</f>
        <v>293</v>
      </c>
      <c r="H831">
        <f>'Quick View_ Sample Data'!AP832</f>
        <v>3.4323529411764704</v>
      </c>
      <c r="I831">
        <f>'Quick View_ Sample Data'!AF832</f>
        <v>3.89</v>
      </c>
      <c r="J831">
        <f>'Quick View_ Sample Data'!AJ832</f>
        <v>12.51</v>
      </c>
      <c r="K831">
        <f>'Quick View_ Sample Data'!AH832</f>
        <v>252.09041799321901</v>
      </c>
      <c r="L831">
        <f t="shared" si="12"/>
        <v>48.663899999999998</v>
      </c>
    </row>
    <row r="832" spans="1:12" ht="12.75" customHeight="1">
      <c r="A832" s="321"/>
      <c r="B832" t="str">
        <f>'Quick View_ Sample Data'!P833</f>
        <v>MgO</v>
      </c>
      <c r="C832">
        <f>'Quick View_ Sample Data'!O833</f>
        <v>293</v>
      </c>
      <c r="D832">
        <f>'Quick View_ Sample Data'!AN833</f>
        <v>0</v>
      </c>
      <c r="E832">
        <f>'Quick View_ Sample Data'!O833</f>
        <v>293</v>
      </c>
      <c r="F832">
        <f>'Quick View_ Sample Data'!AO833</f>
        <v>0</v>
      </c>
      <c r="G832">
        <f>'Quick View_ Sample Data'!O833</f>
        <v>293</v>
      </c>
      <c r="H832">
        <f>'Quick View_ Sample Data'!AP833</f>
        <v>0</v>
      </c>
      <c r="I832">
        <f>'Quick View_ Sample Data'!AF833</f>
        <v>0</v>
      </c>
      <c r="J832">
        <f>'Quick View_ Sample Data'!AJ833</f>
        <v>0</v>
      </c>
      <c r="K832">
        <f>'Quick View_ Sample Data'!AH833</f>
        <v>0</v>
      </c>
      <c r="L832">
        <f t="shared" si="12"/>
        <v>0</v>
      </c>
    </row>
    <row r="833" spans="1:12" ht="12.75" customHeight="1">
      <c r="A833" s="321"/>
      <c r="B833" t="str">
        <f>'Quick View_ Sample Data'!P834</f>
        <v>MgO</v>
      </c>
      <c r="C833">
        <f>'Quick View_ Sample Data'!O834</f>
        <v>293</v>
      </c>
      <c r="D833">
        <f>'Quick View_ Sample Data'!AN834</f>
        <v>96.829411596400888</v>
      </c>
      <c r="E833">
        <f>'Quick View_ Sample Data'!O834</f>
        <v>293</v>
      </c>
      <c r="F833">
        <f>'Quick View_ Sample Data'!AO834</f>
        <v>12016.529979113349</v>
      </c>
      <c r="G833">
        <f>'Quick View_ Sample Data'!O834</f>
        <v>293</v>
      </c>
      <c r="H833">
        <f>'Quick View_ Sample Data'!AP834</f>
        <v>3.4058823529411764</v>
      </c>
      <c r="I833">
        <f>'Quick View_ Sample Data'!AF834</f>
        <v>3.86</v>
      </c>
      <c r="J833">
        <f>'Quick View_ Sample Data'!AJ834</f>
        <v>12.41</v>
      </c>
      <c r="K833">
        <f>'Quick View_ Sample Data'!AH834</f>
        <v>250.85339791813701</v>
      </c>
      <c r="L833">
        <f t="shared" si="12"/>
        <v>47.9026</v>
      </c>
    </row>
    <row r="834" spans="1:12" ht="12.75" customHeight="1">
      <c r="A834" s="321"/>
      <c r="B834" t="str">
        <f>'Quick View_ Sample Data'!P835</f>
        <v>MgO</v>
      </c>
      <c r="C834">
        <f>'Quick View_ Sample Data'!O835</f>
        <v>293</v>
      </c>
      <c r="D834">
        <f>'Quick View_ Sample Data'!AN835</f>
        <v>114.6593907593804</v>
      </c>
      <c r="E834">
        <f>'Quick View_ Sample Data'!O835</f>
        <v>293</v>
      </c>
      <c r="F834">
        <f>'Quick View_ Sample Data'!AO835</f>
        <v>12910.647399506233</v>
      </c>
      <c r="G834">
        <f>'Quick View_ Sample Data'!O835</f>
        <v>293</v>
      </c>
      <c r="H834">
        <f>'Quick View_ Sample Data'!AP835</f>
        <v>3.5558823529411763</v>
      </c>
      <c r="I834">
        <f>'Quick View_ Sample Data'!AF835</f>
        <v>4.03</v>
      </c>
      <c r="J834">
        <f>'Quick View_ Sample Data'!AJ835</f>
        <v>11.26</v>
      </c>
      <c r="K834">
        <f>'Quick View_ Sample Data'!AH835</f>
        <v>284.51461726893399</v>
      </c>
      <c r="L834">
        <f t="shared" ref="L834:L897" si="13">I834*J834</f>
        <v>45.377800000000001</v>
      </c>
    </row>
    <row r="835" spans="1:12" ht="12.75" customHeight="1">
      <c r="A835" s="321"/>
      <c r="B835" t="str">
        <f>'Quick View_ Sample Data'!P836</f>
        <v>MgO</v>
      </c>
      <c r="C835">
        <f>'Quick View_ Sample Data'!O836</f>
        <v>293</v>
      </c>
      <c r="D835">
        <f>'Quick View_ Sample Data'!AN836</f>
        <v>0</v>
      </c>
      <c r="E835">
        <f>'Quick View_ Sample Data'!O836</f>
        <v>293</v>
      </c>
      <c r="F835">
        <f>'Quick View_ Sample Data'!AO836</f>
        <v>0</v>
      </c>
      <c r="G835">
        <f>'Quick View_ Sample Data'!O836</f>
        <v>293</v>
      </c>
      <c r="H835">
        <f>'Quick View_ Sample Data'!AP836</f>
        <v>0</v>
      </c>
      <c r="I835">
        <f>'Quick View_ Sample Data'!AF836</f>
        <v>0</v>
      </c>
      <c r="J835">
        <f>'Quick View_ Sample Data'!AJ836</f>
        <v>4.5</v>
      </c>
      <c r="K835">
        <f>'Quick View_ Sample Data'!AH836</f>
        <v>256.669771155783</v>
      </c>
      <c r="L835">
        <f t="shared" si="13"/>
        <v>0</v>
      </c>
    </row>
    <row r="836" spans="1:12" ht="12.75" customHeight="1">
      <c r="A836" s="321"/>
      <c r="B836" t="str">
        <f>'Quick View_ Sample Data'!P837</f>
        <v>MgO</v>
      </c>
      <c r="C836">
        <f>'Quick View_ Sample Data'!O837</f>
        <v>295</v>
      </c>
      <c r="D836">
        <f>'Quick View_ Sample Data'!AN837</f>
        <v>0</v>
      </c>
      <c r="E836">
        <f>'Quick View_ Sample Data'!O837</f>
        <v>295</v>
      </c>
      <c r="F836">
        <f>'Quick View_ Sample Data'!AO837</f>
        <v>0</v>
      </c>
      <c r="G836">
        <f>'Quick View_ Sample Data'!O837</f>
        <v>295</v>
      </c>
      <c r="H836">
        <f>'Quick View_ Sample Data'!AP837</f>
        <v>0</v>
      </c>
      <c r="I836">
        <f>'Quick View_ Sample Data'!AF837</f>
        <v>0</v>
      </c>
      <c r="J836">
        <f>'Quick View_ Sample Data'!AJ837</f>
        <v>0</v>
      </c>
      <c r="K836">
        <f>'Quick View_ Sample Data'!AH837</f>
        <v>1060.06078501466</v>
      </c>
      <c r="L836">
        <f t="shared" si="13"/>
        <v>0</v>
      </c>
    </row>
    <row r="837" spans="1:12" ht="12.75" customHeight="1">
      <c r="A837" s="321"/>
      <c r="B837" t="str">
        <f>'Quick View_ Sample Data'!P838</f>
        <v>MgO</v>
      </c>
      <c r="C837">
        <f>'Quick View_ Sample Data'!O838</f>
        <v>296</v>
      </c>
      <c r="D837">
        <f>'Quick View_ Sample Data'!AN838</f>
        <v>0</v>
      </c>
      <c r="E837">
        <f>'Quick View_ Sample Data'!O838</f>
        <v>296</v>
      </c>
      <c r="F837">
        <f>'Quick View_ Sample Data'!AO838</f>
        <v>0</v>
      </c>
      <c r="G837">
        <f>'Quick View_ Sample Data'!O838</f>
        <v>296</v>
      </c>
      <c r="H837">
        <f>'Quick View_ Sample Data'!AP838</f>
        <v>0</v>
      </c>
      <c r="I837">
        <f>'Quick View_ Sample Data'!AF838</f>
        <v>0</v>
      </c>
      <c r="J837">
        <f>'Quick View_ Sample Data'!AJ838</f>
        <v>0</v>
      </c>
      <c r="K837">
        <f>'Quick View_ Sample Data'!AH838</f>
        <v>464.41777722682099</v>
      </c>
      <c r="L837">
        <f t="shared" si="13"/>
        <v>0</v>
      </c>
    </row>
    <row r="838" spans="1:12" ht="12.75" customHeight="1">
      <c r="A838" s="321"/>
      <c r="B838" t="str">
        <f>'Quick View_ Sample Data'!P839</f>
        <v>SiNx</v>
      </c>
      <c r="C838">
        <f>'Quick View_ Sample Data'!O839</f>
        <v>296</v>
      </c>
      <c r="D838">
        <f>'Quick View_ Sample Data'!AN839</f>
        <v>0</v>
      </c>
      <c r="E838">
        <f>'Quick View_ Sample Data'!O839</f>
        <v>296</v>
      </c>
      <c r="F838">
        <f>'Quick View_ Sample Data'!AO839</f>
        <v>0</v>
      </c>
      <c r="G838">
        <f>'Quick View_ Sample Data'!O839</f>
        <v>296</v>
      </c>
      <c r="H838">
        <f>'Quick View_ Sample Data'!AP839</f>
        <v>0</v>
      </c>
      <c r="I838">
        <f>'Quick View_ Sample Data'!AF839</f>
        <v>0</v>
      </c>
      <c r="J838">
        <f>'Quick View_ Sample Data'!AJ839</f>
        <v>0</v>
      </c>
      <c r="K838">
        <f>'Quick View_ Sample Data'!AH839</f>
        <v>0</v>
      </c>
      <c r="L838">
        <f t="shared" si="13"/>
        <v>0</v>
      </c>
    </row>
    <row r="839" spans="1:12" ht="12.75" customHeight="1">
      <c r="A839" s="321"/>
      <c r="B839" t="str">
        <f>'Quick View_ Sample Data'!P840</f>
        <v>SiNx</v>
      </c>
      <c r="C839">
        <f>'Quick View_ Sample Data'!O840</f>
        <v>296</v>
      </c>
      <c r="D839">
        <f>'Quick View_ Sample Data'!AN840</f>
        <v>0</v>
      </c>
      <c r="E839">
        <f>'Quick View_ Sample Data'!O840</f>
        <v>296</v>
      </c>
      <c r="F839">
        <f>'Quick View_ Sample Data'!AO840</f>
        <v>0</v>
      </c>
      <c r="G839">
        <f>'Quick View_ Sample Data'!O840</f>
        <v>296</v>
      </c>
      <c r="H839">
        <f>'Quick View_ Sample Data'!AP840</f>
        <v>0</v>
      </c>
      <c r="I839">
        <f>'Quick View_ Sample Data'!AF840</f>
        <v>0</v>
      </c>
      <c r="J839">
        <f>'Quick View_ Sample Data'!AH843</f>
        <v>581.81574012165299</v>
      </c>
      <c r="K839">
        <f>'Quick View_ Sample Data'!AH840</f>
        <v>0</v>
      </c>
      <c r="L839">
        <f t="shared" si="13"/>
        <v>0</v>
      </c>
    </row>
    <row r="840" spans="1:12" ht="12.75" customHeight="1">
      <c r="A840" s="321"/>
      <c r="B840" t="str">
        <f>'Quick View_ Sample Data'!P841</f>
        <v>MgO</v>
      </c>
      <c r="C840">
        <f>'Quick View_ Sample Data'!O841</f>
        <v>297</v>
      </c>
      <c r="D840">
        <f>'Quick View_ Sample Data'!AN841</f>
        <v>408.85143017531283</v>
      </c>
      <c r="E840">
        <f>'Quick View_ Sample Data'!O841</f>
        <v>297</v>
      </c>
      <c r="F840">
        <f>'Quick View_ Sample Data'!AO841</f>
        <v>32381.033269884774</v>
      </c>
      <c r="G840">
        <f>'Quick View_ Sample Data'!O841</f>
        <v>297</v>
      </c>
      <c r="H840">
        <f>'Quick View_ Sample Data'!AP841</f>
        <v>3.6421052631578945</v>
      </c>
      <c r="I840">
        <f>'Quick View_ Sample Data'!AF841</f>
        <v>6.92</v>
      </c>
      <c r="J840">
        <f>'Quick View_ Sample Data'!AJ841</f>
        <v>7.92</v>
      </c>
      <c r="K840">
        <f>'Quick View_ Sample Data'!AH841</f>
        <v>590.82576614929599</v>
      </c>
      <c r="L840">
        <f t="shared" si="13"/>
        <v>54.806399999999996</v>
      </c>
    </row>
    <row r="841" spans="1:12" ht="12.75" customHeight="1">
      <c r="A841" s="321"/>
      <c r="B841" t="str">
        <f>'Quick View_ Sample Data'!P842</f>
        <v>MgO</v>
      </c>
      <c r="C841">
        <f>'Quick View_ Sample Data'!O842</f>
        <v>297</v>
      </c>
      <c r="D841">
        <f>'Quick View_ Sample Data'!AN842</f>
        <v>389.18031315250607</v>
      </c>
      <c r="E841">
        <f>'Quick View_ Sample Data'!O842</f>
        <v>297</v>
      </c>
      <c r="F841">
        <f>'Quick View_ Sample Data'!AO842</f>
        <v>31980.892233307182</v>
      </c>
      <c r="G841">
        <f>'Quick View_ Sample Data'!O842</f>
        <v>297</v>
      </c>
      <c r="H841">
        <f>'Quick View_ Sample Data'!AP842</f>
        <v>3.6421052631578945</v>
      </c>
      <c r="I841">
        <f>'Quick View_ Sample Data'!AF841</f>
        <v>6.92</v>
      </c>
      <c r="J841">
        <f>'Quick View_ Sample Data'!AJ842</f>
        <v>8.17</v>
      </c>
      <c r="K841">
        <f>'Quick View_ Sample Data'!AH842</f>
        <v>565.66905981468904</v>
      </c>
      <c r="L841">
        <f t="shared" si="13"/>
        <v>56.5364</v>
      </c>
    </row>
    <row r="842" spans="1:12" ht="12.75" customHeight="1">
      <c r="A842" s="321"/>
      <c r="B842" t="str">
        <f>'Quick View_ Sample Data'!P843</f>
        <v>MgO</v>
      </c>
      <c r="C842">
        <f>'Quick View_ Sample Data'!O843</f>
        <v>297</v>
      </c>
      <c r="D842">
        <f>'Quick View_ Sample Data'!AN843</f>
        <v>401.45286068394057</v>
      </c>
      <c r="E842">
        <f>'Quick View_ Sample Data'!O843</f>
        <v>297</v>
      </c>
      <c r="F842">
        <f>'Quick View_ Sample Data'!AO843</f>
        <v>31822.993721693932</v>
      </c>
      <c r="G842">
        <f>'Quick View_ Sample Data'!O843</f>
        <v>297</v>
      </c>
      <c r="H842">
        <f>'Quick View_ Sample Data'!AP843</f>
        <v>3.6210526315789471</v>
      </c>
      <c r="I842">
        <f>'Quick View_ Sample Data'!AF842</f>
        <v>6.88</v>
      </c>
      <c r="J842">
        <f>'Quick View_ Sample Data'!AJ843</f>
        <v>7.95</v>
      </c>
      <c r="K842">
        <f>'Quick View_ Sample Data'!AH843</f>
        <v>581.81574012165299</v>
      </c>
      <c r="L842">
        <f t="shared" si="13"/>
        <v>54.695999999999998</v>
      </c>
    </row>
    <row r="843" spans="1:12" ht="12.75" customHeight="1">
      <c r="A843" s="321"/>
      <c r="B843" t="str">
        <f>'Quick View_ Sample Data'!P844</f>
        <v>MgO</v>
      </c>
      <c r="C843">
        <f>'Quick View_ Sample Data'!O844</f>
        <v>297</v>
      </c>
      <c r="D843">
        <f>'Quick View_ Sample Data'!AN844</f>
        <v>396.30189124966194</v>
      </c>
      <c r="E843">
        <f>'Quick View_ Sample Data'!O844</f>
        <v>297</v>
      </c>
      <c r="F843">
        <f>'Quick View_ Sample Data'!AO844</f>
        <v>31895.706772733287</v>
      </c>
      <c r="G843">
        <f>'Quick View_ Sample Data'!O844</f>
        <v>297</v>
      </c>
      <c r="H843">
        <f>'Quick View_ Sample Data'!AP844</f>
        <v>3.6315789473684212</v>
      </c>
      <c r="I843">
        <f>'Quick View_ Sample Data'!AF843</f>
        <v>6.9</v>
      </c>
      <c r="J843">
        <f>'Quick View_ Sample Data'!AJ844</f>
        <v>8.06</v>
      </c>
      <c r="K843">
        <f>'Quick View_ Sample Data'!AH844</f>
        <v>573.51937952194203</v>
      </c>
      <c r="L843">
        <f t="shared" si="13"/>
        <v>55.614000000000004</v>
      </c>
    </row>
    <row r="844" spans="1:12" ht="12.75" customHeight="1">
      <c r="A844" s="321"/>
      <c r="B844" t="str">
        <f>'Quick View_ Sample Data'!P845</f>
        <v>MgO</v>
      </c>
      <c r="C844">
        <f>'Quick View_ Sample Data'!O845</f>
        <v>297</v>
      </c>
      <c r="D844">
        <f>'Quick View_ Sample Data'!AN845</f>
        <v>369.70857640862749</v>
      </c>
      <c r="E844">
        <f>'Quick View_ Sample Data'!O845</f>
        <v>297</v>
      </c>
      <c r="F844">
        <f>'Quick View_ Sample Data'!AO845</f>
        <v>31108.588891774369</v>
      </c>
      <c r="G844">
        <f>'Quick View_ Sample Data'!O845</f>
        <v>297</v>
      </c>
      <c r="H844">
        <f>'Quick View_ Sample Data'!AP845</f>
        <v>3.6368421052631579</v>
      </c>
      <c r="I844">
        <f>'Quick View_ Sample Data'!AF844</f>
        <v>6.91</v>
      </c>
      <c r="J844">
        <f>'Quick View_ Sample Data'!AJ845</f>
        <v>8.39</v>
      </c>
      <c r="K844">
        <f>'Quick View_ Sample Data'!AH845</f>
        <v>536.58719362645502</v>
      </c>
      <c r="L844">
        <f t="shared" si="13"/>
        <v>57.974900000000005</v>
      </c>
    </row>
    <row r="845" spans="1:12" ht="12.75" customHeight="1">
      <c r="A845" s="321"/>
      <c r="B845" t="str">
        <f>'Quick View_ Sample Data'!P846</f>
        <v>MgO</v>
      </c>
      <c r="C845">
        <f>'Quick View_ Sample Data'!O846</f>
        <v>297</v>
      </c>
      <c r="D845">
        <f>'Quick View_ Sample Data'!AN846</f>
        <v>344.7446489477411</v>
      </c>
      <c r="E845">
        <f>'Quick View_ Sample Data'!O846</f>
        <v>297</v>
      </c>
      <c r="F845">
        <f>'Quick View_ Sample Data'!AO846</f>
        <v>30381.624353196858</v>
      </c>
      <c r="G845">
        <f>'Quick View_ Sample Data'!O846</f>
        <v>297</v>
      </c>
      <c r="H845">
        <f>'Quick View_ Sample Data'!AP846</f>
        <v>3.6263157894736842</v>
      </c>
      <c r="I845">
        <f>'Quick View_ Sample Data'!AF845</f>
        <v>6.89</v>
      </c>
      <c r="J845">
        <f>'Quick View_ Sample Data'!AJ846</f>
        <v>8.8000000000000007</v>
      </c>
      <c r="K845">
        <f>'Quick View_ Sample Data'!AH846</f>
        <v>501.08233858683298</v>
      </c>
      <c r="L845">
        <f t="shared" si="13"/>
        <v>60.632000000000005</v>
      </c>
    </row>
    <row r="846" spans="1:12" ht="12.75" customHeight="1">
      <c r="A846" s="321"/>
      <c r="B846" t="str">
        <f>'Quick View_ Sample Data'!P847</f>
        <v>MgO</v>
      </c>
      <c r="C846">
        <f>'Quick View_ Sample Data'!O847</f>
        <v>298</v>
      </c>
      <c r="D846">
        <f>'Quick View_ Sample Data'!AN847</f>
        <v>389.73269019372503</v>
      </c>
      <c r="E846">
        <f>'Quick View_ Sample Data'!O847</f>
        <v>298</v>
      </c>
      <c r="F846">
        <f>'Quick View_ Sample Data'!AO847</f>
        <v>32503.70636215667</v>
      </c>
      <c r="G846">
        <f>'Quick View_ Sample Data'!O847</f>
        <v>298</v>
      </c>
      <c r="H846">
        <f>'Quick View_ Sample Data'!AP847</f>
        <v>3.6210526315789471</v>
      </c>
      <c r="I846">
        <f>'Quick View_ Sample Data'!AF847</f>
        <v>6.88</v>
      </c>
      <c r="J846">
        <f>'Quick View_ Sample Data'!AJ847</f>
        <v>8.34</v>
      </c>
      <c r="K846">
        <f>'Quick View_ Sample Data'!AH847</f>
        <v>566.471933421112</v>
      </c>
      <c r="L846">
        <f t="shared" si="13"/>
        <v>57.379199999999997</v>
      </c>
    </row>
    <row r="847" spans="1:12" ht="12.75" customHeight="1">
      <c r="A847" s="321"/>
      <c r="B847" t="str">
        <f>'Quick View_ Sample Data'!P848</f>
        <v>MgO</v>
      </c>
      <c r="C847">
        <f>'Quick View_ Sample Data'!O848</f>
        <v>298</v>
      </c>
      <c r="D847">
        <f>'Quick View_ Sample Data'!AN848</f>
        <v>385.88424937360134</v>
      </c>
      <c r="E847">
        <f>'Quick View_ Sample Data'!O848</f>
        <v>298</v>
      </c>
      <c r="F847">
        <f>'Quick View_ Sample Data'!AO848</f>
        <v>32028.392698008913</v>
      </c>
      <c r="G847">
        <f>'Quick View_ Sample Data'!O848</f>
        <v>298</v>
      </c>
      <c r="H847">
        <f>'Quick View_ Sample Data'!AP848</f>
        <v>3.6368421052631579</v>
      </c>
      <c r="I847">
        <f>'Quick View_ Sample Data'!AF848</f>
        <v>6.91</v>
      </c>
      <c r="J847">
        <f>'Quick View_ Sample Data'!AJ848</f>
        <v>8.3000000000000007</v>
      </c>
      <c r="K847">
        <f>'Quick View_ Sample Data'!AH848</f>
        <v>558.443197356876</v>
      </c>
      <c r="L847">
        <f t="shared" si="13"/>
        <v>57.353000000000009</v>
      </c>
    </row>
    <row r="848" spans="1:12" ht="12.75" customHeight="1">
      <c r="A848" s="321"/>
      <c r="B848" t="str">
        <f>'Quick View_ Sample Data'!P849</f>
        <v>MgO</v>
      </c>
      <c r="C848">
        <f>'Quick View_ Sample Data'!O849</f>
        <v>298</v>
      </c>
      <c r="D848">
        <f>'Quick View_ Sample Data'!AN849</f>
        <v>374.91208946003792</v>
      </c>
      <c r="E848">
        <f>'Quick View_ Sample Data'!O849</f>
        <v>298</v>
      </c>
      <c r="F848">
        <f>'Quick View_ Sample Data'!AO849</f>
        <v>31267.668260967159</v>
      </c>
      <c r="G848">
        <f>'Quick View_ Sample Data'!O849</f>
        <v>298</v>
      </c>
      <c r="H848">
        <f>'Quick View_ Sample Data'!AP849</f>
        <v>3.6578947368421053</v>
      </c>
      <c r="I848">
        <f>'Quick View_ Sample Data'!AF849</f>
        <v>6.95</v>
      </c>
      <c r="J848">
        <f>'Quick View_ Sample Data'!AJ849</f>
        <v>8.34</v>
      </c>
      <c r="K848">
        <f>'Quick View_ Sample Data'!AH849</f>
        <v>539.44185533818404</v>
      </c>
      <c r="L848">
        <f t="shared" si="13"/>
        <v>57.963000000000001</v>
      </c>
    </row>
    <row r="849" spans="1:12" ht="12.75" customHeight="1">
      <c r="A849" s="321"/>
      <c r="B849" t="str">
        <f>'Quick View_ Sample Data'!P850</f>
        <v>MgO</v>
      </c>
      <c r="C849">
        <f>'Quick View_ Sample Data'!O850</f>
        <v>298</v>
      </c>
      <c r="D849">
        <f>'Quick View_ Sample Data'!AN850</f>
        <v>378.12652775562213</v>
      </c>
      <c r="E849">
        <f>'Quick View_ Sample Data'!O850</f>
        <v>298</v>
      </c>
      <c r="F849">
        <f>'Quick View_ Sample Data'!AO850</f>
        <v>31826.909841190714</v>
      </c>
      <c r="G849">
        <f>'Quick View_ Sample Data'!O850</f>
        <v>298</v>
      </c>
      <c r="H849">
        <f>'Quick View_ Sample Data'!AP850</f>
        <v>3.5947368421052635</v>
      </c>
      <c r="I849">
        <f>'Quick View_ Sample Data'!AF850</f>
        <v>6.83</v>
      </c>
      <c r="J849">
        <f>'Quick View_ Sample Data'!AJ850</f>
        <v>8.4169999999999998</v>
      </c>
      <c r="K849">
        <f>'Quick View_ Sample Data'!AH850</f>
        <v>553.62595571833401</v>
      </c>
      <c r="L849">
        <f t="shared" si="13"/>
        <v>57.488109999999999</v>
      </c>
    </row>
    <row r="850" spans="1:12" ht="12.75" customHeight="1">
      <c r="A850" s="321"/>
      <c r="B850" t="str">
        <f>'Quick View_ Sample Data'!P851</f>
        <v>MgO</v>
      </c>
      <c r="C850">
        <f>'Quick View_ Sample Data'!O851</f>
        <v>298</v>
      </c>
      <c r="D850">
        <f>'Quick View_ Sample Data'!AN851</f>
        <v>321.97051464428552</v>
      </c>
      <c r="E850">
        <f>'Quick View_ Sample Data'!O851</f>
        <v>298</v>
      </c>
      <c r="F850">
        <f>'Quick View_ Sample Data'!AO851</f>
        <v>30229.811619951965</v>
      </c>
      <c r="G850">
        <f>'Quick View_ Sample Data'!O851</f>
        <v>298</v>
      </c>
      <c r="H850">
        <f>'Quick View_ Sample Data'!AP851</f>
        <v>3.5157894736842104</v>
      </c>
      <c r="I850">
        <f>'Quick View_ Sample Data'!AF851</f>
        <v>6.68</v>
      </c>
      <c r="J850">
        <f>'Quick View_ Sample Data'!AJ851</f>
        <v>9.3889999999999993</v>
      </c>
      <c r="K850">
        <f>'Quick View_ Sample Data'!AH851</f>
        <v>481.991788389649</v>
      </c>
      <c r="L850">
        <f t="shared" si="13"/>
        <v>62.718519999999991</v>
      </c>
    </row>
    <row r="851" spans="1:12" ht="12.75" customHeight="1">
      <c r="A851" s="321"/>
      <c r="B851" t="str">
        <f>'Quick View_ Sample Data'!P852</f>
        <v>MgO</v>
      </c>
      <c r="C851">
        <f>'Quick View_ Sample Data'!O852</f>
        <v>298</v>
      </c>
      <c r="D851">
        <f>'Quick View_ Sample Data'!AN852</f>
        <v>325.07736787660929</v>
      </c>
      <c r="E851">
        <f>'Quick View_ Sample Data'!O852</f>
        <v>298</v>
      </c>
      <c r="F851">
        <f>'Quick View_ Sample Data'!AO852</f>
        <v>29949.37790247201</v>
      </c>
      <c r="G851">
        <f>'Quick View_ Sample Data'!O852</f>
        <v>298</v>
      </c>
      <c r="H851">
        <f>'Quick View_ Sample Data'!AP852</f>
        <v>3.5842105263157893</v>
      </c>
      <c r="I851">
        <f>'Quick View_ Sample Data'!AF852</f>
        <v>6.81</v>
      </c>
      <c r="J851">
        <f>'Quick View_ Sample Data'!AJ852</f>
        <v>9.2129999999999992</v>
      </c>
      <c r="K851">
        <f>'Quick View_ Sample Data'!AH852</f>
        <v>477.35296310809002</v>
      </c>
      <c r="L851">
        <f t="shared" si="13"/>
        <v>62.740529999999993</v>
      </c>
    </row>
    <row r="852" spans="1:12" ht="12.75" customHeight="1">
      <c r="A852" s="321"/>
      <c r="B852" t="str">
        <f>'Quick View_ Sample Data'!P853</f>
        <v>MgO</v>
      </c>
      <c r="C852">
        <f>'Quick View_ Sample Data'!O853</f>
        <v>300</v>
      </c>
      <c r="D852">
        <f>'Quick View_ Sample Data'!AN853</f>
        <v>144.12375188092608</v>
      </c>
      <c r="E852">
        <f>'Quick View_ Sample Data'!O853</f>
        <v>300</v>
      </c>
      <c r="F852">
        <f>'Quick View_ Sample Data'!AO853</f>
        <v>16963.365596385</v>
      </c>
      <c r="G852">
        <f>'Quick View_ Sample Data'!O853</f>
        <v>300</v>
      </c>
      <c r="H852">
        <f>'Quick View_ Sample Data'!AP853</f>
        <v>3.496</v>
      </c>
      <c r="I852">
        <f>'Quick View_ Sample Data'!AF853</f>
        <v>4.37</v>
      </c>
      <c r="J852">
        <f>'Quick View_ Sample Data'!AJ853</f>
        <v>11.77</v>
      </c>
      <c r="K852">
        <f>'Quick View_ Sample Data'!AH853</f>
        <v>329.80263588312602</v>
      </c>
      <c r="L852">
        <f t="shared" si="13"/>
        <v>51.434899999999999</v>
      </c>
    </row>
    <row r="853" spans="1:12" ht="12.75" customHeight="1">
      <c r="A853" s="321"/>
      <c r="B853" t="str">
        <f>'Quick View_ Sample Data'!P854</f>
        <v>MgO</v>
      </c>
      <c r="C853">
        <f>'Quick View_ Sample Data'!O854</f>
        <v>300</v>
      </c>
      <c r="D853">
        <f>'Quick View_ Sample Data'!AN854</f>
        <v>137.18968937495947</v>
      </c>
      <c r="E853">
        <f>'Quick View_ Sample Data'!O854</f>
        <v>300</v>
      </c>
      <c r="F853">
        <f>'Quick View_ Sample Data'!AO854</f>
        <v>16421.605818182648</v>
      </c>
      <c r="G853">
        <f>'Quick View_ Sample Data'!O854</f>
        <v>300</v>
      </c>
      <c r="H853">
        <f>'Quick View_ Sample Data'!AP854</f>
        <v>3.4079999999999999</v>
      </c>
      <c r="I853">
        <f>'Quick View_ Sample Data'!AF854</f>
        <v>4.26</v>
      </c>
      <c r="J853">
        <f>'Quick View_ Sample Data'!AJ854</f>
        <v>11.97</v>
      </c>
      <c r="K853">
        <f>'Quick View_ Sample Data'!AH854</f>
        <v>322.04152435436498</v>
      </c>
      <c r="L853">
        <f t="shared" si="13"/>
        <v>50.992199999999997</v>
      </c>
    </row>
    <row r="854" spans="1:12" ht="12.75" customHeight="1">
      <c r="A854" s="321"/>
      <c r="B854" t="str">
        <f>'Quick View_ Sample Data'!P855</f>
        <v>MgO</v>
      </c>
      <c r="C854">
        <f>'Quick View_ Sample Data'!O855</f>
        <v>302</v>
      </c>
      <c r="D854">
        <f>'Quick View_ Sample Data'!AN855</f>
        <v>0</v>
      </c>
      <c r="E854">
        <f>'Quick View_ Sample Data'!O855</f>
        <v>302</v>
      </c>
      <c r="F854">
        <f>'Quick View_ Sample Data'!AO855</f>
        <v>0</v>
      </c>
      <c r="G854">
        <f>'Quick View_ Sample Data'!O855</f>
        <v>302</v>
      </c>
      <c r="H854">
        <f>'Quick View_ Sample Data'!AP855</f>
        <v>0</v>
      </c>
      <c r="I854">
        <f>'Quick View_ Sample Data'!AF855</f>
        <v>0</v>
      </c>
      <c r="J854">
        <f>'Quick View_ Sample Data'!AJ855</f>
        <v>11.99</v>
      </c>
      <c r="K854">
        <f>'Quick View_ Sample Data'!AH855</f>
        <v>359.50895932079999</v>
      </c>
      <c r="L854">
        <f t="shared" si="13"/>
        <v>0</v>
      </c>
    </row>
    <row r="855" spans="1:12" ht="12.75" customHeight="1">
      <c r="A855" s="321"/>
      <c r="B855" t="str">
        <f>'Quick View_ Sample Data'!P856</f>
        <v>MgO</v>
      </c>
      <c r="C855">
        <f>'Quick View_ Sample Data'!O856</f>
        <v>302</v>
      </c>
      <c r="D855">
        <f>'Quick View_ Sample Data'!AN856</f>
        <v>0</v>
      </c>
      <c r="E855">
        <f>'Quick View_ Sample Data'!O856</f>
        <v>302</v>
      </c>
      <c r="F855">
        <f>'Quick View_ Sample Data'!AO856</f>
        <v>0</v>
      </c>
      <c r="G855">
        <f>'Quick View_ Sample Data'!O856</f>
        <v>302</v>
      </c>
      <c r="H855">
        <f>'Quick View_ Sample Data'!AP856</f>
        <v>0</v>
      </c>
      <c r="I855">
        <f>'Quick View_ Sample Data'!AF856</f>
        <v>0</v>
      </c>
      <c r="J855">
        <f>'Quick View_ Sample Data'!AJ856</f>
        <v>11.78</v>
      </c>
      <c r="K855">
        <f>'Quick View_ Sample Data'!AH856</f>
        <v>362.80966192498602</v>
      </c>
      <c r="L855">
        <f t="shared" si="13"/>
        <v>0</v>
      </c>
    </row>
    <row r="856" spans="1:12" ht="12.75" customHeight="1">
      <c r="A856" s="321"/>
      <c r="B856" t="str">
        <f>'Quick View_ Sample Data'!P857</f>
        <v>MgO</v>
      </c>
      <c r="C856">
        <f>'Quick View_ Sample Data'!O857</f>
        <v>304</v>
      </c>
      <c r="D856">
        <f>'Quick View_ Sample Data'!AN857</f>
        <v>0</v>
      </c>
      <c r="E856">
        <f>'Quick View_ Sample Data'!O857</f>
        <v>304</v>
      </c>
      <c r="F856">
        <f>'Quick View_ Sample Data'!AO857</f>
        <v>0</v>
      </c>
      <c r="G856">
        <f>'Quick View_ Sample Data'!O857</f>
        <v>304</v>
      </c>
      <c r="H856">
        <f>'Quick View_ Sample Data'!AP857</f>
        <v>0</v>
      </c>
      <c r="I856">
        <f>'Quick View_ Sample Data'!AF857</f>
        <v>0</v>
      </c>
      <c r="J856">
        <f>'Quick View_ Sample Data'!AJ857</f>
        <v>10.95</v>
      </c>
      <c r="K856">
        <f>'Quick View_ Sample Data'!AH857</f>
        <v>397.06560246572798</v>
      </c>
      <c r="L856">
        <f t="shared" si="13"/>
        <v>0</v>
      </c>
    </row>
    <row r="857" spans="1:12" ht="12.75" customHeight="1">
      <c r="A857" s="321"/>
      <c r="B857" t="str">
        <f>'Quick View_ Sample Data'!P858</f>
        <v>MgO</v>
      </c>
      <c r="C857">
        <f>'Quick View_ Sample Data'!O858</f>
        <v>304</v>
      </c>
      <c r="D857">
        <f>'Quick View_ Sample Data'!AN858</f>
        <v>0</v>
      </c>
      <c r="E857">
        <f>'Quick View_ Sample Data'!O858</f>
        <v>304</v>
      </c>
      <c r="F857">
        <f>'Quick View_ Sample Data'!AO858</f>
        <v>0</v>
      </c>
      <c r="G857">
        <f>'Quick View_ Sample Data'!O858</f>
        <v>304</v>
      </c>
      <c r="H857">
        <f>'Quick View_ Sample Data'!AP858</f>
        <v>0</v>
      </c>
      <c r="I857">
        <f>'Quick View_ Sample Data'!AF858</f>
        <v>0</v>
      </c>
      <c r="J857">
        <f>'Quick View_ Sample Data'!AJ858</f>
        <v>10.95</v>
      </c>
      <c r="K857">
        <f>'Quick View_ Sample Data'!AH858</f>
        <v>401.07997049784598</v>
      </c>
      <c r="L857">
        <f t="shared" si="13"/>
        <v>0</v>
      </c>
    </row>
    <row r="858" spans="1:12" ht="12.75" customHeight="1">
      <c r="A858" s="321"/>
      <c r="B858" t="str">
        <f>'Quick View_ Sample Data'!P859</f>
        <v>SiNx</v>
      </c>
      <c r="C858">
        <f>'Quick View_ Sample Data'!O859</f>
        <v>306</v>
      </c>
      <c r="D858">
        <f>'Quick View_ Sample Data'!AN859</f>
        <v>0</v>
      </c>
      <c r="E858">
        <f>'Quick View_ Sample Data'!O859</f>
        <v>306</v>
      </c>
      <c r="F858">
        <f>'Quick View_ Sample Data'!AO859</f>
        <v>0</v>
      </c>
      <c r="G858">
        <f>'Quick View_ Sample Data'!O859</f>
        <v>306</v>
      </c>
      <c r="H858">
        <f>'Quick View_ Sample Data'!AP859</f>
        <v>0</v>
      </c>
      <c r="I858">
        <f>'Quick View_ Sample Data'!AF859</f>
        <v>0</v>
      </c>
      <c r="J858">
        <f>'Quick View_ Sample Data'!AJ859</f>
        <v>8.0299999999999994</v>
      </c>
      <c r="K858">
        <f>'Quick View_ Sample Data'!AH859</f>
        <v>369.32185895486703</v>
      </c>
      <c r="L858">
        <f t="shared" si="13"/>
        <v>0</v>
      </c>
    </row>
    <row r="859" spans="1:12" ht="12.75" customHeight="1">
      <c r="A859" s="321"/>
      <c r="B859" t="str">
        <f>'Quick View_ Sample Data'!P860</f>
        <v>MgO</v>
      </c>
      <c r="C859">
        <f>'Quick View_ Sample Data'!O860</f>
        <v>306</v>
      </c>
      <c r="D859">
        <f>'Quick View_ Sample Data'!AN860</f>
        <v>0</v>
      </c>
      <c r="E859">
        <f>'Quick View_ Sample Data'!O860</f>
        <v>306</v>
      </c>
      <c r="F859">
        <f>'Quick View_ Sample Data'!AO860</f>
        <v>0</v>
      </c>
      <c r="G859">
        <f>'Quick View_ Sample Data'!O860</f>
        <v>306</v>
      </c>
      <c r="H859">
        <f>'Quick View_ Sample Data'!AP860</f>
        <v>0</v>
      </c>
      <c r="I859">
        <f>'Quick View_ Sample Data'!AF860</f>
        <v>0</v>
      </c>
      <c r="J859">
        <f>'Quick View_ Sample Data'!AJ860</f>
        <v>10.15</v>
      </c>
      <c r="K859">
        <f>'Quick View_ Sample Data'!AH860</f>
        <v>306.60850947533299</v>
      </c>
      <c r="L859">
        <f t="shared" si="13"/>
        <v>0</v>
      </c>
    </row>
    <row r="860" spans="1:12" ht="12.75" customHeight="1">
      <c r="A860" s="321"/>
      <c r="B860" t="str">
        <f>'Quick View_ Sample Data'!P861</f>
        <v>MgO</v>
      </c>
      <c r="C860">
        <f>'Quick View_ Sample Data'!O861</f>
        <v>306</v>
      </c>
      <c r="D860">
        <f>'Quick View_ Sample Data'!AN861</f>
        <v>0</v>
      </c>
      <c r="E860">
        <f>'Quick View_ Sample Data'!O861</f>
        <v>306</v>
      </c>
      <c r="F860">
        <f>'Quick View_ Sample Data'!AO861</f>
        <v>0</v>
      </c>
      <c r="G860">
        <f>'Quick View_ Sample Data'!O861</f>
        <v>306</v>
      </c>
      <c r="H860">
        <f>'Quick View_ Sample Data'!AP861</f>
        <v>0</v>
      </c>
      <c r="I860">
        <f>'Quick View_ Sample Data'!AF861</f>
        <v>0</v>
      </c>
      <c r="J860">
        <f>'Quick View_ Sample Data'!AJ861</f>
        <v>12.12</v>
      </c>
      <c r="K860">
        <f>'Quick View_ Sample Data'!AH861</f>
        <v>295.18986262841901</v>
      </c>
      <c r="L860">
        <f t="shared" si="13"/>
        <v>0</v>
      </c>
    </row>
    <row r="861" spans="1:12" ht="12.75" customHeight="1">
      <c r="A861" s="321"/>
      <c r="B861" t="str">
        <f>'Quick View_ Sample Data'!P862</f>
        <v>SiNx</v>
      </c>
      <c r="C861">
        <f>'Quick View_ Sample Data'!O862</f>
        <v>307</v>
      </c>
      <c r="D861">
        <f>'Quick View_ Sample Data'!AN862</f>
        <v>0</v>
      </c>
      <c r="E861">
        <f>'Quick View_ Sample Data'!O862</f>
        <v>307</v>
      </c>
      <c r="F861">
        <f>'Quick View_ Sample Data'!AO862</f>
        <v>0</v>
      </c>
      <c r="G861">
        <f>'Quick View_ Sample Data'!O862</f>
        <v>307</v>
      </c>
      <c r="H861">
        <f>'Quick View_ Sample Data'!AP862</f>
        <v>0</v>
      </c>
      <c r="I861">
        <f>'Quick View_ Sample Data'!AF862</f>
        <v>0</v>
      </c>
      <c r="J861">
        <f>'Quick View_ Sample Data'!AJ862</f>
        <v>8.34</v>
      </c>
      <c r="K861">
        <f>'Quick View_ Sample Data'!AH862</f>
        <v>386.53903740372903</v>
      </c>
      <c r="L861">
        <f t="shared" si="13"/>
        <v>0</v>
      </c>
    </row>
    <row r="862" spans="1:12" ht="12.75" customHeight="1">
      <c r="A862" s="321"/>
      <c r="B862" t="str">
        <f>'Quick View_ Sample Data'!P863</f>
        <v>MgO</v>
      </c>
      <c r="C862">
        <f>'Quick View_ Sample Data'!O863</f>
        <v>307</v>
      </c>
      <c r="D862">
        <f>'Quick View_ Sample Data'!AN863</f>
        <v>138.43967437198231</v>
      </c>
      <c r="E862">
        <f>'Quick View_ Sample Data'!O863</f>
        <v>307</v>
      </c>
      <c r="F862">
        <f>'Quick View_ Sample Data'!AO863</f>
        <v>11919.655963427675</v>
      </c>
      <c r="G862">
        <f>'Quick View_ Sample Data'!O863</f>
        <v>307</v>
      </c>
      <c r="H862">
        <f>'Quick View_ Sample Data'!AP863</f>
        <v>3.464</v>
      </c>
      <c r="I862">
        <f>'Quick View_ Sample Data'!AF863</f>
        <v>4.33</v>
      </c>
      <c r="J862">
        <f>'Quick View_ Sample Data'!AJ863</f>
        <v>8.61</v>
      </c>
      <c r="K862">
        <f>'Quick View_ Sample Data'!AH863</f>
        <v>319.72211171358498</v>
      </c>
      <c r="L862">
        <f t="shared" si="13"/>
        <v>37.281300000000002</v>
      </c>
    </row>
    <row r="863" spans="1:12" ht="12.75" customHeight="1">
      <c r="A863" s="321"/>
      <c r="B863" t="str">
        <f>'Quick View_ Sample Data'!P864</f>
        <v>MgO</v>
      </c>
      <c r="C863">
        <f>'Quick View_ Sample Data'!O864</f>
        <v>307</v>
      </c>
      <c r="D863">
        <f>'Quick View_ Sample Data'!AN864</f>
        <v>114.29280461789958</v>
      </c>
      <c r="E863">
        <f>'Quick View_ Sample Data'!O864</f>
        <v>307</v>
      </c>
      <c r="F863">
        <f>'Quick View_ Sample Data'!AO864</f>
        <v>15052.362368177375</v>
      </c>
      <c r="G863">
        <f>'Quick View_ Sample Data'!O864</f>
        <v>307</v>
      </c>
      <c r="H863">
        <f>'Quick View_ Sample Data'!AP864</f>
        <v>3.3759999999999999</v>
      </c>
      <c r="I863">
        <f>'Quick View_ Sample Data'!AF864</f>
        <v>4.22</v>
      </c>
      <c r="J863">
        <f>'Quick View_ Sample Data'!AJ864</f>
        <v>13.17</v>
      </c>
      <c r="K863">
        <f>'Quick View_ Sample Data'!AH864</f>
        <v>270.83602990023599</v>
      </c>
      <c r="L863">
        <f t="shared" si="13"/>
        <v>55.577399999999997</v>
      </c>
    </row>
    <row r="864" spans="1:12" ht="12.75" customHeight="1">
      <c r="A864" s="321"/>
      <c r="B864" t="str">
        <f>'Quick View_ Sample Data'!P865</f>
        <v>SiNx</v>
      </c>
      <c r="C864">
        <f>'Quick View_ Sample Data'!O865</f>
        <v>308</v>
      </c>
      <c r="D864">
        <f>'Quick View_ Sample Data'!AN865</f>
        <v>0</v>
      </c>
      <c r="E864">
        <f>'Quick View_ Sample Data'!O865</f>
        <v>308</v>
      </c>
      <c r="F864">
        <f>'Quick View_ Sample Data'!AO865</f>
        <v>0</v>
      </c>
      <c r="G864">
        <f>'Quick View_ Sample Data'!O865</f>
        <v>308</v>
      </c>
      <c r="H864">
        <f>'Quick View_ Sample Data'!AP865</f>
        <v>0</v>
      </c>
      <c r="I864">
        <f>'Quick View_ Sample Data'!AF865</f>
        <v>0</v>
      </c>
      <c r="J864">
        <f>'Quick View_ Sample Data'!AJ865</f>
        <v>11.75</v>
      </c>
      <c r="K864">
        <f>'Quick View_ Sample Data'!AH865</f>
        <v>327.48322324234698</v>
      </c>
      <c r="L864">
        <f t="shared" si="13"/>
        <v>0</v>
      </c>
    </row>
    <row r="865" spans="1:12" ht="12.75" customHeight="1">
      <c r="A865" s="321"/>
      <c r="B865" t="str">
        <f>'Quick View_ Sample Data'!P866</f>
        <v>SiNx</v>
      </c>
      <c r="C865">
        <f>'Quick View_ Sample Data'!O866</f>
        <v>308</v>
      </c>
      <c r="D865">
        <f>'Quick View_ Sample Data'!AN866</f>
        <v>0</v>
      </c>
      <c r="E865">
        <f>'Quick View_ Sample Data'!O866</f>
        <v>308</v>
      </c>
      <c r="F865">
        <f>'Quick View_ Sample Data'!AO866</f>
        <v>0</v>
      </c>
      <c r="G865">
        <f>'Quick View_ Sample Data'!O866</f>
        <v>308</v>
      </c>
      <c r="H865">
        <f>'Quick View_ Sample Data'!AP866</f>
        <v>0</v>
      </c>
      <c r="I865">
        <f>'Quick View_ Sample Data'!AF866</f>
        <v>0</v>
      </c>
      <c r="J865">
        <f>'Quick View_ Sample Data'!AJ866</f>
        <v>11.95</v>
      </c>
      <c r="K865">
        <f>'Quick View_ Sample Data'!AH866</f>
        <v>325.69905967251702</v>
      </c>
      <c r="L865">
        <f t="shared" si="13"/>
        <v>0</v>
      </c>
    </row>
    <row r="866" spans="1:12" ht="12.75" customHeight="1">
      <c r="A866" s="321"/>
      <c r="B866" t="str">
        <f>'Quick View_ Sample Data'!P867</f>
        <v>MgO</v>
      </c>
      <c r="C866">
        <f>'Quick View_ Sample Data'!O867</f>
        <v>309</v>
      </c>
      <c r="D866">
        <f>'Quick View_ Sample Data'!AN867</f>
        <v>214.5309796586991</v>
      </c>
      <c r="E866">
        <f>'Quick View_ Sample Data'!O867</f>
        <v>309</v>
      </c>
      <c r="F866">
        <f>'Quick View_ Sample Data'!AO867</f>
        <v>0</v>
      </c>
      <c r="G866">
        <f>'Quick View_ Sample Data'!O867</f>
        <v>309</v>
      </c>
      <c r="H866">
        <f>'Quick View_ Sample Data'!AP867</f>
        <v>4.03</v>
      </c>
      <c r="I866">
        <f>'Quick View_ Sample Data'!AF867</f>
        <v>4.03</v>
      </c>
      <c r="J866">
        <f>'Quick View_ Sample Data'!AJ867</f>
        <v>0</v>
      </c>
      <c r="K866">
        <f>'Quick View_ Sample Data'!AH867</f>
        <v>532.33493711836002</v>
      </c>
      <c r="L866">
        <f t="shared" si="13"/>
        <v>0</v>
      </c>
    </row>
    <row r="867" spans="1:12" ht="12.75" customHeight="1">
      <c r="A867" s="321"/>
      <c r="B867" t="str">
        <f>'Quick View_ Sample Data'!P868</f>
        <v>MgO</v>
      </c>
      <c r="C867">
        <f>'Quick View_ Sample Data'!O868</f>
        <v>309</v>
      </c>
      <c r="D867">
        <f>'Quick View_ Sample Data'!AN868</f>
        <v>180.15544068666003</v>
      </c>
      <c r="E867">
        <f>'Quick View_ Sample Data'!O868</f>
        <v>309</v>
      </c>
      <c r="F867">
        <f>'Quick View_ Sample Data'!AO868</f>
        <v>15709.554427876757</v>
      </c>
      <c r="G867">
        <f>'Quick View_ Sample Data'!O868</f>
        <v>309</v>
      </c>
      <c r="H867">
        <f>'Quick View_ Sample Data'!AP868</f>
        <v>3.59</v>
      </c>
      <c r="I867">
        <f>'Quick View_ Sample Data'!AF868</f>
        <v>3.59</v>
      </c>
      <c r="J867">
        <f>'Quick View_ Sample Data'!AJ868</f>
        <v>8.7200000000000006</v>
      </c>
      <c r="K867">
        <f>'Quick View_ Sample Data'!AH868</f>
        <v>501.825740074262</v>
      </c>
      <c r="L867">
        <f t="shared" si="13"/>
        <v>31.3048</v>
      </c>
    </row>
    <row r="868" spans="1:12" ht="12.75" customHeight="1">
      <c r="A868" s="321"/>
      <c r="B868" t="str">
        <f>'Quick View_ Sample Data'!P869</f>
        <v>MgO</v>
      </c>
      <c r="C868">
        <f>'Quick View_ Sample Data'!O869</f>
        <v>309</v>
      </c>
      <c r="D868">
        <f>'Quick View_ Sample Data'!AN869</f>
        <v>171.79996480066887</v>
      </c>
      <c r="E868">
        <f>'Quick View_ Sample Data'!O869</f>
        <v>309</v>
      </c>
      <c r="F868">
        <f>'Quick View_ Sample Data'!AO869</f>
        <v>0</v>
      </c>
      <c r="G868">
        <f>'Quick View_ Sample Data'!O869</f>
        <v>309</v>
      </c>
      <c r="H868">
        <f>'Quick View_ Sample Data'!AP869</f>
        <v>3.48</v>
      </c>
      <c r="I868">
        <f>'Quick View_ Sample Data'!AF869</f>
        <v>3.48</v>
      </c>
      <c r="J868">
        <f>'Quick View_ Sample Data'!AJ869</f>
        <v>0</v>
      </c>
      <c r="K868">
        <f>'Quick View_ Sample Data'!AH869</f>
        <v>493.67805977203699</v>
      </c>
      <c r="L868">
        <f t="shared" si="13"/>
        <v>0</v>
      </c>
    </row>
    <row r="869" spans="1:12" ht="12.75" customHeight="1">
      <c r="A869" s="321"/>
      <c r="B869" t="str">
        <f>'Quick View_ Sample Data'!P870</f>
        <v>MgO</v>
      </c>
      <c r="C869">
        <f>'Quick View_ Sample Data'!O870</f>
        <v>309</v>
      </c>
      <c r="D869">
        <f>'Quick View_ Sample Data'!AN870</f>
        <v>172.14573570050197</v>
      </c>
      <c r="E869">
        <f>'Quick View_ Sample Data'!O870</f>
        <v>309</v>
      </c>
      <c r="F869">
        <f>'Quick View_ Sample Data'!AO870</f>
        <v>16319.415744407588</v>
      </c>
      <c r="G869">
        <f>'Quick View_ Sample Data'!O870</f>
        <v>309</v>
      </c>
      <c r="H869">
        <f>'Quick View_ Sample Data'!AP870</f>
        <v>3.63</v>
      </c>
      <c r="I869">
        <f>'Quick View_ Sample Data'!AF870</f>
        <v>3.63</v>
      </c>
      <c r="J869">
        <f>'Quick View_ Sample Data'!AJ870</f>
        <v>9.48</v>
      </c>
      <c r="K869">
        <f>'Quick View_ Sample Data'!AH870</f>
        <v>474.230676860887</v>
      </c>
      <c r="L869">
        <f t="shared" si="13"/>
        <v>34.412399999999998</v>
      </c>
    </row>
    <row r="870" spans="1:12" ht="12.75" customHeight="1">
      <c r="A870" s="321"/>
      <c r="B870" t="str">
        <f>'Quick View_ Sample Data'!P871</f>
        <v>MgO</v>
      </c>
      <c r="C870">
        <f>'Quick View_ Sample Data'!O871</f>
        <v>310</v>
      </c>
      <c r="D870">
        <f>'Quick View_ Sample Data'!AN871</f>
        <v>145.09103616030967</v>
      </c>
      <c r="E870">
        <f>'Quick View_ Sample Data'!O871</f>
        <v>310</v>
      </c>
      <c r="F870">
        <f>'Quick View_ Sample Data'!AO871</f>
        <v>15756.88652700963</v>
      </c>
      <c r="G870">
        <f>'Quick View_ Sample Data'!O871</f>
        <v>310</v>
      </c>
      <c r="H870">
        <f>'Quick View_ Sample Data'!AP871</f>
        <v>3.44</v>
      </c>
      <c r="I870">
        <f>'Quick View_ Sample Data'!AF871</f>
        <v>3.44</v>
      </c>
      <c r="J870">
        <f>'Quick View_ Sample Data'!AJ871</f>
        <v>10.86</v>
      </c>
      <c r="K870">
        <f>'Quick View_ Sample Data'!AH871</f>
        <v>421.77626790787701</v>
      </c>
      <c r="L870">
        <f t="shared" si="13"/>
        <v>37.358399999999996</v>
      </c>
    </row>
    <row r="871" spans="1:12" ht="12.75" customHeight="1">
      <c r="A871" s="321"/>
      <c r="B871" t="str">
        <f>'Quick View_ Sample Data'!P872</f>
        <v>MgO</v>
      </c>
      <c r="C871">
        <f>'Quick View_ Sample Data'!O872</f>
        <v>310</v>
      </c>
      <c r="D871">
        <f>'Quick View_ Sample Data'!AN872</f>
        <v>148.87926145995178</v>
      </c>
      <c r="E871">
        <f>'Quick View_ Sample Data'!O872</f>
        <v>310</v>
      </c>
      <c r="F871">
        <f>'Quick View_ Sample Data'!AO872</f>
        <v>15096.35711203911</v>
      </c>
      <c r="G871">
        <f>'Quick View_ Sample Data'!O872</f>
        <v>310</v>
      </c>
      <c r="H871">
        <f>'Quick View_ Sample Data'!AP872</f>
        <v>3.39</v>
      </c>
      <c r="I871">
        <f>'Quick View_ Sample Data'!AF872</f>
        <v>3.39</v>
      </c>
      <c r="J871">
        <f>'Quick View_ Sample Data'!AJ872</f>
        <v>10.14</v>
      </c>
      <c r="K871">
        <f>'Quick View_ Sample Data'!AH872</f>
        <v>439.17186271372202</v>
      </c>
      <c r="L871">
        <f t="shared" si="13"/>
        <v>34.374600000000001</v>
      </c>
    </row>
    <row r="872" spans="1:12" ht="12.75" customHeight="1">
      <c r="A872" s="321"/>
      <c r="B872" t="str">
        <f>'Quick View_ Sample Data'!P873</f>
        <v>MgO</v>
      </c>
      <c r="C872">
        <f>'Quick View_ Sample Data'!O873</f>
        <v>311</v>
      </c>
      <c r="D872">
        <f>'Quick View_ Sample Data'!AN873</f>
        <v>150.99394133109325</v>
      </c>
      <c r="E872">
        <f>'Quick View_ Sample Data'!O873</f>
        <v>311</v>
      </c>
      <c r="F872">
        <f>'Quick View_ Sample Data'!AO873</f>
        <v>14752.108068047812</v>
      </c>
      <c r="G872">
        <f>'Quick View_ Sample Data'!O873</f>
        <v>311</v>
      </c>
      <c r="H872">
        <f>'Quick View_ Sample Data'!AP873</f>
        <v>3.2124999999999995</v>
      </c>
      <c r="I872">
        <f>'Quick View_ Sample Data'!AF873</f>
        <v>2.57</v>
      </c>
      <c r="J872">
        <f>'Quick View_ Sample Data'!AJ873</f>
        <v>9.77</v>
      </c>
      <c r="K872">
        <f>'Quick View_ Sample Data'!AH873</f>
        <v>587.52506354511002</v>
      </c>
      <c r="L872">
        <f t="shared" si="13"/>
        <v>25.108899999999998</v>
      </c>
    </row>
    <row r="873" spans="1:12" ht="12.75" customHeight="1">
      <c r="A873" s="321"/>
      <c r="B873" t="str">
        <f>'Quick View_ Sample Data'!P874</f>
        <v>MgO</v>
      </c>
      <c r="C873">
        <f>'Quick View_ Sample Data'!O874</f>
        <v>311</v>
      </c>
      <c r="D873">
        <f>'Quick View_ Sample Data'!AN874</f>
        <v>154.13353396492346</v>
      </c>
      <c r="E873">
        <f>'Quick View_ Sample Data'!O874</f>
        <v>311</v>
      </c>
      <c r="F873">
        <f>'Quick View_ Sample Data'!AO874</f>
        <v>14365.245365530867</v>
      </c>
      <c r="G873">
        <f>'Quick View_ Sample Data'!O874</f>
        <v>311</v>
      </c>
      <c r="H873">
        <f>'Quick View_ Sample Data'!AP874</f>
        <v>3.3500000000000005</v>
      </c>
      <c r="I873">
        <f>'Quick View_ Sample Data'!AF874</f>
        <v>2.68</v>
      </c>
      <c r="J873">
        <f>'Quick View_ Sample Data'!AJ874</f>
        <v>9.32</v>
      </c>
      <c r="K873">
        <f>'Quick View_ Sample Data'!AH874</f>
        <v>575.12512673478898</v>
      </c>
      <c r="L873">
        <f t="shared" si="13"/>
        <v>24.977600000000002</v>
      </c>
    </row>
    <row r="874" spans="1:12" ht="12.75" customHeight="1">
      <c r="A874" s="321"/>
      <c r="B874" t="str">
        <f>'Quick View_ Sample Data'!P875</f>
        <v>SiNx</v>
      </c>
      <c r="C874">
        <f>'Quick View_ Sample Data'!O875</f>
        <v>312</v>
      </c>
      <c r="D874">
        <f>'Quick View_ Sample Data'!AN875</f>
        <v>0</v>
      </c>
      <c r="E874">
        <f>'Quick View_ Sample Data'!O875</f>
        <v>312</v>
      </c>
      <c r="F874">
        <f>'Quick View_ Sample Data'!AO875</f>
        <v>0</v>
      </c>
      <c r="G874">
        <f>'Quick View_ Sample Data'!O875</f>
        <v>312</v>
      </c>
      <c r="H874">
        <f>'Quick View_ Sample Data'!AP875</f>
        <v>0</v>
      </c>
      <c r="I874">
        <f>'Quick View_ Sample Data'!AF875</f>
        <v>0</v>
      </c>
      <c r="J874">
        <f>'Quick View_ Sample Data'!AJ875</f>
        <v>11.83</v>
      </c>
      <c r="K874">
        <f>'Quick View_ Sample Data'!AH875</f>
        <v>433.10570657629899</v>
      </c>
      <c r="L874">
        <f t="shared" si="13"/>
        <v>0</v>
      </c>
    </row>
    <row r="875" spans="1:12" ht="12.75" customHeight="1">
      <c r="A875" s="321"/>
      <c r="B875" t="str">
        <f>'Quick View_ Sample Data'!P876</f>
        <v>SiNx</v>
      </c>
      <c r="C875">
        <f>'Quick View_ Sample Data'!O876</f>
        <v>312</v>
      </c>
      <c r="D875">
        <f>'Quick View_ Sample Data'!AN876</f>
        <v>0</v>
      </c>
      <c r="E875">
        <f>'Quick View_ Sample Data'!O876</f>
        <v>312</v>
      </c>
      <c r="F875">
        <f>'Quick View_ Sample Data'!AO876</f>
        <v>0</v>
      </c>
      <c r="G875">
        <f>'Quick View_ Sample Data'!O876</f>
        <v>312</v>
      </c>
      <c r="H875">
        <f>'Quick View_ Sample Data'!AP876</f>
        <v>0</v>
      </c>
      <c r="I875">
        <f>'Quick View_ Sample Data'!AF876</f>
        <v>0</v>
      </c>
      <c r="J875">
        <f>'Quick View_ Sample Data'!AJ876</f>
        <v>11.87</v>
      </c>
      <c r="K875">
        <f>'Quick View_ Sample Data'!AH876</f>
        <v>432.65966568384198</v>
      </c>
      <c r="L875">
        <f t="shared" si="13"/>
        <v>0</v>
      </c>
    </row>
    <row r="876" spans="1:12" ht="12.75" customHeight="1">
      <c r="A876" s="321"/>
      <c r="B876" t="str">
        <f>'Quick View_ Sample Data'!P877</f>
        <v>SiNx</v>
      </c>
      <c r="C876">
        <f>'Quick View_ Sample Data'!O877</f>
        <v>313</v>
      </c>
      <c r="D876">
        <f>'Quick View_ Sample Data'!AN877</f>
        <v>0</v>
      </c>
      <c r="E876">
        <f>'Quick View_ Sample Data'!O877</f>
        <v>313</v>
      </c>
      <c r="F876">
        <f>'Quick View_ Sample Data'!AO877</f>
        <v>0</v>
      </c>
      <c r="G876">
        <f>'Quick View_ Sample Data'!O877</f>
        <v>313</v>
      </c>
      <c r="H876">
        <f>'Quick View_ Sample Data'!AP877</f>
        <v>0</v>
      </c>
      <c r="I876">
        <f>'Quick View_ Sample Data'!AF877</f>
        <v>0</v>
      </c>
      <c r="J876">
        <f>'Quick View_ Sample Data'!AJ877</f>
        <v>10.43</v>
      </c>
      <c r="K876">
        <f>'Quick View_ Sample Data'!AH877</f>
        <v>695.645375876824</v>
      </c>
      <c r="L876">
        <f t="shared" si="13"/>
        <v>0</v>
      </c>
    </row>
    <row r="877" spans="1:12" ht="12.75" customHeight="1">
      <c r="A877" s="321"/>
      <c r="B877" t="str">
        <f>'Quick View_ Sample Data'!P878</f>
        <v>SiNx</v>
      </c>
      <c r="C877">
        <f>'Quick View_ Sample Data'!O878</f>
        <v>313</v>
      </c>
      <c r="D877">
        <f>'Quick View_ Sample Data'!AN878</f>
        <v>0</v>
      </c>
      <c r="E877">
        <f>'Quick View_ Sample Data'!O878</f>
        <v>313</v>
      </c>
      <c r="F877">
        <f>'Quick View_ Sample Data'!AO878</f>
        <v>0</v>
      </c>
      <c r="G877">
        <f>'Quick View_ Sample Data'!O878</f>
        <v>313</v>
      </c>
      <c r="H877">
        <f>'Quick View_ Sample Data'!AP878</f>
        <v>0</v>
      </c>
      <c r="I877">
        <f>'Quick View_ Sample Data'!AF878</f>
        <v>0</v>
      </c>
      <c r="J877">
        <f>'Quick View_ Sample Data'!AJ878</f>
        <v>10.52</v>
      </c>
      <c r="K877">
        <f>'Quick View_ Sample Data'!AH878</f>
        <v>675.03828664528396</v>
      </c>
      <c r="L877">
        <f t="shared" si="13"/>
        <v>0</v>
      </c>
    </row>
    <row r="878" spans="1:12" ht="12.75" customHeight="1">
      <c r="A878" s="321"/>
      <c r="B878" t="str">
        <f>'Quick View_ Sample Data'!P879</f>
        <v>SiNx</v>
      </c>
      <c r="C878">
        <f>'Quick View_ Sample Data'!O879</f>
        <v>315</v>
      </c>
      <c r="D878">
        <f>'Quick View_ Sample Data'!AN879</f>
        <v>0</v>
      </c>
      <c r="E878">
        <f>'Quick View_ Sample Data'!O879</f>
        <v>315</v>
      </c>
      <c r="F878">
        <f>'Quick View_ Sample Data'!AO879</f>
        <v>0</v>
      </c>
      <c r="G878">
        <f>'Quick View_ Sample Data'!O879</f>
        <v>315</v>
      </c>
      <c r="H878">
        <f>'Quick View_ Sample Data'!AP879</f>
        <v>0</v>
      </c>
      <c r="I878">
        <f>'Quick View_ Sample Data'!AF879</f>
        <v>0</v>
      </c>
      <c r="J878">
        <f>'Quick View_ Sample Data'!AJ879</f>
        <v>0</v>
      </c>
      <c r="K878">
        <f>'Quick View_ Sample Data'!AH879</f>
        <v>628.02557658025705</v>
      </c>
      <c r="L878">
        <f t="shared" si="13"/>
        <v>0</v>
      </c>
    </row>
    <row r="879" spans="1:12" ht="12.75" customHeight="1">
      <c r="A879" s="321"/>
      <c r="B879" t="str">
        <f>'Quick View_ Sample Data'!P880</f>
        <v>SiNx</v>
      </c>
      <c r="C879">
        <f>'Quick View_ Sample Data'!O880</f>
        <v>315</v>
      </c>
      <c r="D879">
        <f>'Quick View_ Sample Data'!AN880</f>
        <v>0</v>
      </c>
      <c r="E879">
        <f>'Quick View_ Sample Data'!O880</f>
        <v>315</v>
      </c>
      <c r="F879">
        <f>'Quick View_ Sample Data'!AO880</f>
        <v>0</v>
      </c>
      <c r="G879">
        <f>'Quick View_ Sample Data'!O880</f>
        <v>315</v>
      </c>
      <c r="H879">
        <f>'Quick View_ Sample Data'!AP880</f>
        <v>0</v>
      </c>
      <c r="I879">
        <f>'Quick View_ Sample Data'!AF880</f>
        <v>0</v>
      </c>
      <c r="J879">
        <f>'Quick View_ Sample Data'!AJ880</f>
        <v>8.84</v>
      </c>
      <c r="K879">
        <f>'Quick View_ Sample Data'!AH880</f>
        <v>637.12481078639098</v>
      </c>
      <c r="L879">
        <f t="shared" si="13"/>
        <v>0</v>
      </c>
    </row>
    <row r="880" spans="1:12" ht="12.75" customHeight="1">
      <c r="A880" s="321"/>
      <c r="B880" t="str">
        <f>'Quick View_ Sample Data'!P881</f>
        <v>SiO2</v>
      </c>
      <c r="C880">
        <f>'Quick View_ Sample Data'!O881</f>
        <v>316</v>
      </c>
      <c r="D880">
        <f>'Quick View_ Sample Data'!AN881</f>
        <v>0</v>
      </c>
      <c r="E880">
        <f>'Quick View_ Sample Data'!O881</f>
        <v>316</v>
      </c>
      <c r="F880">
        <f>'Quick View_ Sample Data'!AO881</f>
        <v>0</v>
      </c>
      <c r="G880">
        <f>'Quick View_ Sample Data'!O881</f>
        <v>316</v>
      </c>
      <c r="H880">
        <f>'Quick View_ Sample Data'!AP881</f>
        <v>0</v>
      </c>
      <c r="I880">
        <f>'Quick View_ Sample Data'!AF881</f>
        <v>0</v>
      </c>
      <c r="J880">
        <f>'Quick View_ Sample Data'!AJ881</f>
        <v>10.72</v>
      </c>
      <c r="K880">
        <f>'Quick View_ Sample Data'!AH881</f>
        <v>529.98578841808296</v>
      </c>
      <c r="L880">
        <f t="shared" si="13"/>
        <v>0</v>
      </c>
    </row>
    <row r="881" spans="1:12" ht="12.75" customHeight="1">
      <c r="A881" s="321"/>
      <c r="B881" t="str">
        <f>'Quick View_ Sample Data'!P882</f>
        <v>SiNx</v>
      </c>
      <c r="C881">
        <f>'Quick View_ Sample Data'!O882</f>
        <v>316</v>
      </c>
      <c r="D881">
        <f>'Quick View_ Sample Data'!AN882</f>
        <v>0</v>
      </c>
      <c r="E881">
        <f>'Quick View_ Sample Data'!O882</f>
        <v>316</v>
      </c>
      <c r="F881">
        <f>'Quick View_ Sample Data'!AO882</f>
        <v>0</v>
      </c>
      <c r="G881">
        <f>'Quick View_ Sample Data'!O882</f>
        <v>316</v>
      </c>
      <c r="H881">
        <f>'Quick View_ Sample Data'!AP882</f>
        <v>0</v>
      </c>
      <c r="I881">
        <f>'Quick View_ Sample Data'!AF882</f>
        <v>0</v>
      </c>
      <c r="J881">
        <f>'Quick View_ Sample Data'!AJ882</f>
        <v>10.42</v>
      </c>
      <c r="K881">
        <f>'Quick View_ Sample Data'!AH882</f>
        <v>574.41146130685695</v>
      </c>
      <c r="L881">
        <f t="shared" si="13"/>
        <v>0</v>
      </c>
    </row>
    <row r="882" spans="1:12" ht="12.75" customHeight="1">
      <c r="A882" s="321"/>
      <c r="B882" t="str">
        <f>'Quick View_ Sample Data'!P883</f>
        <v>SiO2</v>
      </c>
      <c r="C882">
        <f>'Quick View_ Sample Data'!O883</f>
        <v>316</v>
      </c>
      <c r="D882">
        <f>'Quick View_ Sample Data'!AN883</f>
        <v>0</v>
      </c>
      <c r="E882">
        <f>'Quick View_ Sample Data'!O883</f>
        <v>316</v>
      </c>
      <c r="F882">
        <f>'Quick View_ Sample Data'!AO883</f>
        <v>0</v>
      </c>
      <c r="G882">
        <f>'Quick View_ Sample Data'!O883</f>
        <v>316</v>
      </c>
      <c r="H882">
        <f>'Quick View_ Sample Data'!AP883</f>
        <v>0</v>
      </c>
      <c r="I882">
        <f>'Quick View_ Sample Data'!AF883</f>
        <v>0</v>
      </c>
      <c r="J882">
        <f>'Quick View_ Sample Data'!AJ883</f>
        <v>0</v>
      </c>
      <c r="K882">
        <f>'Quick View_ Sample Data'!AH883</f>
        <v>555.76695200213101</v>
      </c>
      <c r="L882">
        <f t="shared" si="13"/>
        <v>0</v>
      </c>
    </row>
    <row r="883" spans="1:12" ht="12.75" customHeight="1">
      <c r="A883" s="321"/>
      <c r="B883" t="str">
        <f>'Quick View_ Sample Data'!P884</f>
        <v>SiO2</v>
      </c>
      <c r="C883">
        <f>'Quick View_ Sample Data'!O884</f>
        <v>316</v>
      </c>
      <c r="D883">
        <f>'Quick View_ Sample Data'!AN884</f>
        <v>0</v>
      </c>
      <c r="E883">
        <f>'Quick View_ Sample Data'!O884</f>
        <v>316</v>
      </c>
      <c r="F883">
        <f>'Quick View_ Sample Data'!AO884</f>
        <v>0</v>
      </c>
      <c r="G883">
        <f>'Quick View_ Sample Data'!O884</f>
        <v>316</v>
      </c>
      <c r="H883">
        <f>'Quick View_ Sample Data'!AP884</f>
        <v>0</v>
      </c>
      <c r="I883">
        <f>'Quick View_ Sample Data'!AF884</f>
        <v>0</v>
      </c>
      <c r="J883">
        <f>'Quick View_ Sample Data'!AJ884</f>
        <v>10.43</v>
      </c>
      <c r="K883">
        <f>'Quick View_ Sample Data'!AH884</f>
        <v>555.76695200213101</v>
      </c>
      <c r="L883">
        <f t="shared" si="13"/>
        <v>0</v>
      </c>
    </row>
    <row r="884" spans="1:12" ht="12.75" customHeight="1">
      <c r="A884" s="321"/>
      <c r="B884" t="str">
        <f>'Quick View_ Sample Data'!P885</f>
        <v>SiO2</v>
      </c>
      <c r="C884">
        <f>'Quick View_ Sample Data'!O885</f>
        <v>316</v>
      </c>
      <c r="D884">
        <f>'Quick View_ Sample Data'!AN885</f>
        <v>0</v>
      </c>
      <c r="E884">
        <f>'Quick View_ Sample Data'!O885</f>
        <v>316</v>
      </c>
      <c r="F884">
        <f>'Quick View_ Sample Data'!AO885</f>
        <v>0</v>
      </c>
      <c r="G884">
        <f>'Quick View_ Sample Data'!O885</f>
        <v>316</v>
      </c>
      <c r="H884">
        <f>'Quick View_ Sample Data'!AP885</f>
        <v>0</v>
      </c>
      <c r="I884">
        <f>'Quick View_ Sample Data'!AF885</f>
        <v>0</v>
      </c>
      <c r="J884">
        <f>'Quick View_ Sample Data'!AJ885</f>
        <v>11.58</v>
      </c>
      <c r="K884">
        <f>'Quick View_ Sample Data'!AH885</f>
        <v>466.11273261815899</v>
      </c>
      <c r="L884">
        <f t="shared" si="13"/>
        <v>0</v>
      </c>
    </row>
    <row r="885" spans="1:12" ht="12.75" customHeight="1">
      <c r="A885" s="321"/>
      <c r="B885" t="str">
        <f>'Quick View_ Sample Data'!P886</f>
        <v>SiNx</v>
      </c>
      <c r="C885">
        <f>'Quick View_ Sample Data'!O886</f>
        <v>317</v>
      </c>
      <c r="D885">
        <f>'Quick View_ Sample Data'!AN886</f>
        <v>0</v>
      </c>
      <c r="E885">
        <f>'Quick View_ Sample Data'!O886</f>
        <v>317</v>
      </c>
      <c r="F885">
        <f>'Quick View_ Sample Data'!AO886</f>
        <v>0</v>
      </c>
      <c r="G885">
        <f>'Quick View_ Sample Data'!O886</f>
        <v>317</v>
      </c>
      <c r="H885">
        <f>'Quick View_ Sample Data'!AP886</f>
        <v>0</v>
      </c>
      <c r="I885">
        <f>'Quick View_ Sample Data'!AF886</f>
        <v>0</v>
      </c>
      <c r="J885">
        <f>'Quick View_ Sample Data'!AJ886</f>
        <v>10.8</v>
      </c>
      <c r="K885">
        <f>'Quick View_ Sample Data'!AH886</f>
        <v>510.44919732844198</v>
      </c>
      <c r="L885">
        <f t="shared" si="13"/>
        <v>0</v>
      </c>
    </row>
    <row r="886" spans="1:12" ht="12.75" customHeight="1">
      <c r="A886" s="321"/>
      <c r="B886" t="str">
        <f>'Quick View_ Sample Data'!P887</f>
        <v>SiNx</v>
      </c>
      <c r="C886">
        <f>'Quick View_ Sample Data'!O887</f>
        <v>317</v>
      </c>
      <c r="D886">
        <f>'Quick View_ Sample Data'!AN887</f>
        <v>0</v>
      </c>
      <c r="E886">
        <f>'Quick View_ Sample Data'!O887</f>
        <v>317</v>
      </c>
      <c r="F886">
        <f>'Quick View_ Sample Data'!AO887</f>
        <v>0</v>
      </c>
      <c r="G886">
        <f>'Quick View_ Sample Data'!O887</f>
        <v>317</v>
      </c>
      <c r="H886">
        <f>'Quick View_ Sample Data'!AP887</f>
        <v>0</v>
      </c>
      <c r="I886">
        <f>'Quick View_ Sample Data'!AF887</f>
        <v>0</v>
      </c>
      <c r="J886">
        <f>'Quick View_ Sample Data'!AJ887</f>
        <v>10.79</v>
      </c>
      <c r="K886">
        <f>'Quick View_ Sample Data'!AH887</f>
        <v>508.486617401628</v>
      </c>
      <c r="L886">
        <f t="shared" si="13"/>
        <v>0</v>
      </c>
    </row>
    <row r="887" spans="1:12" ht="12.75" customHeight="1">
      <c r="A887" s="321"/>
      <c r="B887" t="str">
        <f>'Quick View_ Sample Data'!P888</f>
        <v>SiNx</v>
      </c>
      <c r="C887">
        <f>'Quick View_ Sample Data'!O888</f>
        <v>317</v>
      </c>
      <c r="D887">
        <f>'Quick View_ Sample Data'!AN888</f>
        <v>0</v>
      </c>
      <c r="E887">
        <f>'Quick View_ Sample Data'!O888</f>
        <v>317</v>
      </c>
      <c r="F887">
        <f>'Quick View_ Sample Data'!AO888</f>
        <v>0</v>
      </c>
      <c r="G887">
        <f>'Quick View_ Sample Data'!O888</f>
        <v>317</v>
      </c>
      <c r="H887">
        <f>'Quick View_ Sample Data'!AP888</f>
        <v>0</v>
      </c>
      <c r="I887">
        <f>'Quick View_ Sample Data'!AF888</f>
        <v>0</v>
      </c>
      <c r="J887">
        <f>'Quick View_ Sample Data'!AJ889</f>
        <v>10.8</v>
      </c>
      <c r="K887">
        <f>'Quick View_ Sample Data'!AH888</f>
        <v>426.593509546419</v>
      </c>
      <c r="L887">
        <f t="shared" si="13"/>
        <v>0</v>
      </c>
    </row>
    <row r="888" spans="1:12" ht="12.75" customHeight="1">
      <c r="A888" s="321"/>
      <c r="B888" t="str">
        <f>'Quick View_ Sample Data'!P889</f>
        <v>SiNx</v>
      </c>
      <c r="C888">
        <f>'Quick View_ Sample Data'!O889</f>
        <v>317</v>
      </c>
      <c r="D888">
        <f>'Quick View_ Sample Data'!AN889</f>
        <v>0</v>
      </c>
      <c r="E888">
        <f>'Quick View_ Sample Data'!O889</f>
        <v>317</v>
      </c>
      <c r="F888">
        <f>'Quick View_ Sample Data'!AO889</f>
        <v>0</v>
      </c>
      <c r="G888">
        <f>'Quick View_ Sample Data'!O889</f>
        <v>317</v>
      </c>
      <c r="H888">
        <f>'Quick View_ Sample Data'!AP889</f>
        <v>0</v>
      </c>
      <c r="I888">
        <f>'Quick View_ Sample Data'!AF889</f>
        <v>0</v>
      </c>
      <c r="J888">
        <f>'Quick View_ Sample Data'!AJ890</f>
        <v>10.77</v>
      </c>
      <c r="K888">
        <f>'Quick View_ Sample Data'!AH889</f>
        <v>507.059286545764</v>
      </c>
      <c r="L888">
        <f t="shared" si="13"/>
        <v>0</v>
      </c>
    </row>
    <row r="889" spans="1:12" ht="12.75" customHeight="1">
      <c r="A889" s="321"/>
      <c r="B889" t="str">
        <f>'Quick View_ Sample Data'!P890</f>
        <v>SiNx</v>
      </c>
      <c r="C889">
        <f>'Quick View_ Sample Data'!O890</f>
        <v>317</v>
      </c>
      <c r="D889">
        <f>'Quick View_ Sample Data'!AN890</f>
        <v>0</v>
      </c>
      <c r="E889">
        <f>'Quick View_ Sample Data'!O890</f>
        <v>317</v>
      </c>
      <c r="F889">
        <f>'Quick View_ Sample Data'!AO890</f>
        <v>0</v>
      </c>
      <c r="G889">
        <f>'Quick View_ Sample Data'!O890</f>
        <v>317</v>
      </c>
      <c r="H889">
        <f>'Quick View_ Sample Data'!AP890</f>
        <v>0</v>
      </c>
      <c r="I889">
        <f>'Quick View_ Sample Data'!AF890</f>
        <v>0</v>
      </c>
      <c r="J889">
        <f>'Quick View_ Sample Data'!AJ890</f>
        <v>10.77</v>
      </c>
      <c r="K889">
        <f>'Quick View_ Sample Data'!AH890</f>
        <v>508.04057650917099</v>
      </c>
      <c r="L889">
        <f t="shared" si="13"/>
        <v>0</v>
      </c>
    </row>
    <row r="890" spans="1:12" ht="12.75" customHeight="1">
      <c r="A890" s="321"/>
      <c r="B890" t="str">
        <f>'Quick View_ Sample Data'!P891</f>
        <v>SiO2</v>
      </c>
      <c r="C890">
        <f>'Quick View_ Sample Data'!O891</f>
        <v>317</v>
      </c>
      <c r="D890">
        <f>'Quick View_ Sample Data'!AN891</f>
        <v>0</v>
      </c>
      <c r="E890">
        <f>'Quick View_ Sample Data'!O891</f>
        <v>317</v>
      </c>
      <c r="F890">
        <f>'Quick View_ Sample Data'!AO891</f>
        <v>0</v>
      </c>
      <c r="G890">
        <f>'Quick View_ Sample Data'!O891</f>
        <v>317</v>
      </c>
      <c r="H890">
        <f>'Quick View_ Sample Data'!AP891</f>
        <v>0</v>
      </c>
      <c r="I890">
        <f>'Quick View_ Sample Data'!AF891</f>
        <v>0</v>
      </c>
      <c r="J890">
        <f>'Quick View_ Sample Data'!AJ891</f>
        <v>11.49</v>
      </c>
      <c r="K890">
        <f>'Quick View_ Sample Data'!AH891</f>
        <v>428.73450583021503</v>
      </c>
      <c r="L890">
        <f t="shared" si="13"/>
        <v>0</v>
      </c>
    </row>
    <row r="891" spans="1:12" ht="12.75" customHeight="1">
      <c r="A891" s="321"/>
      <c r="B891" t="str">
        <f>'Quick View_ Sample Data'!P892</f>
        <v>SiO2</v>
      </c>
      <c r="C891">
        <f>'Quick View_ Sample Data'!O892</f>
        <v>318</v>
      </c>
      <c r="D891">
        <f>'Quick View_ Sample Data'!AN892</f>
        <v>0</v>
      </c>
      <c r="E891">
        <f>'Quick View_ Sample Data'!O892</f>
        <v>318</v>
      </c>
      <c r="F891">
        <f>'Quick View_ Sample Data'!AO892</f>
        <v>0</v>
      </c>
      <c r="G891">
        <f>'Quick View_ Sample Data'!O892</f>
        <v>318</v>
      </c>
      <c r="H891">
        <f>'Quick View_ Sample Data'!AP892</f>
        <v>0</v>
      </c>
      <c r="I891">
        <f>'Quick View_ Sample Data'!AF892</f>
        <v>0</v>
      </c>
      <c r="J891">
        <f>'Quick View_ Sample Data'!AJ892</f>
        <v>0</v>
      </c>
      <c r="K891">
        <f>'Quick View_ Sample Data'!AH892</f>
        <v>0</v>
      </c>
      <c r="L891">
        <f t="shared" si="13"/>
        <v>0</v>
      </c>
    </row>
    <row r="892" spans="1:12" ht="12.75" customHeight="1">
      <c r="A892" s="321"/>
      <c r="B892" t="e">
        <f>#REF!</f>
        <v>#REF!</v>
      </c>
      <c r="C892" t="e">
        <f>#REF!</f>
        <v>#REF!</v>
      </c>
      <c r="D892" t="e">
        <f>#REF!</f>
        <v>#REF!</v>
      </c>
      <c r="E892" t="e">
        <f>#REF!</f>
        <v>#REF!</v>
      </c>
      <c r="F892" t="e">
        <f>#REF!</f>
        <v>#REF!</v>
      </c>
      <c r="G892" t="e">
        <f>#REF!</f>
        <v>#REF!</v>
      </c>
      <c r="H892" t="e">
        <f>#REF!</f>
        <v>#REF!</v>
      </c>
      <c r="I892" t="e">
        <f>#REF!</f>
        <v>#REF!</v>
      </c>
      <c r="J892" t="e">
        <f>#REF!</f>
        <v>#REF!</v>
      </c>
      <c r="K892" t="e">
        <f>#REF!</f>
        <v>#REF!</v>
      </c>
      <c r="L892" t="e">
        <f t="shared" si="13"/>
        <v>#REF!</v>
      </c>
    </row>
    <row r="893" spans="1:12" ht="12.75" customHeight="1">
      <c r="A893" s="321"/>
      <c r="B893" t="str">
        <f>'Quick View_ Sample Data'!P893</f>
        <v>MgO</v>
      </c>
      <c r="C893">
        <f>'Quick View_ Sample Data'!O893</f>
        <v>318</v>
      </c>
      <c r="D893">
        <f>'Quick View_ Sample Data'!AN893</f>
        <v>0</v>
      </c>
      <c r="E893">
        <f>'Quick View_ Sample Data'!O893</f>
        <v>318</v>
      </c>
      <c r="F893">
        <f>'Quick View_ Sample Data'!AO893</f>
        <v>0</v>
      </c>
      <c r="G893">
        <f>'Quick View_ Sample Data'!O893</f>
        <v>318</v>
      </c>
      <c r="H893">
        <f>'Quick View_ Sample Data'!AP893</f>
        <v>0</v>
      </c>
      <c r="I893">
        <f>'Quick View_ Sample Data'!AF893</f>
        <v>0</v>
      </c>
      <c r="J893">
        <f>'Quick View_ Sample Data'!AJ893</f>
        <v>0</v>
      </c>
      <c r="K893">
        <f>'Quick View_ Sample Data'!AH893</f>
        <v>0</v>
      </c>
      <c r="L893">
        <f t="shared" si="13"/>
        <v>0</v>
      </c>
    </row>
    <row r="894" spans="1:12" ht="12.75" customHeight="1">
      <c r="A894" s="321"/>
      <c r="B894" t="str">
        <f>'Quick View_ Sample Data'!P894</f>
        <v>SiO2</v>
      </c>
      <c r="C894">
        <f>'Quick View_ Sample Data'!O894</f>
        <v>318</v>
      </c>
      <c r="D894">
        <f>'Quick View_ Sample Data'!AN894</f>
        <v>0</v>
      </c>
      <c r="E894">
        <f>'Quick View_ Sample Data'!O894</f>
        <v>318</v>
      </c>
      <c r="F894">
        <f>'Quick View_ Sample Data'!AO894</f>
        <v>0</v>
      </c>
      <c r="G894">
        <f>'Quick View_ Sample Data'!O894</f>
        <v>318</v>
      </c>
      <c r="H894">
        <f>'Quick View_ Sample Data'!AP894</f>
        <v>0</v>
      </c>
      <c r="I894">
        <f>'Quick View_ Sample Data'!AF894</f>
        <v>0</v>
      </c>
      <c r="J894">
        <f>'Quick View_ Sample Data'!AJ894</f>
        <v>11.42</v>
      </c>
      <c r="K894">
        <f>'Quick View_ Sample Data'!AH894</f>
        <v>0</v>
      </c>
      <c r="L894">
        <f t="shared" si="13"/>
        <v>0</v>
      </c>
    </row>
    <row r="895" spans="1:12" ht="12.75" customHeight="1">
      <c r="A895" s="321"/>
      <c r="B895" t="str">
        <f>'Quick View_ Sample Data'!P895</f>
        <v>SiO2</v>
      </c>
      <c r="C895">
        <f>'Quick View_ Sample Data'!O895</f>
        <v>318</v>
      </c>
      <c r="D895">
        <f>'Quick View_ Sample Data'!AN895</f>
        <v>0</v>
      </c>
      <c r="E895">
        <f>'Quick View_ Sample Data'!O895</f>
        <v>318</v>
      </c>
      <c r="F895">
        <f>'Quick View_ Sample Data'!AO895</f>
        <v>0</v>
      </c>
      <c r="G895">
        <f>'Quick View_ Sample Data'!O895</f>
        <v>318</v>
      </c>
      <c r="H895">
        <f>'Quick View_ Sample Data'!AP895</f>
        <v>0</v>
      </c>
      <c r="I895">
        <f>'Quick View_ Sample Data'!AF895</f>
        <v>0</v>
      </c>
      <c r="J895">
        <f>'Quick View_ Sample Data'!AJ895</f>
        <v>0</v>
      </c>
      <c r="K895">
        <f>'Quick View_ Sample Data'!AH895</f>
        <v>0</v>
      </c>
      <c r="L895">
        <f t="shared" si="13"/>
        <v>0</v>
      </c>
    </row>
    <row r="896" spans="1:12" ht="12.75" customHeight="1">
      <c r="A896" s="321"/>
      <c r="B896" t="str">
        <f>'Quick View_ Sample Data'!P896</f>
        <v>SiO2</v>
      </c>
      <c r="C896">
        <f>'Quick View_ Sample Data'!O896</f>
        <v>318</v>
      </c>
      <c r="D896">
        <f>'Quick View_ Sample Data'!AN896</f>
        <v>0</v>
      </c>
      <c r="E896">
        <f>'Quick View_ Sample Data'!O896</f>
        <v>318</v>
      </c>
      <c r="F896">
        <f>'Quick View_ Sample Data'!AO896</f>
        <v>0</v>
      </c>
      <c r="G896">
        <f>'Quick View_ Sample Data'!O896</f>
        <v>318</v>
      </c>
      <c r="H896">
        <f>'Quick View_ Sample Data'!AP896</f>
        <v>0</v>
      </c>
      <c r="I896">
        <f>'Quick View_ Sample Data'!AF896</f>
        <v>0</v>
      </c>
      <c r="J896">
        <f>'Quick View_ Sample Data'!AJ896</f>
        <v>0</v>
      </c>
      <c r="K896">
        <f>'Quick View_ Sample Data'!AH896</f>
        <v>0</v>
      </c>
      <c r="L896">
        <f t="shared" si="13"/>
        <v>0</v>
      </c>
    </row>
    <row r="897" spans="1:12" ht="12.75" customHeight="1">
      <c r="A897" s="321"/>
      <c r="B897" t="str">
        <f>'Quick View_ Sample Data'!P897</f>
        <v>CVD SiO2</v>
      </c>
      <c r="C897">
        <f>'Quick View_ Sample Data'!O897</f>
        <v>319</v>
      </c>
      <c r="D897">
        <f>'Quick View_ Sample Data'!AN897</f>
        <v>0</v>
      </c>
      <c r="E897">
        <f>'Quick View_ Sample Data'!O897</f>
        <v>319</v>
      </c>
      <c r="F897">
        <f>'Quick View_ Sample Data'!AO897</f>
        <v>0</v>
      </c>
      <c r="G897">
        <f>'Quick View_ Sample Data'!O897</f>
        <v>319</v>
      </c>
      <c r="H897">
        <f>'Quick View_ Sample Data'!AP897</f>
        <v>0</v>
      </c>
      <c r="I897">
        <f>'Quick View_ Sample Data'!AF897</f>
        <v>0</v>
      </c>
      <c r="J897">
        <f>'Quick View_ Sample Data'!AJ897</f>
        <v>0</v>
      </c>
      <c r="K897">
        <f>'Quick View_ Sample Data'!AH897</f>
        <v>73.150706363041294</v>
      </c>
      <c r="L897">
        <f t="shared" si="13"/>
        <v>0</v>
      </c>
    </row>
    <row r="898" spans="1:12" ht="12.75" customHeight="1">
      <c r="A898" s="321"/>
      <c r="B898" t="str">
        <f>'Quick View_ Sample Data'!P898</f>
        <v>SiO2</v>
      </c>
      <c r="C898">
        <f>'Quick View_ Sample Data'!O898</f>
        <v>319</v>
      </c>
      <c r="D898">
        <f>'Quick View_ Sample Data'!AN898</f>
        <v>0</v>
      </c>
      <c r="E898">
        <f>'Quick View_ Sample Data'!O898</f>
        <v>319</v>
      </c>
      <c r="F898">
        <f>'Quick View_ Sample Data'!AO898</f>
        <v>0</v>
      </c>
      <c r="G898">
        <f>'Quick View_ Sample Data'!O898</f>
        <v>319</v>
      </c>
      <c r="H898">
        <f>'Quick View_ Sample Data'!AP898</f>
        <v>0</v>
      </c>
      <c r="I898">
        <f>'Quick View_ Sample Data'!AF898</f>
        <v>0</v>
      </c>
      <c r="J898">
        <f>'Quick View_ Sample Data'!AJ898</f>
        <v>0</v>
      </c>
      <c r="K898">
        <f>'Quick View_ Sample Data'!AH898</f>
        <v>0</v>
      </c>
      <c r="L898">
        <f t="shared" ref="L898:L961" si="14">I898*J898</f>
        <v>0</v>
      </c>
    </row>
    <row r="899" spans="1:12" ht="12.75" customHeight="1">
      <c r="A899" s="321"/>
      <c r="B899" t="str">
        <f>'Quick View_ Sample Data'!P899</f>
        <v>CVD SiO2</v>
      </c>
      <c r="C899">
        <f>'Quick View_ Sample Data'!O899</f>
        <v>319</v>
      </c>
      <c r="D899">
        <f>'Quick View_ Sample Data'!AN899</f>
        <v>0</v>
      </c>
      <c r="E899">
        <f>'Quick View_ Sample Data'!O899</f>
        <v>319</v>
      </c>
      <c r="F899">
        <f>'Quick View_ Sample Data'!AO899</f>
        <v>0</v>
      </c>
      <c r="G899">
        <f>'Quick View_ Sample Data'!O899</f>
        <v>319</v>
      </c>
      <c r="H899">
        <f>'Quick View_ Sample Data'!AP899</f>
        <v>0</v>
      </c>
      <c r="I899">
        <f>'Quick View_ Sample Data'!AF899</f>
        <v>0</v>
      </c>
      <c r="J899">
        <f>'Quick View_ Sample Data'!AJ899</f>
        <v>0</v>
      </c>
      <c r="K899">
        <f>'Quick View_ Sample Data'!AH899</f>
        <v>165.39196292326599</v>
      </c>
      <c r="L899">
        <f t="shared" si="14"/>
        <v>0</v>
      </c>
    </row>
    <row r="900" spans="1:12" ht="12.75" customHeight="1">
      <c r="A900" s="321"/>
      <c r="B900" t="str">
        <f>'Quick View_ Sample Data'!P900</f>
        <v>SiO2</v>
      </c>
      <c r="C900">
        <f>'Quick View_ Sample Data'!O900</f>
        <v>319</v>
      </c>
      <c r="D900">
        <f>'Quick View_ Sample Data'!AN900</f>
        <v>0</v>
      </c>
      <c r="E900">
        <f>'Quick View_ Sample Data'!O900</f>
        <v>319</v>
      </c>
      <c r="F900">
        <f>'Quick View_ Sample Data'!AO900</f>
        <v>0</v>
      </c>
      <c r="G900">
        <f>'Quick View_ Sample Data'!O900</f>
        <v>319</v>
      </c>
      <c r="H900">
        <f>'Quick View_ Sample Data'!AP900</f>
        <v>0</v>
      </c>
      <c r="I900">
        <f>'Quick View_ Sample Data'!AF900</f>
        <v>0</v>
      </c>
      <c r="J900">
        <f>'Quick View_ Sample Data'!AJ900</f>
        <v>0</v>
      </c>
      <c r="K900">
        <f>'Quick View_ Sample Data'!AH900</f>
        <v>60.393936838754797</v>
      </c>
      <c r="L900">
        <f t="shared" si="14"/>
        <v>0</v>
      </c>
    </row>
    <row r="901" spans="1:12" ht="12.75" customHeight="1">
      <c r="A901" s="321"/>
      <c r="B901" t="str">
        <f>'Quick View_ Sample Data'!P905</f>
        <v>MgO</v>
      </c>
      <c r="C901">
        <f>'Quick View_ Sample Data'!O905</f>
        <v>324</v>
      </c>
      <c r="D901">
        <f>'Quick View_ Sample Data'!AN901</f>
        <v>0</v>
      </c>
      <c r="E901">
        <f>'Quick View_ Sample Data'!O905</f>
        <v>324</v>
      </c>
      <c r="F901">
        <f>'Quick View_ Sample Data'!AO901</f>
        <v>0</v>
      </c>
      <c r="G901">
        <f>'Quick View_ Sample Data'!O905</f>
        <v>324</v>
      </c>
      <c r="H901">
        <f>'Quick View_ Sample Data'!AP901</f>
        <v>0</v>
      </c>
      <c r="I901">
        <f>'Quick View_ Sample Data'!AF901</f>
        <v>0</v>
      </c>
      <c r="J901">
        <f>'Quick View_ Sample Data'!AJ901</f>
        <v>11.48</v>
      </c>
      <c r="K901">
        <f>'Quick View_ Sample Data'!AH901</f>
        <v>273.467671165735</v>
      </c>
      <c r="L901">
        <f t="shared" si="14"/>
        <v>0</v>
      </c>
    </row>
    <row r="902" spans="1:12" ht="12.75" customHeight="1">
      <c r="A902" s="321"/>
      <c r="B902" t="str">
        <f>'Quick View_ Sample Data'!P906</f>
        <v>MgO</v>
      </c>
      <c r="C902">
        <f>'Quick View_ Sample Data'!O906</f>
        <v>324</v>
      </c>
      <c r="D902">
        <f>'Quick View_ Sample Data'!AN902</f>
        <v>0</v>
      </c>
      <c r="E902">
        <f>'Quick View_ Sample Data'!O906</f>
        <v>324</v>
      </c>
      <c r="F902">
        <f>'Quick View_ Sample Data'!AO902</f>
        <v>0</v>
      </c>
      <c r="G902">
        <f>'Quick View_ Sample Data'!O906</f>
        <v>324</v>
      </c>
      <c r="H902">
        <f>'Quick View_ Sample Data'!AP902</f>
        <v>0</v>
      </c>
      <c r="I902">
        <f>'Quick View_ Sample Data'!AF902</f>
        <v>0</v>
      </c>
      <c r="J902">
        <f>'Quick View_ Sample Data'!AJ902</f>
        <v>12.14</v>
      </c>
      <c r="K902">
        <f>'Quick View_ Sample Data'!AH902</f>
        <v>292.75447935560101</v>
      </c>
      <c r="L902">
        <f t="shared" si="14"/>
        <v>0</v>
      </c>
    </row>
    <row r="903" spans="1:12" ht="12.75" customHeight="1">
      <c r="A903" s="321"/>
      <c r="B903" t="str">
        <f>'Quick View_ Sample Data'!P907</f>
        <v>MgO</v>
      </c>
      <c r="C903">
        <f>'Quick View_ Sample Data'!O907</f>
        <v>324</v>
      </c>
      <c r="D903">
        <f>'Quick View_ Sample Data'!AN903</f>
        <v>0</v>
      </c>
      <c r="E903">
        <f>'Quick View_ Sample Data'!O907</f>
        <v>324</v>
      </c>
      <c r="F903">
        <f>'Quick View_ Sample Data'!AO903</f>
        <v>0</v>
      </c>
      <c r="G903">
        <f>'Quick View_ Sample Data'!O907</f>
        <v>324</v>
      </c>
      <c r="H903">
        <f>'Quick View_ Sample Data'!AP903</f>
        <v>0</v>
      </c>
      <c r="I903">
        <f>'Quick View_ Sample Data'!AF903</f>
        <v>0</v>
      </c>
      <c r="J903">
        <f>'Quick View_ Sample Data'!AJ903</f>
        <v>11.94</v>
      </c>
      <c r="K903">
        <f>'Quick View_ Sample Data'!AH903</f>
        <v>335.039155960578</v>
      </c>
      <c r="L903">
        <f t="shared" si="14"/>
        <v>0</v>
      </c>
    </row>
    <row r="904" spans="1:12" ht="12.75" customHeight="1">
      <c r="A904" s="321"/>
      <c r="B904" t="str">
        <f>'Quick View_ Sample Data'!P904</f>
        <v>SiO2</v>
      </c>
      <c r="C904">
        <f>'Quick View_ Sample Data'!O904</f>
        <v>321</v>
      </c>
      <c r="D904">
        <f>'Quick View_ Sample Data'!AN904</f>
        <v>0</v>
      </c>
      <c r="E904">
        <f>'Quick View_ Sample Data'!O904</f>
        <v>321</v>
      </c>
      <c r="F904">
        <f>'Quick View_ Sample Data'!AO904</f>
        <v>0</v>
      </c>
      <c r="G904">
        <f>'Quick View_ Sample Data'!O904</f>
        <v>321</v>
      </c>
      <c r="H904">
        <f>'Quick View_ Sample Data'!AP904</f>
        <v>0</v>
      </c>
      <c r="I904">
        <f>'Quick View_ Sample Data'!AF904</f>
        <v>0</v>
      </c>
      <c r="J904">
        <f>'Quick View_ Sample Data'!AJ904</f>
        <v>12.37</v>
      </c>
      <c r="K904">
        <f>'Quick View_ Sample Data'!AH904</f>
        <v>289.49838084065999</v>
      </c>
      <c r="L904">
        <f t="shared" si="14"/>
        <v>0</v>
      </c>
    </row>
    <row r="905" spans="1:12" ht="12.75" customHeight="1">
      <c r="A905" s="321"/>
      <c r="B905" t="str">
        <f>'Quick View_ Sample Data'!P905</f>
        <v>MgO</v>
      </c>
      <c r="C905">
        <f>'Quick View_ Sample Data'!O905</f>
        <v>324</v>
      </c>
      <c r="D905">
        <f>'Quick View_ Sample Data'!AN905</f>
        <v>0</v>
      </c>
      <c r="E905">
        <f>'Quick View_ Sample Data'!O905</f>
        <v>324</v>
      </c>
      <c r="F905">
        <f>'Quick View_ Sample Data'!AO905</f>
        <v>0</v>
      </c>
      <c r="G905">
        <f>'Quick View_ Sample Data'!O905</f>
        <v>324</v>
      </c>
      <c r="H905">
        <f>'Quick View_ Sample Data'!AP905</f>
        <v>0</v>
      </c>
      <c r="I905">
        <f>'Quick View_ Sample Data'!AF905</f>
        <v>0</v>
      </c>
      <c r="J905">
        <f>'Quick View_ Sample Data'!AJ905</f>
        <v>0</v>
      </c>
      <c r="K905">
        <f>'Quick View_ Sample Data'!AH905</f>
        <v>12.489144988811899</v>
      </c>
      <c r="L905">
        <f t="shared" si="14"/>
        <v>0</v>
      </c>
    </row>
    <row r="906" spans="1:12" ht="12.75" customHeight="1">
      <c r="A906" s="321"/>
      <c r="B906" t="str">
        <f>'Quick View_ Sample Data'!P906</f>
        <v>MgO</v>
      </c>
      <c r="C906">
        <f>'Quick View_ Sample Data'!O906</f>
        <v>324</v>
      </c>
      <c r="D906">
        <f>'Quick View_ Sample Data'!AN906</f>
        <v>0</v>
      </c>
      <c r="E906">
        <f>'Quick View_ Sample Data'!O906</f>
        <v>324</v>
      </c>
      <c r="F906">
        <f>'Quick View_ Sample Data'!AO906</f>
        <v>0</v>
      </c>
      <c r="G906">
        <f>'Quick View_ Sample Data'!O906</f>
        <v>324</v>
      </c>
      <c r="H906">
        <f>'Quick View_ Sample Data'!AP906</f>
        <v>0</v>
      </c>
      <c r="I906">
        <f>'Quick View_ Sample Data'!AF906</f>
        <v>0</v>
      </c>
      <c r="J906">
        <f>'Quick View_ Sample Data'!AJ906</f>
        <v>0</v>
      </c>
      <c r="K906">
        <f>'Quick View_ Sample Data'!AH906</f>
        <v>13.202810416744001</v>
      </c>
      <c r="L906">
        <f t="shared" si="14"/>
        <v>0</v>
      </c>
    </row>
    <row r="907" spans="1:12" ht="12.75" customHeight="1">
      <c r="A907" s="321"/>
      <c r="B907" t="str">
        <f>'Quick View_ Sample Data'!P907</f>
        <v>MgO</v>
      </c>
      <c r="C907">
        <f>'Quick View_ Sample Data'!O907</f>
        <v>324</v>
      </c>
      <c r="D907">
        <f>'Quick View_ Sample Data'!AN907</f>
        <v>0</v>
      </c>
      <c r="E907">
        <f>'Quick View_ Sample Data'!O907</f>
        <v>324</v>
      </c>
      <c r="F907">
        <f>'Quick View_ Sample Data'!AO907</f>
        <v>0</v>
      </c>
      <c r="G907">
        <f>'Quick View_ Sample Data'!O907</f>
        <v>324</v>
      </c>
      <c r="H907">
        <f>'Quick View_ Sample Data'!AP907</f>
        <v>0</v>
      </c>
      <c r="I907">
        <f>'Quick View_ Sample Data'!AF907</f>
        <v>0</v>
      </c>
      <c r="J907">
        <f>'Quick View_ Sample Data'!AJ907</f>
        <v>0</v>
      </c>
      <c r="K907">
        <f>'Quick View_ Sample Data'!AH907</f>
        <v>12.935185881269501</v>
      </c>
      <c r="L907">
        <f t="shared" si="14"/>
        <v>0</v>
      </c>
    </row>
    <row r="908" spans="1:12" ht="12.75" customHeight="1">
      <c r="A908" s="321"/>
      <c r="B908" t="str">
        <f>'Quick View_ Sample Data'!P908</f>
        <v>SiNx</v>
      </c>
      <c r="C908">
        <f>'Quick View_ Sample Data'!O908</f>
        <v>325</v>
      </c>
      <c r="D908">
        <f>'Quick View_ Sample Data'!AN908</f>
        <v>0</v>
      </c>
      <c r="E908">
        <f>'Quick View_ Sample Data'!O908</f>
        <v>325</v>
      </c>
      <c r="F908">
        <f>'Quick View_ Sample Data'!AO908</f>
        <v>0</v>
      </c>
      <c r="G908">
        <f>'Quick View_ Sample Data'!O908</f>
        <v>325</v>
      </c>
      <c r="H908">
        <f>'Quick View_ Sample Data'!AP908</f>
        <v>0</v>
      </c>
      <c r="I908">
        <f>'Quick View_ Sample Data'!AF908</f>
        <v>0</v>
      </c>
      <c r="J908">
        <f>'Quick View_ Sample Data'!AJ908</f>
        <v>0</v>
      </c>
      <c r="K908">
        <f>'Quick View_ Sample Data'!AH908</f>
        <v>21.588379194946299</v>
      </c>
      <c r="L908">
        <f t="shared" si="14"/>
        <v>0</v>
      </c>
    </row>
    <row r="909" spans="1:12" ht="12.75" customHeight="1">
      <c r="A909" s="321"/>
      <c r="B909" t="str">
        <f>'Quick View_ Sample Data'!P909</f>
        <v>MgO</v>
      </c>
      <c r="C909">
        <f>'Quick View_ Sample Data'!O909</f>
        <v>325</v>
      </c>
      <c r="D909">
        <f>'Quick View_ Sample Data'!AN909</f>
        <v>0</v>
      </c>
      <c r="E909">
        <f>'Quick View_ Sample Data'!O909</f>
        <v>325</v>
      </c>
      <c r="F909">
        <f>'Quick View_ Sample Data'!AO909</f>
        <v>0</v>
      </c>
      <c r="G909">
        <f>'Quick View_ Sample Data'!O909</f>
        <v>325</v>
      </c>
      <c r="H909">
        <f>'Quick View_ Sample Data'!AP909</f>
        <v>0</v>
      </c>
      <c r="I909">
        <f>'Quick View_ Sample Data'!AF909</f>
        <v>0</v>
      </c>
      <c r="J909">
        <f>'Quick View_ Sample Data'!AJ909</f>
        <v>0</v>
      </c>
      <c r="K909">
        <f>'Quick View_ Sample Data'!AH909</f>
        <v>27.3869107968947</v>
      </c>
      <c r="L909">
        <f t="shared" si="14"/>
        <v>0</v>
      </c>
    </row>
    <row r="910" spans="1:12" ht="12.75" customHeight="1">
      <c r="A910" s="321"/>
      <c r="B910" t="str">
        <f>'Quick View_ Sample Data'!P910</f>
        <v>SiNx</v>
      </c>
      <c r="C910">
        <f>'Quick View_ Sample Data'!O910</f>
        <v>325</v>
      </c>
      <c r="D910">
        <f>'Quick View_ Sample Data'!AN910</f>
        <v>0</v>
      </c>
      <c r="E910">
        <f>'Quick View_ Sample Data'!O910</f>
        <v>325</v>
      </c>
      <c r="F910">
        <f>'Quick View_ Sample Data'!AO910</f>
        <v>0</v>
      </c>
      <c r="G910">
        <f>'Quick View_ Sample Data'!O910</f>
        <v>325</v>
      </c>
      <c r="H910">
        <f>'Quick View_ Sample Data'!AP910</f>
        <v>0</v>
      </c>
      <c r="I910">
        <f>'Quick View_ Sample Data'!AF910</f>
        <v>0</v>
      </c>
      <c r="J910">
        <f>'Quick View_ Sample Data'!AJ910</f>
        <v>11.8</v>
      </c>
      <c r="K910">
        <f>'Quick View_ Sample Data'!AH910</f>
        <v>0</v>
      </c>
      <c r="L910">
        <f t="shared" si="14"/>
        <v>0</v>
      </c>
    </row>
    <row r="911" spans="1:12" ht="12.75" customHeight="1">
      <c r="A911" s="321"/>
      <c r="B911" t="str">
        <f>'Quick View_ Sample Data'!P911</f>
        <v>SiNx</v>
      </c>
      <c r="C911">
        <f>'Quick View_ Sample Data'!O911</f>
        <v>326</v>
      </c>
      <c r="D911">
        <f>'Quick View_ Sample Data'!AN911</f>
        <v>0</v>
      </c>
      <c r="E911">
        <f>'Quick View_ Sample Data'!O911</f>
        <v>326</v>
      </c>
      <c r="F911">
        <f>'Quick View_ Sample Data'!AO911</f>
        <v>0</v>
      </c>
      <c r="G911">
        <f>'Quick View_ Sample Data'!O911</f>
        <v>326</v>
      </c>
      <c r="H911">
        <f>'Quick View_ Sample Data'!AP911</f>
        <v>0</v>
      </c>
      <c r="I911">
        <f>'Quick View_ Sample Data'!AF911</f>
        <v>0</v>
      </c>
      <c r="J911">
        <f>'Quick View_ Sample Data'!AJ911</f>
        <v>10.49</v>
      </c>
      <c r="K911">
        <f>'Quick View_ Sample Data'!AH911</f>
        <v>559.95973639123201</v>
      </c>
      <c r="L911">
        <f t="shared" si="14"/>
        <v>0</v>
      </c>
    </row>
    <row r="912" spans="1:12" ht="12.75" customHeight="1">
      <c r="A912" s="321"/>
      <c r="B912" t="str">
        <f>'Quick View_ Sample Data'!P912</f>
        <v>SiNx</v>
      </c>
      <c r="C912">
        <f>'Quick View_ Sample Data'!O912</f>
        <v>326</v>
      </c>
      <c r="D912">
        <f>'Quick View_ Sample Data'!AN912</f>
        <v>0</v>
      </c>
      <c r="E912">
        <f>'Quick View_ Sample Data'!O912</f>
        <v>326</v>
      </c>
      <c r="F912">
        <f>'Quick View_ Sample Data'!AO912</f>
        <v>0</v>
      </c>
      <c r="G912">
        <f>'Quick View_ Sample Data'!O912</f>
        <v>326</v>
      </c>
      <c r="H912">
        <f>'Quick View_ Sample Data'!AP912</f>
        <v>0</v>
      </c>
      <c r="I912">
        <f>'Quick View_ Sample Data'!AF912</f>
        <v>0</v>
      </c>
      <c r="J912">
        <f>'Quick View_ Sample Data'!AJ912</f>
        <v>11.81</v>
      </c>
      <c r="K912">
        <f>'Quick View_ Sample Data'!AH912</f>
        <v>459.15449469582097</v>
      </c>
      <c r="L912">
        <f t="shared" si="14"/>
        <v>0</v>
      </c>
    </row>
    <row r="913" spans="1:12" ht="12.75" customHeight="1">
      <c r="A913" s="321"/>
      <c r="B913" t="str">
        <f>'Quick View_ Sample Data'!P913</f>
        <v>SiNx</v>
      </c>
      <c r="C913">
        <f>'Quick View_ Sample Data'!O913</f>
        <v>326</v>
      </c>
      <c r="D913">
        <f>'Quick View_ Sample Data'!AN913</f>
        <v>0</v>
      </c>
      <c r="E913">
        <f>'Quick View_ Sample Data'!O913</f>
        <v>326</v>
      </c>
      <c r="F913">
        <f>'Quick View_ Sample Data'!AO913</f>
        <v>0</v>
      </c>
      <c r="G913">
        <f>'Quick View_ Sample Data'!O913</f>
        <v>326</v>
      </c>
      <c r="H913">
        <f>'Quick View_ Sample Data'!AP913</f>
        <v>0</v>
      </c>
      <c r="I913">
        <f>'Quick View_ Sample Data'!AF913</f>
        <v>0</v>
      </c>
      <c r="J913">
        <f>'Quick View_ Sample Data'!AJ913</f>
        <v>10.5</v>
      </c>
      <c r="K913">
        <f>'Quick View_ Sample Data'!AH913</f>
        <v>553.62595571833401</v>
      </c>
      <c r="L913">
        <f t="shared" si="14"/>
        <v>0</v>
      </c>
    </row>
    <row r="914" spans="1:12" ht="12.75" customHeight="1">
      <c r="A914" s="321"/>
      <c r="B914" t="str">
        <f>'Quick View_ Sample Data'!P914</f>
        <v>MgO</v>
      </c>
      <c r="C914">
        <f>'Quick View_ Sample Data'!O914</f>
        <v>326</v>
      </c>
      <c r="D914">
        <f>'Quick View_ Sample Data'!AN914</f>
        <v>129.99906414765073</v>
      </c>
      <c r="E914">
        <f>'Quick View_ Sample Data'!O914</f>
        <v>326</v>
      </c>
      <c r="F914">
        <f>'Quick View_ Sample Data'!AO914</f>
        <v>15313.889756593255</v>
      </c>
      <c r="G914">
        <f>'Quick View_ Sample Data'!O914</f>
        <v>326</v>
      </c>
      <c r="H914">
        <f>'Quick View_ Sample Data'!AP914</f>
        <v>3.1583333333333332</v>
      </c>
      <c r="I914">
        <f>'Quick View_ Sample Data'!AF914</f>
        <v>3.79</v>
      </c>
      <c r="J914">
        <f>'Quick View_ Sample Data'!AJ914</f>
        <v>11.78</v>
      </c>
      <c r="K914">
        <f>'Quick View_ Sample Data'!AH914</f>
        <v>343.00544629987002</v>
      </c>
      <c r="L914">
        <f t="shared" si="14"/>
        <v>44.6462</v>
      </c>
    </row>
    <row r="915" spans="1:12" ht="12.75" customHeight="1">
      <c r="A915" s="321"/>
      <c r="B915" t="str">
        <f>'Quick View_ Sample Data'!P915</f>
        <v>SiO2</v>
      </c>
      <c r="C915">
        <f>'Quick View_ Sample Data'!O915</f>
        <v>327</v>
      </c>
      <c r="D915">
        <f>'Quick View_ Sample Data'!AN915</f>
        <v>0</v>
      </c>
      <c r="E915">
        <f>'Quick View_ Sample Data'!O915</f>
        <v>327</v>
      </c>
      <c r="F915">
        <f>'Quick View_ Sample Data'!AO915</f>
        <v>0</v>
      </c>
      <c r="G915">
        <f>'Quick View_ Sample Data'!O915</f>
        <v>327</v>
      </c>
      <c r="H915">
        <f>'Quick View_ Sample Data'!AP915</f>
        <v>0</v>
      </c>
      <c r="I915">
        <f>'Quick View_ Sample Data'!AF915</f>
        <v>0</v>
      </c>
      <c r="J915">
        <f>'Quick View_ Sample Data'!AJ915</f>
        <v>0</v>
      </c>
      <c r="K915">
        <f>'Quick View_ Sample Data'!AH915</f>
        <v>520.172888784017</v>
      </c>
      <c r="L915">
        <f t="shared" si="14"/>
        <v>0</v>
      </c>
    </row>
    <row r="916" spans="1:12" ht="12.75" customHeight="1">
      <c r="A916" s="321"/>
      <c r="B916" t="str">
        <f>'Quick View_ Sample Data'!P916</f>
        <v>SiNx</v>
      </c>
      <c r="C916">
        <f>'Quick View_ Sample Data'!O916</f>
        <v>327</v>
      </c>
      <c r="D916">
        <f>'Quick View_ Sample Data'!AN916</f>
        <v>0</v>
      </c>
      <c r="E916">
        <f>'Quick View_ Sample Data'!O916</f>
        <v>327</v>
      </c>
      <c r="F916">
        <f>'Quick View_ Sample Data'!AO916</f>
        <v>0</v>
      </c>
      <c r="G916">
        <f>'Quick View_ Sample Data'!O916</f>
        <v>327</v>
      </c>
      <c r="H916">
        <f>'Quick View_ Sample Data'!AP916</f>
        <v>0</v>
      </c>
      <c r="I916">
        <f>'Quick View_ Sample Data'!AF916</f>
        <v>0</v>
      </c>
      <c r="J916">
        <f>'Quick View_ Sample Data'!AJ916</f>
        <v>0</v>
      </c>
      <c r="K916">
        <f>'Quick View_ Sample Data'!AH916</f>
        <v>540.60156165857302</v>
      </c>
      <c r="L916">
        <f t="shared" si="14"/>
        <v>0</v>
      </c>
    </row>
    <row r="917" spans="1:12" ht="12.75" customHeight="1">
      <c r="A917" s="321"/>
      <c r="B917" t="str">
        <f>'Quick View_ Sample Data'!P917</f>
        <v>SiO2</v>
      </c>
      <c r="C917">
        <f>'Quick View_ Sample Data'!O917</f>
        <v>327</v>
      </c>
      <c r="D917">
        <f>'Quick View_ Sample Data'!AN917</f>
        <v>0</v>
      </c>
      <c r="E917">
        <f>'Quick View_ Sample Data'!O917</f>
        <v>327</v>
      </c>
      <c r="F917">
        <f>'Quick View_ Sample Data'!AO917</f>
        <v>0</v>
      </c>
      <c r="G917">
        <f>'Quick View_ Sample Data'!O917</f>
        <v>327</v>
      </c>
      <c r="H917">
        <f>'Quick View_ Sample Data'!AP917</f>
        <v>0</v>
      </c>
      <c r="I917">
        <f>'Quick View_ Sample Data'!AF917</f>
        <v>0</v>
      </c>
      <c r="J917">
        <f>'Quick View_ Sample Data'!AJ917</f>
        <v>0</v>
      </c>
      <c r="K917">
        <f>'Quick View_ Sample Data'!AH917</f>
        <v>456.03220844861801</v>
      </c>
      <c r="L917">
        <f t="shared" si="14"/>
        <v>0</v>
      </c>
    </row>
    <row r="918" spans="1:12" ht="12.75" customHeight="1">
      <c r="A918" s="321"/>
      <c r="B918" t="str">
        <f>'Quick View_ Sample Data'!P918</f>
        <v>SiO2</v>
      </c>
      <c r="C918">
        <f>'Quick View_ Sample Data'!O918</f>
        <v>327</v>
      </c>
      <c r="D918">
        <f>'Quick View_ Sample Data'!AN918</f>
        <v>0</v>
      </c>
      <c r="E918">
        <f>'Quick View_ Sample Data'!O918</f>
        <v>327</v>
      </c>
      <c r="F918">
        <f>'Quick View_ Sample Data'!AO918</f>
        <v>0</v>
      </c>
      <c r="G918">
        <f>'Quick View_ Sample Data'!O918</f>
        <v>327</v>
      </c>
      <c r="H918">
        <f>'Quick View_ Sample Data'!AP918</f>
        <v>0</v>
      </c>
      <c r="I918">
        <f>'Quick View_ Sample Data'!AF918</f>
        <v>0</v>
      </c>
      <c r="J918">
        <f>'Quick View_ Sample Data'!AJ918</f>
        <v>0</v>
      </c>
      <c r="K918">
        <f>'Quick View_ Sample Data'!AH918</f>
        <v>515.35564714547502</v>
      </c>
      <c r="L918">
        <f t="shared" si="14"/>
        <v>0</v>
      </c>
    </row>
    <row r="919" spans="1:12" ht="12.75" customHeight="1">
      <c r="A919" s="321"/>
      <c r="B919" t="str">
        <f>'Quick View_ Sample Data'!P919</f>
        <v>SiNx</v>
      </c>
      <c r="C919">
        <f>'Quick View_ Sample Data'!O919</f>
        <v>327</v>
      </c>
      <c r="D919">
        <f>'Quick View_ Sample Data'!AN919</f>
        <v>0</v>
      </c>
      <c r="E919">
        <f>'Quick View_ Sample Data'!O919</f>
        <v>327</v>
      </c>
      <c r="F919">
        <f>'Quick View_ Sample Data'!AO919</f>
        <v>0</v>
      </c>
      <c r="G919">
        <f>'Quick View_ Sample Data'!O919</f>
        <v>327</v>
      </c>
      <c r="H919">
        <f>'Quick View_ Sample Data'!AP919</f>
        <v>0</v>
      </c>
      <c r="I919">
        <f>'Quick View_ Sample Data'!AF919</f>
        <v>0</v>
      </c>
      <c r="J919">
        <f>'Quick View_ Sample Data'!AJ919</f>
        <v>0</v>
      </c>
      <c r="K919">
        <f>'Quick View_ Sample Data'!AH919</f>
        <v>550.94971036358902</v>
      </c>
      <c r="L919">
        <f t="shared" si="14"/>
        <v>0</v>
      </c>
    </row>
    <row r="920" spans="1:12" ht="12.75" customHeight="1">
      <c r="A920" s="321"/>
      <c r="B920" t="str">
        <f>'Quick View_ Sample Data'!P920</f>
        <v>MgO</v>
      </c>
      <c r="C920">
        <f>'Quick View_ Sample Data'!O920</f>
        <v>327</v>
      </c>
      <c r="D920">
        <f>'Quick View_ Sample Data'!AN920</f>
        <v>113.63730292234391</v>
      </c>
      <c r="E920">
        <f>'Quick View_ Sample Data'!O920</f>
        <v>327</v>
      </c>
      <c r="F920">
        <f>'Quick View_ Sample Data'!AO920</f>
        <v>0</v>
      </c>
      <c r="G920">
        <f>'Quick View_ Sample Data'!O920</f>
        <v>327</v>
      </c>
      <c r="H920">
        <f>'Quick View_ Sample Data'!AP920</f>
        <v>3.1166666666666667</v>
      </c>
      <c r="I920">
        <f>'Quick View_ Sample Data'!AF920</f>
        <v>3.74</v>
      </c>
      <c r="J920">
        <f>'Quick View_ Sample Data'!AJ920</f>
        <v>0</v>
      </c>
      <c r="K920">
        <f>'Quick View_ Sample Data'!AH920</f>
        <v>303.84305594209599</v>
      </c>
      <c r="L920">
        <f t="shared" si="14"/>
        <v>0</v>
      </c>
    </row>
    <row r="921" spans="1:12" ht="12.75" customHeight="1">
      <c r="A921" s="321"/>
      <c r="B921" t="str">
        <f>'Quick View_ Sample Data'!P921</f>
        <v>SiO2</v>
      </c>
      <c r="C921">
        <f>'Quick View_ Sample Data'!O921</f>
        <v>328</v>
      </c>
      <c r="D921">
        <f>'Quick View_ Sample Data'!AN921</f>
        <v>0</v>
      </c>
      <c r="E921">
        <f>'Quick View_ Sample Data'!O921</f>
        <v>328</v>
      </c>
      <c r="F921">
        <f>'Quick View_ Sample Data'!AO921</f>
        <v>0</v>
      </c>
      <c r="G921">
        <f>'Quick View_ Sample Data'!O921</f>
        <v>328</v>
      </c>
      <c r="H921">
        <f>'Quick View_ Sample Data'!AP921</f>
        <v>0</v>
      </c>
      <c r="I921">
        <f>'Quick View_ Sample Data'!AF921</f>
        <v>0</v>
      </c>
      <c r="J921">
        <f>'Quick View_ Sample Data'!AJ921</f>
        <v>0</v>
      </c>
      <c r="K921">
        <f>'Quick View_ Sample Data'!AH921</f>
        <v>0</v>
      </c>
      <c r="L921">
        <f t="shared" si="14"/>
        <v>0</v>
      </c>
    </row>
    <row r="922" spans="1:12" ht="12.75" customHeight="1">
      <c r="A922" s="321"/>
      <c r="B922" t="str">
        <f>'Quick View_ Sample Data'!P922</f>
        <v>MgO</v>
      </c>
      <c r="C922">
        <f>'Quick View_ Sample Data'!O922</f>
        <v>328</v>
      </c>
      <c r="D922">
        <f>'Quick View_ Sample Data'!AN922</f>
        <v>0</v>
      </c>
      <c r="E922">
        <f>'Quick View_ Sample Data'!O922</f>
        <v>328</v>
      </c>
      <c r="F922">
        <f>'Quick View_ Sample Data'!AO922</f>
        <v>0</v>
      </c>
      <c r="G922">
        <f>'Quick View_ Sample Data'!O922</f>
        <v>328</v>
      </c>
      <c r="H922">
        <f>'Quick View_ Sample Data'!AP922</f>
        <v>3.1916666666666669</v>
      </c>
      <c r="I922">
        <f>'Quick View_ Sample Data'!AF922</f>
        <v>3.83</v>
      </c>
      <c r="J922">
        <f>'Quick View_ Sample Data'!AJ922</f>
        <v>0</v>
      </c>
      <c r="K922">
        <f>'Quick View_ Sample Data'!AH922</f>
        <v>0</v>
      </c>
      <c r="L922">
        <f t="shared" si="14"/>
        <v>0</v>
      </c>
    </row>
    <row r="923" spans="1:12" ht="12.75" customHeight="1">
      <c r="A923" s="321"/>
      <c r="B923" t="str">
        <f>'Quick View_ Sample Data'!P923</f>
        <v>SiO2</v>
      </c>
      <c r="C923">
        <f>'Quick View_ Sample Data'!O923</f>
        <v>328</v>
      </c>
      <c r="D923">
        <f>'Quick View_ Sample Data'!AN923</f>
        <v>0</v>
      </c>
      <c r="E923">
        <f>'Quick View_ Sample Data'!O923</f>
        <v>328</v>
      </c>
      <c r="F923">
        <f>'Quick View_ Sample Data'!AO923</f>
        <v>0</v>
      </c>
      <c r="G923">
        <f>'Quick View_ Sample Data'!O923</f>
        <v>328</v>
      </c>
      <c r="H923">
        <f>'Quick View_ Sample Data'!AP923</f>
        <v>0</v>
      </c>
      <c r="I923">
        <f>'Quick View_ Sample Data'!AF923</f>
        <v>0</v>
      </c>
      <c r="J923">
        <f>'Quick View_ Sample Data'!AJ923</f>
        <v>11.42</v>
      </c>
      <c r="K923">
        <f>'Quick View_ Sample Data'!AH923</f>
        <v>0</v>
      </c>
      <c r="L923">
        <f t="shared" si="14"/>
        <v>0</v>
      </c>
    </row>
    <row r="924" spans="1:12" ht="12.75" customHeight="1">
      <c r="A924" s="321"/>
      <c r="B924" t="str">
        <f>'Quick View_ Sample Data'!P924</f>
        <v>G on SiO2</v>
      </c>
      <c r="C924">
        <f>'Quick View_ Sample Data'!O924</f>
        <v>328</v>
      </c>
      <c r="D924">
        <f>'Quick View_ Sample Data'!AN924</f>
        <v>0</v>
      </c>
      <c r="E924">
        <f>'Quick View_ Sample Data'!O924</f>
        <v>328</v>
      </c>
      <c r="F924">
        <f>'Quick View_ Sample Data'!AO924</f>
        <v>0</v>
      </c>
      <c r="G924">
        <f>'Quick View_ Sample Data'!O924</f>
        <v>328</v>
      </c>
      <c r="H924">
        <f>'Quick View_ Sample Data'!AP924</f>
        <v>0</v>
      </c>
      <c r="I924">
        <f>'Quick View_ Sample Data'!AF924</f>
        <v>0</v>
      </c>
      <c r="J924">
        <f>'Quick View_ Sample Data'!AJ924</f>
        <v>0</v>
      </c>
      <c r="K924">
        <f>'Quick View_ Sample Data'!AH924</f>
        <v>0</v>
      </c>
      <c r="L924">
        <f t="shared" si="14"/>
        <v>0</v>
      </c>
    </row>
    <row r="925" spans="1:12" ht="12.75" customHeight="1">
      <c r="A925" s="321"/>
      <c r="B925" t="str">
        <f>'Quick View_ Sample Data'!P925</f>
        <v>G on SiO2</v>
      </c>
      <c r="C925">
        <f>'Quick View_ Sample Data'!O925</f>
        <v>328</v>
      </c>
      <c r="D925">
        <f>'Quick View_ Sample Data'!AN925</f>
        <v>0</v>
      </c>
      <c r="E925">
        <f>'Quick View_ Sample Data'!O925</f>
        <v>328</v>
      </c>
      <c r="F925">
        <f>'Quick View_ Sample Data'!AO925</f>
        <v>0</v>
      </c>
      <c r="G925">
        <f>'Quick View_ Sample Data'!O925</f>
        <v>328</v>
      </c>
      <c r="H925">
        <f>'Quick View_ Sample Data'!AP925</f>
        <v>0</v>
      </c>
      <c r="I925">
        <f>'Quick View_ Sample Data'!AF925</f>
        <v>0</v>
      </c>
      <c r="J925">
        <f>'Quick View_ Sample Data'!AJ925</f>
        <v>0</v>
      </c>
      <c r="K925">
        <f>'Quick View_ Sample Data'!AH925</f>
        <v>0</v>
      </c>
      <c r="L925">
        <f t="shared" si="14"/>
        <v>0</v>
      </c>
    </row>
    <row r="926" spans="1:12" ht="12.75" customHeight="1">
      <c r="A926" s="321"/>
      <c r="B926" t="str">
        <f>'Quick View_ Sample Data'!P926</f>
        <v>G on SiO2</v>
      </c>
      <c r="C926">
        <f>'Quick View_ Sample Data'!O926</f>
        <v>329</v>
      </c>
      <c r="D926">
        <f>'Quick View_ Sample Data'!AN926</f>
        <v>0</v>
      </c>
      <c r="E926">
        <f>'Quick View_ Sample Data'!O926</f>
        <v>329</v>
      </c>
      <c r="F926">
        <f>'Quick View_ Sample Data'!AO926</f>
        <v>0</v>
      </c>
      <c r="G926">
        <f>'Quick View_ Sample Data'!O926</f>
        <v>329</v>
      </c>
      <c r="H926">
        <f>'Quick View_ Sample Data'!AP926</f>
        <v>0</v>
      </c>
      <c r="I926">
        <f>'Quick View_ Sample Data'!AF926</f>
        <v>0</v>
      </c>
      <c r="J926">
        <f>'Quick View_ Sample Data'!AJ926</f>
        <v>9.68</v>
      </c>
      <c r="K926">
        <f>'Quick View_ Sample Data'!AH926</f>
        <v>447.37901513494199</v>
      </c>
      <c r="L926">
        <f t="shared" si="14"/>
        <v>0</v>
      </c>
    </row>
    <row r="927" spans="1:12" ht="12.75" customHeight="1">
      <c r="A927" s="321"/>
      <c r="B927" t="str">
        <f>'Quick View_ Sample Data'!P927</f>
        <v>G on SiO2</v>
      </c>
      <c r="C927">
        <f>'Quick View_ Sample Data'!O927</f>
        <v>329</v>
      </c>
      <c r="D927">
        <f>'Quick View_ Sample Data'!AN927</f>
        <v>0</v>
      </c>
      <c r="E927">
        <f>'Quick View_ Sample Data'!O927</f>
        <v>329</v>
      </c>
      <c r="F927">
        <f>'Quick View_ Sample Data'!AO927</f>
        <v>0</v>
      </c>
      <c r="G927">
        <f>'Quick View_ Sample Data'!O927</f>
        <v>329</v>
      </c>
      <c r="H927">
        <f>'Quick View_ Sample Data'!AP927</f>
        <v>0</v>
      </c>
      <c r="I927">
        <f>'Quick View_ Sample Data'!AF927</f>
        <v>0</v>
      </c>
      <c r="J927">
        <f>'Quick View_ Sample Data'!AJ927</f>
        <v>10.71</v>
      </c>
      <c r="K927">
        <f>'Quick View_ Sample Data'!AH927</f>
        <v>368.42977716995199</v>
      </c>
      <c r="L927">
        <f t="shared" si="14"/>
        <v>0</v>
      </c>
    </row>
    <row r="928" spans="1:12" ht="12.75" customHeight="1">
      <c r="A928" s="321"/>
      <c r="B928" t="str">
        <f>'Quick View_ Sample Data'!P928</f>
        <v>SiO2</v>
      </c>
      <c r="C928">
        <f>'Quick View_ Sample Data'!O928</f>
        <v>329</v>
      </c>
      <c r="D928">
        <f>'Quick View_ Sample Data'!AN928</f>
        <v>0</v>
      </c>
      <c r="E928">
        <f>'Quick View_ Sample Data'!O928</f>
        <v>329</v>
      </c>
      <c r="F928">
        <f>'Quick View_ Sample Data'!AO928</f>
        <v>0</v>
      </c>
      <c r="G928">
        <f>'Quick View_ Sample Data'!O928</f>
        <v>329</v>
      </c>
      <c r="H928">
        <f>'Quick View_ Sample Data'!AP928</f>
        <v>0</v>
      </c>
      <c r="I928">
        <f>'Quick View_ Sample Data'!AF928</f>
        <v>0</v>
      </c>
      <c r="J928">
        <f>'Quick View_ Sample Data'!AJ928</f>
        <v>0</v>
      </c>
      <c r="K928">
        <f>'Quick View_ Sample Data'!AH928</f>
        <v>0</v>
      </c>
      <c r="L928">
        <f t="shared" si="14"/>
        <v>0</v>
      </c>
    </row>
    <row r="929" spans="1:12" ht="12.75" customHeight="1">
      <c r="A929" s="321"/>
      <c r="B929" t="str">
        <f>'Quick View_ Sample Data'!P929</f>
        <v>MgO</v>
      </c>
      <c r="C929">
        <f>'Quick View_ Sample Data'!O929</f>
        <v>329</v>
      </c>
      <c r="D929">
        <f>'Quick View_ Sample Data'!AN929</f>
        <v>148.41207822919165</v>
      </c>
      <c r="E929">
        <f>'Quick View_ Sample Data'!O929</f>
        <v>329</v>
      </c>
      <c r="F929">
        <f>'Quick View_ Sample Data'!AO929</f>
        <v>16562.787930377788</v>
      </c>
      <c r="G929">
        <f>'Quick View_ Sample Data'!O929</f>
        <v>329</v>
      </c>
      <c r="H929">
        <f>'Quick View_ Sample Data'!AP929</f>
        <v>3.2166666666666668</v>
      </c>
      <c r="I929">
        <f>'Quick View_ Sample Data'!AF929</f>
        <v>3.86</v>
      </c>
      <c r="J929">
        <f>'Quick View_ Sample Data'!AJ929</f>
        <v>11.16</v>
      </c>
      <c r="K929">
        <f>'Quick View_ Sample Data'!AH929</f>
        <v>384.48724929842399</v>
      </c>
      <c r="L929">
        <f t="shared" si="14"/>
        <v>43.077599999999997</v>
      </c>
    </row>
    <row r="930" spans="1:12" ht="12.75" customHeight="1">
      <c r="A930" s="321"/>
      <c r="B930" t="str">
        <f>'Quick View_ Sample Data'!P930</f>
        <v>SiO2</v>
      </c>
      <c r="C930">
        <f>'Quick View_ Sample Data'!O930</f>
        <v>329</v>
      </c>
      <c r="D930">
        <f>'Quick View_ Sample Data'!AN930</f>
        <v>0</v>
      </c>
      <c r="E930">
        <f>'Quick View_ Sample Data'!O930</f>
        <v>329</v>
      </c>
      <c r="F930">
        <f>'Quick View_ Sample Data'!AO930</f>
        <v>0</v>
      </c>
      <c r="G930">
        <f>'Quick View_ Sample Data'!O930</f>
        <v>329</v>
      </c>
      <c r="H930">
        <f>'Quick View_ Sample Data'!AP930</f>
        <v>0</v>
      </c>
      <c r="I930">
        <f>'Quick View_ Sample Data'!AF930</f>
        <v>0</v>
      </c>
      <c r="J930">
        <f>'Quick View_ Sample Data'!AJ930</f>
        <v>11.73</v>
      </c>
      <c r="K930">
        <f>'Quick View_ Sample Data'!AH930</f>
        <v>459.06528651732998</v>
      </c>
      <c r="L930">
        <f t="shared" si="14"/>
        <v>0</v>
      </c>
    </row>
    <row r="931" spans="1:12" ht="12.75" customHeight="1">
      <c r="A931" s="321"/>
      <c r="B931" t="str">
        <f>'Quick View_ Sample Data'!P931</f>
        <v>SiO2</v>
      </c>
      <c r="C931">
        <f>'Quick View_ Sample Data'!O931</f>
        <v>330</v>
      </c>
      <c r="D931">
        <f>'Quick View_ Sample Data'!AN931</f>
        <v>0</v>
      </c>
      <c r="E931">
        <f>'Quick View_ Sample Data'!O931</f>
        <v>330</v>
      </c>
      <c r="F931">
        <f>'Quick View_ Sample Data'!AO931</f>
        <v>0</v>
      </c>
      <c r="G931">
        <f>'Quick View_ Sample Data'!O931</f>
        <v>330</v>
      </c>
      <c r="H931">
        <f>'Quick View_ Sample Data'!AP931</f>
        <v>0</v>
      </c>
      <c r="I931">
        <f>'Quick View_ Sample Data'!AF931</f>
        <v>0</v>
      </c>
      <c r="J931">
        <f>'Quick View_ Sample Data'!AJ931</f>
        <v>11.1</v>
      </c>
      <c r="K931">
        <f>'Quick View_ Sample Data'!AH931</f>
        <v>439.70711178467099</v>
      </c>
      <c r="L931">
        <f t="shared" si="14"/>
        <v>0</v>
      </c>
    </row>
    <row r="932" spans="1:12" ht="12.75" customHeight="1">
      <c r="A932" s="321"/>
      <c r="B932" t="str">
        <f>'Quick View_ Sample Data'!P932</f>
        <v>SiO2</v>
      </c>
      <c r="C932">
        <f>'Quick View_ Sample Data'!O931</f>
        <v>330</v>
      </c>
      <c r="D932">
        <f>'Quick View_ Sample Data'!AN932</f>
        <v>0</v>
      </c>
      <c r="E932">
        <f>'Quick View_ Sample Data'!O931</f>
        <v>330</v>
      </c>
      <c r="F932">
        <f>'Quick View_ Sample Data'!AO932</f>
        <v>0</v>
      </c>
      <c r="G932">
        <f>'Quick View_ Sample Data'!O931</f>
        <v>330</v>
      </c>
      <c r="H932">
        <f>'Quick View_ Sample Data'!AP932</f>
        <v>0</v>
      </c>
      <c r="I932">
        <f>'Quick View_ Sample Data'!AF932</f>
        <v>0</v>
      </c>
      <c r="J932">
        <f>'Quick View_ Sample Data'!AJ932</f>
        <v>11.31</v>
      </c>
      <c r="K932">
        <f>'Quick View_ Sample Data'!AH932</f>
        <v>429.26975490116399</v>
      </c>
      <c r="L932">
        <f t="shared" si="14"/>
        <v>0</v>
      </c>
    </row>
    <row r="933" spans="1:12" ht="12.75" customHeight="1">
      <c r="A933" s="321"/>
      <c r="B933" t="str">
        <f>'Quick View_ Sample Data'!P933</f>
        <v>SiO2</v>
      </c>
      <c r="C933">
        <f>'Quick View_ Sample Data'!O933</f>
        <v>330</v>
      </c>
      <c r="D933">
        <f>'Quick View_ Sample Data'!AN933</f>
        <v>0</v>
      </c>
      <c r="E933">
        <f>'Quick View_ Sample Data'!O933</f>
        <v>330</v>
      </c>
      <c r="F933">
        <f>'Quick View_ Sample Data'!AO933</f>
        <v>0</v>
      </c>
      <c r="G933">
        <f>'Quick View_ Sample Data'!O933</f>
        <v>330</v>
      </c>
      <c r="H933">
        <f>'Quick View_ Sample Data'!AP933</f>
        <v>0</v>
      </c>
      <c r="I933">
        <f>'Quick View_ Sample Data'!AF933</f>
        <v>0</v>
      </c>
      <c r="J933">
        <f>'Quick View_ Sample Data'!AJ934</f>
        <v>11.17</v>
      </c>
      <c r="K933">
        <f>'Quick View_ Sample Data'!AH933</f>
        <v>363.96936824537602</v>
      </c>
      <c r="L933">
        <f t="shared" si="14"/>
        <v>0</v>
      </c>
    </row>
    <row r="934" spans="1:12" ht="12.75" customHeight="1">
      <c r="A934" s="321"/>
      <c r="B934" t="str">
        <f>'Quick View_ Sample Data'!P934</f>
        <v>SiO2</v>
      </c>
      <c r="C934">
        <f>'Quick View_ Sample Data'!O934</f>
        <v>330</v>
      </c>
      <c r="D934">
        <f>'Quick View_ Sample Data'!AN934</f>
        <v>0</v>
      </c>
      <c r="E934">
        <f>'Quick View_ Sample Data'!O934</f>
        <v>330</v>
      </c>
      <c r="F934">
        <f>'Quick View_ Sample Data'!AO934</f>
        <v>0</v>
      </c>
      <c r="G934">
        <f>'Quick View_ Sample Data'!O934</f>
        <v>330</v>
      </c>
      <c r="H934">
        <f>'Quick View_ Sample Data'!AP934</f>
        <v>0</v>
      </c>
      <c r="I934">
        <f>'Quick View_ Sample Data'!AF934</f>
        <v>0</v>
      </c>
      <c r="J934">
        <f>'Quick View_ Sample Data'!AJ934</f>
        <v>11.17</v>
      </c>
      <c r="K934">
        <f>'Quick View_ Sample Data'!AH934</f>
        <v>436.76324189445103</v>
      </c>
      <c r="L934">
        <f t="shared" si="14"/>
        <v>0</v>
      </c>
    </row>
    <row r="935" spans="1:12" ht="12.75" customHeight="1">
      <c r="A935" s="321"/>
      <c r="B935" t="str">
        <f>'Quick View_ Sample Data'!P935</f>
        <v>SiO2</v>
      </c>
      <c r="C935">
        <f>'Quick View_ Sample Data'!O935</f>
        <v>330</v>
      </c>
      <c r="D935">
        <f>'Quick View_ Sample Data'!AN935</f>
        <v>0</v>
      </c>
      <c r="E935">
        <f>'Quick View_ Sample Data'!O935</f>
        <v>330</v>
      </c>
      <c r="F935">
        <f>'Quick View_ Sample Data'!AO935</f>
        <v>0</v>
      </c>
      <c r="G935">
        <f>'Quick View_ Sample Data'!O935</f>
        <v>330</v>
      </c>
      <c r="H935">
        <f>'Quick View_ Sample Data'!AP935</f>
        <v>0</v>
      </c>
      <c r="I935">
        <f>'Quick View_ Sample Data'!AF935</f>
        <v>0</v>
      </c>
      <c r="J935">
        <f>'Quick View_ Sample Data'!AJ935</f>
        <v>11.09</v>
      </c>
      <c r="K935">
        <f>'Quick View_ Sample Data'!AH935</f>
        <v>441.13444264053601</v>
      </c>
      <c r="L935">
        <f t="shared" si="14"/>
        <v>0</v>
      </c>
    </row>
    <row r="936" spans="1:12" ht="12.75" customHeight="1">
      <c r="A936" s="321"/>
      <c r="B936" t="str">
        <f>'Quick View_ Sample Data'!P936</f>
        <v>MgO</v>
      </c>
      <c r="C936">
        <f>'Quick View_ Sample Data'!O936</f>
        <v>330</v>
      </c>
      <c r="D936">
        <f>'Quick View_ Sample Data'!AN936</f>
        <v>137.46355848292828</v>
      </c>
      <c r="E936">
        <f>'Quick View_ Sample Data'!O936</f>
        <v>330</v>
      </c>
      <c r="F936">
        <f>'Quick View_ Sample Data'!AO936</f>
        <v>16523.11972964798</v>
      </c>
      <c r="G936">
        <f>'Quick View_ Sample Data'!O936</f>
        <v>330</v>
      </c>
      <c r="H936">
        <f>'Quick View_ Sample Data'!AP936</f>
        <v>3.1857142857142859</v>
      </c>
      <c r="I936">
        <f>'Quick View_ Sample Data'!AF936</f>
        <v>4.46</v>
      </c>
      <c r="J936">
        <f>'Quick View_ Sample Data'!AJ936</f>
        <v>12.02</v>
      </c>
      <c r="K936">
        <f>'Quick View_ Sample Data'!AH936</f>
        <v>308.21425668818</v>
      </c>
      <c r="L936">
        <f t="shared" si="14"/>
        <v>53.609199999999994</v>
      </c>
    </row>
    <row r="937" spans="1:12" ht="12.75" customHeight="1">
      <c r="A937" s="321"/>
      <c r="B937" t="str">
        <f>'Quick View_ Sample Data'!P937</f>
        <v>SiNx</v>
      </c>
      <c r="C937">
        <f>'Quick View_ Sample Data'!O937</f>
        <v>332</v>
      </c>
      <c r="D937">
        <f>'Quick View_ Sample Data'!AN937</f>
        <v>0</v>
      </c>
      <c r="E937">
        <f>'Quick View_ Sample Data'!O937</f>
        <v>332</v>
      </c>
      <c r="F937">
        <f>'Quick View_ Sample Data'!AO937</f>
        <v>0</v>
      </c>
      <c r="G937">
        <f>'Quick View_ Sample Data'!O937</f>
        <v>332</v>
      </c>
      <c r="H937">
        <f>'Quick View_ Sample Data'!AP937</f>
        <v>0</v>
      </c>
      <c r="I937">
        <f>'Quick View_ Sample Data'!AF937</f>
        <v>0</v>
      </c>
      <c r="J937">
        <f>'Quick View_ Sample Data'!AJ937</f>
        <v>11.01</v>
      </c>
      <c r="K937">
        <f>'Quick View_ Sample Data'!AH937</f>
        <v>445.86247610058598</v>
      </c>
      <c r="L937">
        <f t="shared" si="14"/>
        <v>0</v>
      </c>
    </row>
    <row r="938" spans="1:12" ht="12.75" customHeight="1">
      <c r="A938" s="321"/>
      <c r="B938" t="str">
        <f>'Quick View_ Sample Data'!P938</f>
        <v>SiNx</v>
      </c>
      <c r="C938">
        <f>'Quick View_ Sample Data'!O938</f>
        <v>332</v>
      </c>
      <c r="D938">
        <f>'Quick View_ Sample Data'!AN938</f>
        <v>0</v>
      </c>
      <c r="E938">
        <f>'Quick View_ Sample Data'!O938</f>
        <v>332</v>
      </c>
      <c r="F938">
        <f>'Quick View_ Sample Data'!AO938</f>
        <v>0</v>
      </c>
      <c r="G938">
        <f>'Quick View_ Sample Data'!O938</f>
        <v>332</v>
      </c>
      <c r="H938">
        <f>'Quick View_ Sample Data'!AP938</f>
        <v>0</v>
      </c>
      <c r="I938">
        <f>'Quick View_ Sample Data'!AF938</f>
        <v>0</v>
      </c>
      <c r="J938">
        <f>'Quick View_ Sample Data'!AJ938</f>
        <v>11.07</v>
      </c>
      <c r="K938">
        <f>'Quick View_ Sample Data'!AH938</f>
        <v>439.26107089221398</v>
      </c>
      <c r="L938">
        <f t="shared" si="14"/>
        <v>0</v>
      </c>
    </row>
    <row r="939" spans="1:12" ht="12.75" customHeight="1">
      <c r="A939" s="321"/>
      <c r="B939" t="str">
        <f>'Quick View_ Sample Data'!P939</f>
        <v>SiNx</v>
      </c>
      <c r="C939">
        <f>'Quick View_ Sample Data'!O939</f>
        <v>332</v>
      </c>
      <c r="D939">
        <f>'Quick View_ Sample Data'!AN939</f>
        <v>0</v>
      </c>
      <c r="E939">
        <f>'Quick View_ Sample Data'!O939</f>
        <v>332</v>
      </c>
      <c r="F939">
        <f>'Quick View_ Sample Data'!AO939</f>
        <v>0</v>
      </c>
      <c r="G939">
        <f>'Quick View_ Sample Data'!O939</f>
        <v>332</v>
      </c>
      <c r="H939">
        <f>'Quick View_ Sample Data'!AP939</f>
        <v>0</v>
      </c>
      <c r="I939">
        <f>'Quick View_ Sample Data'!AF939</f>
        <v>0</v>
      </c>
      <c r="J939">
        <f>'Quick View_ Sample Data'!AJ939</f>
        <v>12.04</v>
      </c>
      <c r="K939">
        <f>'Quick View_ Sample Data'!AH939</f>
        <v>364.50461731632498</v>
      </c>
      <c r="L939">
        <f t="shared" si="14"/>
        <v>0</v>
      </c>
    </row>
    <row r="940" spans="1:12" ht="12.75" customHeight="1">
      <c r="A940" s="321"/>
      <c r="B940" t="str">
        <f>'Quick View_ Sample Data'!P940</f>
        <v>SiNx</v>
      </c>
      <c r="C940">
        <f>'Quick View_ Sample Data'!O940</f>
        <v>332</v>
      </c>
      <c r="D940">
        <f>'Quick View_ Sample Data'!AN940</f>
        <v>0</v>
      </c>
      <c r="E940">
        <f>'Quick View_ Sample Data'!O940</f>
        <v>332</v>
      </c>
      <c r="F940">
        <f>'Quick View_ Sample Data'!AO940</f>
        <v>0</v>
      </c>
      <c r="G940">
        <f>'Quick View_ Sample Data'!O940</f>
        <v>332</v>
      </c>
      <c r="H940">
        <f>'Quick View_ Sample Data'!AP940</f>
        <v>0</v>
      </c>
      <c r="I940">
        <f>'Quick View_ Sample Data'!AF940</f>
        <v>0</v>
      </c>
      <c r="J940">
        <f>'Quick View_ Sample Data'!AJ940</f>
        <v>11.04</v>
      </c>
      <c r="K940">
        <f>'Quick View_ Sample Data'!AH940</f>
        <v>438.90423817824802</v>
      </c>
      <c r="L940">
        <f t="shared" si="14"/>
        <v>0</v>
      </c>
    </row>
    <row r="941" spans="1:12" ht="12.75" customHeight="1">
      <c r="A941" s="321"/>
      <c r="B941" t="str">
        <f>'Quick View_ Sample Data'!P941</f>
        <v>SiNx</v>
      </c>
      <c r="C941">
        <f>'Quick View_ Sample Data'!O941</f>
        <v>332</v>
      </c>
      <c r="D941">
        <f>'Quick View_ Sample Data'!AN941</f>
        <v>0</v>
      </c>
      <c r="E941">
        <f>'Quick View_ Sample Data'!O941</f>
        <v>332</v>
      </c>
      <c r="F941">
        <f>'Quick View_ Sample Data'!AO941</f>
        <v>0</v>
      </c>
      <c r="G941">
        <f>'Quick View_ Sample Data'!O941</f>
        <v>332</v>
      </c>
      <c r="H941">
        <f>'Quick View_ Sample Data'!AP941</f>
        <v>0</v>
      </c>
      <c r="I941">
        <f>'Quick View_ Sample Data'!AF941</f>
        <v>0</v>
      </c>
      <c r="J941">
        <f>'Quick View_ Sample Data'!AJ941</f>
        <v>10.99</v>
      </c>
      <c r="K941">
        <f>'Quick View_ Sample Data'!AH941</f>
        <v>443.72147981678899</v>
      </c>
      <c r="L941">
        <f t="shared" si="14"/>
        <v>0</v>
      </c>
    </row>
    <row r="942" spans="1:12" ht="12.75" customHeight="1">
      <c r="A942" s="321"/>
      <c r="B942" t="str">
        <f>'Quick View_ Sample Data'!P942</f>
        <v>MgO</v>
      </c>
      <c r="C942">
        <f>'Quick View_ Sample Data'!O942</f>
        <v>332</v>
      </c>
      <c r="D942">
        <f>'Quick View_ Sample Data'!AN942</f>
        <v>128.14362324320564</v>
      </c>
      <c r="E942">
        <f>'Quick View_ Sample Data'!O942</f>
        <v>332</v>
      </c>
      <c r="F942">
        <f>'Quick View_ Sample Data'!AO942</f>
        <v>15684.779484968371</v>
      </c>
      <c r="G942">
        <f>'Quick View_ Sample Data'!O942</f>
        <v>332</v>
      </c>
      <c r="H942">
        <f>'Quick View_ Sample Data'!AP942</f>
        <v>3.2428571428571429</v>
      </c>
      <c r="I942">
        <f>'Quick View_ Sample Data'!AF942</f>
        <v>4.54</v>
      </c>
      <c r="J942">
        <f>'Quick View_ Sample Data'!AJ942</f>
        <v>12.24</v>
      </c>
      <c r="K942">
        <f>'Quick View_ Sample Data'!AH942</f>
        <v>282.25467674714901</v>
      </c>
      <c r="L942">
        <f t="shared" si="14"/>
        <v>55.569600000000001</v>
      </c>
    </row>
    <row r="943" spans="1:12" ht="12.75" customHeight="1">
      <c r="A943" s="321"/>
      <c r="B943" t="str">
        <f>'Quick View_ Sample Data'!P943</f>
        <v>SiNx</v>
      </c>
      <c r="C943">
        <f>'Quick View_ Sample Data'!O943</f>
        <v>333</v>
      </c>
      <c r="D943">
        <f>'Quick View_ Sample Data'!AN943</f>
        <v>0</v>
      </c>
      <c r="E943">
        <f>'Quick View_ Sample Data'!O943</f>
        <v>333</v>
      </c>
      <c r="F943">
        <f>'Quick View_ Sample Data'!AO943</f>
        <v>0</v>
      </c>
      <c r="G943">
        <f>'Quick View_ Sample Data'!O943</f>
        <v>333</v>
      </c>
      <c r="H943">
        <f>'Quick View_ Sample Data'!AP943</f>
        <v>0</v>
      </c>
      <c r="I943">
        <f>'Quick View_ Sample Data'!AF943</f>
        <v>0</v>
      </c>
      <c r="J943">
        <f>'Quick View_ Sample Data'!AJ943</f>
        <v>11.77</v>
      </c>
      <c r="K943">
        <f>'Quick View_ Sample Data'!AH943</f>
        <v>317.58111542978901</v>
      </c>
      <c r="L943">
        <f t="shared" si="14"/>
        <v>0</v>
      </c>
    </row>
    <row r="944" spans="1:12" ht="12.75" customHeight="1">
      <c r="A944" s="321"/>
      <c r="B944" t="str">
        <f>'Quick View_ Sample Data'!P944</f>
        <v>SiNx</v>
      </c>
      <c r="C944">
        <f>'Quick View_ Sample Data'!O944</f>
        <v>333</v>
      </c>
      <c r="D944">
        <f>'Quick View_ Sample Data'!AN944</f>
        <v>0</v>
      </c>
      <c r="E944">
        <f>'Quick View_ Sample Data'!O944</f>
        <v>333</v>
      </c>
      <c r="F944">
        <f>'Quick View_ Sample Data'!AO944</f>
        <v>0</v>
      </c>
      <c r="G944">
        <f>'Quick View_ Sample Data'!O944</f>
        <v>333</v>
      </c>
      <c r="H944">
        <f>'Quick View_ Sample Data'!AP944</f>
        <v>0</v>
      </c>
      <c r="I944">
        <f>'Quick View_ Sample Data'!AF944</f>
        <v>0</v>
      </c>
      <c r="J944">
        <f>'Quick View_ Sample Data'!AJ944</f>
        <v>11.8</v>
      </c>
      <c r="K944">
        <f>'Quick View_ Sample Data'!AH944</f>
        <v>315.61853550297599</v>
      </c>
      <c r="L944">
        <f t="shared" si="14"/>
        <v>0</v>
      </c>
    </row>
    <row r="945" spans="1:12" ht="12.75" customHeight="1">
      <c r="A945" s="321"/>
      <c r="B945" t="str">
        <f>'Quick View_ Sample Data'!P945</f>
        <v>SiNx</v>
      </c>
      <c r="C945">
        <f>'Quick View_ Sample Data'!O945</f>
        <v>333</v>
      </c>
      <c r="D945">
        <f>'Quick View_ Sample Data'!AN945</f>
        <v>0</v>
      </c>
      <c r="E945">
        <f>'Quick View_ Sample Data'!O945</f>
        <v>333</v>
      </c>
      <c r="F945">
        <f>'Quick View_ Sample Data'!AO945</f>
        <v>0</v>
      </c>
      <c r="G945">
        <f>'Quick View_ Sample Data'!O945</f>
        <v>333</v>
      </c>
      <c r="H945">
        <f>'Quick View_ Sample Data'!AP945</f>
        <v>0</v>
      </c>
      <c r="I945">
        <f>'Quick View_ Sample Data'!AF945</f>
        <v>0</v>
      </c>
      <c r="J945">
        <f>'Quick View_ Sample Data'!AJ945</f>
        <v>12.53</v>
      </c>
      <c r="K945">
        <f>'Quick View_ Sample Data'!AH945</f>
        <v>263.87779197789803</v>
      </c>
      <c r="L945">
        <f t="shared" si="14"/>
        <v>0</v>
      </c>
    </row>
    <row r="946" spans="1:12" ht="12.75" customHeight="1">
      <c r="A946" s="321"/>
      <c r="B946" t="str">
        <f>'Quick View_ Sample Data'!P946</f>
        <v>SiNx</v>
      </c>
      <c r="C946">
        <f>'Quick View_ Sample Data'!O946</f>
        <v>333</v>
      </c>
      <c r="D946">
        <f>'Quick View_ Sample Data'!AN946</f>
        <v>0</v>
      </c>
      <c r="E946">
        <f>'Quick View_ Sample Data'!O946</f>
        <v>333</v>
      </c>
      <c r="F946">
        <f>'Quick View_ Sample Data'!AO946</f>
        <v>0</v>
      </c>
      <c r="G946">
        <f>'Quick View_ Sample Data'!O946</f>
        <v>333</v>
      </c>
      <c r="H946">
        <f>'Quick View_ Sample Data'!AP946</f>
        <v>0</v>
      </c>
      <c r="I946">
        <f>'Quick View_ Sample Data'!AF946</f>
        <v>0</v>
      </c>
      <c r="J946">
        <f>'Quick View_ Sample Data'!AJ946</f>
        <v>11.73</v>
      </c>
      <c r="K946">
        <f>'Quick View_ Sample Data'!AH946</f>
        <v>317.22428271582299</v>
      </c>
      <c r="L946">
        <f t="shared" si="14"/>
        <v>0</v>
      </c>
    </row>
    <row r="947" spans="1:12" ht="12.75" customHeight="1">
      <c r="A947" s="321"/>
      <c r="B947" t="str">
        <f>'Quick View_ Sample Data'!P947</f>
        <v>SiNx</v>
      </c>
      <c r="C947">
        <f>'Quick View_ Sample Data'!O947</f>
        <v>333</v>
      </c>
      <c r="D947">
        <f>'Quick View_ Sample Data'!AN947</f>
        <v>0</v>
      </c>
      <c r="E947">
        <f>'Quick View_ Sample Data'!O947</f>
        <v>333</v>
      </c>
      <c r="F947">
        <f>'Quick View_ Sample Data'!AO947</f>
        <v>0</v>
      </c>
      <c r="G947">
        <f>'Quick View_ Sample Data'!O947</f>
        <v>333</v>
      </c>
      <c r="H947">
        <f>'Quick View_ Sample Data'!AP947</f>
        <v>0</v>
      </c>
      <c r="I947">
        <f>'Quick View_ Sample Data'!AF947</f>
        <v>0</v>
      </c>
      <c r="J947">
        <f>'Quick View_ Sample Data'!AJ947</f>
        <v>11.73</v>
      </c>
      <c r="K947">
        <f>'Quick View_ Sample Data'!AH947</f>
        <v>321.14944256945</v>
      </c>
      <c r="L947">
        <f t="shared" si="14"/>
        <v>0</v>
      </c>
    </row>
    <row r="948" spans="1:12" ht="12.75" customHeight="1">
      <c r="A948" s="321"/>
      <c r="B948" t="str">
        <f>'Quick View_ Sample Data'!P948</f>
        <v>MgO</v>
      </c>
      <c r="C948">
        <f>'Quick View_ Sample Data'!O948</f>
        <v>333</v>
      </c>
      <c r="D948">
        <f>'Quick View_ Sample Data'!AN948</f>
        <v>101.54611561778272</v>
      </c>
      <c r="E948">
        <f>'Quick View_ Sample Data'!O948</f>
        <v>333</v>
      </c>
      <c r="F948">
        <f>'Quick View_ Sample Data'!AO948</f>
        <v>14074.291624624684</v>
      </c>
      <c r="G948">
        <f>'Quick View_ Sample Data'!O948</f>
        <v>333</v>
      </c>
      <c r="H948">
        <f>'Quick View_ Sample Data'!AP948</f>
        <v>3.1714285714285713</v>
      </c>
      <c r="I948">
        <f>'Quick View_ Sample Data'!AF948</f>
        <v>5.55</v>
      </c>
      <c r="J948">
        <f>'Quick View_ Sample Data'!AJ948</f>
        <v>13.86</v>
      </c>
      <c r="K948">
        <f>'Quick View_ Sample Data'!AH948</f>
        <v>182.965974086095</v>
      </c>
      <c r="L948">
        <f t="shared" si="14"/>
        <v>76.922999999999988</v>
      </c>
    </row>
    <row r="949" spans="1:12" ht="12.75" customHeight="1">
      <c r="A949" s="321"/>
      <c r="B949" t="str">
        <f>'Quick View_ Sample Data'!P949</f>
        <v>MgO</v>
      </c>
      <c r="C949">
        <f>'Quick View_ Sample Data'!O949</f>
        <v>334</v>
      </c>
      <c r="D949">
        <f>'Quick View_ Sample Data'!AN949</f>
        <v>211.81143860132551</v>
      </c>
      <c r="E949">
        <f>'Quick View_ Sample Data'!O949</f>
        <v>334</v>
      </c>
      <c r="F949" t="e">
        <f>'Quick View_ Sample Data'!AO949</f>
        <v>#VALUE!</v>
      </c>
      <c r="G949">
        <f>'Quick View_ Sample Data'!O949</f>
        <v>334</v>
      </c>
      <c r="H949">
        <f>'Quick View_ Sample Data'!AP949</f>
        <v>3</v>
      </c>
      <c r="I949">
        <f>'Quick View_ Sample Data'!AF949</f>
        <v>1.5</v>
      </c>
      <c r="J949" t="str">
        <f>'Quick View_ Sample Data'!AJ949</f>
        <v>&lt;7</v>
      </c>
      <c r="K949">
        <f>'Quick View_ Sample Data'!AH949</f>
        <v>1412.07625734217</v>
      </c>
      <c r="L949" t="e">
        <f t="shared" si="14"/>
        <v>#VALUE!</v>
      </c>
    </row>
    <row r="950" spans="1:12" ht="12.75" customHeight="1">
      <c r="A950" s="321"/>
      <c r="B950" t="str">
        <f>'Quick View_ Sample Data'!P950</f>
        <v>SiO2</v>
      </c>
      <c r="C950">
        <f>'Quick View_ Sample Data'!O950</f>
        <v>334</v>
      </c>
      <c r="D950">
        <f>'Quick View_ Sample Data'!AN950</f>
        <v>0</v>
      </c>
      <c r="E950">
        <f>'Quick View_ Sample Data'!O950</f>
        <v>334</v>
      </c>
      <c r="F950">
        <f>'Quick View_ Sample Data'!AO950</f>
        <v>0</v>
      </c>
      <c r="G950">
        <f>'Quick View_ Sample Data'!O950</f>
        <v>334</v>
      </c>
      <c r="H950">
        <f>'Quick View_ Sample Data'!AP950</f>
        <v>0</v>
      </c>
      <c r="I950">
        <f>'Quick View_ Sample Data'!AF950</f>
        <v>0</v>
      </c>
      <c r="J950">
        <f>'Quick View_ Sample Data'!AJ950</f>
        <v>0</v>
      </c>
      <c r="K950">
        <f>'Quick View_ Sample Data'!AH950</f>
        <v>3473.2312213885998</v>
      </c>
      <c r="L950">
        <f t="shared" si="14"/>
        <v>0</v>
      </c>
    </row>
    <row r="951" spans="1:12" ht="12.75" customHeight="1">
      <c r="A951" s="321"/>
      <c r="B951" t="str">
        <f>'Quick View_ Sample Data'!P951</f>
        <v>MgO</v>
      </c>
      <c r="C951">
        <f>'Quick View_ Sample Data'!O951</f>
        <v>335</v>
      </c>
      <c r="D951">
        <f>'Quick View_ Sample Data'!AN951</f>
        <v>147.5949313142095</v>
      </c>
      <c r="E951">
        <f>'Quick View_ Sample Data'!O951</f>
        <v>335</v>
      </c>
      <c r="F951">
        <f>'Quick View_ Sample Data'!AO951</f>
        <v>13800.126077878587</v>
      </c>
      <c r="G951">
        <f>'Quick View_ Sample Data'!O951</f>
        <v>335</v>
      </c>
      <c r="H951">
        <f>'Quick View_ Sample Data'!AP951</f>
        <v>3.125</v>
      </c>
      <c r="I951">
        <f>'Quick View_ Sample Data'!AF951</f>
        <v>2.5</v>
      </c>
      <c r="J951">
        <f>'Quick View_ Sample Data'!AJ951</f>
        <v>9.35</v>
      </c>
      <c r="K951">
        <f>'Quick View_ Sample Data'!AH951</f>
        <v>590.37972525683801</v>
      </c>
      <c r="L951">
        <f t="shared" si="14"/>
        <v>23.375</v>
      </c>
    </row>
    <row r="952" spans="1:12" ht="12.75" customHeight="1">
      <c r="A952" s="321"/>
      <c r="B952" t="str">
        <f>'Quick View_ Sample Data'!P952</f>
        <v>SiO2</v>
      </c>
      <c r="C952">
        <f>'Quick View_ Sample Data'!O952</f>
        <v>335</v>
      </c>
      <c r="D952">
        <f>'Quick View_ Sample Data'!AN952</f>
        <v>0</v>
      </c>
      <c r="E952">
        <f>'Quick View_ Sample Data'!O952</f>
        <v>335</v>
      </c>
      <c r="F952">
        <f>'Quick View_ Sample Data'!AO952</f>
        <v>0</v>
      </c>
      <c r="G952">
        <f>'Quick View_ Sample Data'!O952</f>
        <v>335</v>
      </c>
      <c r="H952">
        <f>'Quick View_ Sample Data'!AP952</f>
        <v>0</v>
      </c>
      <c r="I952">
        <f>'Quick View_ Sample Data'!AF952</f>
        <v>0</v>
      </c>
      <c r="J952">
        <f>'Quick View_ Sample Data'!AJ952</f>
        <v>9.1199999999999992</v>
      </c>
      <c r="K952">
        <f>'Quick View_ Sample Data'!AH952</f>
        <v>931.244175272912</v>
      </c>
      <c r="L952">
        <f t="shared" si="14"/>
        <v>0</v>
      </c>
    </row>
    <row r="953" spans="1:12" ht="12.75" customHeight="1">
      <c r="A953" s="321"/>
      <c r="B953" t="str">
        <f>'Quick View_ Sample Data'!P953</f>
        <v>SiO2</v>
      </c>
      <c r="C953">
        <f>'Quick View_ Sample Data'!O953</f>
        <v>336</v>
      </c>
      <c r="D953">
        <f>'Quick View_ Sample Data'!AN953</f>
        <v>0</v>
      </c>
      <c r="E953">
        <f>'Quick View_ Sample Data'!O953</f>
        <v>336</v>
      </c>
      <c r="F953">
        <f>'Quick View_ Sample Data'!AO953</f>
        <v>0</v>
      </c>
      <c r="G953">
        <f>'Quick View_ Sample Data'!O953</f>
        <v>336</v>
      </c>
      <c r="H953">
        <f>'Quick View_ Sample Data'!AP953</f>
        <v>0</v>
      </c>
      <c r="I953">
        <f>'Quick View_ Sample Data'!AF953</f>
        <v>0</v>
      </c>
      <c r="J953">
        <f>'Quick View_ Sample Data'!AJ953</f>
        <v>0</v>
      </c>
      <c r="K953">
        <f>'Quick View_ Sample Data'!AH953</f>
        <v>0</v>
      </c>
      <c r="L953">
        <f t="shared" si="14"/>
        <v>0</v>
      </c>
    </row>
    <row r="954" spans="1:12" ht="12.75" customHeight="1">
      <c r="A954" s="321"/>
      <c r="B954" t="str">
        <f>'Quick View_ Sample Data'!P954</f>
        <v>SiO2</v>
      </c>
      <c r="C954">
        <f>'Quick View_ Sample Data'!O954</f>
        <v>336</v>
      </c>
      <c r="D954">
        <f>'Quick View_ Sample Data'!AN954</f>
        <v>0</v>
      </c>
      <c r="E954">
        <f>'Quick View_ Sample Data'!O954</f>
        <v>336</v>
      </c>
      <c r="F954">
        <f>'Quick View_ Sample Data'!AO954</f>
        <v>0</v>
      </c>
      <c r="G954">
        <f>'Quick View_ Sample Data'!O954</f>
        <v>336</v>
      </c>
      <c r="H954">
        <f>'Quick View_ Sample Data'!AP954</f>
        <v>0</v>
      </c>
      <c r="I954">
        <f>'Quick View_ Sample Data'!AF954</f>
        <v>0</v>
      </c>
      <c r="J954">
        <f>'Quick View_ Sample Data'!AJ954</f>
        <v>0</v>
      </c>
      <c r="K954">
        <f>'Quick View_ Sample Data'!AH954</f>
        <v>0</v>
      </c>
      <c r="L954">
        <f t="shared" si="14"/>
        <v>0</v>
      </c>
    </row>
    <row r="955" spans="1:12" ht="12.75" customHeight="1">
      <c r="A955" s="321"/>
      <c r="B955">
        <f>'Quick View_ Sample Data'!P955</f>
        <v>0</v>
      </c>
      <c r="C955">
        <f>'Quick View_ Sample Data'!O955</f>
        <v>0</v>
      </c>
      <c r="D955">
        <f>'Quick View_ Sample Data'!AN955</f>
        <v>0</v>
      </c>
      <c r="E955">
        <f>'Quick View_ Sample Data'!O955</f>
        <v>0</v>
      </c>
      <c r="F955">
        <f>'Quick View_ Sample Data'!AO955</f>
        <v>0</v>
      </c>
      <c r="G955">
        <f>'Quick View_ Sample Data'!O955</f>
        <v>0</v>
      </c>
      <c r="H955" t="e">
        <f>'Quick View_ Sample Data'!AP955</f>
        <v>#DIV/0!</v>
      </c>
      <c r="I955">
        <f>'Quick View_ Sample Data'!AF955</f>
        <v>0</v>
      </c>
      <c r="J955">
        <f>'Quick View_ Sample Data'!AJ955</f>
        <v>0</v>
      </c>
      <c r="K955">
        <f>'Quick View_ Sample Data'!AH955</f>
        <v>0</v>
      </c>
      <c r="L955">
        <f t="shared" si="14"/>
        <v>0</v>
      </c>
    </row>
    <row r="956" spans="1:12" ht="12.75" customHeight="1">
      <c r="A956" s="321"/>
      <c r="B956">
        <f>'Quick View_ Sample Data'!P956</f>
        <v>0</v>
      </c>
      <c r="C956">
        <f>'Quick View_ Sample Data'!O956</f>
        <v>0</v>
      </c>
      <c r="D956">
        <f>'Quick View_ Sample Data'!AN956</f>
        <v>0</v>
      </c>
      <c r="E956">
        <f>'Quick View_ Sample Data'!O956</f>
        <v>0</v>
      </c>
      <c r="F956">
        <f>'Quick View_ Sample Data'!AO956</f>
        <v>0</v>
      </c>
      <c r="G956">
        <f>'Quick View_ Sample Data'!O956</f>
        <v>0</v>
      </c>
      <c r="H956" t="e">
        <f>'Quick View_ Sample Data'!AP956</f>
        <v>#DIV/0!</v>
      </c>
      <c r="I956">
        <f>'Quick View_ Sample Data'!AF956</f>
        <v>0</v>
      </c>
      <c r="J956">
        <f>'Quick View_ Sample Data'!AJ956</f>
        <v>0</v>
      </c>
      <c r="K956">
        <f>'Quick View_ Sample Data'!AH956</f>
        <v>0</v>
      </c>
      <c r="L956">
        <f t="shared" si="14"/>
        <v>0</v>
      </c>
    </row>
    <row r="957" spans="1:12" ht="12.75" customHeight="1">
      <c r="A957" s="321"/>
      <c r="B957">
        <f>'Quick View_ Sample Data'!P957</f>
        <v>0</v>
      </c>
      <c r="C957">
        <f>'Quick View_ Sample Data'!O957</f>
        <v>0</v>
      </c>
      <c r="D957">
        <f>'Quick View_ Sample Data'!AN957</f>
        <v>0</v>
      </c>
      <c r="E957">
        <f>'Quick View_ Sample Data'!O957</f>
        <v>0</v>
      </c>
      <c r="F957">
        <f>'Quick View_ Sample Data'!AO957</f>
        <v>0</v>
      </c>
      <c r="G957">
        <f>'Quick View_ Sample Data'!O957</f>
        <v>0</v>
      </c>
      <c r="H957" t="e">
        <f>'Quick View_ Sample Data'!AP957</f>
        <v>#DIV/0!</v>
      </c>
      <c r="I957">
        <f>'Quick View_ Sample Data'!AF957</f>
        <v>0</v>
      </c>
      <c r="J957">
        <f>'Quick View_ Sample Data'!AJ957</f>
        <v>0</v>
      </c>
      <c r="K957">
        <f>'Quick View_ Sample Data'!AH957</f>
        <v>0</v>
      </c>
      <c r="L957">
        <f t="shared" si="14"/>
        <v>0</v>
      </c>
    </row>
    <row r="958" spans="1:12" ht="12.75" customHeight="1">
      <c r="A958" s="321"/>
      <c r="B958">
        <f>'Quick View_ Sample Data'!P958</f>
        <v>0</v>
      </c>
      <c r="C958">
        <f>'Quick View_ Sample Data'!O958</f>
        <v>0</v>
      </c>
      <c r="D958">
        <f>'Quick View_ Sample Data'!AN958</f>
        <v>0</v>
      </c>
      <c r="E958">
        <f>'Quick View_ Sample Data'!O958</f>
        <v>0</v>
      </c>
      <c r="F958">
        <f>'Quick View_ Sample Data'!AO958</f>
        <v>0</v>
      </c>
      <c r="G958">
        <f>'Quick View_ Sample Data'!O958</f>
        <v>0</v>
      </c>
      <c r="H958" t="e">
        <f>'Quick View_ Sample Data'!AP958</f>
        <v>#DIV/0!</v>
      </c>
      <c r="I958">
        <f>'Quick View_ Sample Data'!AF958</f>
        <v>0</v>
      </c>
      <c r="J958">
        <f>'Quick View_ Sample Data'!AJ958</f>
        <v>0</v>
      </c>
      <c r="K958">
        <f>'Quick View_ Sample Data'!AH958</f>
        <v>0</v>
      </c>
      <c r="L958">
        <f t="shared" si="14"/>
        <v>0</v>
      </c>
    </row>
    <row r="959" spans="1:12" ht="12.75" customHeight="1">
      <c r="A959" s="321"/>
      <c r="B959">
        <f>'Quick View_ Sample Data'!P959</f>
        <v>0</v>
      </c>
      <c r="C959">
        <f>'Quick View_ Sample Data'!O959</f>
        <v>0</v>
      </c>
      <c r="D959">
        <f>'Quick View_ Sample Data'!AN959</f>
        <v>0</v>
      </c>
      <c r="E959">
        <f>'Quick View_ Sample Data'!O959</f>
        <v>0</v>
      </c>
      <c r="F959">
        <f>'Quick View_ Sample Data'!AO959</f>
        <v>0</v>
      </c>
      <c r="G959">
        <f>'Quick View_ Sample Data'!O959</f>
        <v>0</v>
      </c>
      <c r="H959" t="e">
        <f>'Quick View_ Sample Data'!AP959</f>
        <v>#DIV/0!</v>
      </c>
      <c r="I959">
        <f>'Quick View_ Sample Data'!AF959</f>
        <v>0</v>
      </c>
      <c r="J959">
        <f>'Quick View_ Sample Data'!AJ959</f>
        <v>0</v>
      </c>
      <c r="K959">
        <f>'Quick View_ Sample Data'!AH959</f>
        <v>0</v>
      </c>
      <c r="L959">
        <f t="shared" si="14"/>
        <v>0</v>
      </c>
    </row>
    <row r="960" spans="1:12" ht="12.75" customHeight="1">
      <c r="A960" s="321"/>
      <c r="B960">
        <f>'Quick View_ Sample Data'!P960</f>
        <v>0</v>
      </c>
      <c r="C960">
        <f>'Quick View_ Sample Data'!O960</f>
        <v>0</v>
      </c>
      <c r="D960">
        <f>'Quick View_ Sample Data'!AN960</f>
        <v>0</v>
      </c>
      <c r="E960">
        <f>'Quick View_ Sample Data'!O960</f>
        <v>0</v>
      </c>
      <c r="F960">
        <f>'Quick View_ Sample Data'!AO960</f>
        <v>0</v>
      </c>
      <c r="G960">
        <f>'Quick View_ Sample Data'!O960</f>
        <v>0</v>
      </c>
      <c r="H960" t="e">
        <f>'Quick View_ Sample Data'!AP960</f>
        <v>#DIV/0!</v>
      </c>
      <c r="I960">
        <f>'Quick View_ Sample Data'!AF960</f>
        <v>0</v>
      </c>
      <c r="J960">
        <f>'Quick View_ Sample Data'!AJ960</f>
        <v>0</v>
      </c>
      <c r="K960">
        <f>'Quick View_ Sample Data'!AH960</f>
        <v>0</v>
      </c>
      <c r="L960">
        <f t="shared" si="14"/>
        <v>0</v>
      </c>
    </row>
    <row r="961" spans="1:12" ht="12.75" customHeight="1">
      <c r="A961" s="321"/>
      <c r="B961">
        <f>'Quick View_ Sample Data'!P961</f>
        <v>0</v>
      </c>
      <c r="C961">
        <f>'Quick View_ Sample Data'!O961</f>
        <v>0</v>
      </c>
      <c r="D961">
        <f>'Quick View_ Sample Data'!AN961</f>
        <v>0</v>
      </c>
      <c r="E961">
        <f>'Quick View_ Sample Data'!O961</f>
        <v>0</v>
      </c>
      <c r="F961">
        <f>'Quick View_ Sample Data'!AO961</f>
        <v>0</v>
      </c>
      <c r="G961">
        <f>'Quick View_ Sample Data'!O961</f>
        <v>0</v>
      </c>
      <c r="H961" t="e">
        <f>'Quick View_ Sample Data'!AP961</f>
        <v>#DIV/0!</v>
      </c>
      <c r="I961">
        <f>'Quick View_ Sample Data'!AF961</f>
        <v>0</v>
      </c>
      <c r="J961">
        <f>'Quick View_ Sample Data'!AJ961</f>
        <v>0</v>
      </c>
      <c r="K961">
        <f>'Quick View_ Sample Data'!AH961</f>
        <v>0</v>
      </c>
      <c r="L961">
        <f t="shared" si="14"/>
        <v>0</v>
      </c>
    </row>
    <row r="962" spans="1:12" ht="12.75" customHeight="1">
      <c r="A962" s="321"/>
      <c r="B962">
        <f>'Quick View_ Sample Data'!P962</f>
        <v>0</v>
      </c>
      <c r="C962">
        <f>'Quick View_ Sample Data'!O962</f>
        <v>0</v>
      </c>
      <c r="D962">
        <f>'Quick View_ Sample Data'!AN962</f>
        <v>0</v>
      </c>
      <c r="E962">
        <f>'Quick View_ Sample Data'!O962</f>
        <v>0</v>
      </c>
      <c r="F962">
        <f>'Quick View_ Sample Data'!AO962</f>
        <v>0</v>
      </c>
      <c r="G962">
        <f>'Quick View_ Sample Data'!O962</f>
        <v>0</v>
      </c>
      <c r="H962" t="e">
        <f>'Quick View_ Sample Data'!AP962</f>
        <v>#DIV/0!</v>
      </c>
      <c r="I962">
        <f>'Quick View_ Sample Data'!AF962</f>
        <v>0</v>
      </c>
      <c r="J962">
        <f>'Quick View_ Sample Data'!AJ962</f>
        <v>0</v>
      </c>
      <c r="K962">
        <f>'Quick View_ Sample Data'!AH962</f>
        <v>0</v>
      </c>
      <c r="L962">
        <f t="shared" ref="L962:L1025" si="15">I962*J962</f>
        <v>0</v>
      </c>
    </row>
    <row r="963" spans="1:12" ht="12.75" customHeight="1">
      <c r="A963" s="321"/>
      <c r="B963">
        <f>'Quick View_ Sample Data'!P963</f>
        <v>0</v>
      </c>
      <c r="C963">
        <f>'Quick View_ Sample Data'!O963</f>
        <v>0</v>
      </c>
      <c r="D963">
        <f>'Quick View_ Sample Data'!AN963</f>
        <v>0</v>
      </c>
      <c r="E963">
        <f>'Quick View_ Sample Data'!O963</f>
        <v>0</v>
      </c>
      <c r="F963">
        <f>'Quick View_ Sample Data'!AO963</f>
        <v>0</v>
      </c>
      <c r="G963">
        <f>'Quick View_ Sample Data'!O963</f>
        <v>0</v>
      </c>
      <c r="H963" t="e">
        <f>'Quick View_ Sample Data'!AP963</f>
        <v>#DIV/0!</v>
      </c>
      <c r="I963">
        <f>'Quick View_ Sample Data'!AF963</f>
        <v>0</v>
      </c>
      <c r="J963">
        <f>'Quick View_ Sample Data'!AJ963</f>
        <v>0</v>
      </c>
      <c r="K963">
        <f>'Quick View_ Sample Data'!AH963</f>
        <v>0</v>
      </c>
      <c r="L963">
        <f t="shared" si="15"/>
        <v>0</v>
      </c>
    </row>
    <row r="964" spans="1:12" ht="12.75" customHeight="1">
      <c r="A964" s="321"/>
      <c r="B964">
        <f>'Quick View_ Sample Data'!P964</f>
        <v>0</v>
      </c>
      <c r="C964">
        <f>'Quick View_ Sample Data'!O964</f>
        <v>0</v>
      </c>
      <c r="D964">
        <f>'Quick View_ Sample Data'!AN964</f>
        <v>0</v>
      </c>
      <c r="E964">
        <f>'Quick View_ Sample Data'!O964</f>
        <v>0</v>
      </c>
      <c r="F964">
        <f>'Quick View_ Sample Data'!AO964</f>
        <v>0</v>
      </c>
      <c r="G964">
        <f>'Quick View_ Sample Data'!O964</f>
        <v>0</v>
      </c>
      <c r="H964" t="e">
        <f>'Quick View_ Sample Data'!AP964</f>
        <v>#DIV/0!</v>
      </c>
      <c r="I964">
        <f>'Quick View_ Sample Data'!AF964</f>
        <v>0</v>
      </c>
      <c r="J964">
        <f>'Quick View_ Sample Data'!AJ964</f>
        <v>0</v>
      </c>
      <c r="K964">
        <f>'Quick View_ Sample Data'!AH964</f>
        <v>0</v>
      </c>
      <c r="L964">
        <f t="shared" si="15"/>
        <v>0</v>
      </c>
    </row>
    <row r="965" spans="1:12" ht="12.75" customHeight="1">
      <c r="A965" s="321"/>
      <c r="B965">
        <f>'Quick View_ Sample Data'!P965</f>
        <v>0</v>
      </c>
      <c r="C965">
        <f>'Quick View_ Sample Data'!O965</f>
        <v>0</v>
      </c>
      <c r="D965">
        <f>'Quick View_ Sample Data'!AN965</f>
        <v>0</v>
      </c>
      <c r="E965">
        <f>'Quick View_ Sample Data'!O965</f>
        <v>0</v>
      </c>
      <c r="F965">
        <f>'Quick View_ Sample Data'!AO965</f>
        <v>0</v>
      </c>
      <c r="G965">
        <f>'Quick View_ Sample Data'!O965</f>
        <v>0</v>
      </c>
      <c r="H965" t="e">
        <f>'Quick View_ Sample Data'!AP965</f>
        <v>#DIV/0!</v>
      </c>
      <c r="I965">
        <f>'Quick View_ Sample Data'!AF965</f>
        <v>0</v>
      </c>
      <c r="J965">
        <f>'Quick View_ Sample Data'!AJ965</f>
        <v>0</v>
      </c>
      <c r="K965">
        <f>'Quick View_ Sample Data'!AH965</f>
        <v>0</v>
      </c>
      <c r="L965">
        <f t="shared" si="15"/>
        <v>0</v>
      </c>
    </row>
    <row r="966" spans="1:12" ht="12.75" customHeight="1">
      <c r="A966" s="321"/>
      <c r="B966" t="str">
        <f>'Quick View_ Sample Data'!P966</f>
        <v>SiO2</v>
      </c>
      <c r="C966">
        <f>'Quick View_ Sample Data'!O966</f>
        <v>340</v>
      </c>
      <c r="D966">
        <f>'Quick View_ Sample Data'!AN966</f>
        <v>0</v>
      </c>
      <c r="E966">
        <f>'Quick View_ Sample Data'!O966</f>
        <v>340</v>
      </c>
      <c r="F966">
        <f>'Quick View_ Sample Data'!AO966</f>
        <v>0</v>
      </c>
      <c r="G966">
        <f>'Quick View_ Sample Data'!O966</f>
        <v>340</v>
      </c>
      <c r="H966">
        <f>'Quick View_ Sample Data'!AP966</f>
        <v>0</v>
      </c>
      <c r="I966">
        <f>'Quick View_ Sample Data'!AF966</f>
        <v>0</v>
      </c>
      <c r="J966">
        <f>'Quick View_ Sample Data'!AJ966</f>
        <v>11.44</v>
      </c>
      <c r="K966">
        <f>'Quick View_ Sample Data'!AH966</f>
        <v>438.54740546428201</v>
      </c>
      <c r="L966">
        <f t="shared" si="15"/>
        <v>0</v>
      </c>
    </row>
    <row r="967" spans="1:12" ht="12.75" customHeight="1">
      <c r="A967" s="321"/>
      <c r="B967" t="str">
        <f>'Quick View_ Sample Data'!P967</f>
        <v>SiO2</v>
      </c>
      <c r="C967">
        <f>'Quick View_ Sample Data'!O967</f>
        <v>340</v>
      </c>
      <c r="D967">
        <f>'Quick View_ Sample Data'!AN967</f>
        <v>0</v>
      </c>
      <c r="E967">
        <f>'Quick View_ Sample Data'!O967</f>
        <v>340</v>
      </c>
      <c r="F967">
        <f>'Quick View_ Sample Data'!AO967</f>
        <v>0</v>
      </c>
      <c r="G967">
        <f>'Quick View_ Sample Data'!O967</f>
        <v>340</v>
      </c>
      <c r="H967">
        <f>'Quick View_ Sample Data'!AP967</f>
        <v>0</v>
      </c>
      <c r="I967">
        <f>'Quick View_ Sample Data'!AF967</f>
        <v>0</v>
      </c>
      <c r="J967">
        <f>'Quick View_ Sample Data'!AJ967</f>
        <v>10.8</v>
      </c>
      <c r="K967">
        <f>'Quick View_ Sample Data'!AH967</f>
        <v>479.85079210585201</v>
      </c>
      <c r="L967">
        <f t="shared" si="15"/>
        <v>0</v>
      </c>
    </row>
    <row r="968" spans="1:12" ht="12.75" customHeight="1">
      <c r="A968" s="321"/>
      <c r="B968" t="str">
        <f>'Quick View_ Sample Data'!P968</f>
        <v>MgO</v>
      </c>
      <c r="C968">
        <f>'Quick View_ Sample Data'!O968</f>
        <v>340</v>
      </c>
      <c r="D968">
        <f>'Quick View_ Sample Data'!AN968</f>
        <v>145.03733283685801</v>
      </c>
      <c r="E968">
        <f>'Quick View_ Sample Data'!O968</f>
        <v>340</v>
      </c>
      <c r="F968">
        <f>'Quick View_ Sample Data'!AO968</f>
        <v>16186.166344593354</v>
      </c>
      <c r="G968">
        <f>'Quick View_ Sample Data'!O968</f>
        <v>340</v>
      </c>
      <c r="H968">
        <f>'Quick View_ Sample Data'!AP968</f>
        <v>3.0714285714285712</v>
      </c>
      <c r="I968">
        <f>'Quick View_ Sample Data'!AF968</f>
        <v>4.3</v>
      </c>
      <c r="J968">
        <f>'Quick View_ Sample Data'!AJ968</f>
        <v>11.16</v>
      </c>
      <c r="K968">
        <f>'Quick View_ Sample Data'!AH968</f>
        <v>337.29612287641402</v>
      </c>
      <c r="L968">
        <f t="shared" si="15"/>
        <v>47.988</v>
      </c>
    </row>
    <row r="969" spans="1:12" ht="12.75" customHeight="1">
      <c r="A969" s="321"/>
      <c r="B969" t="str">
        <f>'Quick View_ Sample Data'!P969</f>
        <v>SiO2</v>
      </c>
      <c r="C969">
        <f>'Quick View_ Sample Data'!O969</f>
        <v>340</v>
      </c>
      <c r="D969">
        <f>'Quick View_ Sample Data'!AN969</f>
        <v>0</v>
      </c>
      <c r="E969">
        <f>'Quick View_ Sample Data'!O969</f>
        <v>340</v>
      </c>
      <c r="F969">
        <f>'Quick View_ Sample Data'!AO969</f>
        <v>0</v>
      </c>
      <c r="G969">
        <f>'Quick View_ Sample Data'!O969</f>
        <v>340</v>
      </c>
      <c r="H969">
        <f>'Quick View_ Sample Data'!AP969</f>
        <v>0</v>
      </c>
      <c r="I969">
        <f>'Quick View_ Sample Data'!AF969</f>
        <v>0</v>
      </c>
      <c r="J969">
        <f>'Quick View_ Sample Data'!AJ969</f>
        <v>10.51</v>
      </c>
      <c r="K969">
        <f>'Quick View_ Sample Data'!AH969</f>
        <v>472.00047239859902</v>
      </c>
      <c r="L969">
        <f t="shared" si="15"/>
        <v>0</v>
      </c>
    </row>
    <row r="970" spans="1:12" ht="12.75" customHeight="1">
      <c r="A970" s="321"/>
      <c r="B970" t="str">
        <f>'Quick View_ Sample Data'!P970</f>
        <v>SiO2</v>
      </c>
      <c r="C970">
        <f>'Quick View_ Sample Data'!O970</f>
        <v>340</v>
      </c>
      <c r="D970">
        <f>'Quick View_ Sample Data'!AN970</f>
        <v>0</v>
      </c>
      <c r="E970">
        <f>'Quick View_ Sample Data'!O970</f>
        <v>340</v>
      </c>
      <c r="F970">
        <f>'Quick View_ Sample Data'!AO970</f>
        <v>0</v>
      </c>
      <c r="G970">
        <f>'Quick View_ Sample Data'!O970</f>
        <v>340</v>
      </c>
      <c r="H970">
        <f>'Quick View_ Sample Data'!AP970</f>
        <v>0</v>
      </c>
      <c r="I970">
        <f>'Quick View_ Sample Data'!AF970</f>
        <v>0</v>
      </c>
      <c r="J970">
        <f>'Quick View_ Sample Data'!AJ970</f>
        <v>10.67</v>
      </c>
      <c r="K970">
        <f>'Quick View_ Sample Data'!AH970</f>
        <v>474.49830139636202</v>
      </c>
      <c r="L970">
        <f t="shared" si="15"/>
        <v>0</v>
      </c>
    </row>
    <row r="971" spans="1:12" ht="12.75" customHeight="1">
      <c r="A971" s="321"/>
      <c r="B971" t="str">
        <f>'Quick View_ Sample Data'!P971</f>
        <v>MgO</v>
      </c>
      <c r="C971">
        <f>'Quick View_ Sample Data'!O971</f>
        <v>340</v>
      </c>
      <c r="D971">
        <f>'Quick View_ Sample Data'!AN971</f>
        <v>143.23443554954414</v>
      </c>
      <c r="E971">
        <f>'Quick View_ Sample Data'!O971</f>
        <v>340</v>
      </c>
      <c r="F971">
        <f>'Quick View_ Sample Data'!AO971</f>
        <v>16300.078765538125</v>
      </c>
      <c r="G971">
        <f>'Quick View_ Sample Data'!O971</f>
        <v>340</v>
      </c>
      <c r="H971">
        <f>'Quick View_ Sample Data'!AP971</f>
        <v>3.0714285714285712</v>
      </c>
      <c r="I971">
        <f>'Quick View_ Sample Data'!AF971</f>
        <v>4.3</v>
      </c>
      <c r="J971">
        <f>'Quick View_ Sample Data'!AJ971</f>
        <v>11.38</v>
      </c>
      <c r="K971">
        <f>'Quick View_ Sample Data'!AH971</f>
        <v>333.10333848731199</v>
      </c>
      <c r="L971">
        <f t="shared" si="15"/>
        <v>48.934000000000005</v>
      </c>
    </row>
    <row r="972" spans="1:12" ht="12.75" customHeight="1">
      <c r="A972" s="321"/>
      <c r="B972" t="str">
        <f>'Quick View_ Sample Data'!P972</f>
        <v>SiNx</v>
      </c>
      <c r="C972">
        <f>'Quick View_ Sample Data'!O972</f>
        <v>341</v>
      </c>
      <c r="D972">
        <f>'Quick View_ Sample Data'!AN972</f>
        <v>0</v>
      </c>
      <c r="E972">
        <f>'Quick View_ Sample Data'!O972</f>
        <v>341</v>
      </c>
      <c r="F972">
        <f>'Quick View_ Sample Data'!AO972</f>
        <v>0</v>
      </c>
      <c r="G972">
        <f>'Quick View_ Sample Data'!O972</f>
        <v>341</v>
      </c>
      <c r="H972">
        <f>'Quick View_ Sample Data'!AP972</f>
        <v>0</v>
      </c>
      <c r="I972">
        <f>'Quick View_ Sample Data'!AF972</f>
        <v>0</v>
      </c>
      <c r="J972">
        <f>'Quick View_ Sample Data'!AJ972</f>
        <v>10.57</v>
      </c>
      <c r="K972">
        <f>'Quick View_ Sample Data'!AH972</f>
        <v>524.81171406557496</v>
      </c>
      <c r="L972">
        <f t="shared" si="15"/>
        <v>0</v>
      </c>
    </row>
    <row r="973" spans="1:12" ht="12.75" customHeight="1">
      <c r="A973" s="321"/>
      <c r="B973" t="str">
        <f>'Quick View_ Sample Data'!P973</f>
        <v>SiNx</v>
      </c>
      <c r="C973">
        <f>'Quick View_ Sample Data'!O973</f>
        <v>341</v>
      </c>
      <c r="D973">
        <f>'Quick View_ Sample Data'!AN973</f>
        <v>0</v>
      </c>
      <c r="E973">
        <f>'Quick View_ Sample Data'!O973</f>
        <v>341</v>
      </c>
      <c r="F973">
        <f>'Quick View_ Sample Data'!AO973</f>
        <v>0</v>
      </c>
      <c r="G973">
        <f>'Quick View_ Sample Data'!O973</f>
        <v>341</v>
      </c>
      <c r="H973">
        <f>'Quick View_ Sample Data'!AP973</f>
        <v>0</v>
      </c>
      <c r="I973">
        <f>'Quick View_ Sample Data'!AF973</f>
        <v>0</v>
      </c>
      <c r="J973">
        <f>'Quick View_ Sample Data'!AJ973</f>
        <v>10.58</v>
      </c>
      <c r="K973">
        <f>'Quick View_ Sample Data'!AH973</f>
        <v>521.689427818372</v>
      </c>
      <c r="L973">
        <f t="shared" si="15"/>
        <v>0</v>
      </c>
    </row>
    <row r="974" spans="1:12" ht="12.75" customHeight="1">
      <c r="A974" s="321"/>
      <c r="B974" t="str">
        <f>'Quick View_ Sample Data'!P974</f>
        <v>SiNx</v>
      </c>
      <c r="C974">
        <f>'Quick View_ Sample Data'!O974</f>
        <v>341</v>
      </c>
      <c r="D974">
        <f>'Quick View_ Sample Data'!AN974</f>
        <v>0</v>
      </c>
      <c r="E974">
        <f>'Quick View_ Sample Data'!O974</f>
        <v>341</v>
      </c>
      <c r="F974">
        <f>'Quick View_ Sample Data'!AO974</f>
        <v>0</v>
      </c>
      <c r="G974">
        <f>'Quick View_ Sample Data'!O974</f>
        <v>341</v>
      </c>
      <c r="H974">
        <f>'Quick View_ Sample Data'!AP974</f>
        <v>0</v>
      </c>
      <c r="I974">
        <f>'Quick View_ Sample Data'!AF974</f>
        <v>0</v>
      </c>
      <c r="J974">
        <f>'Quick View_ Sample Data'!AJ974</f>
        <v>11.94</v>
      </c>
      <c r="K974">
        <f>'Quick View_ Sample Data'!AH974</f>
        <v>412.49861734476002</v>
      </c>
      <c r="L974">
        <f t="shared" si="15"/>
        <v>0</v>
      </c>
    </row>
    <row r="975" spans="1:12" ht="12.75" customHeight="1">
      <c r="A975" s="321"/>
      <c r="B975" t="str">
        <f>'Quick View_ Sample Data'!P975</f>
        <v>SiNx</v>
      </c>
      <c r="C975">
        <f>'Quick View_ Sample Data'!O975</f>
        <v>341</v>
      </c>
      <c r="D975">
        <f>'Quick View_ Sample Data'!AN975</f>
        <v>0</v>
      </c>
      <c r="E975">
        <f>'Quick View_ Sample Data'!O975</f>
        <v>341</v>
      </c>
      <c r="F975">
        <f>'Quick View_ Sample Data'!AO975</f>
        <v>0</v>
      </c>
      <c r="G975">
        <f>'Quick View_ Sample Data'!O975</f>
        <v>341</v>
      </c>
      <c r="H975">
        <f>'Quick View_ Sample Data'!AP975</f>
        <v>0</v>
      </c>
      <c r="I975">
        <f>'Quick View_ Sample Data'!AF975</f>
        <v>0</v>
      </c>
      <c r="J975">
        <f>'Quick View_ Sample Data'!AJ975</f>
        <v>10.63</v>
      </c>
      <c r="K975">
        <f>'Quick View_ Sample Data'!AH975</f>
        <v>508.397409223137</v>
      </c>
      <c r="L975">
        <f t="shared" si="15"/>
        <v>0</v>
      </c>
    </row>
    <row r="976" spans="1:12" ht="12.75" customHeight="1">
      <c r="A976" s="321"/>
      <c r="B976" t="str">
        <f>'Quick View_ Sample Data'!P976</f>
        <v>SiNx</v>
      </c>
      <c r="C976">
        <f>'Quick View_ Sample Data'!O976</f>
        <v>341</v>
      </c>
      <c r="D976">
        <f>'Quick View_ Sample Data'!AN976</f>
        <v>0</v>
      </c>
      <c r="E976">
        <f>'Quick View_ Sample Data'!O976</f>
        <v>341</v>
      </c>
      <c r="F976">
        <f>'Quick View_ Sample Data'!AO976</f>
        <v>0</v>
      </c>
      <c r="G976">
        <f>'Quick View_ Sample Data'!O976</f>
        <v>341</v>
      </c>
      <c r="H976">
        <f>'Quick View_ Sample Data'!AP976</f>
        <v>0</v>
      </c>
      <c r="I976">
        <f>'Quick View_ Sample Data'!AF976</f>
        <v>0</v>
      </c>
      <c r="J976">
        <f>'Quick View_ Sample Data'!AJ976</f>
        <v>10.55</v>
      </c>
      <c r="K976">
        <f>'Quick View_ Sample Data'!AH976</f>
        <v>514.37435718206802</v>
      </c>
      <c r="L976">
        <f t="shared" si="15"/>
        <v>0</v>
      </c>
    </row>
    <row r="977" spans="1:12" ht="12.75" customHeight="1">
      <c r="A977" s="321"/>
      <c r="B977" t="str">
        <f>'Quick View_ Sample Data'!P977</f>
        <v>MgO</v>
      </c>
      <c r="C977">
        <f>'Quick View_ Sample Data'!O977</f>
        <v>341</v>
      </c>
      <c r="D977">
        <f>'Quick View_ Sample Data'!AN977</f>
        <v>144.26113247580312</v>
      </c>
      <c r="E977">
        <f>'Quick View_ Sample Data'!O977</f>
        <v>341</v>
      </c>
      <c r="F977">
        <f>'Quick View_ Sample Data'!AO977</f>
        <v>16041.837931309306</v>
      </c>
      <c r="G977">
        <f>'Quick View_ Sample Data'!O977</f>
        <v>341</v>
      </c>
      <c r="H977">
        <f>'Quick View_ Sample Data'!AP977</f>
        <v>3.1333333333333337</v>
      </c>
      <c r="I977">
        <f>'Quick View_ Sample Data'!AF977</f>
        <v>4.2300000000000004</v>
      </c>
      <c r="J977">
        <f>'Quick View_ Sample Data'!AJ977</f>
        <v>11.12</v>
      </c>
      <c r="K977">
        <f>'Quick View_ Sample Data'!AH977</f>
        <v>341.042866373057</v>
      </c>
      <c r="L977">
        <f t="shared" si="15"/>
        <v>47.037600000000005</v>
      </c>
    </row>
    <row r="978" spans="1:12" ht="12.75" customHeight="1">
      <c r="A978" s="321"/>
      <c r="B978" t="str">
        <f>'Quick View_ Sample Data'!P978</f>
        <v>MgO</v>
      </c>
      <c r="C978">
        <f>'Quick View_ Sample Data'!O978</f>
        <v>342</v>
      </c>
      <c r="D978">
        <f>'Quick View_ Sample Data'!AN978</f>
        <v>149.05830227418448</v>
      </c>
      <c r="E978">
        <f>'Quick View_ Sample Data'!O978</f>
        <v>342</v>
      </c>
      <c r="F978">
        <f>'Quick View_ Sample Data'!AO978</f>
        <v>16769.059005845753</v>
      </c>
      <c r="G978">
        <f>'Quick View_ Sample Data'!O978</f>
        <v>342</v>
      </c>
      <c r="H978">
        <f>'Quick View_ Sample Data'!AP978</f>
        <v>3.0666666666666664</v>
      </c>
      <c r="I978">
        <f>'Quick View_ Sample Data'!AF978</f>
        <v>4.1399999999999997</v>
      </c>
      <c r="J978">
        <f>'Quick View_ Sample Data'!AJ978</f>
        <v>11.25</v>
      </c>
      <c r="K978">
        <f>'Quick View_ Sample Data'!AH978</f>
        <v>360.04420839174998</v>
      </c>
      <c r="L978">
        <f t="shared" si="15"/>
        <v>46.574999999999996</v>
      </c>
    </row>
    <row r="979" spans="1:12" ht="12.75" customHeight="1">
      <c r="A979" s="321"/>
      <c r="B979" t="str">
        <f>'Quick View_ Sample Data'!P979</f>
        <v>MgO</v>
      </c>
      <c r="C979">
        <f>'Quick View_ Sample Data'!O979</f>
        <v>342</v>
      </c>
      <c r="D979">
        <f>'Quick View_ Sample Data'!AN979</f>
        <v>160.71522416584898</v>
      </c>
      <c r="E979">
        <f>'Quick View_ Sample Data'!O979</f>
        <v>342</v>
      </c>
      <c r="F979">
        <f>'Quick View_ Sample Data'!AO979</f>
        <v>18032.248151408257</v>
      </c>
      <c r="G979">
        <f>'Quick View_ Sample Data'!O979</f>
        <v>342</v>
      </c>
      <c r="H979">
        <f>'Quick View_ Sample Data'!AP979</f>
        <v>3.1481481481481479</v>
      </c>
      <c r="I979">
        <f>'Quick View_ Sample Data'!AF979</f>
        <v>4.25</v>
      </c>
      <c r="J979">
        <f>'Quick View_ Sample Data'!AJ979</f>
        <v>11.22</v>
      </c>
      <c r="K979">
        <f>'Quick View_ Sample Data'!AH979</f>
        <v>378.15346862552701</v>
      </c>
      <c r="L979">
        <f t="shared" si="15"/>
        <v>47.685000000000002</v>
      </c>
    </row>
    <row r="980" spans="1:12" ht="12.75" customHeight="1">
      <c r="A980" s="321"/>
      <c r="B980" t="str">
        <f>'Quick View_ Sample Data'!P980</f>
        <v>SiNx</v>
      </c>
      <c r="C980">
        <f>'Quick View_ Sample Data'!O980</f>
        <v>342</v>
      </c>
      <c r="D980">
        <f>'Quick View_ Sample Data'!AN980</f>
        <v>0</v>
      </c>
      <c r="E980">
        <f>'Quick View_ Sample Data'!O980</f>
        <v>342</v>
      </c>
      <c r="F980">
        <f>'Quick View_ Sample Data'!AO980</f>
        <v>0</v>
      </c>
      <c r="G980">
        <f>'Quick View_ Sample Data'!O980</f>
        <v>342</v>
      </c>
      <c r="H980">
        <f>'Quick View_ Sample Data'!AP980</f>
        <v>0</v>
      </c>
      <c r="I980">
        <f>'Quick View_ Sample Data'!AF980</f>
        <v>0</v>
      </c>
      <c r="J980">
        <f>'Quick View_ Sample Data'!AJ980</f>
        <v>12.51</v>
      </c>
      <c r="K980">
        <f>'Quick View_ Sample Data'!AH980</f>
        <v>388.05557643808498</v>
      </c>
      <c r="L980">
        <f t="shared" si="15"/>
        <v>0</v>
      </c>
    </row>
    <row r="981" spans="1:12" ht="12.75" customHeight="1">
      <c r="A981" s="321"/>
      <c r="B981" t="str">
        <f>'Quick View_ Sample Data'!P981</f>
        <v>MgO</v>
      </c>
      <c r="C981">
        <f>'Quick View_ Sample Data'!O981</f>
        <v>342</v>
      </c>
      <c r="D981">
        <f>'Quick View_ Sample Data'!AN981</f>
        <v>147.12302004998955</v>
      </c>
      <c r="E981">
        <f>'Quick View_ Sample Data'!O981</f>
        <v>342</v>
      </c>
      <c r="F981">
        <f>'Quick View_ Sample Data'!AO981</f>
        <v>16271.806017528845</v>
      </c>
      <c r="G981">
        <f>'Quick View_ Sample Data'!O981</f>
        <v>342</v>
      </c>
      <c r="H981">
        <f>'Quick View_ Sample Data'!AP981</f>
        <v>3.0740740740740744</v>
      </c>
      <c r="I981">
        <f>'Quick View_ Sample Data'!AF981</f>
        <v>4.1500000000000004</v>
      </c>
      <c r="J981">
        <f>'Quick View_ Sample Data'!AJ981</f>
        <v>11.06</v>
      </c>
      <c r="K981">
        <f>'Quick View_ Sample Data'!AH981</f>
        <v>354.51330132527602</v>
      </c>
      <c r="L981">
        <f t="shared" si="15"/>
        <v>45.899000000000008</v>
      </c>
    </row>
    <row r="982" spans="1:12" ht="12.75" customHeight="1">
      <c r="A982" s="321"/>
      <c r="B982" t="str">
        <f>'Quick View_ Sample Data'!P982</f>
        <v>MgO</v>
      </c>
      <c r="C982">
        <f>'Quick View_ Sample Data'!O982</f>
        <v>342</v>
      </c>
      <c r="D982">
        <f>'Quick View_ Sample Data'!AN982</f>
        <v>148.66507262339366</v>
      </c>
      <c r="E982">
        <f>'Quick View_ Sample Data'!O982</f>
        <v>342</v>
      </c>
      <c r="F982">
        <f>'Quick View_ Sample Data'!AO982</f>
        <v>16858.619235492843</v>
      </c>
      <c r="G982">
        <f>'Quick View_ Sample Data'!O982</f>
        <v>342</v>
      </c>
      <c r="H982">
        <f>'Quick View_ Sample Data'!AP982</f>
        <v>3.0814814814814815</v>
      </c>
      <c r="I982">
        <f>'Quick View_ Sample Data'!AF982</f>
        <v>4.16</v>
      </c>
      <c r="J982">
        <f>'Quick View_ Sample Data'!AJ982</f>
        <v>11.34</v>
      </c>
      <c r="K982">
        <f>'Quick View_ Sample Data'!AH982</f>
        <v>357.36796303700402</v>
      </c>
      <c r="L982">
        <f t="shared" si="15"/>
        <v>47.174399999999999</v>
      </c>
    </row>
    <row r="983" spans="1:12" ht="12.75" customHeight="1">
      <c r="A983" s="321"/>
      <c r="B983" t="str">
        <f>'Quick View_ Sample Data'!P983</f>
        <v>SiNx</v>
      </c>
      <c r="C983">
        <f>'Quick View_ Sample Data'!O983</f>
        <v>342</v>
      </c>
      <c r="D983">
        <f>'Quick View_ Sample Data'!AN983</f>
        <v>0</v>
      </c>
      <c r="E983">
        <f>'Quick View_ Sample Data'!O983</f>
        <v>342</v>
      </c>
      <c r="F983">
        <f>'Quick View_ Sample Data'!AO983</f>
        <v>0</v>
      </c>
      <c r="G983">
        <f>'Quick View_ Sample Data'!O983</f>
        <v>342</v>
      </c>
      <c r="H983">
        <f>'Quick View_ Sample Data'!AP983</f>
        <v>0</v>
      </c>
      <c r="I983">
        <f>'Quick View_ Sample Data'!AF983</f>
        <v>0</v>
      </c>
      <c r="J983">
        <f>'Quick View_ Sample Data'!AJ983</f>
        <v>12.42</v>
      </c>
      <c r="K983">
        <f>'Quick View_ Sample Data'!AH983</f>
        <v>389.39369911545799</v>
      </c>
      <c r="L983">
        <f t="shared" si="15"/>
        <v>0</v>
      </c>
    </row>
    <row r="984" spans="1:12" ht="12.75" customHeight="1">
      <c r="A984" s="321"/>
      <c r="B984" t="str">
        <f>'Quick View_ Sample Data'!P992</f>
        <v>MgO</v>
      </c>
      <c r="C984">
        <f>'Quick View_ Sample Data'!O990</f>
        <v>345</v>
      </c>
      <c r="D984">
        <f>'Quick View_ Sample Data'!AN984</f>
        <v>0</v>
      </c>
      <c r="E984">
        <f>'Quick View_ Sample Data'!O990</f>
        <v>345</v>
      </c>
      <c r="F984">
        <f>'Quick View_ Sample Data'!AO984</f>
        <v>0</v>
      </c>
      <c r="G984">
        <f>'Quick View_ Sample Data'!O990</f>
        <v>345</v>
      </c>
      <c r="H984">
        <f>'Quick View_ Sample Data'!AP984</f>
        <v>0</v>
      </c>
      <c r="I984">
        <f>'Quick View_ Sample Data'!AF984</f>
        <v>0</v>
      </c>
      <c r="J984">
        <f>'Quick View_ Sample Data'!AJ984</f>
        <v>0</v>
      </c>
      <c r="K984">
        <f>'Quick View_ Sample Data'!AH984</f>
        <v>0</v>
      </c>
      <c r="L984">
        <f t="shared" si="15"/>
        <v>0</v>
      </c>
    </row>
    <row r="985" spans="1:12" ht="12.75" customHeight="1">
      <c r="A985" s="321"/>
      <c r="B985" t="str">
        <f>'Quick View_ Sample Data'!P991</f>
        <v>SiO2</v>
      </c>
      <c r="C985">
        <f>'Quick View_ Sample Data'!O991</f>
        <v>345</v>
      </c>
      <c r="D985">
        <f>'Quick View_ Sample Data'!AN985</f>
        <v>0</v>
      </c>
      <c r="E985">
        <f>'Quick View_ Sample Data'!O991</f>
        <v>345</v>
      </c>
      <c r="F985">
        <f>'Quick View_ Sample Data'!AO985</f>
        <v>0</v>
      </c>
      <c r="G985">
        <f>'Quick View_ Sample Data'!O991</f>
        <v>345</v>
      </c>
      <c r="H985">
        <f>'Quick View_ Sample Data'!AP985</f>
        <v>0</v>
      </c>
      <c r="I985">
        <f>'Quick View_ Sample Data'!AF985</f>
        <v>0</v>
      </c>
      <c r="J985">
        <f>'Quick View_ Sample Data'!AJ985</f>
        <v>0</v>
      </c>
      <c r="K985">
        <f>'Quick View_ Sample Data'!AH985</f>
        <v>0</v>
      </c>
      <c r="L985">
        <f t="shared" si="15"/>
        <v>0</v>
      </c>
    </row>
    <row r="986" spans="1:12" ht="12.75" customHeight="1">
      <c r="A986" s="321"/>
      <c r="B986" t="str">
        <f>'Quick View_ Sample Data'!P992</f>
        <v>MgO</v>
      </c>
      <c r="C986">
        <f>'Quick View_ Sample Data'!O992</f>
        <v>345</v>
      </c>
      <c r="D986">
        <f>'Quick View_ Sample Data'!AN986</f>
        <v>0</v>
      </c>
      <c r="E986">
        <f>'Quick View_ Sample Data'!O992</f>
        <v>345</v>
      </c>
      <c r="F986">
        <f>'Quick View_ Sample Data'!AO986</f>
        <v>0</v>
      </c>
      <c r="G986">
        <f>'Quick View_ Sample Data'!O992</f>
        <v>345</v>
      </c>
      <c r="H986">
        <f>'Quick View_ Sample Data'!AP986</f>
        <v>0</v>
      </c>
      <c r="I986">
        <f>'Quick View_ Sample Data'!AF986</f>
        <v>0</v>
      </c>
      <c r="J986">
        <f>'Quick View_ Sample Data'!AJ986</f>
        <v>0</v>
      </c>
      <c r="K986">
        <f>'Quick View_ Sample Data'!AH986</f>
        <v>0</v>
      </c>
      <c r="L986">
        <f t="shared" si="15"/>
        <v>0</v>
      </c>
    </row>
    <row r="987" spans="1:12" ht="12.75" customHeight="1">
      <c r="A987" s="321"/>
      <c r="B987" t="str">
        <f>'Quick View_ Sample Data'!P993</f>
        <v>SiO2</v>
      </c>
      <c r="C987">
        <f>'Quick View_ Sample Data'!O993</f>
        <v>345</v>
      </c>
      <c r="D987">
        <f>'Quick View_ Sample Data'!AN987</f>
        <v>0</v>
      </c>
      <c r="E987">
        <f>'Quick View_ Sample Data'!O993</f>
        <v>345</v>
      </c>
      <c r="F987">
        <f>'Quick View_ Sample Data'!AO987</f>
        <v>0</v>
      </c>
      <c r="G987">
        <f>'Quick View_ Sample Data'!O993</f>
        <v>345</v>
      </c>
      <c r="H987">
        <f>'Quick View_ Sample Data'!AP987</f>
        <v>0</v>
      </c>
      <c r="I987">
        <f>'Quick View_ Sample Data'!AF987</f>
        <v>0</v>
      </c>
      <c r="J987">
        <f>'Quick View_ Sample Data'!AJ987</f>
        <v>0</v>
      </c>
      <c r="K987">
        <f>'Quick View_ Sample Data'!AH987</f>
        <v>0</v>
      </c>
      <c r="L987">
        <f t="shared" si="15"/>
        <v>0</v>
      </c>
    </row>
    <row r="988" spans="1:12" ht="12.75" customHeight="1">
      <c r="A988" s="321"/>
      <c r="B988" t="str">
        <f>'Quick View_ Sample Data'!P994</f>
        <v>SiO2</v>
      </c>
      <c r="C988">
        <f>'Quick View_ Sample Data'!O994</f>
        <v>345</v>
      </c>
      <c r="D988">
        <f>'Quick View_ Sample Data'!AN988</f>
        <v>0</v>
      </c>
      <c r="E988">
        <f>'Quick View_ Sample Data'!O994</f>
        <v>345</v>
      </c>
      <c r="F988">
        <f>'Quick View_ Sample Data'!AO988</f>
        <v>0</v>
      </c>
      <c r="G988">
        <f>'Quick View_ Sample Data'!O994</f>
        <v>345</v>
      </c>
      <c r="H988">
        <f>'Quick View_ Sample Data'!AP988</f>
        <v>0</v>
      </c>
      <c r="I988">
        <f>'Quick View_ Sample Data'!AF988</f>
        <v>0</v>
      </c>
      <c r="J988">
        <f>'Quick View_ Sample Data'!AJ988</f>
        <v>0</v>
      </c>
      <c r="K988">
        <f>'Quick View_ Sample Data'!AH988</f>
        <v>0</v>
      </c>
      <c r="L988">
        <f t="shared" si="15"/>
        <v>0</v>
      </c>
    </row>
    <row r="989" spans="1:12" ht="12.75" customHeight="1">
      <c r="A989" s="321"/>
      <c r="B989" t="str">
        <f>'Quick View_ Sample Data'!P995</f>
        <v>SiO2</v>
      </c>
      <c r="C989">
        <f>'Quick View_ Sample Data'!O995</f>
        <v>345</v>
      </c>
      <c r="D989">
        <f>'Quick View_ Sample Data'!AN989</f>
        <v>0</v>
      </c>
      <c r="E989">
        <f>'Quick View_ Sample Data'!O995</f>
        <v>345</v>
      </c>
      <c r="F989">
        <f>'Quick View_ Sample Data'!AO989</f>
        <v>0</v>
      </c>
      <c r="G989">
        <f>'Quick View_ Sample Data'!O995</f>
        <v>345</v>
      </c>
      <c r="H989">
        <f>'Quick View_ Sample Data'!AP989</f>
        <v>0</v>
      </c>
      <c r="I989">
        <f>'Quick View_ Sample Data'!AF989</f>
        <v>0</v>
      </c>
      <c r="J989">
        <f>'Quick View_ Sample Data'!AJ989</f>
        <v>0</v>
      </c>
      <c r="K989">
        <f>'Quick View_ Sample Data'!AH989</f>
        <v>0</v>
      </c>
      <c r="L989">
        <f t="shared" si="15"/>
        <v>0</v>
      </c>
    </row>
    <row r="990" spans="1:12" ht="12.75" customHeight="1">
      <c r="A990" s="321"/>
      <c r="B990" t="str">
        <f>'Quick View_ Sample Data'!P990</f>
        <v>SiO2</v>
      </c>
      <c r="C990">
        <f>'Quick View_ Sample Data'!O990</f>
        <v>345</v>
      </c>
      <c r="D990">
        <f>'Quick View_ Sample Data'!AN990</f>
        <v>0</v>
      </c>
      <c r="E990">
        <f>'Quick View_ Sample Data'!O990</f>
        <v>345</v>
      </c>
      <c r="F990">
        <f>'Quick View_ Sample Data'!AO990</f>
        <v>0</v>
      </c>
      <c r="G990">
        <f>'Quick View_ Sample Data'!O990</f>
        <v>345</v>
      </c>
      <c r="H990">
        <f>'Quick View_ Sample Data'!AP990</f>
        <v>0</v>
      </c>
      <c r="I990">
        <f>'Quick View_ Sample Data'!AF990</f>
        <v>0</v>
      </c>
      <c r="J990">
        <f>'Quick View_ Sample Data'!AJ990</f>
        <v>10.8</v>
      </c>
      <c r="K990">
        <f>'Quick View_ Sample Data'!AH990</f>
        <v>431.58916754194399</v>
      </c>
      <c r="L990">
        <f t="shared" si="15"/>
        <v>0</v>
      </c>
    </row>
    <row r="991" spans="1:12" ht="12.75" customHeight="1">
      <c r="A991" s="321"/>
      <c r="B991" t="str">
        <f>'Quick View_ Sample Data'!P991</f>
        <v>SiO2</v>
      </c>
      <c r="C991">
        <f>'Quick View_ Sample Data'!O991</f>
        <v>345</v>
      </c>
      <c r="D991">
        <f>'Quick View_ Sample Data'!AN991</f>
        <v>0</v>
      </c>
      <c r="E991">
        <f>'Quick View_ Sample Data'!O991</f>
        <v>345</v>
      </c>
      <c r="F991">
        <f>'Quick View_ Sample Data'!AO991</f>
        <v>0</v>
      </c>
      <c r="G991">
        <f>'Quick View_ Sample Data'!O991</f>
        <v>345</v>
      </c>
      <c r="H991">
        <f>'Quick View_ Sample Data'!AP991</f>
        <v>0</v>
      </c>
      <c r="I991">
        <f>'Quick View_ Sample Data'!AF991</f>
        <v>0</v>
      </c>
      <c r="J991">
        <f>'Quick View_ Sample Data'!AJ991</f>
        <v>10.88</v>
      </c>
      <c r="K991">
        <f>'Quick View_ Sample Data'!AH991</f>
        <v>434.26541289668899</v>
      </c>
      <c r="L991">
        <f t="shared" si="15"/>
        <v>0</v>
      </c>
    </row>
    <row r="992" spans="1:12" ht="12.75" customHeight="1">
      <c r="A992" s="321"/>
      <c r="B992" t="str">
        <f>'Quick View_ Sample Data'!P992</f>
        <v>MgO</v>
      </c>
      <c r="C992">
        <f>'Quick View_ Sample Data'!O992</f>
        <v>345</v>
      </c>
      <c r="D992">
        <f>'Quick View_ Sample Data'!AN992</f>
        <v>120.10989152097405</v>
      </c>
      <c r="E992">
        <f>'Quick View_ Sample Data'!O992</f>
        <v>345</v>
      </c>
      <c r="F992">
        <f>'Quick View_ Sample Data'!AO992</f>
        <v>15470.154027901457</v>
      </c>
      <c r="G992">
        <f>'Quick View_ Sample Data'!O992</f>
        <v>345</v>
      </c>
      <c r="H992">
        <f>'Quick View_ Sample Data'!AP992</f>
        <v>3.214285714285714</v>
      </c>
      <c r="I992">
        <f>'Quick View_ Sample Data'!AF992</f>
        <v>4.5</v>
      </c>
      <c r="J992">
        <f>'Quick View_ Sample Data'!AJ992</f>
        <v>12.88</v>
      </c>
      <c r="K992">
        <f>'Quick View_ Sample Data'!AH992</f>
        <v>266.91087004660898</v>
      </c>
      <c r="L992">
        <f t="shared" si="15"/>
        <v>57.96</v>
      </c>
    </row>
    <row r="993" spans="1:12" ht="12.75" customHeight="1">
      <c r="A993" s="321"/>
      <c r="B993" t="str">
        <f>'Quick View_ Sample Data'!P993</f>
        <v>SiO2</v>
      </c>
      <c r="C993">
        <f>'Quick View_ Sample Data'!O993</f>
        <v>345</v>
      </c>
      <c r="D993">
        <f>'Quick View_ Sample Data'!AN993</f>
        <v>0</v>
      </c>
      <c r="E993">
        <f>'Quick View_ Sample Data'!O993</f>
        <v>345</v>
      </c>
      <c r="F993">
        <f>'Quick View_ Sample Data'!AO993</f>
        <v>0</v>
      </c>
      <c r="G993">
        <f>'Quick View_ Sample Data'!O993</f>
        <v>345</v>
      </c>
      <c r="H993">
        <f>'Quick View_ Sample Data'!AP993</f>
        <v>0</v>
      </c>
      <c r="I993">
        <f>'Quick View_ Sample Data'!AF993</f>
        <v>0</v>
      </c>
      <c r="J993">
        <f>'Quick View_ Sample Data'!AJ993</f>
        <v>10.87</v>
      </c>
      <c r="K993">
        <f>'Quick View_ Sample Data'!AH993</f>
        <v>426.05826047546998</v>
      </c>
      <c r="L993">
        <f t="shared" si="15"/>
        <v>0</v>
      </c>
    </row>
    <row r="994" spans="1:12" ht="12.75" customHeight="1">
      <c r="A994" s="321"/>
      <c r="B994" t="str">
        <f>'Quick View_ Sample Data'!P994</f>
        <v>SiO2</v>
      </c>
      <c r="C994">
        <f>'Quick View_ Sample Data'!O994</f>
        <v>345</v>
      </c>
      <c r="D994">
        <f>'Quick View_ Sample Data'!AN994</f>
        <v>0</v>
      </c>
      <c r="E994">
        <f>'Quick View_ Sample Data'!O994</f>
        <v>345</v>
      </c>
      <c r="F994">
        <f>'Quick View_ Sample Data'!AO994</f>
        <v>0</v>
      </c>
      <c r="G994">
        <f>'Quick View_ Sample Data'!O994</f>
        <v>345</v>
      </c>
      <c r="H994">
        <f>'Quick View_ Sample Data'!AP994</f>
        <v>0</v>
      </c>
      <c r="I994">
        <f>'Quick View_ Sample Data'!AF994</f>
        <v>0</v>
      </c>
      <c r="J994">
        <f>'Quick View_ Sample Data'!AJ994</f>
        <v>10.78</v>
      </c>
      <c r="K994">
        <f>'Quick View_ Sample Data'!AH994</f>
        <v>430.16183668607903</v>
      </c>
      <c r="L994">
        <f t="shared" si="15"/>
        <v>0</v>
      </c>
    </row>
    <row r="995" spans="1:12" ht="12.75" customHeight="1">
      <c r="A995" s="321"/>
      <c r="B995" t="str">
        <f>'Quick View_ Sample Data'!P995</f>
        <v>SiO2</v>
      </c>
      <c r="C995">
        <f>'Quick View_ Sample Data'!O995</f>
        <v>345</v>
      </c>
      <c r="D995">
        <f>'Quick View_ Sample Data'!AN995</f>
        <v>0</v>
      </c>
      <c r="E995">
        <f>'Quick View_ Sample Data'!O995</f>
        <v>345</v>
      </c>
      <c r="F995">
        <f>'Quick View_ Sample Data'!AO995</f>
        <v>0</v>
      </c>
      <c r="G995">
        <f>'Quick View_ Sample Data'!O995</f>
        <v>345</v>
      </c>
      <c r="H995">
        <f>'Quick View_ Sample Data'!AP995</f>
        <v>0</v>
      </c>
      <c r="I995">
        <f>'Quick View_ Sample Data'!AF995</f>
        <v>0</v>
      </c>
      <c r="J995">
        <f>'Quick View_ Sample Data'!AJ995</f>
        <v>11.35</v>
      </c>
      <c r="K995">
        <f>'Quick View_ Sample Data'!AH995</f>
        <v>384.30883294144098</v>
      </c>
      <c r="L995">
        <f t="shared" si="15"/>
        <v>0</v>
      </c>
    </row>
    <row r="996" spans="1:12" ht="12.75" customHeight="1">
      <c r="A996" s="321"/>
      <c r="B996" t="str">
        <f>'Quick View_ Sample Data'!P996</f>
        <v>MgO</v>
      </c>
      <c r="C996">
        <f>'Quick View_ Sample Data'!O996</f>
        <v>346</v>
      </c>
      <c r="D996">
        <f>'Quick View_ Sample Data'!AN996</f>
        <v>0</v>
      </c>
      <c r="E996">
        <f>'Quick View_ Sample Data'!O996</f>
        <v>346</v>
      </c>
      <c r="F996">
        <f>'Quick View_ Sample Data'!AO996</f>
        <v>0</v>
      </c>
      <c r="G996">
        <f>'Quick View_ Sample Data'!O996</f>
        <v>346</v>
      </c>
      <c r="H996">
        <f>'Quick View_ Sample Data'!AP996</f>
        <v>0</v>
      </c>
      <c r="I996">
        <f>'Quick View_ Sample Data'!AF996</f>
        <v>0</v>
      </c>
      <c r="J996">
        <f>'Quick View_ Sample Data'!AJ996</f>
        <v>0</v>
      </c>
      <c r="K996">
        <f>'Quick View_ Sample Data'!AH996</f>
        <v>0</v>
      </c>
      <c r="L996">
        <f t="shared" si="15"/>
        <v>0</v>
      </c>
    </row>
    <row r="997" spans="1:12" ht="12.75" customHeight="1">
      <c r="A997" s="321"/>
      <c r="B997" t="str">
        <f>'Quick View_ Sample Data'!P997</f>
        <v>MgO</v>
      </c>
      <c r="C997">
        <f>'Quick View_ Sample Data'!O997</f>
        <v>346</v>
      </c>
      <c r="D997">
        <f>'Quick View_ Sample Data'!AN997</f>
        <v>0</v>
      </c>
      <c r="E997">
        <f>'Quick View_ Sample Data'!O997</f>
        <v>346</v>
      </c>
      <c r="F997">
        <f>'Quick View_ Sample Data'!AO997</f>
        <v>0</v>
      </c>
      <c r="G997">
        <f>'Quick View_ Sample Data'!O997</f>
        <v>346</v>
      </c>
      <c r="H997">
        <f>'Quick View_ Sample Data'!AP997</f>
        <v>0</v>
      </c>
      <c r="I997">
        <f>'Quick View_ Sample Data'!AF997</f>
        <v>0</v>
      </c>
      <c r="J997">
        <f>'Quick View_ Sample Data'!AJ997</f>
        <v>0</v>
      </c>
      <c r="K997">
        <f>'Quick View_ Sample Data'!AH997</f>
        <v>0</v>
      </c>
      <c r="L997">
        <f t="shared" si="15"/>
        <v>0</v>
      </c>
    </row>
    <row r="998" spans="1:12" ht="12.75" customHeight="1">
      <c r="A998" s="321"/>
      <c r="B998" t="str">
        <f>'Quick View_ Sample Data'!P998</f>
        <v>SiO2</v>
      </c>
      <c r="C998">
        <f>'Quick View_ Sample Data'!O998</f>
        <v>347</v>
      </c>
      <c r="D998">
        <f>'Quick View_ Sample Data'!AN998</f>
        <v>0</v>
      </c>
      <c r="E998">
        <f>'Quick View_ Sample Data'!O998</f>
        <v>347</v>
      </c>
      <c r="F998">
        <f>'Quick View_ Sample Data'!AO998</f>
        <v>0</v>
      </c>
      <c r="G998">
        <f>'Quick View_ Sample Data'!O998</f>
        <v>347</v>
      </c>
      <c r="H998">
        <f>'Quick View_ Sample Data'!AP998</f>
        <v>0</v>
      </c>
      <c r="I998">
        <f>'Quick View_ Sample Data'!AF998</f>
        <v>0</v>
      </c>
      <c r="J998">
        <f>'Quick View_ Sample Data'!AJ998</f>
        <v>0</v>
      </c>
      <c r="K998">
        <f>'Quick View_ Sample Data'!AH998</f>
        <v>0</v>
      </c>
      <c r="L998">
        <f t="shared" si="15"/>
        <v>0</v>
      </c>
    </row>
    <row r="999" spans="1:12" ht="12.75" customHeight="1">
      <c r="A999" s="321"/>
      <c r="B999" t="str">
        <f>'Quick View_ Sample Data'!P999</f>
        <v>SiO2</v>
      </c>
      <c r="C999">
        <f>'Quick View_ Sample Data'!O999</f>
        <v>347</v>
      </c>
      <c r="D999">
        <f>'Quick View_ Sample Data'!AN999</f>
        <v>0</v>
      </c>
      <c r="E999">
        <f>'Quick View_ Sample Data'!O999</f>
        <v>347</v>
      </c>
      <c r="F999">
        <f>'Quick View_ Sample Data'!AO999</f>
        <v>0</v>
      </c>
      <c r="G999">
        <f>'Quick View_ Sample Data'!O999</f>
        <v>347</v>
      </c>
      <c r="H999">
        <f>'Quick View_ Sample Data'!AP999</f>
        <v>0</v>
      </c>
      <c r="I999">
        <f>'Quick View_ Sample Data'!AF999</f>
        <v>0</v>
      </c>
      <c r="J999">
        <f>'Quick View_ Sample Data'!AJ999</f>
        <v>0</v>
      </c>
      <c r="K999">
        <f>'Quick View_ Sample Data'!AH999</f>
        <v>0</v>
      </c>
      <c r="L999">
        <f t="shared" si="15"/>
        <v>0</v>
      </c>
    </row>
    <row r="1000" spans="1:12" ht="12.75" customHeight="1">
      <c r="A1000" s="321"/>
      <c r="B1000" t="str">
        <f>'Quick View_ Sample Data'!P1000</f>
        <v>SiO2</v>
      </c>
      <c r="C1000">
        <f>'Quick View_ Sample Data'!O1000</f>
        <v>347</v>
      </c>
      <c r="D1000">
        <f>'Quick View_ Sample Data'!AN1000</f>
        <v>0</v>
      </c>
      <c r="E1000">
        <f>'Quick View_ Sample Data'!O1000</f>
        <v>347</v>
      </c>
      <c r="F1000">
        <f>'Quick View_ Sample Data'!AO1000</f>
        <v>0</v>
      </c>
      <c r="G1000">
        <f>'Quick View_ Sample Data'!O1000</f>
        <v>347</v>
      </c>
      <c r="H1000">
        <f>'Quick View_ Sample Data'!AP1000</f>
        <v>0</v>
      </c>
      <c r="I1000">
        <f>'Quick View_ Sample Data'!AF1000</f>
        <v>0</v>
      </c>
      <c r="J1000">
        <f>'Quick View_ Sample Data'!AJ1000</f>
        <v>0</v>
      </c>
      <c r="K1000">
        <f>'Quick View_ Sample Data'!AH1000</f>
        <v>0</v>
      </c>
      <c r="L1000">
        <f t="shared" si="15"/>
        <v>0</v>
      </c>
    </row>
    <row r="1001" spans="1:12" ht="12.75" customHeight="1">
      <c r="A1001" s="321"/>
      <c r="B1001" t="str">
        <f>'Quick View_ Sample Data'!P1001</f>
        <v>SiO2</v>
      </c>
      <c r="C1001">
        <f>'Quick View_ Sample Data'!O1001</f>
        <v>347</v>
      </c>
      <c r="D1001">
        <f>'Quick View_ Sample Data'!AN1001</f>
        <v>0</v>
      </c>
      <c r="E1001">
        <f>'Quick View_ Sample Data'!O1001</f>
        <v>347</v>
      </c>
      <c r="F1001">
        <f>'Quick View_ Sample Data'!AO1001</f>
        <v>0</v>
      </c>
      <c r="G1001">
        <f>'Quick View_ Sample Data'!O1001</f>
        <v>347</v>
      </c>
      <c r="H1001">
        <f>'Quick View_ Sample Data'!AP1001</f>
        <v>0</v>
      </c>
      <c r="I1001">
        <f>'Quick View_ Sample Data'!AF1001</f>
        <v>0</v>
      </c>
      <c r="J1001">
        <f>'Quick View_ Sample Data'!AJ1001</f>
        <v>0</v>
      </c>
      <c r="K1001">
        <f>'Quick View_ Sample Data'!AH1001</f>
        <v>0</v>
      </c>
      <c r="L1001">
        <f t="shared" si="15"/>
        <v>0</v>
      </c>
    </row>
    <row r="1002" spans="1:12" ht="12.75" customHeight="1">
      <c r="A1002" s="321"/>
      <c r="B1002" t="str">
        <f>'Quick View_ Sample Data'!P1002</f>
        <v>SiO2</v>
      </c>
      <c r="C1002">
        <f>'Quick View_ Sample Data'!O1002</f>
        <v>347</v>
      </c>
      <c r="D1002">
        <f>'Quick View_ Sample Data'!AN1002</f>
        <v>0</v>
      </c>
      <c r="E1002">
        <f>'Quick View_ Sample Data'!O1002</f>
        <v>347</v>
      </c>
      <c r="F1002">
        <f>'Quick View_ Sample Data'!AO1002</f>
        <v>0</v>
      </c>
      <c r="G1002">
        <f>'Quick View_ Sample Data'!O1002</f>
        <v>347</v>
      </c>
      <c r="H1002">
        <f>'Quick View_ Sample Data'!AP1002</f>
        <v>0</v>
      </c>
      <c r="I1002">
        <f>'Quick View_ Sample Data'!AF1002</f>
        <v>0</v>
      </c>
      <c r="J1002">
        <f>'Quick View_ Sample Data'!AJ1002</f>
        <v>0</v>
      </c>
      <c r="K1002">
        <f>'Quick View_ Sample Data'!AH1002</f>
        <v>0</v>
      </c>
      <c r="L1002">
        <f t="shared" si="15"/>
        <v>0</v>
      </c>
    </row>
    <row r="1003" spans="1:12" ht="12.75" customHeight="1">
      <c r="A1003" s="321"/>
      <c r="B1003" t="str">
        <f>'Quick View_ Sample Data'!P1003</f>
        <v>MgO</v>
      </c>
      <c r="C1003">
        <f>'Quick View_ Sample Data'!O1003</f>
        <v>347</v>
      </c>
      <c r="D1003">
        <f>'Quick View_ Sample Data'!AN1003</f>
        <v>0</v>
      </c>
      <c r="E1003">
        <f>'Quick View_ Sample Data'!O1003</f>
        <v>347</v>
      </c>
      <c r="F1003">
        <f>'Quick View_ Sample Data'!AO1003</f>
        <v>0</v>
      </c>
      <c r="G1003">
        <f>'Quick View_ Sample Data'!O1003</f>
        <v>347</v>
      </c>
      <c r="H1003">
        <f>'Quick View_ Sample Data'!AP1003</f>
        <v>3.2571428571428571</v>
      </c>
      <c r="I1003">
        <f>'Quick View_ Sample Data'!AF1003</f>
        <v>4.5599999999999996</v>
      </c>
      <c r="J1003">
        <f>'Quick View_ Sample Data'!AJ1003</f>
        <v>0</v>
      </c>
      <c r="K1003">
        <f>'Quick View_ Sample Data'!AH1003</f>
        <v>0</v>
      </c>
      <c r="L1003">
        <f t="shared" si="15"/>
        <v>0</v>
      </c>
    </row>
    <row r="1004" spans="1:12" ht="12.75" customHeight="1">
      <c r="A1004" s="321"/>
      <c r="B1004" t="str">
        <f>'Quick View_ Sample Data'!P1004</f>
        <v>SiNx</v>
      </c>
      <c r="C1004">
        <f>'Quick View_ Sample Data'!O1004</f>
        <v>348</v>
      </c>
      <c r="D1004">
        <f>'Quick View_ Sample Data'!AN1004</f>
        <v>0</v>
      </c>
      <c r="E1004">
        <f>'Quick View_ Sample Data'!O1004</f>
        <v>348</v>
      </c>
      <c r="F1004">
        <f>'Quick View_ Sample Data'!AO1004</f>
        <v>0</v>
      </c>
      <c r="G1004">
        <f>'Quick View_ Sample Data'!O1004</f>
        <v>348</v>
      </c>
      <c r="H1004">
        <f>'Quick View_ Sample Data'!AP1004</f>
        <v>0</v>
      </c>
      <c r="I1004">
        <f>'Quick View_ Sample Data'!AF1004</f>
        <v>0</v>
      </c>
      <c r="J1004">
        <f>'Quick View_ Sample Data'!AJ1004</f>
        <v>10.8</v>
      </c>
      <c r="K1004">
        <f>'Quick View_ Sample Data'!AH1004</f>
        <v>464.774609940787</v>
      </c>
      <c r="L1004">
        <f t="shared" si="15"/>
        <v>0</v>
      </c>
    </row>
    <row r="1005" spans="1:12" ht="12.75" customHeight="1">
      <c r="A1005" s="321"/>
      <c r="B1005" t="str">
        <f>'Quick View_ Sample Data'!P1005</f>
        <v>SiNx</v>
      </c>
      <c r="C1005">
        <f>'Quick View_ Sample Data'!O1005</f>
        <v>348</v>
      </c>
      <c r="D1005">
        <f>'Quick View_ Sample Data'!AN1005</f>
        <v>0</v>
      </c>
      <c r="E1005">
        <f>'Quick View_ Sample Data'!O1005</f>
        <v>348</v>
      </c>
      <c r="F1005">
        <f>'Quick View_ Sample Data'!AO1005</f>
        <v>0</v>
      </c>
      <c r="G1005">
        <f>'Quick View_ Sample Data'!O1005</f>
        <v>348</v>
      </c>
      <c r="H1005">
        <f>'Quick View_ Sample Data'!AP1005</f>
        <v>0</v>
      </c>
      <c r="I1005">
        <f>'Quick View_ Sample Data'!AF1005</f>
        <v>0</v>
      </c>
      <c r="J1005">
        <f>'Quick View_ Sample Data'!AJ1005</f>
        <v>10.8</v>
      </c>
      <c r="K1005">
        <f>'Quick View_ Sample Data'!AH1005</f>
        <v>465.30985901173602</v>
      </c>
      <c r="L1005">
        <f t="shared" si="15"/>
        <v>0</v>
      </c>
    </row>
    <row r="1006" spans="1:12" ht="12.75" customHeight="1">
      <c r="A1006" s="321"/>
      <c r="B1006" t="str">
        <f>'Quick View_ Sample Data'!P1006</f>
        <v>SiNx</v>
      </c>
      <c r="C1006">
        <f>'Quick View_ Sample Data'!O1006</f>
        <v>348</v>
      </c>
      <c r="D1006">
        <f>'Quick View_ Sample Data'!AN1006</f>
        <v>0</v>
      </c>
      <c r="E1006">
        <f>'Quick View_ Sample Data'!O1006</f>
        <v>348</v>
      </c>
      <c r="F1006">
        <f>'Quick View_ Sample Data'!AO1006</f>
        <v>0</v>
      </c>
      <c r="G1006">
        <f>'Quick View_ Sample Data'!O1006</f>
        <v>348</v>
      </c>
      <c r="H1006">
        <f>'Quick View_ Sample Data'!AP1006</f>
        <v>0</v>
      </c>
      <c r="I1006">
        <f>'Quick View_ Sample Data'!AF1006</f>
        <v>0</v>
      </c>
      <c r="J1006">
        <f>'Quick View_ Sample Data'!AJ1006</f>
        <v>11.76</v>
      </c>
      <c r="K1006">
        <f>'Quick View_ Sample Data'!AH1006</f>
        <v>385.91458015428799</v>
      </c>
      <c r="L1006">
        <f t="shared" si="15"/>
        <v>0</v>
      </c>
    </row>
    <row r="1007" spans="1:12" ht="12.75" customHeight="1">
      <c r="A1007" s="321"/>
      <c r="B1007" t="str">
        <f>'Quick View_ Sample Data'!P1007</f>
        <v>SiNx</v>
      </c>
      <c r="C1007">
        <f>'Quick View_ Sample Data'!O1007</f>
        <v>348</v>
      </c>
      <c r="D1007">
        <f>'Quick View_ Sample Data'!AN1007</f>
        <v>0</v>
      </c>
      <c r="E1007">
        <f>'Quick View_ Sample Data'!O1007</f>
        <v>348</v>
      </c>
      <c r="F1007">
        <f>'Quick View_ Sample Data'!AO1007</f>
        <v>0</v>
      </c>
      <c r="G1007">
        <f>'Quick View_ Sample Data'!O1007</f>
        <v>348</v>
      </c>
      <c r="H1007">
        <f>'Quick View_ Sample Data'!AP1007</f>
        <v>0</v>
      </c>
      <c r="I1007">
        <f>'Quick View_ Sample Data'!AF1007</f>
        <v>0</v>
      </c>
      <c r="J1007">
        <f>'Quick View_ Sample Data'!AJ1007</f>
        <v>10.81</v>
      </c>
      <c r="K1007">
        <f>'Quick View_ Sample Data'!AH1007</f>
        <v>464.95302629777001</v>
      </c>
      <c r="L1007">
        <f t="shared" si="15"/>
        <v>0</v>
      </c>
    </row>
    <row r="1008" spans="1:12" ht="12.75" customHeight="1">
      <c r="A1008" s="321"/>
      <c r="B1008" t="str">
        <f>'Quick View_ Sample Data'!P1008</f>
        <v>SiNx</v>
      </c>
      <c r="C1008">
        <f>'Quick View_ Sample Data'!O1008</f>
        <v>348</v>
      </c>
      <c r="D1008">
        <f>'Quick View_ Sample Data'!AN1008</f>
        <v>0</v>
      </c>
      <c r="E1008">
        <f>'Quick View_ Sample Data'!O1008</f>
        <v>348</v>
      </c>
      <c r="F1008">
        <f>'Quick View_ Sample Data'!AO1008</f>
        <v>0</v>
      </c>
      <c r="G1008">
        <f>'Quick View_ Sample Data'!O1008</f>
        <v>348</v>
      </c>
      <c r="H1008">
        <f>'Quick View_ Sample Data'!AP1008</f>
        <v>0</v>
      </c>
      <c r="I1008">
        <f>'Quick View_ Sample Data'!AF1008</f>
        <v>0</v>
      </c>
      <c r="J1008">
        <f>'Quick View_ Sample Data'!AJ1008</f>
        <v>10.9</v>
      </c>
      <c r="K1008">
        <f>'Quick View_ Sample Data'!AH1008</f>
        <v>463.34727908492198</v>
      </c>
      <c r="L1008">
        <f t="shared" si="15"/>
        <v>0</v>
      </c>
    </row>
    <row r="1009" spans="1:12" ht="12.75" customHeight="1">
      <c r="A1009" s="321"/>
      <c r="B1009" t="str">
        <f>'Quick View_ Sample Data'!P1009</f>
        <v>MgO</v>
      </c>
      <c r="C1009">
        <f>'Quick View_ Sample Data'!O1009</f>
        <v>348</v>
      </c>
      <c r="D1009">
        <f>'Quick View_ Sample Data'!AN1009</f>
        <v>122.33706290519342</v>
      </c>
      <c r="E1009">
        <f>'Quick View_ Sample Data'!O1009</f>
        <v>348</v>
      </c>
      <c r="F1009">
        <f>'Quick View_ Sample Data'!AO1009</f>
        <v>16429.867548167476</v>
      </c>
      <c r="G1009">
        <f>'Quick View_ Sample Data'!O1009</f>
        <v>348</v>
      </c>
      <c r="H1009">
        <f>'Quick View_ Sample Data'!AP1009</f>
        <v>3.0214285714285718</v>
      </c>
      <c r="I1009">
        <f>'Quick View_ Sample Data'!AF1009</f>
        <v>4.2300000000000004</v>
      </c>
      <c r="J1009">
        <f>'Quick View_ Sample Data'!AJ1009</f>
        <v>13.43</v>
      </c>
      <c r="K1009">
        <f>'Quick View_ Sample Data'!AH1009</f>
        <v>289.21291466948799</v>
      </c>
      <c r="L1009">
        <f t="shared" si="15"/>
        <v>56.808900000000001</v>
      </c>
    </row>
    <row r="1010" spans="1:12" ht="12.75" customHeight="1">
      <c r="A1010" s="321"/>
      <c r="B1010">
        <f>'Quick View_ Sample Data'!P1010</f>
        <v>0</v>
      </c>
      <c r="C1010">
        <f>'Quick View_ Sample Data'!O1010</f>
        <v>349</v>
      </c>
      <c r="D1010">
        <f>'Quick View_ Sample Data'!AN1010</f>
        <v>0</v>
      </c>
      <c r="E1010">
        <f>'Quick View_ Sample Data'!O1010</f>
        <v>349</v>
      </c>
      <c r="F1010">
        <f>'Quick View_ Sample Data'!AO1010</f>
        <v>0</v>
      </c>
      <c r="G1010">
        <f>'Quick View_ Sample Data'!O1010</f>
        <v>349</v>
      </c>
      <c r="H1010" t="e">
        <f>'Quick View_ Sample Data'!AP1010</f>
        <v>#DIV/0!</v>
      </c>
      <c r="I1010">
        <f>'Quick View_ Sample Data'!AF1010</f>
        <v>0</v>
      </c>
      <c r="J1010">
        <f>'Quick View_ Sample Data'!AJ1010</f>
        <v>0</v>
      </c>
      <c r="K1010">
        <f>'Quick View_ Sample Data'!AH1010</f>
        <v>0</v>
      </c>
      <c r="L1010">
        <f t="shared" si="15"/>
        <v>0</v>
      </c>
    </row>
    <row r="1011" spans="1:12" ht="12.75" customHeight="1">
      <c r="A1011" s="321"/>
      <c r="B1011">
        <f>'Quick View_ Sample Data'!P1011</f>
        <v>0</v>
      </c>
      <c r="C1011">
        <f>'Quick View_ Sample Data'!O1011</f>
        <v>349</v>
      </c>
      <c r="D1011">
        <f>'Quick View_ Sample Data'!AN1011</f>
        <v>0</v>
      </c>
      <c r="E1011">
        <f>'Quick View_ Sample Data'!O1011</f>
        <v>349</v>
      </c>
      <c r="F1011">
        <f>'Quick View_ Sample Data'!AO1011</f>
        <v>0</v>
      </c>
      <c r="G1011">
        <f>'Quick View_ Sample Data'!O1011</f>
        <v>349</v>
      </c>
      <c r="H1011" t="e">
        <f>'Quick View_ Sample Data'!AP1011</f>
        <v>#DIV/0!</v>
      </c>
      <c r="I1011">
        <f>'Quick View_ Sample Data'!AF1011</f>
        <v>0</v>
      </c>
      <c r="J1011">
        <f>'Quick View_ Sample Data'!AJ1011</f>
        <v>0</v>
      </c>
      <c r="K1011">
        <f>'Quick View_ Sample Data'!AH1011</f>
        <v>0</v>
      </c>
      <c r="L1011">
        <f t="shared" si="15"/>
        <v>0</v>
      </c>
    </row>
    <row r="1012" spans="1:12" ht="12.75" customHeight="1">
      <c r="A1012" s="321"/>
      <c r="B1012" t="str">
        <f>'Quick View_ Sample Data'!P1012</f>
        <v>SiO2</v>
      </c>
      <c r="C1012">
        <f>'Quick View_ Sample Data'!O1012</f>
        <v>353</v>
      </c>
      <c r="D1012">
        <f>'Quick View_ Sample Data'!AN1012</f>
        <v>0</v>
      </c>
      <c r="E1012">
        <f>'Quick View_ Sample Data'!O1012</f>
        <v>353</v>
      </c>
      <c r="F1012">
        <f>'Quick View_ Sample Data'!AO1012</f>
        <v>0</v>
      </c>
      <c r="G1012">
        <f>'Quick View_ Sample Data'!O1012</f>
        <v>353</v>
      </c>
      <c r="H1012">
        <f>'Quick View_ Sample Data'!AP1012</f>
        <v>0</v>
      </c>
      <c r="I1012">
        <f>'Quick View_ Sample Data'!AF1012</f>
        <v>0</v>
      </c>
      <c r="J1012">
        <f>'Quick View_ Sample Data'!AJ1012</f>
        <v>11.17</v>
      </c>
      <c r="K1012">
        <f>'Quick View_ Sample Data'!AH1012</f>
        <v>455.586167556161</v>
      </c>
      <c r="L1012">
        <f t="shared" si="15"/>
        <v>0</v>
      </c>
    </row>
    <row r="1013" spans="1:12" ht="12.75" customHeight="1">
      <c r="A1013" s="321"/>
      <c r="B1013" t="str">
        <f>'Quick View_ Sample Data'!P1013</f>
        <v>SiO2</v>
      </c>
      <c r="C1013">
        <f>'Quick View_ Sample Data'!O1013</f>
        <v>353</v>
      </c>
      <c r="D1013">
        <f>'Quick View_ Sample Data'!AN1013</f>
        <v>0</v>
      </c>
      <c r="E1013">
        <f>'Quick View_ Sample Data'!O1013</f>
        <v>353</v>
      </c>
      <c r="F1013">
        <f>'Quick View_ Sample Data'!AO1013</f>
        <v>0</v>
      </c>
      <c r="G1013">
        <f>'Quick View_ Sample Data'!O1013</f>
        <v>353</v>
      </c>
      <c r="H1013">
        <f>'Quick View_ Sample Data'!AP1013</f>
        <v>0</v>
      </c>
      <c r="I1013">
        <f>'Quick View_ Sample Data'!AF1013</f>
        <v>0</v>
      </c>
      <c r="J1013">
        <f>'Quick View_ Sample Data'!AJ1013</f>
        <v>10.55</v>
      </c>
      <c r="K1013">
        <f>'Quick View_ Sample Data'!AH1013</f>
        <v>495.462223341867</v>
      </c>
      <c r="L1013">
        <f t="shared" si="15"/>
        <v>0</v>
      </c>
    </row>
    <row r="1014" spans="1:12" ht="12.75" customHeight="1">
      <c r="A1014" s="321"/>
      <c r="B1014" t="str">
        <f>'Quick View_ Sample Data'!P1014</f>
        <v>SiO2</v>
      </c>
      <c r="C1014">
        <f>'Quick View_ Sample Data'!O1014</f>
        <v>353</v>
      </c>
      <c r="D1014">
        <f>'Quick View_ Sample Data'!AN1014</f>
        <v>0</v>
      </c>
      <c r="E1014">
        <f>'Quick View_ Sample Data'!O1014</f>
        <v>353</v>
      </c>
      <c r="F1014">
        <f>'Quick View_ Sample Data'!AO1014</f>
        <v>0</v>
      </c>
      <c r="G1014">
        <f>'Quick View_ Sample Data'!O1014</f>
        <v>353</v>
      </c>
      <c r="H1014">
        <f>'Quick View_ Sample Data'!AP1014</f>
        <v>0</v>
      </c>
      <c r="I1014">
        <f>'Quick View_ Sample Data'!AF1014</f>
        <v>0</v>
      </c>
      <c r="J1014">
        <f>'Quick View_ Sample Data'!AJ1014</f>
        <v>0</v>
      </c>
      <c r="K1014">
        <f>'Quick View_ Sample Data'!AH1014</f>
        <v>0</v>
      </c>
      <c r="L1014">
        <f t="shared" si="15"/>
        <v>0</v>
      </c>
    </row>
    <row r="1015" spans="1:12" ht="12.75" customHeight="1">
      <c r="A1015" s="321"/>
      <c r="B1015" t="str">
        <f>'Quick View_ Sample Data'!P1015</f>
        <v>SiO2</v>
      </c>
      <c r="C1015">
        <f>'Quick View_ Sample Data'!O1015</f>
        <v>353</v>
      </c>
      <c r="D1015">
        <f>'Quick View_ Sample Data'!AN1015</f>
        <v>0</v>
      </c>
      <c r="E1015">
        <f>'Quick View_ Sample Data'!O1015</f>
        <v>353</v>
      </c>
      <c r="F1015">
        <f>'Quick View_ Sample Data'!AO1015</f>
        <v>0</v>
      </c>
      <c r="G1015">
        <f>'Quick View_ Sample Data'!O1015</f>
        <v>353</v>
      </c>
      <c r="H1015">
        <f>'Quick View_ Sample Data'!AP1015</f>
        <v>0</v>
      </c>
      <c r="I1015">
        <f>'Quick View_ Sample Data'!AF1015</f>
        <v>0</v>
      </c>
      <c r="J1015">
        <f>'Quick View_ Sample Data'!AJ1015</f>
        <v>10.35</v>
      </c>
      <c r="K1015">
        <f>'Quick View_ Sample Data'!AH1015</f>
        <v>494.65934973544398</v>
      </c>
      <c r="L1015">
        <f t="shared" si="15"/>
        <v>0</v>
      </c>
    </row>
    <row r="1016" spans="1:12" ht="12.75" customHeight="1">
      <c r="A1016" s="321"/>
      <c r="B1016" t="str">
        <f>'Quick View_ Sample Data'!P1016</f>
        <v>SiO2</v>
      </c>
      <c r="C1016">
        <f>'Quick View_ Sample Data'!O1016</f>
        <v>353</v>
      </c>
      <c r="D1016">
        <f>'Quick View_ Sample Data'!AN1016</f>
        <v>0</v>
      </c>
      <c r="E1016">
        <f>'Quick View_ Sample Data'!O1016</f>
        <v>353</v>
      </c>
      <c r="F1016">
        <f>'Quick View_ Sample Data'!AO1016</f>
        <v>0</v>
      </c>
      <c r="G1016">
        <f>'Quick View_ Sample Data'!O1016</f>
        <v>353</v>
      </c>
      <c r="H1016">
        <f>'Quick View_ Sample Data'!AP1016</f>
        <v>0</v>
      </c>
      <c r="I1016">
        <f>'Quick View_ Sample Data'!AF1016</f>
        <v>0</v>
      </c>
      <c r="J1016">
        <f>'Quick View_ Sample Data'!AJ1016</f>
        <v>10.07</v>
      </c>
      <c r="K1016">
        <f>'Quick View_ Sample Data'!AH1016</f>
        <v>502.24204490722201</v>
      </c>
      <c r="L1016">
        <f t="shared" si="15"/>
        <v>0</v>
      </c>
    </row>
    <row r="1017" spans="1:12" ht="12.75" customHeight="1">
      <c r="A1017" s="321"/>
      <c r="B1017" t="str">
        <f>'Quick View_ Sample Data'!P1017</f>
        <v>MgO</v>
      </c>
      <c r="C1017">
        <f>'Quick View_ Sample Data'!O1017</f>
        <v>353</v>
      </c>
      <c r="D1017">
        <f>'Quick View_ Sample Data'!AN1017</f>
        <v>151.66817674413196</v>
      </c>
      <c r="E1017">
        <f>'Quick View_ Sample Data'!O1017</f>
        <v>353</v>
      </c>
      <c r="F1017">
        <f>'Quick View_ Sample Data'!AO1017</f>
        <v>16622.832171156864</v>
      </c>
      <c r="G1017">
        <f>'Quick View_ Sample Data'!O1017</f>
        <v>353</v>
      </c>
      <c r="H1017">
        <f>'Quick View_ Sample Data'!AP1017</f>
        <v>3.1428571428571428</v>
      </c>
      <c r="I1017">
        <f>'Quick View_ Sample Data'!AF1017</f>
        <v>4.4000000000000004</v>
      </c>
      <c r="J1017">
        <f>'Quick View_ Sample Data'!AJ1017</f>
        <v>10.96</v>
      </c>
      <c r="K1017">
        <f>'Quick View_ Sample Data'!AH1017</f>
        <v>344.70040169120898</v>
      </c>
      <c r="L1017">
        <f t="shared" si="15"/>
        <v>48.224000000000011</v>
      </c>
    </row>
    <row r="1018" spans="1:12" ht="12.75" customHeight="1">
      <c r="A1018" s="321"/>
      <c r="B1018" t="str">
        <f>'Quick View_ Sample Data'!P1018</f>
        <v>SiO2</v>
      </c>
      <c r="C1018">
        <f>'Quick View_ Sample Data'!O1018</f>
        <v>354</v>
      </c>
      <c r="D1018">
        <f>'Quick View_ Sample Data'!AN1018</f>
        <v>0</v>
      </c>
      <c r="E1018">
        <f>'Quick View_ Sample Data'!O1018</f>
        <v>354</v>
      </c>
      <c r="F1018">
        <f>'Quick View_ Sample Data'!AO1018</f>
        <v>0</v>
      </c>
      <c r="G1018">
        <f>'Quick View_ Sample Data'!O1018</f>
        <v>354</v>
      </c>
      <c r="H1018">
        <f>'Quick View_ Sample Data'!AP1018</f>
        <v>0</v>
      </c>
      <c r="I1018">
        <f>'Quick View_ Sample Data'!AF1018</f>
        <v>0</v>
      </c>
      <c r="J1018">
        <f>'Quick View_ Sample Data'!AJ1018</f>
        <v>0</v>
      </c>
      <c r="K1018">
        <f>'Quick View_ Sample Data'!AH1018</f>
        <v>0</v>
      </c>
      <c r="L1018">
        <f t="shared" si="15"/>
        <v>0</v>
      </c>
    </row>
    <row r="1019" spans="1:12" ht="12.75" customHeight="1">
      <c r="A1019" s="321"/>
      <c r="B1019" t="str">
        <f>'Quick View_ Sample Data'!P1019</f>
        <v>SiO2</v>
      </c>
      <c r="C1019">
        <f>'Quick View_ Sample Data'!O1019</f>
        <v>354</v>
      </c>
      <c r="D1019">
        <f>'Quick View_ Sample Data'!AN1019</f>
        <v>0</v>
      </c>
      <c r="E1019">
        <f>'Quick View_ Sample Data'!O1019</f>
        <v>354</v>
      </c>
      <c r="F1019">
        <f>'Quick View_ Sample Data'!AO1019</f>
        <v>0</v>
      </c>
      <c r="G1019">
        <f>'Quick View_ Sample Data'!O1019</f>
        <v>354</v>
      </c>
      <c r="H1019">
        <f>'Quick View_ Sample Data'!AP1019</f>
        <v>0</v>
      </c>
      <c r="I1019">
        <f>'Quick View_ Sample Data'!AF1019</f>
        <v>0</v>
      </c>
      <c r="J1019">
        <f>'Quick View_ Sample Data'!AJ1019</f>
        <v>0</v>
      </c>
      <c r="K1019">
        <f>'Quick View_ Sample Data'!AH1019</f>
        <v>0</v>
      </c>
      <c r="L1019">
        <f t="shared" si="15"/>
        <v>0</v>
      </c>
    </row>
    <row r="1020" spans="1:12" ht="12.75" customHeight="1">
      <c r="A1020" s="321"/>
      <c r="B1020" t="str">
        <f>'Quick View_ Sample Data'!P1020</f>
        <v>SiO2</v>
      </c>
      <c r="C1020">
        <f>'Quick View_ Sample Data'!O1020</f>
        <v>355</v>
      </c>
      <c r="D1020">
        <f>'Quick View_ Sample Data'!AN1020</f>
        <v>0</v>
      </c>
      <c r="E1020">
        <f>'Quick View_ Sample Data'!O1020</f>
        <v>355</v>
      </c>
      <c r="F1020">
        <f>'Quick View_ Sample Data'!AO1020</f>
        <v>0</v>
      </c>
      <c r="G1020">
        <f>'Quick View_ Sample Data'!O1020</f>
        <v>355</v>
      </c>
      <c r="H1020">
        <f>'Quick View_ Sample Data'!AP1020</f>
        <v>0</v>
      </c>
      <c r="I1020">
        <f>'Quick View_ Sample Data'!AF1020</f>
        <v>0</v>
      </c>
      <c r="J1020">
        <f>'Quick View_ Sample Data'!AJ1020</f>
        <v>11.18</v>
      </c>
      <c r="K1020">
        <f>'Quick View_ Sample Data'!AH1020</f>
        <v>444.61356160170499</v>
      </c>
      <c r="L1020">
        <f t="shared" si="15"/>
        <v>0</v>
      </c>
    </row>
    <row r="1021" spans="1:12" ht="12.75" customHeight="1">
      <c r="A1021" s="321"/>
      <c r="B1021" t="str">
        <f>'Quick View_ Sample Data'!P1021</f>
        <v>SiO2</v>
      </c>
      <c r="C1021">
        <f>'Quick View_ Sample Data'!O1021</f>
        <v>355</v>
      </c>
      <c r="D1021">
        <f>'Quick View_ Sample Data'!AN1021</f>
        <v>0</v>
      </c>
      <c r="E1021">
        <f>'Quick View_ Sample Data'!O1021</f>
        <v>355</v>
      </c>
      <c r="F1021">
        <f>'Quick View_ Sample Data'!AO1021</f>
        <v>0</v>
      </c>
      <c r="G1021">
        <f>'Quick View_ Sample Data'!O1021</f>
        <v>355</v>
      </c>
      <c r="H1021">
        <f>'Quick View_ Sample Data'!AP1021</f>
        <v>0</v>
      </c>
      <c r="I1021">
        <f>'Quick View_ Sample Data'!AF1021</f>
        <v>0</v>
      </c>
      <c r="J1021">
        <f>'Quick View_ Sample Data'!AJ1021</f>
        <v>10.94</v>
      </c>
      <c r="K1021">
        <f>'Quick View_ Sample Data'!AH1021</f>
        <v>464.59619358380399</v>
      </c>
      <c r="L1021">
        <f t="shared" si="15"/>
        <v>0</v>
      </c>
    </row>
    <row r="1022" spans="1:12" ht="12.75" customHeight="1">
      <c r="A1022" s="321"/>
      <c r="B1022" t="str">
        <f>'Quick View_ Sample Data'!P1022</f>
        <v>SiO2</v>
      </c>
      <c r="C1022">
        <f>'Quick View_ Sample Data'!O1022</f>
        <v>355</v>
      </c>
      <c r="D1022">
        <f>'Quick View_ Sample Data'!AN1022</f>
        <v>0</v>
      </c>
      <c r="E1022">
        <f>'Quick View_ Sample Data'!O1022</f>
        <v>355</v>
      </c>
      <c r="F1022">
        <f>'Quick View_ Sample Data'!AO1022</f>
        <v>0</v>
      </c>
      <c r="G1022">
        <f>'Quick View_ Sample Data'!O1022</f>
        <v>355</v>
      </c>
      <c r="H1022">
        <f>'Quick View_ Sample Data'!AP1022</f>
        <v>0</v>
      </c>
      <c r="I1022">
        <f>'Quick View_ Sample Data'!AF1022</f>
        <v>0</v>
      </c>
      <c r="J1022">
        <f>'Quick View_ Sample Data'!AJ1022</f>
        <v>11.67</v>
      </c>
      <c r="K1022">
        <f>'Quick View_ Sample Data'!AH1022</f>
        <v>404.469881280523</v>
      </c>
      <c r="L1022">
        <f t="shared" si="15"/>
        <v>0</v>
      </c>
    </row>
    <row r="1023" spans="1:12" ht="12.75" customHeight="1">
      <c r="A1023" s="321"/>
      <c r="B1023" t="str">
        <f>'Quick View_ Sample Data'!P1023</f>
        <v>SiO2</v>
      </c>
      <c r="C1023">
        <f>'Quick View_ Sample Data'!O1023</f>
        <v>355</v>
      </c>
      <c r="D1023">
        <f>'Quick View_ Sample Data'!AN1023</f>
        <v>0</v>
      </c>
      <c r="E1023">
        <f>'Quick View_ Sample Data'!O1023</f>
        <v>355</v>
      </c>
      <c r="F1023">
        <f>'Quick View_ Sample Data'!AO1023</f>
        <v>0</v>
      </c>
      <c r="G1023">
        <f>'Quick View_ Sample Data'!O1023</f>
        <v>355</v>
      </c>
      <c r="H1023">
        <f>'Quick View_ Sample Data'!AP1023</f>
        <v>0</v>
      </c>
      <c r="I1023">
        <f>'Quick View_ Sample Data'!AF1023</f>
        <v>0</v>
      </c>
      <c r="J1023">
        <f>'Quick View_ Sample Data'!AJ1023</f>
        <v>10.9</v>
      </c>
      <c r="K1023">
        <f>'Quick View_ Sample Data'!AH1023</f>
        <v>463.882528155871</v>
      </c>
      <c r="L1023">
        <f t="shared" si="15"/>
        <v>0</v>
      </c>
    </row>
    <row r="1024" spans="1:12" ht="12.75" customHeight="1">
      <c r="A1024" s="321"/>
      <c r="B1024" t="str">
        <f>'Quick View_ Sample Data'!P1024</f>
        <v>SiO2</v>
      </c>
      <c r="C1024">
        <f>'Quick View_ Sample Data'!O1024</f>
        <v>355</v>
      </c>
      <c r="D1024">
        <f>'Quick View_ Sample Data'!AN1024</f>
        <v>0</v>
      </c>
      <c r="E1024">
        <f>'Quick View_ Sample Data'!O1024</f>
        <v>355</v>
      </c>
      <c r="F1024">
        <f>'Quick View_ Sample Data'!AO1024</f>
        <v>0</v>
      </c>
      <c r="G1024">
        <f>'Quick View_ Sample Data'!O1024</f>
        <v>355</v>
      </c>
      <c r="H1024">
        <f>'Quick View_ Sample Data'!AP1024</f>
        <v>0</v>
      </c>
      <c r="I1024">
        <f>'Quick View_ Sample Data'!AF1024</f>
        <v>0</v>
      </c>
      <c r="J1024">
        <f>'Quick View_ Sample Data'!AJ1024</f>
        <v>10.95</v>
      </c>
      <c r="K1024">
        <f>'Quick View_ Sample Data'!AH1024</f>
        <v>460.13578465922802</v>
      </c>
      <c r="L1024">
        <f t="shared" si="15"/>
        <v>0</v>
      </c>
    </row>
    <row r="1025" spans="1:12" ht="12.75" customHeight="1">
      <c r="A1025" s="321"/>
      <c r="B1025" t="str">
        <f>'Quick View_ Sample Data'!P1025</f>
        <v>MgO</v>
      </c>
      <c r="C1025">
        <f>'Quick View_ Sample Data'!O1025</f>
        <v>355</v>
      </c>
      <c r="D1025">
        <f>'Quick View_ Sample Data'!AN1025</f>
        <v>125.28218170991212</v>
      </c>
      <c r="E1025">
        <f>'Quick View_ Sample Data'!O1025</f>
        <v>355</v>
      </c>
      <c r="F1025">
        <f>'Quick View_ Sample Data'!AO1025</f>
        <v>15372.123695806218</v>
      </c>
      <c r="G1025">
        <f>'Quick View_ Sample Data'!O1025</f>
        <v>355</v>
      </c>
      <c r="H1025">
        <f>'Quick View_ Sample Data'!AP1025</f>
        <v>3.0714285714285712</v>
      </c>
      <c r="I1025">
        <f>'Quick View_ Sample Data'!AF1025</f>
        <v>4.3</v>
      </c>
      <c r="J1025">
        <f>'Quick View_ Sample Data'!AJ1025</f>
        <v>12.27</v>
      </c>
      <c r="K1025">
        <f>'Quick View_ Sample Data'!AH1025</f>
        <v>291.35391095328401</v>
      </c>
      <c r="L1025">
        <f t="shared" si="15"/>
        <v>52.760999999999996</v>
      </c>
    </row>
    <row r="1026" spans="1:12" ht="12.75" customHeight="1">
      <c r="A1026" s="321"/>
      <c r="B1026" t="str">
        <f>'Quick View_ Sample Data'!P1026</f>
        <v>SiO2</v>
      </c>
      <c r="C1026">
        <f>'Quick View_ Sample Data'!O1026</f>
        <v>356</v>
      </c>
      <c r="D1026">
        <f>'Quick View_ Sample Data'!AN1026</f>
        <v>0</v>
      </c>
      <c r="E1026">
        <f>'Quick View_ Sample Data'!O1026</f>
        <v>356</v>
      </c>
      <c r="F1026">
        <f>'Quick View_ Sample Data'!AO1026</f>
        <v>0</v>
      </c>
      <c r="G1026">
        <f>'Quick View_ Sample Data'!O1026</f>
        <v>356</v>
      </c>
      <c r="H1026">
        <f>'Quick View_ Sample Data'!AP1026</f>
        <v>0</v>
      </c>
      <c r="I1026">
        <f>'Quick View_ Sample Data'!AF1026</f>
        <v>0</v>
      </c>
      <c r="J1026">
        <f>'Quick View_ Sample Data'!AJ1026</f>
        <v>0</v>
      </c>
      <c r="K1026">
        <f>'Quick View_ Sample Data'!AH1026</f>
        <v>0</v>
      </c>
      <c r="L1026">
        <f t="shared" ref="L1026:L1089" si="16">I1026*J1026</f>
        <v>0</v>
      </c>
    </row>
    <row r="1027" spans="1:12" ht="12.75" customHeight="1">
      <c r="A1027" s="321"/>
      <c r="B1027" t="str">
        <f>'Quick View_ Sample Data'!P1027</f>
        <v>SiO2</v>
      </c>
      <c r="C1027">
        <f>'Quick View_ Sample Data'!O1027</f>
        <v>356</v>
      </c>
      <c r="D1027">
        <f>'Quick View_ Sample Data'!AN1027</f>
        <v>0</v>
      </c>
      <c r="E1027">
        <f>'Quick View_ Sample Data'!O1027</f>
        <v>356</v>
      </c>
      <c r="F1027">
        <f>'Quick View_ Sample Data'!AO1027</f>
        <v>0</v>
      </c>
      <c r="G1027">
        <f>'Quick View_ Sample Data'!O1027</f>
        <v>356</v>
      </c>
      <c r="H1027">
        <f>'Quick View_ Sample Data'!AP1027</f>
        <v>0</v>
      </c>
      <c r="I1027">
        <f>'Quick View_ Sample Data'!AF1027</f>
        <v>0</v>
      </c>
      <c r="J1027">
        <f>'Quick View_ Sample Data'!AJ1027</f>
        <v>0</v>
      </c>
      <c r="K1027">
        <f>'Quick View_ Sample Data'!AH1027</f>
        <v>0</v>
      </c>
      <c r="L1027">
        <f t="shared" si="16"/>
        <v>0</v>
      </c>
    </row>
    <row r="1028" spans="1:12" ht="12.75" customHeight="1">
      <c r="A1028" s="321"/>
      <c r="B1028" t="str">
        <f>'Quick View_ Sample Data'!P1028</f>
        <v>SiO2</v>
      </c>
      <c r="C1028">
        <f>'Quick View_ Sample Data'!O1028</f>
        <v>357</v>
      </c>
      <c r="D1028">
        <f>'Quick View_ Sample Data'!AN1028</f>
        <v>0</v>
      </c>
      <c r="E1028">
        <f>'Quick View_ Sample Data'!O1028</f>
        <v>357</v>
      </c>
      <c r="F1028">
        <f>'Quick View_ Sample Data'!AO1028</f>
        <v>0</v>
      </c>
      <c r="G1028">
        <f>'Quick View_ Sample Data'!O1028</f>
        <v>357</v>
      </c>
      <c r="H1028">
        <f>'Quick View_ Sample Data'!AP1028</f>
        <v>0</v>
      </c>
      <c r="I1028">
        <f>'Quick View_ Sample Data'!AF1028</f>
        <v>0</v>
      </c>
      <c r="J1028">
        <f>'Quick View_ Sample Data'!AJ1028</f>
        <v>10.94</v>
      </c>
      <c r="K1028">
        <f>'Quick View_ Sample Data'!AH1028</f>
        <v>463.16886272793897</v>
      </c>
      <c r="L1028">
        <f t="shared" si="16"/>
        <v>0</v>
      </c>
    </row>
    <row r="1029" spans="1:12" ht="12.75" customHeight="1">
      <c r="A1029" s="321"/>
      <c r="B1029" t="str">
        <f>'Quick View_ Sample Data'!P1029</f>
        <v>SiO2</v>
      </c>
      <c r="C1029">
        <f>'Quick View_ Sample Data'!O1029</f>
        <v>357</v>
      </c>
      <c r="D1029">
        <f>'Quick View_ Sample Data'!AN1029</f>
        <v>0</v>
      </c>
      <c r="E1029">
        <f>'Quick View_ Sample Data'!O1029</f>
        <v>357</v>
      </c>
      <c r="F1029">
        <f>'Quick View_ Sample Data'!AO1029</f>
        <v>0</v>
      </c>
      <c r="G1029">
        <f>'Quick View_ Sample Data'!O1029</f>
        <v>357</v>
      </c>
      <c r="H1029">
        <f>'Quick View_ Sample Data'!AP1029</f>
        <v>0</v>
      </c>
      <c r="I1029">
        <f>'Quick View_ Sample Data'!AF1029</f>
        <v>0</v>
      </c>
      <c r="J1029">
        <f>'Quick View_ Sample Data'!AJ1029</f>
        <v>10.7</v>
      </c>
      <c r="K1029">
        <f>'Quick View_ Sample Data'!AH1029</f>
        <v>462.99044637095602</v>
      </c>
      <c r="L1029">
        <f t="shared" si="16"/>
        <v>0</v>
      </c>
    </row>
    <row r="1030" spans="1:12" ht="12.75" customHeight="1">
      <c r="A1030" s="321"/>
      <c r="B1030" t="str">
        <f>'Quick View_ Sample Data'!P1030</f>
        <v>SiO2</v>
      </c>
      <c r="C1030">
        <f>'Quick View_ Sample Data'!O1030</f>
        <v>357</v>
      </c>
      <c r="D1030">
        <f>'Quick View_ Sample Data'!AN1030</f>
        <v>0</v>
      </c>
      <c r="E1030">
        <f>'Quick View_ Sample Data'!O1030</f>
        <v>357</v>
      </c>
      <c r="F1030">
        <f>'Quick View_ Sample Data'!AO1030</f>
        <v>0</v>
      </c>
      <c r="G1030">
        <f>'Quick View_ Sample Data'!O1030</f>
        <v>357</v>
      </c>
      <c r="H1030">
        <f>'Quick View_ Sample Data'!AP1030</f>
        <v>0</v>
      </c>
      <c r="I1030">
        <f>'Quick View_ Sample Data'!AF1030</f>
        <v>0</v>
      </c>
      <c r="J1030">
        <f>'Quick View_ Sample Data'!AJ1030</f>
        <v>11.74</v>
      </c>
      <c r="K1030">
        <f>'Quick View_ Sample Data'!AH1030</f>
        <v>403.22096678164201</v>
      </c>
      <c r="L1030">
        <f t="shared" si="16"/>
        <v>0</v>
      </c>
    </row>
    <row r="1031" spans="1:12" ht="12.75" customHeight="1">
      <c r="A1031" s="321"/>
      <c r="B1031" t="str">
        <f>'Quick View_ Sample Data'!P1031</f>
        <v>SiO2</v>
      </c>
      <c r="C1031">
        <f>'Quick View_ Sample Data'!O1031</f>
        <v>357</v>
      </c>
      <c r="D1031">
        <f>'Quick View_ Sample Data'!AN1031</f>
        <v>0</v>
      </c>
      <c r="E1031">
        <f>'Quick View_ Sample Data'!O1031</f>
        <v>357</v>
      </c>
      <c r="F1031">
        <f>'Quick View_ Sample Data'!AO1031</f>
        <v>0</v>
      </c>
      <c r="G1031">
        <f>'Quick View_ Sample Data'!O1031</f>
        <v>357</v>
      </c>
      <c r="H1031">
        <f>'Quick View_ Sample Data'!AP1031</f>
        <v>0</v>
      </c>
      <c r="I1031">
        <f>'Quick View_ Sample Data'!AF1031</f>
        <v>0</v>
      </c>
      <c r="J1031">
        <f>'Quick View_ Sample Data'!AJ1031</f>
        <v>10.8</v>
      </c>
      <c r="K1031">
        <f>'Quick View_ Sample Data'!AH1031</f>
        <v>466.73718986760002</v>
      </c>
      <c r="L1031">
        <f t="shared" si="16"/>
        <v>0</v>
      </c>
    </row>
    <row r="1032" spans="1:12" ht="12.75" customHeight="1">
      <c r="A1032" s="321"/>
      <c r="B1032" t="str">
        <f>'Quick View_ Sample Data'!P1032</f>
        <v>SiO2</v>
      </c>
      <c r="C1032">
        <f>'Quick View_ Sample Data'!O1032</f>
        <v>357</v>
      </c>
      <c r="D1032">
        <f>'Quick View_ Sample Data'!AN1032</f>
        <v>0</v>
      </c>
      <c r="E1032">
        <f>'Quick View_ Sample Data'!O1032</f>
        <v>357</v>
      </c>
      <c r="F1032">
        <f>'Quick View_ Sample Data'!AO1032</f>
        <v>0</v>
      </c>
      <c r="G1032">
        <f>'Quick View_ Sample Data'!O1032</f>
        <v>357</v>
      </c>
      <c r="H1032">
        <f>'Quick View_ Sample Data'!AP1032</f>
        <v>0</v>
      </c>
      <c r="I1032">
        <f>'Quick View_ Sample Data'!AF1032</f>
        <v>0</v>
      </c>
      <c r="J1032">
        <f>'Quick View_ Sample Data'!AJ1032</f>
        <v>10.86</v>
      </c>
      <c r="K1032">
        <f>'Quick View_ Sample Data'!AH1032</f>
        <v>463.70411179888799</v>
      </c>
      <c r="L1032">
        <f t="shared" si="16"/>
        <v>0</v>
      </c>
    </row>
    <row r="1033" spans="1:12" ht="12.75" customHeight="1">
      <c r="A1033" s="321"/>
      <c r="B1033" t="str">
        <f>'Quick View_ Sample Data'!P1033</f>
        <v>MgO</v>
      </c>
      <c r="C1033">
        <f>'Quick View_ Sample Data'!O1033</f>
        <v>357</v>
      </c>
      <c r="D1033">
        <f>'Quick View_ Sample Data'!AN1033</f>
        <v>103.92717110989967</v>
      </c>
      <c r="E1033">
        <f>'Quick View_ Sample Data'!O1033</f>
        <v>357</v>
      </c>
      <c r="F1033">
        <f>'Quick View_ Sample Data'!AO1033</f>
        <v>13832.706474727647</v>
      </c>
      <c r="G1033">
        <f>'Quick View_ Sample Data'!O1033</f>
        <v>357</v>
      </c>
      <c r="H1033">
        <f>'Quick View_ Sample Data'!AP1033</f>
        <v>2.9571428571428569</v>
      </c>
      <c r="I1033">
        <f>'Quick View_ Sample Data'!AF1033</f>
        <v>4.1399999999999997</v>
      </c>
      <c r="J1033">
        <f>'Quick View_ Sample Data'!AJ1033</f>
        <v>13.31</v>
      </c>
      <c r="K1033">
        <f>'Quick View_ Sample Data'!AH1033</f>
        <v>251.03181427512001</v>
      </c>
      <c r="L1033">
        <f t="shared" si="16"/>
        <v>55.103400000000001</v>
      </c>
    </row>
    <row r="1034" spans="1:12" ht="12.75" customHeight="1">
      <c r="A1034" s="321"/>
      <c r="B1034" t="str">
        <f>'Quick View_ Sample Data'!P1034</f>
        <v>SiO2</v>
      </c>
      <c r="C1034">
        <f>'Quick View_ Sample Data'!O1034</f>
        <v>358</v>
      </c>
      <c r="D1034">
        <f>'Quick View_ Sample Data'!AN1034</f>
        <v>0</v>
      </c>
      <c r="E1034">
        <f>'Quick View_ Sample Data'!O1034</f>
        <v>358</v>
      </c>
      <c r="F1034">
        <f>'Quick View_ Sample Data'!AO1034</f>
        <v>0</v>
      </c>
      <c r="G1034">
        <f>'Quick View_ Sample Data'!O1034</f>
        <v>358</v>
      </c>
      <c r="H1034">
        <f>'Quick View_ Sample Data'!AP1034</f>
        <v>0</v>
      </c>
      <c r="I1034">
        <f>'Quick View_ Sample Data'!AF1034</f>
        <v>0</v>
      </c>
      <c r="J1034">
        <f>'Quick View_ Sample Data'!AJ1034</f>
        <v>11.09</v>
      </c>
      <c r="K1034">
        <f>'Quick View_ Sample Data'!AH1034</f>
        <v>429.98342032909602</v>
      </c>
      <c r="L1034">
        <f t="shared" si="16"/>
        <v>0</v>
      </c>
    </row>
    <row r="1035" spans="1:12" ht="12.75" customHeight="1">
      <c r="A1035" s="321"/>
      <c r="B1035" t="str">
        <f>'Quick View_ Sample Data'!P1035</f>
        <v>SiO2</v>
      </c>
      <c r="C1035">
        <f>'Quick View_ Sample Data'!O1035</f>
        <v>358</v>
      </c>
      <c r="D1035">
        <f>'Quick View_ Sample Data'!AN1035</f>
        <v>0</v>
      </c>
      <c r="E1035">
        <f>'Quick View_ Sample Data'!O1035</f>
        <v>358</v>
      </c>
      <c r="F1035">
        <f>'Quick View_ Sample Data'!AO1035</f>
        <v>0</v>
      </c>
      <c r="G1035">
        <f>'Quick View_ Sample Data'!O1035</f>
        <v>358</v>
      </c>
      <c r="H1035">
        <f>'Quick View_ Sample Data'!AP1035</f>
        <v>0</v>
      </c>
      <c r="I1035">
        <f>'Quick View_ Sample Data'!AF1035</f>
        <v>0</v>
      </c>
      <c r="J1035">
        <f>'Quick View_ Sample Data'!AJ1035</f>
        <v>11.06</v>
      </c>
      <c r="K1035">
        <f>'Quick View_ Sample Data'!AH1035</f>
        <v>440.86681810506099</v>
      </c>
      <c r="L1035">
        <f t="shared" si="16"/>
        <v>0</v>
      </c>
    </row>
    <row r="1036" spans="1:12" ht="12.75" customHeight="1">
      <c r="A1036" s="321"/>
      <c r="B1036" t="str">
        <f>'Quick View_ Sample Data'!P1036</f>
        <v>SiO2</v>
      </c>
      <c r="C1036">
        <f>'Quick View_ Sample Data'!O1036</f>
        <v>358</v>
      </c>
      <c r="D1036">
        <f>'Quick View_ Sample Data'!AN1036</f>
        <v>0</v>
      </c>
      <c r="E1036">
        <f>'Quick View_ Sample Data'!O1036</f>
        <v>358</v>
      </c>
      <c r="F1036">
        <f>'Quick View_ Sample Data'!AO1036</f>
        <v>0</v>
      </c>
      <c r="G1036">
        <f>'Quick View_ Sample Data'!O1036</f>
        <v>358</v>
      </c>
      <c r="H1036">
        <f>'Quick View_ Sample Data'!AP1036</f>
        <v>0</v>
      </c>
      <c r="I1036">
        <f>'Quick View_ Sample Data'!AF1036</f>
        <v>0</v>
      </c>
      <c r="J1036">
        <f>'Quick View_ Sample Data'!AJ1036</f>
        <v>10.69</v>
      </c>
      <c r="K1036">
        <f>'Quick View_ Sample Data'!AH1036</f>
        <v>461.74153187207497</v>
      </c>
      <c r="L1036">
        <f t="shared" si="16"/>
        <v>0</v>
      </c>
    </row>
    <row r="1037" spans="1:12" ht="12.75" customHeight="1">
      <c r="A1037" s="321"/>
      <c r="B1037" t="str">
        <f>'Quick View_ Sample Data'!P1037</f>
        <v>SiO2</v>
      </c>
      <c r="C1037">
        <f>'Quick View_ Sample Data'!O1037</f>
        <v>358</v>
      </c>
      <c r="D1037">
        <f>'Quick View_ Sample Data'!AN1037</f>
        <v>0</v>
      </c>
      <c r="E1037">
        <f>'Quick View_ Sample Data'!O1037</f>
        <v>358</v>
      </c>
      <c r="F1037">
        <f>'Quick View_ Sample Data'!AO1037</f>
        <v>0</v>
      </c>
      <c r="G1037">
        <f>'Quick View_ Sample Data'!O1037</f>
        <v>358</v>
      </c>
      <c r="H1037">
        <f>'Quick View_ Sample Data'!AP1037</f>
        <v>0</v>
      </c>
      <c r="I1037">
        <f>'Quick View_ Sample Data'!AF1037</f>
        <v>0</v>
      </c>
      <c r="J1037">
        <f>'Quick View_ Sample Data'!AJ1037</f>
        <v>11.05</v>
      </c>
      <c r="K1037">
        <f>'Quick View_ Sample Data'!AH1037</f>
        <v>429.98342032909602</v>
      </c>
      <c r="L1037">
        <f t="shared" si="16"/>
        <v>0</v>
      </c>
    </row>
    <row r="1038" spans="1:12" ht="12.75" customHeight="1">
      <c r="A1038" s="321"/>
      <c r="B1038" t="str">
        <f>'Quick View_ Sample Data'!P1038</f>
        <v>SiO2</v>
      </c>
      <c r="C1038">
        <f>'Quick View_ Sample Data'!O1038</f>
        <v>358</v>
      </c>
      <c r="D1038">
        <f>'Quick View_ Sample Data'!AN1038</f>
        <v>0</v>
      </c>
      <c r="E1038">
        <f>'Quick View_ Sample Data'!O1038</f>
        <v>358</v>
      </c>
      <c r="F1038">
        <f>'Quick View_ Sample Data'!AO1038</f>
        <v>0</v>
      </c>
      <c r="G1038">
        <f>'Quick View_ Sample Data'!O1038</f>
        <v>358</v>
      </c>
      <c r="H1038">
        <f>'Quick View_ Sample Data'!AP1038</f>
        <v>0</v>
      </c>
      <c r="I1038">
        <f>'Quick View_ Sample Data'!AF1038</f>
        <v>0</v>
      </c>
      <c r="J1038">
        <f>'Quick View_ Sample Data'!AJ1038</f>
        <v>11.03</v>
      </c>
      <c r="K1038">
        <f>'Quick View_ Sample Data'!AH1038</f>
        <v>439.43948724919699</v>
      </c>
      <c r="L1038">
        <f t="shared" si="16"/>
        <v>0</v>
      </c>
    </row>
    <row r="1039" spans="1:12" ht="12.75" customHeight="1">
      <c r="A1039" s="321"/>
      <c r="B1039" t="str">
        <f>'Quick View_ Sample Data'!P1039</f>
        <v>MgO</v>
      </c>
      <c r="C1039">
        <f>'Quick View_ Sample Data'!O1039</f>
        <v>358</v>
      </c>
      <c r="D1039">
        <f>'Quick View_ Sample Data'!AN1039</f>
        <v>127.91881863340707</v>
      </c>
      <c r="E1039">
        <f>'Quick View_ Sample Data'!O1039</f>
        <v>358</v>
      </c>
      <c r="F1039">
        <f>'Quick View_ Sample Data'!AO1039</f>
        <v>15606.095873275661</v>
      </c>
      <c r="G1039">
        <f>'Quick View_ Sample Data'!O1039</f>
        <v>358</v>
      </c>
      <c r="H1039">
        <f>'Quick View_ Sample Data'!AP1039</f>
        <v>3.1</v>
      </c>
      <c r="I1039">
        <f>'Quick View_ Sample Data'!AF1039</f>
        <v>4.34</v>
      </c>
      <c r="J1039">
        <f>'Quick View_ Sample Data'!AJ1039</f>
        <v>12.2</v>
      </c>
      <c r="K1039">
        <f>'Quick View_ Sample Data'!AH1039</f>
        <v>294.74382173596098</v>
      </c>
      <c r="L1039">
        <f t="shared" si="16"/>
        <v>52.947999999999993</v>
      </c>
    </row>
    <row r="1040" spans="1:12" ht="12.75" customHeight="1">
      <c r="A1040" s="321"/>
      <c r="B1040" t="str">
        <f>'Quick View_ Sample Data'!P1040</f>
        <v>SiNx</v>
      </c>
      <c r="C1040">
        <f>'Quick View_ Sample Data'!O1040</f>
        <v>359</v>
      </c>
      <c r="D1040">
        <f>'Quick View_ Sample Data'!AN1040</f>
        <v>0</v>
      </c>
      <c r="E1040">
        <f>'Quick View_ Sample Data'!O1040</f>
        <v>359</v>
      </c>
      <c r="F1040">
        <f>'Quick View_ Sample Data'!AO1040</f>
        <v>0</v>
      </c>
      <c r="G1040">
        <f>'Quick View_ Sample Data'!O1040</f>
        <v>359</v>
      </c>
      <c r="H1040">
        <f>'Quick View_ Sample Data'!AP1040</f>
        <v>0</v>
      </c>
      <c r="I1040">
        <f>'Quick View_ Sample Data'!AF1040</f>
        <v>0</v>
      </c>
      <c r="J1040">
        <f>'Quick View_ Sample Data'!AJ1040</f>
        <v>12.49</v>
      </c>
      <c r="K1040">
        <f>'Quick View_ Sample Data'!AH1040</f>
        <v>322.576773425314</v>
      </c>
      <c r="L1040">
        <f t="shared" si="16"/>
        <v>0</v>
      </c>
    </row>
    <row r="1041" spans="1:12" ht="12.75" customHeight="1">
      <c r="A1041" s="321"/>
      <c r="B1041" t="str">
        <f>'Quick View_ Sample Data'!P1041</f>
        <v>SiNx</v>
      </c>
      <c r="C1041">
        <f>'Quick View_ Sample Data'!O1041</f>
        <v>359</v>
      </c>
      <c r="D1041">
        <f>'Quick View_ Sample Data'!AN1041</f>
        <v>0</v>
      </c>
      <c r="E1041">
        <f>'Quick View_ Sample Data'!O1041</f>
        <v>359</v>
      </c>
      <c r="F1041">
        <f>'Quick View_ Sample Data'!AO1041</f>
        <v>0</v>
      </c>
      <c r="G1041">
        <f>'Quick View_ Sample Data'!O1041</f>
        <v>359</v>
      </c>
      <c r="H1041">
        <f>'Quick View_ Sample Data'!AP1041</f>
        <v>0</v>
      </c>
      <c r="I1041">
        <f>'Quick View_ Sample Data'!AF1041</f>
        <v>0</v>
      </c>
      <c r="J1041">
        <f>'Quick View_ Sample Data'!AJ1041</f>
        <v>12.5</v>
      </c>
      <c r="K1041">
        <f>'Quick View_ Sample Data'!AH1041</f>
        <v>323.64727156721199</v>
      </c>
      <c r="L1041">
        <f t="shared" si="16"/>
        <v>0</v>
      </c>
    </row>
    <row r="1042" spans="1:12" ht="12.75" customHeight="1">
      <c r="A1042" s="321"/>
      <c r="B1042" t="str">
        <f>'Quick View_ Sample Data'!P1042</f>
        <v>SiNx</v>
      </c>
      <c r="C1042">
        <f>'Quick View_ Sample Data'!O1042</f>
        <v>359</v>
      </c>
      <c r="D1042">
        <f>'Quick View_ Sample Data'!AN1042</f>
        <v>0</v>
      </c>
      <c r="E1042">
        <f>'Quick View_ Sample Data'!O1042</f>
        <v>359</v>
      </c>
      <c r="F1042">
        <f>'Quick View_ Sample Data'!AO1042</f>
        <v>0</v>
      </c>
      <c r="G1042">
        <f>'Quick View_ Sample Data'!O1042</f>
        <v>359</v>
      </c>
      <c r="H1042">
        <f>'Quick View_ Sample Data'!AP1042</f>
        <v>0</v>
      </c>
      <c r="I1042">
        <f>'Quick View_ Sample Data'!AF1042</f>
        <v>0</v>
      </c>
      <c r="J1042">
        <f>'Quick View_ Sample Data'!AJ1042</f>
        <v>11.41</v>
      </c>
      <c r="K1042">
        <f>'Quick View_ Sample Data'!AH1042</f>
        <v>353.44280318337701</v>
      </c>
      <c r="L1042">
        <f t="shared" si="16"/>
        <v>0</v>
      </c>
    </row>
    <row r="1043" spans="1:12" ht="12.75" customHeight="1">
      <c r="A1043" s="321"/>
      <c r="B1043" t="str">
        <f>'Quick View_ Sample Data'!P1043</f>
        <v>SiNx</v>
      </c>
      <c r="C1043">
        <f>'Quick View_ Sample Data'!O1043</f>
        <v>359</v>
      </c>
      <c r="D1043">
        <f>'Quick View_ Sample Data'!AN1043</f>
        <v>0</v>
      </c>
      <c r="E1043">
        <f>'Quick View_ Sample Data'!O1043</f>
        <v>359</v>
      </c>
      <c r="F1043">
        <f>'Quick View_ Sample Data'!AO1043</f>
        <v>0</v>
      </c>
      <c r="G1043">
        <f>'Quick View_ Sample Data'!O1043</f>
        <v>359</v>
      </c>
      <c r="H1043">
        <f>'Quick View_ Sample Data'!AP1043</f>
        <v>0</v>
      </c>
      <c r="I1043">
        <f>'Quick View_ Sample Data'!AF1043</f>
        <v>0</v>
      </c>
      <c r="J1043">
        <f>'Quick View_ Sample Data'!AJ1043</f>
        <v>12.45</v>
      </c>
      <c r="K1043">
        <f>'Quick View_ Sample Data'!AH1043</f>
        <v>324.89618606609298</v>
      </c>
      <c r="L1043">
        <f t="shared" si="16"/>
        <v>0</v>
      </c>
    </row>
    <row r="1044" spans="1:12" ht="12.75" customHeight="1">
      <c r="A1044" s="321"/>
      <c r="B1044" t="str">
        <f>'Quick View_ Sample Data'!P1044</f>
        <v>SiNx</v>
      </c>
      <c r="C1044">
        <f>'Quick View_ Sample Data'!O1044</f>
        <v>359</v>
      </c>
      <c r="D1044">
        <f>'Quick View_ Sample Data'!AN1044</f>
        <v>0</v>
      </c>
      <c r="E1044">
        <f>'Quick View_ Sample Data'!O1044</f>
        <v>359</v>
      </c>
      <c r="F1044">
        <f>'Quick View_ Sample Data'!AO1044</f>
        <v>0</v>
      </c>
      <c r="G1044">
        <f>'Quick View_ Sample Data'!O1044</f>
        <v>359</v>
      </c>
      <c r="H1044">
        <f>'Quick View_ Sample Data'!AP1044</f>
        <v>0</v>
      </c>
      <c r="I1044">
        <f>'Quick View_ Sample Data'!AF1044</f>
        <v>0</v>
      </c>
      <c r="J1044">
        <f>'Quick View_ Sample Data'!AJ1044</f>
        <v>12.48</v>
      </c>
      <c r="K1044">
        <f>'Quick View_ Sample Data'!AH1044</f>
        <v>324.71776970910997</v>
      </c>
      <c r="L1044">
        <f t="shared" si="16"/>
        <v>0</v>
      </c>
    </row>
    <row r="1045" spans="1:12" ht="12.75" customHeight="1">
      <c r="A1045" s="321"/>
      <c r="B1045" t="str">
        <f>'Quick View_ Sample Data'!P1045</f>
        <v>MgO</v>
      </c>
      <c r="C1045">
        <f>'Quick View_ Sample Data'!O1045</f>
        <v>359</v>
      </c>
      <c r="D1045">
        <f>'Quick View_ Sample Data'!AN1045</f>
        <v>119.84012598921598</v>
      </c>
      <c r="E1045">
        <f>'Quick View_ Sample Data'!O1045</f>
        <v>359</v>
      </c>
      <c r="F1045">
        <f>'Quick View_ Sample Data'!AO1045</f>
        <v>15219.696000630427</v>
      </c>
      <c r="G1045">
        <f>'Quick View_ Sample Data'!O1045</f>
        <v>359</v>
      </c>
      <c r="H1045">
        <f>'Quick View_ Sample Data'!AP1045</f>
        <v>3.0687500000000001</v>
      </c>
      <c r="I1045">
        <f>'Quick View_ Sample Data'!AF1045</f>
        <v>4.91</v>
      </c>
      <c r="J1045">
        <f>'Quick View_ Sample Data'!AJ1045</f>
        <v>12.7</v>
      </c>
      <c r="K1045">
        <f>'Quick View_ Sample Data'!AH1045</f>
        <v>244.073576352782</v>
      </c>
      <c r="L1045">
        <f t="shared" si="16"/>
        <v>62.356999999999999</v>
      </c>
    </row>
    <row r="1046" spans="1:12" ht="12.75" customHeight="1">
      <c r="A1046" s="321"/>
      <c r="B1046" t="str">
        <f>'Quick View_ Sample Data'!P1046</f>
        <v>SiNx</v>
      </c>
      <c r="C1046">
        <f>'Quick View_ Sample Data'!O1046</f>
        <v>360</v>
      </c>
      <c r="D1046">
        <f>'Quick View_ Sample Data'!AN1046</f>
        <v>0</v>
      </c>
      <c r="E1046">
        <f>'Quick View_ Sample Data'!O1046</f>
        <v>360</v>
      </c>
      <c r="F1046">
        <f>'Quick View_ Sample Data'!AO1046</f>
        <v>0</v>
      </c>
      <c r="G1046">
        <f>'Quick View_ Sample Data'!O1046</f>
        <v>360</v>
      </c>
      <c r="H1046">
        <f>'Quick View_ Sample Data'!AP1046</f>
        <v>0</v>
      </c>
      <c r="I1046">
        <f>'Quick View_ Sample Data'!AF1046</f>
        <v>0</v>
      </c>
      <c r="J1046">
        <f>'Quick View_ Sample Data'!AJ1046</f>
        <v>11.65</v>
      </c>
      <c r="K1046">
        <f>'Quick View_ Sample Data'!AH1046</f>
        <v>347.91189611690402</v>
      </c>
      <c r="L1046">
        <f t="shared" si="16"/>
        <v>0</v>
      </c>
    </row>
    <row r="1047" spans="1:12" ht="12.75" customHeight="1">
      <c r="A1047" s="321"/>
      <c r="B1047" t="str">
        <f>'Quick View_ Sample Data'!P1047</f>
        <v>SiNx</v>
      </c>
      <c r="C1047">
        <f>'Quick View_ Sample Data'!O1047</f>
        <v>360</v>
      </c>
      <c r="D1047">
        <f>'Quick View_ Sample Data'!AN1047</f>
        <v>0</v>
      </c>
      <c r="E1047">
        <f>'Quick View_ Sample Data'!O1047</f>
        <v>360</v>
      </c>
      <c r="F1047">
        <f>'Quick View_ Sample Data'!AO1047</f>
        <v>0</v>
      </c>
      <c r="G1047">
        <f>'Quick View_ Sample Data'!O1047</f>
        <v>360</v>
      </c>
      <c r="H1047">
        <f>'Quick View_ Sample Data'!AP1047</f>
        <v>0</v>
      </c>
      <c r="I1047">
        <f>'Quick View_ Sample Data'!AF1047</f>
        <v>0</v>
      </c>
      <c r="J1047">
        <f>'Quick View_ Sample Data'!AJ1047</f>
        <v>11.65</v>
      </c>
      <c r="K1047">
        <f>'Quick View_ Sample Data'!AH1047</f>
        <v>345.77089983310702</v>
      </c>
      <c r="L1047">
        <f t="shared" si="16"/>
        <v>0</v>
      </c>
    </row>
    <row r="1048" spans="1:12" ht="12.75" customHeight="1">
      <c r="A1048" s="321"/>
      <c r="B1048" t="str">
        <f>'Quick View_ Sample Data'!P1048</f>
        <v>SiNx</v>
      </c>
      <c r="C1048">
        <f>'Quick View_ Sample Data'!O1048</f>
        <v>360</v>
      </c>
      <c r="D1048">
        <f>'Quick View_ Sample Data'!AN1048</f>
        <v>0</v>
      </c>
      <c r="E1048">
        <f>'Quick View_ Sample Data'!O1048</f>
        <v>360</v>
      </c>
      <c r="F1048">
        <f>'Quick View_ Sample Data'!AO1048</f>
        <v>0</v>
      </c>
      <c r="G1048">
        <f>'Quick View_ Sample Data'!O1048</f>
        <v>360</v>
      </c>
      <c r="H1048">
        <f>'Quick View_ Sample Data'!AP1048</f>
        <v>0</v>
      </c>
      <c r="I1048">
        <f>'Quick View_ Sample Data'!AF1048</f>
        <v>0</v>
      </c>
      <c r="J1048">
        <f>'Quick View_ Sample Data'!AJ1048</f>
        <v>10.68</v>
      </c>
      <c r="K1048">
        <f>'Quick View_ Sample Data'!AH1048</f>
        <v>373.60385152245999</v>
      </c>
      <c r="L1048">
        <f t="shared" si="16"/>
        <v>0</v>
      </c>
    </row>
    <row r="1049" spans="1:12" ht="12.75" customHeight="1">
      <c r="A1049" s="321"/>
      <c r="B1049" t="str">
        <f>'Quick View_ Sample Data'!P1049</f>
        <v>SiNx</v>
      </c>
      <c r="C1049">
        <f>'Quick View_ Sample Data'!O1049</f>
        <v>360</v>
      </c>
      <c r="D1049">
        <f>'Quick View_ Sample Data'!AN1049</f>
        <v>0</v>
      </c>
      <c r="E1049">
        <f>'Quick View_ Sample Data'!O1049</f>
        <v>360</v>
      </c>
      <c r="F1049">
        <f>'Quick View_ Sample Data'!AO1049</f>
        <v>0</v>
      </c>
      <c r="G1049">
        <f>'Quick View_ Sample Data'!O1049</f>
        <v>360</v>
      </c>
      <c r="H1049">
        <f>'Quick View_ Sample Data'!AP1049</f>
        <v>0</v>
      </c>
      <c r="I1049">
        <f>'Quick View_ Sample Data'!AF1049</f>
        <v>0</v>
      </c>
      <c r="J1049">
        <f>'Quick View_ Sample Data'!AJ1049</f>
        <v>11.65</v>
      </c>
      <c r="K1049">
        <f>'Quick View_ Sample Data'!AH1049</f>
        <v>344.70040169120898</v>
      </c>
      <c r="L1049">
        <f t="shared" si="16"/>
        <v>0</v>
      </c>
    </row>
    <row r="1050" spans="1:12" ht="12.75" customHeight="1">
      <c r="A1050" s="321"/>
      <c r="B1050" t="str">
        <f>'Quick View_ Sample Data'!P1050</f>
        <v>MgO</v>
      </c>
      <c r="C1050">
        <f>'Quick View_ Sample Data'!O1050</f>
        <v>360</v>
      </c>
      <c r="D1050">
        <f>'Quick View_ Sample Data'!AN1050</f>
        <v>99.618416088759545</v>
      </c>
      <c r="E1050">
        <f>'Quick View_ Sample Data'!O1050</f>
        <v>360</v>
      </c>
      <c r="F1050">
        <f>'Quick View_ Sample Data'!AO1050</f>
        <v>13577.990112897927</v>
      </c>
      <c r="G1050">
        <f>'Quick View_ Sample Data'!O1050</f>
        <v>360</v>
      </c>
      <c r="H1050">
        <f>'Quick View_ Sample Data'!AP1050</f>
        <v>4.3909090909090907</v>
      </c>
      <c r="I1050">
        <f>'Quick View_ Sample Data'!AF1050</f>
        <v>4.83</v>
      </c>
      <c r="J1050">
        <f>'Quick View_ Sample Data'!AJ1050</f>
        <v>13.63</v>
      </c>
      <c r="K1050">
        <f>'Quick View_ Sample Data'!AH1050</f>
        <v>206.24930867238001</v>
      </c>
      <c r="L1050">
        <f t="shared" si="16"/>
        <v>65.832900000000009</v>
      </c>
    </row>
    <row r="1051" spans="1:12" ht="12.75" customHeight="1">
      <c r="A1051" s="321"/>
      <c r="B1051" t="str">
        <f>'Quick View_ Sample Data'!P1051</f>
        <v>MgO</v>
      </c>
      <c r="C1051">
        <f>'Quick View_ Sample Data'!O1051</f>
        <v>360</v>
      </c>
      <c r="D1051">
        <f>'Quick View_ Sample Data'!AN1051</f>
        <v>118.01171516285376</v>
      </c>
      <c r="E1051">
        <f>'Quick View_ Sample Data'!O1051</f>
        <v>360</v>
      </c>
      <c r="F1051">
        <f>'Quick View_ Sample Data'!AO1051</f>
        <v>14940.283139617286</v>
      </c>
      <c r="G1051">
        <f>'Quick View_ Sample Data'!O1051</f>
        <v>360</v>
      </c>
      <c r="H1051">
        <f>'Quick View_ Sample Data'!AP1051</f>
        <v>4.3636363636363633</v>
      </c>
      <c r="I1051">
        <f>'Quick View_ Sample Data'!AF1051</f>
        <v>4.8</v>
      </c>
      <c r="J1051">
        <f>'Quick View_ Sample Data'!AJ1051</f>
        <v>12.66</v>
      </c>
      <c r="K1051">
        <f>'Quick View_ Sample Data'!AH1051</f>
        <v>245.85773992261201</v>
      </c>
      <c r="L1051">
        <f t="shared" si="16"/>
        <v>60.768000000000001</v>
      </c>
    </row>
    <row r="1052" spans="1:12" ht="12.75" customHeight="1">
      <c r="A1052" s="321"/>
      <c r="B1052" t="str">
        <f>'Quick View_ Sample Data'!P1052</f>
        <v>SiO2</v>
      </c>
      <c r="C1052">
        <f>'Quick View_ Sample Data'!O1052</f>
        <v>361</v>
      </c>
      <c r="D1052">
        <f>'Quick View_ Sample Data'!AN1052</f>
        <v>0</v>
      </c>
      <c r="E1052">
        <f>'Quick View_ Sample Data'!O1052</f>
        <v>361</v>
      </c>
      <c r="F1052">
        <f>'Quick View_ Sample Data'!AO1052</f>
        <v>0</v>
      </c>
      <c r="G1052">
        <f>'Quick View_ Sample Data'!O1052</f>
        <v>361</v>
      </c>
      <c r="H1052" t="e">
        <f>'Quick View_ Sample Data'!AP1052</f>
        <v>#DIV/0!</v>
      </c>
      <c r="I1052">
        <f>'Quick View_ Sample Data'!AF1052</f>
        <v>0</v>
      </c>
      <c r="J1052">
        <f>'Quick View_ Sample Data'!AJ1052</f>
        <v>0</v>
      </c>
      <c r="K1052">
        <f>'Quick View_ Sample Data'!AH1052</f>
        <v>0</v>
      </c>
      <c r="L1052">
        <f t="shared" si="16"/>
        <v>0</v>
      </c>
    </row>
    <row r="1053" spans="1:12" ht="12.75" customHeight="1">
      <c r="A1053" s="321"/>
      <c r="B1053" t="str">
        <f>'Quick View_ Sample Data'!P1053</f>
        <v>SiO2</v>
      </c>
      <c r="C1053">
        <f>'Quick View_ Sample Data'!O1053</f>
        <v>361</v>
      </c>
      <c r="D1053">
        <f>'Quick View_ Sample Data'!AN1053</f>
        <v>0</v>
      </c>
      <c r="E1053">
        <f>'Quick View_ Sample Data'!O1053</f>
        <v>361</v>
      </c>
      <c r="F1053">
        <f>'Quick View_ Sample Data'!AO1053</f>
        <v>0</v>
      </c>
      <c r="G1053">
        <f>'Quick View_ Sample Data'!O1053</f>
        <v>361</v>
      </c>
      <c r="H1053" t="e">
        <f>'Quick View_ Sample Data'!AP1053</f>
        <v>#DIV/0!</v>
      </c>
      <c r="I1053">
        <f>'Quick View_ Sample Data'!AF1053</f>
        <v>0</v>
      </c>
      <c r="J1053">
        <f>'Quick View_ Sample Data'!AJ1053</f>
        <v>0</v>
      </c>
      <c r="K1053">
        <f>'Quick View_ Sample Data'!AH1053</f>
        <v>0</v>
      </c>
      <c r="L1053">
        <f t="shared" si="16"/>
        <v>0</v>
      </c>
    </row>
    <row r="1054" spans="1:12" ht="12.75" customHeight="1">
      <c r="A1054" s="321"/>
      <c r="B1054">
        <f>'Quick View_ Sample Data'!P1054</f>
        <v>0</v>
      </c>
      <c r="C1054">
        <f>'Quick View_ Sample Data'!O1054</f>
        <v>362</v>
      </c>
      <c r="D1054">
        <f>'Quick View_ Sample Data'!AN1054</f>
        <v>0</v>
      </c>
      <c r="E1054">
        <f>'Quick View_ Sample Data'!O1054</f>
        <v>362</v>
      </c>
      <c r="F1054">
        <f>'Quick View_ Sample Data'!AO1054</f>
        <v>0</v>
      </c>
      <c r="G1054">
        <f>'Quick View_ Sample Data'!O1054</f>
        <v>362</v>
      </c>
      <c r="H1054" t="e">
        <f>'Quick View_ Sample Data'!AP1054</f>
        <v>#DIV/0!</v>
      </c>
      <c r="I1054">
        <f>'Quick View_ Sample Data'!AF1054</f>
        <v>0</v>
      </c>
      <c r="J1054">
        <f>'Quick View_ Sample Data'!AJ1054</f>
        <v>0</v>
      </c>
      <c r="K1054">
        <f>'Quick View_ Sample Data'!AH1054</f>
        <v>0</v>
      </c>
      <c r="L1054">
        <f t="shared" si="16"/>
        <v>0</v>
      </c>
    </row>
    <row r="1055" spans="1:12" ht="12.75" customHeight="1">
      <c r="A1055" s="321"/>
      <c r="B1055">
        <f>'Quick View_ Sample Data'!P1055</f>
        <v>0</v>
      </c>
      <c r="C1055">
        <f>'Quick View_ Sample Data'!O1055</f>
        <v>362</v>
      </c>
      <c r="D1055">
        <f>'Quick View_ Sample Data'!AN1055</f>
        <v>0</v>
      </c>
      <c r="E1055">
        <f>'Quick View_ Sample Data'!O1055</f>
        <v>362</v>
      </c>
      <c r="F1055">
        <f>'Quick View_ Sample Data'!AO1055</f>
        <v>0</v>
      </c>
      <c r="G1055">
        <f>'Quick View_ Sample Data'!O1055</f>
        <v>362</v>
      </c>
      <c r="H1055" t="e">
        <f>'Quick View_ Sample Data'!AP1055</f>
        <v>#DIV/0!</v>
      </c>
      <c r="I1055">
        <f>'Quick View_ Sample Data'!AF1055</f>
        <v>0</v>
      </c>
      <c r="J1055">
        <f>'Quick View_ Sample Data'!AJ1055</f>
        <v>0</v>
      </c>
      <c r="K1055">
        <f>'Quick View_ Sample Data'!AH1055</f>
        <v>0</v>
      </c>
      <c r="L1055">
        <f t="shared" si="16"/>
        <v>0</v>
      </c>
    </row>
    <row r="1056" spans="1:12" ht="12.75" customHeight="1">
      <c r="A1056" s="321"/>
      <c r="B1056">
        <f>'Quick View_ Sample Data'!P1056</f>
        <v>0</v>
      </c>
      <c r="C1056">
        <f>'Quick View_ Sample Data'!O1056</f>
        <v>362</v>
      </c>
      <c r="D1056">
        <f>'Quick View_ Sample Data'!AN1056</f>
        <v>0</v>
      </c>
      <c r="E1056">
        <f>'Quick View_ Sample Data'!O1056</f>
        <v>362</v>
      </c>
      <c r="F1056">
        <f>'Quick View_ Sample Data'!AO1056</f>
        <v>0</v>
      </c>
      <c r="G1056">
        <f>'Quick View_ Sample Data'!O1056</f>
        <v>362</v>
      </c>
      <c r="H1056" t="e">
        <f>'Quick View_ Sample Data'!AP1056</f>
        <v>#DIV/0!</v>
      </c>
      <c r="I1056">
        <f>'Quick View_ Sample Data'!AF1056</f>
        <v>0</v>
      </c>
      <c r="J1056">
        <f>'Quick View_ Sample Data'!AJ1056</f>
        <v>0</v>
      </c>
      <c r="K1056">
        <f>'Quick View_ Sample Data'!AH1056</f>
        <v>0</v>
      </c>
      <c r="L1056">
        <f t="shared" si="16"/>
        <v>0</v>
      </c>
    </row>
    <row r="1057" spans="1:12" ht="12.75" customHeight="1">
      <c r="A1057" s="321"/>
      <c r="B1057">
        <f>'Quick View_ Sample Data'!P1057</f>
        <v>0</v>
      </c>
      <c r="C1057">
        <f>'Quick View_ Sample Data'!O1057</f>
        <v>362</v>
      </c>
      <c r="D1057">
        <f>'Quick View_ Sample Data'!AN1057</f>
        <v>0</v>
      </c>
      <c r="E1057">
        <f>'Quick View_ Sample Data'!O1057</f>
        <v>362</v>
      </c>
      <c r="F1057">
        <f>'Quick View_ Sample Data'!AO1057</f>
        <v>0</v>
      </c>
      <c r="G1057">
        <f>'Quick View_ Sample Data'!O1057</f>
        <v>362</v>
      </c>
      <c r="H1057" t="e">
        <f>'Quick View_ Sample Data'!AP1057</f>
        <v>#DIV/0!</v>
      </c>
      <c r="I1057">
        <f>'Quick View_ Sample Data'!AF1057</f>
        <v>0</v>
      </c>
      <c r="J1057">
        <f>'Quick View_ Sample Data'!AJ1057</f>
        <v>0</v>
      </c>
      <c r="K1057">
        <f>'Quick View_ Sample Data'!AH1057</f>
        <v>0</v>
      </c>
      <c r="L1057">
        <f t="shared" si="16"/>
        <v>0</v>
      </c>
    </row>
    <row r="1058" spans="1:12" ht="12.75" customHeight="1">
      <c r="A1058" s="321"/>
      <c r="B1058">
        <f>'Quick View_ Sample Data'!P1058</f>
        <v>0</v>
      </c>
      <c r="C1058">
        <f>'Quick View_ Sample Data'!O1058</f>
        <v>362</v>
      </c>
      <c r="D1058">
        <f>'Quick View_ Sample Data'!AN1058</f>
        <v>0</v>
      </c>
      <c r="E1058">
        <f>'Quick View_ Sample Data'!O1058</f>
        <v>362</v>
      </c>
      <c r="F1058">
        <f>'Quick View_ Sample Data'!AO1058</f>
        <v>0</v>
      </c>
      <c r="G1058">
        <f>'Quick View_ Sample Data'!O1058</f>
        <v>362</v>
      </c>
      <c r="H1058" t="e">
        <f>'Quick View_ Sample Data'!AP1058</f>
        <v>#DIV/0!</v>
      </c>
      <c r="I1058">
        <f>'Quick View_ Sample Data'!AF1058</f>
        <v>0</v>
      </c>
      <c r="J1058">
        <f>'Quick View_ Sample Data'!AJ1058</f>
        <v>0</v>
      </c>
      <c r="K1058">
        <f>'Quick View_ Sample Data'!AH1058</f>
        <v>0</v>
      </c>
      <c r="L1058">
        <f t="shared" si="16"/>
        <v>0</v>
      </c>
    </row>
    <row r="1059" spans="1:12" ht="12.75" customHeight="1">
      <c r="A1059" s="321"/>
      <c r="B1059">
        <f>'Quick View_ Sample Data'!P1059</f>
        <v>0</v>
      </c>
      <c r="C1059">
        <f>'Quick View_ Sample Data'!O1059</f>
        <v>362</v>
      </c>
      <c r="D1059">
        <f>'Quick View_ Sample Data'!AN1059</f>
        <v>0</v>
      </c>
      <c r="E1059">
        <f>'Quick View_ Sample Data'!O1059</f>
        <v>362</v>
      </c>
      <c r="F1059">
        <f>'Quick View_ Sample Data'!AO1059</f>
        <v>0</v>
      </c>
      <c r="G1059">
        <f>'Quick View_ Sample Data'!O1059</f>
        <v>362</v>
      </c>
      <c r="H1059" t="e">
        <f>'Quick View_ Sample Data'!AP1059</f>
        <v>#DIV/0!</v>
      </c>
      <c r="I1059">
        <f>'Quick View_ Sample Data'!AF1059</f>
        <v>0</v>
      </c>
      <c r="J1059">
        <f>'Quick View_ Sample Data'!AJ1059</f>
        <v>0</v>
      </c>
      <c r="K1059">
        <f>'Quick View_ Sample Data'!AH1059</f>
        <v>0</v>
      </c>
      <c r="L1059">
        <f t="shared" si="16"/>
        <v>0</v>
      </c>
    </row>
    <row r="1060" spans="1:12" ht="12.75" customHeight="1">
      <c r="A1060" s="321"/>
      <c r="B1060" t="str">
        <f>'Quick View_ Sample Data'!P1060</f>
        <v>MgO</v>
      </c>
      <c r="C1060">
        <f>'Quick View_ Sample Data'!O1060</f>
        <v>363</v>
      </c>
      <c r="D1060">
        <f>'Quick View_ Sample Data'!AN1060</f>
        <v>376.60124631977402</v>
      </c>
      <c r="E1060">
        <f>'Quick View_ Sample Data'!O1060</f>
        <v>363</v>
      </c>
      <c r="F1060">
        <f>'Quick View_ Sample Data'!AO1060</f>
        <v>34270.713415099432</v>
      </c>
      <c r="G1060">
        <f>'Quick View_ Sample Data'!O1060</f>
        <v>363</v>
      </c>
      <c r="H1060">
        <f>'Quick View_ Sample Data'!AP1060</f>
        <v>3.5999999999999996</v>
      </c>
      <c r="I1060">
        <f>'Quick View_ Sample Data'!AF1060</f>
        <v>12</v>
      </c>
      <c r="J1060">
        <f>'Quick View_ Sample Data'!AJ1060</f>
        <v>9.1</v>
      </c>
      <c r="K1060">
        <f>'Quick View_ Sample Data'!AH1060</f>
        <v>313.83437193314501</v>
      </c>
      <c r="L1060">
        <f t="shared" si="16"/>
        <v>109.19999999999999</v>
      </c>
    </row>
    <row r="1061" spans="1:12" ht="12.75" customHeight="1">
      <c r="A1061" s="321"/>
      <c r="B1061" t="str">
        <f>'Quick View_ Sample Data'!P1061</f>
        <v>LiF</v>
      </c>
      <c r="C1061">
        <f>'Quick View_ Sample Data'!O1061</f>
        <v>363</v>
      </c>
      <c r="D1061">
        <f>'Quick View_ Sample Data'!AN1061</f>
        <v>0</v>
      </c>
      <c r="E1061">
        <f>'Quick View_ Sample Data'!O1061</f>
        <v>363</v>
      </c>
      <c r="F1061">
        <f>'Quick View_ Sample Data'!AO1061</f>
        <v>0</v>
      </c>
      <c r="G1061">
        <f>'Quick View_ Sample Data'!O1061</f>
        <v>363</v>
      </c>
      <c r="H1061">
        <f>'Quick View_ Sample Data'!AP1061</f>
        <v>0</v>
      </c>
      <c r="I1061">
        <f>'Quick View_ Sample Data'!AF1061</f>
        <v>0</v>
      </c>
      <c r="J1061">
        <f>'Quick View_ Sample Data'!AJ1061</f>
        <v>9.06</v>
      </c>
      <c r="K1061">
        <f>'Quick View_ Sample Data'!AH1061</f>
        <v>304.91355408399397</v>
      </c>
      <c r="L1061">
        <f t="shared" si="16"/>
        <v>0</v>
      </c>
    </row>
    <row r="1062" spans="1:12" ht="12.75" customHeight="1">
      <c r="A1062" s="321"/>
      <c r="B1062" t="str">
        <f>'Quick View_ Sample Data'!P1062</f>
        <v>MgO</v>
      </c>
      <c r="C1062">
        <f>'Quick View_ Sample Data'!O1062</f>
        <v>364</v>
      </c>
      <c r="D1062">
        <f>'Quick View_ Sample Data'!AN1062</f>
        <v>248.92721492814775</v>
      </c>
      <c r="E1062">
        <f>'Quick View_ Sample Data'!O1062</f>
        <v>364</v>
      </c>
      <c r="F1062">
        <f>'Quick View_ Sample Data'!AO1062</f>
        <v>23025.767380853667</v>
      </c>
      <c r="G1062">
        <f>'Quick View_ Sample Data'!O1062</f>
        <v>364</v>
      </c>
      <c r="H1062">
        <f>'Quick View_ Sample Data'!AP1062</f>
        <v>3.3285714285714287</v>
      </c>
      <c r="I1062">
        <f>'Quick View_ Sample Data'!AF1062</f>
        <v>4.66</v>
      </c>
      <c r="J1062">
        <f>'Quick View_ Sample Data'!AJ1062</f>
        <v>9.25</v>
      </c>
      <c r="K1062">
        <f>'Quick View_ Sample Data'!AH1062</f>
        <v>534.17857280718397</v>
      </c>
      <c r="L1062">
        <f t="shared" si="16"/>
        <v>43.105000000000004</v>
      </c>
    </row>
    <row r="1063" spans="1:12" ht="12.75" customHeight="1">
      <c r="A1063" s="321"/>
      <c r="B1063" t="str">
        <f>'Quick View_ Sample Data'!P1063</f>
        <v>MgO</v>
      </c>
      <c r="C1063">
        <f>'Quick View_ Sample Data'!O1063</f>
        <v>364</v>
      </c>
      <c r="D1063">
        <f>'Quick View_ Sample Data'!AN1063</f>
        <v>248.85620521806882</v>
      </c>
      <c r="E1063">
        <f>'Quick View_ Sample Data'!O1063</f>
        <v>364</v>
      </c>
      <c r="F1063">
        <f>'Quick View_ Sample Data'!AO1063</f>
        <v>23044.084603193172</v>
      </c>
      <c r="G1063">
        <f>'Quick View_ Sample Data'!O1063</f>
        <v>364</v>
      </c>
      <c r="H1063">
        <f>'Quick View_ Sample Data'!AP1063</f>
        <v>3.3500000000000005</v>
      </c>
      <c r="I1063">
        <f>'Quick View_ Sample Data'!AF1063</f>
        <v>4.6900000000000004</v>
      </c>
      <c r="J1063">
        <f>'Quick View_ Sample Data'!AJ1063</f>
        <v>9.26</v>
      </c>
      <c r="K1063">
        <f>'Quick View_ Sample Data'!AH1063</f>
        <v>530.61024566752405</v>
      </c>
      <c r="L1063">
        <f t="shared" si="16"/>
        <v>43.429400000000001</v>
      </c>
    </row>
    <row r="1064" spans="1:12" ht="12.75" customHeight="1">
      <c r="A1064" s="321"/>
      <c r="B1064" t="str">
        <f>'Quick View_ Sample Data'!P1064</f>
        <v>SiO2</v>
      </c>
      <c r="C1064">
        <f>'Quick View_ Sample Data'!O1064</f>
        <v>364</v>
      </c>
      <c r="D1064">
        <f>'Quick View_ Sample Data'!AN1064</f>
        <v>0</v>
      </c>
      <c r="E1064">
        <f>'Quick View_ Sample Data'!O1064</f>
        <v>364</v>
      </c>
      <c r="F1064">
        <f>'Quick View_ Sample Data'!AO1064</f>
        <v>0</v>
      </c>
      <c r="G1064">
        <f>'Quick View_ Sample Data'!O1064</f>
        <v>364</v>
      </c>
      <c r="H1064">
        <f>'Quick View_ Sample Data'!AP1064</f>
        <v>0</v>
      </c>
      <c r="I1064">
        <f>'Quick View_ Sample Data'!AF1064</f>
        <v>0</v>
      </c>
      <c r="J1064">
        <f>'Quick View_ Sample Data'!AJ1064</f>
        <v>7.62</v>
      </c>
      <c r="K1064">
        <f>'Quick View_ Sample Data'!AH1064</f>
        <v>654.78803012771095</v>
      </c>
      <c r="L1064">
        <f t="shared" si="16"/>
        <v>0</v>
      </c>
    </row>
    <row r="1065" spans="1:12" ht="12.75" customHeight="1">
      <c r="A1065" s="321"/>
      <c r="B1065" t="str">
        <f>'Quick View_ Sample Data'!P1065</f>
        <v>MgO</v>
      </c>
      <c r="C1065">
        <f>'Quick View_ Sample Data'!O1065</f>
        <v>364</v>
      </c>
      <c r="D1065">
        <f>'Quick View_ Sample Data'!AN1065</f>
        <v>248.26207874931515</v>
      </c>
      <c r="E1065">
        <f>'Quick View_ Sample Data'!O1065</f>
        <v>364</v>
      </c>
      <c r="F1065">
        <f>'Quick View_ Sample Data'!AO1065</f>
        <v>22964.242284311651</v>
      </c>
      <c r="G1065">
        <f>'Quick View_ Sample Data'!O1065</f>
        <v>364</v>
      </c>
      <c r="H1065">
        <f>'Quick View_ Sample Data'!AP1065</f>
        <v>3.3285714285714287</v>
      </c>
      <c r="I1065">
        <f>'Quick View_ Sample Data'!AF1065</f>
        <v>4.66</v>
      </c>
      <c r="J1065">
        <f>'Quick View_ Sample Data'!AJ1065</f>
        <v>9.25</v>
      </c>
      <c r="K1065">
        <f>'Quick View_ Sample Data'!AH1065</f>
        <v>532.75124195132003</v>
      </c>
      <c r="L1065">
        <f t="shared" si="16"/>
        <v>43.105000000000004</v>
      </c>
    </row>
    <row r="1066" spans="1:12" ht="12.75" customHeight="1">
      <c r="A1066" s="321"/>
      <c r="B1066" t="str">
        <f>'Quick View_ Sample Data'!P1066</f>
        <v>MgO</v>
      </c>
      <c r="C1066">
        <f>'Quick View_ Sample Data'!O1066</f>
        <v>364</v>
      </c>
      <c r="D1066">
        <f>'Quick View_ Sample Data'!AN1066</f>
        <v>247.48097193844342</v>
      </c>
      <c r="E1066">
        <f>'Quick View_ Sample Data'!O1066</f>
        <v>364</v>
      </c>
      <c r="F1066">
        <f>'Quick View_ Sample Data'!AO1066</f>
        <v>22842.49370991833</v>
      </c>
      <c r="G1066">
        <f>'Quick View_ Sample Data'!O1066</f>
        <v>364</v>
      </c>
      <c r="H1066">
        <f>'Quick View_ Sample Data'!AP1066</f>
        <v>3.2785714285714285</v>
      </c>
      <c r="I1066">
        <f>'Quick View_ Sample Data'!AF1066</f>
        <v>4.59</v>
      </c>
      <c r="J1066">
        <f>'Quick View_ Sample Data'!AJ1066</f>
        <v>9.23</v>
      </c>
      <c r="K1066">
        <f>'Quick View_ Sample Data'!AH1066</f>
        <v>539.17423080270896</v>
      </c>
      <c r="L1066">
        <f t="shared" si="16"/>
        <v>42.365700000000004</v>
      </c>
    </row>
    <row r="1067" spans="1:12" ht="12.75" customHeight="1">
      <c r="A1067" s="321"/>
      <c r="B1067" t="str">
        <f>'Quick View_ Sample Data'!P1067</f>
        <v>SiO2</v>
      </c>
      <c r="C1067">
        <f>'Quick View_ Sample Data'!O1067</f>
        <v>364</v>
      </c>
      <c r="D1067">
        <f>'Quick View_ Sample Data'!AN1067</f>
        <v>0</v>
      </c>
      <c r="E1067">
        <f>'Quick View_ Sample Data'!O1067</f>
        <v>364</v>
      </c>
      <c r="F1067">
        <f>'Quick View_ Sample Data'!AO1067</f>
        <v>0</v>
      </c>
      <c r="G1067">
        <f>'Quick View_ Sample Data'!O1067</f>
        <v>364</v>
      </c>
      <c r="H1067">
        <f>'Quick View_ Sample Data'!AP1067</f>
        <v>0</v>
      </c>
      <c r="I1067">
        <f>'Quick View_ Sample Data'!AF1067</f>
        <v>0</v>
      </c>
      <c r="J1067">
        <f>'Quick View_ Sample Data'!AJ1067</f>
        <v>7.63</v>
      </c>
      <c r="K1067">
        <f>'Quick View_ Sample Data'!AH1067</f>
        <v>637.66005985734</v>
      </c>
      <c r="L1067">
        <f t="shared" si="16"/>
        <v>0</v>
      </c>
    </row>
    <row r="1068" spans="1:12" ht="12.75" customHeight="1">
      <c r="A1068" s="321"/>
      <c r="B1068" t="str">
        <f>'Quick View_ Sample Data'!P1068</f>
        <v>MgO</v>
      </c>
      <c r="C1068">
        <f>'Quick View_ Sample Data'!O1068</f>
        <v>365</v>
      </c>
      <c r="D1068">
        <f>'Quick View_ Sample Data'!AN1068</f>
        <v>11798.495270930642</v>
      </c>
      <c r="E1068">
        <f>'Quick View_ Sample Data'!O1068</f>
        <v>365</v>
      </c>
      <c r="F1068">
        <f>'Quick View_ Sample Data'!AO1068</f>
        <v>0</v>
      </c>
      <c r="G1068">
        <f>'Quick View_ Sample Data'!O1068</f>
        <v>365</v>
      </c>
      <c r="H1068">
        <f>'Quick View_ Sample Data'!AP1068</f>
        <v>1.5666666666666669</v>
      </c>
      <c r="I1068">
        <f>'Quick View_ Sample Data'!AF1068</f>
        <v>4.7</v>
      </c>
      <c r="J1068">
        <f>'Quick View_ Sample Data'!AJ1068</f>
        <v>0</v>
      </c>
      <c r="K1068">
        <f>'Quick View_ Sample Data'!AH1068</f>
        <v>25103.181427512001</v>
      </c>
      <c r="L1068">
        <f t="shared" si="16"/>
        <v>0</v>
      </c>
    </row>
    <row r="1069" spans="1:12" ht="12.75" customHeight="1">
      <c r="A1069" s="321"/>
      <c r="B1069" t="str">
        <f>'Quick View_ Sample Data'!P1069</f>
        <v>MgO</v>
      </c>
      <c r="C1069">
        <f>'Quick View_ Sample Data'!O1069</f>
        <v>365</v>
      </c>
      <c r="D1069">
        <f>'Quick View_ Sample Data'!AN1069</f>
        <v>11488.229226137157</v>
      </c>
      <c r="E1069">
        <f>'Quick View_ Sample Data'!O1069</f>
        <v>365</v>
      </c>
      <c r="F1069">
        <f>'Quick View_ Sample Data'!AO1069</f>
        <v>0</v>
      </c>
      <c r="G1069">
        <f>'Quick View_ Sample Data'!O1069</f>
        <v>365</v>
      </c>
      <c r="H1069">
        <f>'Quick View_ Sample Data'!AP1069</f>
        <v>1.5666666666666669</v>
      </c>
      <c r="I1069">
        <f>'Quick View_ Sample Data'!AF1069</f>
        <v>4.7</v>
      </c>
      <c r="J1069">
        <f>'Quick View_ Sample Data'!AJ1069</f>
        <v>0</v>
      </c>
      <c r="K1069">
        <f>'Quick View_ Sample Data'!AH1069</f>
        <v>24443.0409066748</v>
      </c>
      <c r="L1069">
        <f t="shared" si="16"/>
        <v>0</v>
      </c>
    </row>
    <row r="1070" spans="1:12" ht="12.75" customHeight="1">
      <c r="A1070" s="321"/>
      <c r="B1070" t="str">
        <f>'Quick View_ Sample Data'!P1070</f>
        <v>MgO</v>
      </c>
      <c r="C1070">
        <f>'Quick View_ Sample Data'!O1070</f>
        <v>366</v>
      </c>
      <c r="D1070">
        <f>'Quick View_ Sample Data'!AN1070</f>
        <v>0</v>
      </c>
      <c r="E1070">
        <f>'Quick View_ Sample Data'!O1070</f>
        <v>366</v>
      </c>
      <c r="F1070">
        <f>'Quick View_ Sample Data'!AO1070</f>
        <v>0</v>
      </c>
      <c r="G1070">
        <f>'Quick View_ Sample Data'!O1070</f>
        <v>366</v>
      </c>
      <c r="H1070">
        <f>'Quick View_ Sample Data'!AP1070</f>
        <v>0</v>
      </c>
      <c r="I1070">
        <f>'Quick View_ Sample Data'!AF1070</f>
        <v>0</v>
      </c>
      <c r="J1070">
        <f>'Quick View_ Sample Data'!AJ1070</f>
        <v>14.77</v>
      </c>
      <c r="K1070">
        <f>'Quick View_ Sample Data'!AH1070</f>
        <v>0</v>
      </c>
      <c r="L1070">
        <f t="shared" si="16"/>
        <v>0</v>
      </c>
    </row>
    <row r="1071" spans="1:12" ht="12.75" customHeight="1">
      <c r="A1071" s="321"/>
      <c r="B1071" t="str">
        <f>'Quick View_ Sample Data'!P1071</f>
        <v>MgO</v>
      </c>
      <c r="C1071">
        <f>'Quick View_ Sample Data'!O1071</f>
        <v>366</v>
      </c>
      <c r="D1071">
        <f>'Quick View_ Sample Data'!AN1071</f>
        <v>0</v>
      </c>
      <c r="E1071">
        <f>'Quick View_ Sample Data'!O1071</f>
        <v>366</v>
      </c>
      <c r="F1071">
        <f>'Quick View_ Sample Data'!AO1071</f>
        <v>0</v>
      </c>
      <c r="G1071">
        <f>'Quick View_ Sample Data'!O1071</f>
        <v>366</v>
      </c>
      <c r="H1071">
        <f>'Quick View_ Sample Data'!AP1071</f>
        <v>0</v>
      </c>
      <c r="I1071">
        <f>'Quick View_ Sample Data'!AF1071</f>
        <v>0</v>
      </c>
      <c r="J1071">
        <f>'Quick View_ Sample Data'!AJ1071</f>
        <v>14.77</v>
      </c>
      <c r="K1071">
        <f>'Quick View_ Sample Data'!AH1071</f>
        <v>0</v>
      </c>
      <c r="L1071">
        <f t="shared" si="16"/>
        <v>0</v>
      </c>
    </row>
    <row r="1072" spans="1:12" ht="12.75" customHeight="1">
      <c r="A1072" s="321"/>
      <c r="B1072" t="str">
        <f>'Quick View_ Sample Data'!P1077</f>
        <v>MgO</v>
      </c>
      <c r="C1072">
        <f>'Quick View_ Sample Data'!O1072</f>
        <v>367</v>
      </c>
      <c r="D1072">
        <f>'Quick View_ Sample Data'!AN1072</f>
        <v>0</v>
      </c>
      <c r="E1072">
        <f>'Quick View_ Sample Data'!O1072</f>
        <v>367</v>
      </c>
      <c r="F1072">
        <f>'Quick View_ Sample Data'!AO1072</f>
        <v>0</v>
      </c>
      <c r="G1072">
        <f>'Quick View_ Sample Data'!O1072</f>
        <v>367</v>
      </c>
      <c r="H1072">
        <f>'Quick View_ Sample Data'!AP1072</f>
        <v>0</v>
      </c>
      <c r="I1072">
        <f>'Quick View_ Sample Data'!AF1072</f>
        <v>0</v>
      </c>
      <c r="J1072">
        <f>'Quick View_ Sample Data'!AJ1072</f>
        <v>0</v>
      </c>
      <c r="K1072">
        <f>'Quick View_ Sample Data'!AH1072</f>
        <v>602.86887024564999</v>
      </c>
      <c r="L1072">
        <f t="shared" si="16"/>
        <v>0</v>
      </c>
    </row>
    <row r="1073" spans="1:12" ht="12.75" customHeight="1">
      <c r="A1073" s="321"/>
      <c r="B1073" t="str">
        <f>'Quick View_ Sample Data'!P1073</f>
        <v>SiNx</v>
      </c>
      <c r="C1073">
        <f>'Quick View_ Sample Data'!O1073</f>
        <v>367</v>
      </c>
      <c r="D1073">
        <f>'Quick View_ Sample Data'!AN1073</f>
        <v>0</v>
      </c>
      <c r="E1073">
        <f>'Quick View_ Sample Data'!O1073</f>
        <v>367</v>
      </c>
      <c r="F1073">
        <f>'Quick View_ Sample Data'!AO1073</f>
        <v>0</v>
      </c>
      <c r="G1073">
        <f>'Quick View_ Sample Data'!O1073</f>
        <v>367</v>
      </c>
      <c r="H1073">
        <f>'Quick View_ Sample Data'!AP1073</f>
        <v>0</v>
      </c>
      <c r="I1073">
        <f>'Quick View_ Sample Data'!AF1073</f>
        <v>0</v>
      </c>
      <c r="J1073">
        <f>'Quick View_ Sample Data'!AJ1073</f>
        <v>0</v>
      </c>
      <c r="K1073">
        <f>'Quick View_ Sample Data'!AH1073</f>
        <v>610.36235723893697</v>
      </c>
      <c r="L1073">
        <f t="shared" si="16"/>
        <v>0</v>
      </c>
    </row>
    <row r="1074" spans="1:12" ht="12.75" customHeight="1">
      <c r="A1074" s="321"/>
      <c r="B1074" t="str">
        <f>'Quick View_ Sample Data'!P1074</f>
        <v>SiNx</v>
      </c>
      <c r="C1074">
        <f>'Quick View_ Sample Data'!O1074</f>
        <v>367</v>
      </c>
      <c r="D1074">
        <f>'Quick View_ Sample Data'!AN1074</f>
        <v>0</v>
      </c>
      <c r="E1074">
        <f>'Quick View_ Sample Data'!O1074</f>
        <v>367</v>
      </c>
      <c r="F1074">
        <f>'Quick View_ Sample Data'!AO1074</f>
        <v>0</v>
      </c>
      <c r="G1074">
        <f>'Quick View_ Sample Data'!O1074</f>
        <v>367</v>
      </c>
      <c r="H1074">
        <f>'Quick View_ Sample Data'!AP1074</f>
        <v>0</v>
      </c>
      <c r="I1074">
        <f>'Quick View_ Sample Data'!AF1074</f>
        <v>0</v>
      </c>
      <c r="J1074">
        <f>'Quick View_ Sample Data'!AJ1074</f>
        <v>0</v>
      </c>
      <c r="K1074">
        <f>'Quick View_ Sample Data'!AH1074</f>
        <v>487.96873634858002</v>
      </c>
      <c r="L1074">
        <f t="shared" si="16"/>
        <v>0</v>
      </c>
    </row>
    <row r="1075" spans="1:12" ht="12.75" customHeight="1">
      <c r="A1075" s="321"/>
      <c r="B1075" t="str">
        <f>'Quick View_ Sample Data'!P1075</f>
        <v>SiNx</v>
      </c>
      <c r="C1075">
        <f>'Quick View_ Sample Data'!O1075</f>
        <v>367</v>
      </c>
      <c r="D1075">
        <f>'Quick View_ Sample Data'!AN1075</f>
        <v>0</v>
      </c>
      <c r="E1075">
        <f>'Quick View_ Sample Data'!O1075</f>
        <v>367</v>
      </c>
      <c r="F1075">
        <f>'Quick View_ Sample Data'!AO1075</f>
        <v>0</v>
      </c>
      <c r="G1075">
        <f>'Quick View_ Sample Data'!O1075</f>
        <v>367</v>
      </c>
      <c r="H1075">
        <f>'Quick View_ Sample Data'!AP1075</f>
        <v>0</v>
      </c>
      <c r="I1075">
        <f>'Quick View_ Sample Data'!AF1075</f>
        <v>0</v>
      </c>
      <c r="J1075">
        <f>'Quick View_ Sample Data'!AJ1075</f>
        <v>0</v>
      </c>
      <c r="K1075">
        <f>'Quick View_ Sample Data'!AH1075</f>
        <v>596.98113046520996</v>
      </c>
      <c r="L1075">
        <f t="shared" si="16"/>
        <v>0</v>
      </c>
    </row>
    <row r="1076" spans="1:12" ht="12.75" customHeight="1">
      <c r="A1076" s="321"/>
      <c r="B1076" t="str">
        <f>'Quick View_ Sample Data'!P1076</f>
        <v>SiNx</v>
      </c>
      <c r="C1076">
        <f>'Quick View_ Sample Data'!O1076</f>
        <v>367</v>
      </c>
      <c r="D1076">
        <f>'Quick View_ Sample Data'!AN1076</f>
        <v>0</v>
      </c>
      <c r="E1076">
        <f>'Quick View_ Sample Data'!O1076</f>
        <v>367</v>
      </c>
      <c r="F1076">
        <f>'Quick View_ Sample Data'!AO1076</f>
        <v>0</v>
      </c>
      <c r="G1076">
        <f>'Quick View_ Sample Data'!O1076</f>
        <v>367</v>
      </c>
      <c r="H1076">
        <f>'Quick View_ Sample Data'!AP1076</f>
        <v>0</v>
      </c>
      <c r="I1076">
        <f>'Quick View_ Sample Data'!AF1076</f>
        <v>0</v>
      </c>
      <c r="J1076">
        <f>'Quick View_ Sample Data'!AJ1076</f>
        <v>9.8699999999999992</v>
      </c>
      <c r="K1076">
        <f>'Quick View_ Sample Data'!AH1076</f>
        <v>597.87321225012499</v>
      </c>
      <c r="L1076">
        <f t="shared" si="16"/>
        <v>0</v>
      </c>
    </row>
    <row r="1077" spans="1:12" ht="12.75" customHeight="1">
      <c r="A1077" s="321"/>
      <c r="B1077" t="str">
        <f>'Quick View_ Sample Data'!P1077</f>
        <v>MgO</v>
      </c>
      <c r="C1077">
        <f>'Quick View_ Sample Data'!O1077</f>
        <v>367</v>
      </c>
      <c r="D1077">
        <f>'Quick View_ Sample Data'!AN1077</f>
        <v>136.62571527053581</v>
      </c>
      <c r="E1077">
        <f>'Quick View_ Sample Data'!O1077</f>
        <v>367</v>
      </c>
      <c r="F1077">
        <f>'Quick View_ Sample Data'!AO1077</f>
        <v>15261.09239571885</v>
      </c>
      <c r="G1077">
        <f>'Quick View_ Sample Data'!O1077</f>
        <v>367</v>
      </c>
      <c r="H1077">
        <f>'Quick View_ Sample Data'!AP1077</f>
        <v>2.984</v>
      </c>
      <c r="I1077">
        <f>'Quick View_ Sample Data'!AF1077</f>
        <v>3.73</v>
      </c>
      <c r="J1077">
        <f>'Quick View_ Sample Data'!AJ1077</f>
        <v>11.17</v>
      </c>
      <c r="K1077">
        <f>'Quick View_ Sample Data'!AH1077</f>
        <v>366.288780886155</v>
      </c>
      <c r="L1077">
        <f t="shared" si="16"/>
        <v>41.664099999999998</v>
      </c>
    </row>
    <row r="1078" spans="1:12" ht="12.75" customHeight="1">
      <c r="A1078" s="321"/>
      <c r="B1078" t="str">
        <f>'Quick View_ Sample Data'!P1078</f>
        <v>SiNx</v>
      </c>
      <c r="C1078">
        <f>'Quick View_ Sample Data'!O1078</f>
        <v>368</v>
      </c>
      <c r="D1078">
        <f>'Quick View_ Sample Data'!AN1078</f>
        <v>0</v>
      </c>
      <c r="E1078">
        <f>'Quick View_ Sample Data'!O1078</f>
        <v>368</v>
      </c>
      <c r="F1078">
        <f>'Quick View_ Sample Data'!AO1078</f>
        <v>0</v>
      </c>
      <c r="G1078">
        <f>'Quick View_ Sample Data'!O1078</f>
        <v>368</v>
      </c>
      <c r="H1078">
        <f>'Quick View_ Sample Data'!AP1078</f>
        <v>0</v>
      </c>
      <c r="I1078">
        <f>'Quick View_ Sample Data'!AF1078</f>
        <v>0</v>
      </c>
      <c r="J1078">
        <f>'Quick View_ Sample Data'!AJ1078</f>
        <v>10.88</v>
      </c>
      <c r="K1078">
        <f>'Quick View_ Sample Data'!AH1078</f>
        <v>469.770267936312</v>
      </c>
      <c r="L1078">
        <f t="shared" si="16"/>
        <v>0</v>
      </c>
    </row>
    <row r="1079" spans="1:12" ht="12.75" customHeight="1">
      <c r="A1079" s="321"/>
      <c r="B1079" t="str">
        <f>'Quick View_ Sample Data'!P1079</f>
        <v>SiNx</v>
      </c>
      <c r="C1079">
        <f>'Quick View_ Sample Data'!O1079</f>
        <v>368</v>
      </c>
      <c r="D1079">
        <f>'Quick View_ Sample Data'!AN1079</f>
        <v>0</v>
      </c>
      <c r="E1079">
        <f>'Quick View_ Sample Data'!O1079</f>
        <v>368</v>
      </c>
      <c r="F1079">
        <f>'Quick View_ Sample Data'!AO1079</f>
        <v>0</v>
      </c>
      <c r="G1079">
        <f>'Quick View_ Sample Data'!O1079</f>
        <v>368</v>
      </c>
      <c r="H1079">
        <f>'Quick View_ Sample Data'!AP1079</f>
        <v>0</v>
      </c>
      <c r="I1079">
        <f>'Quick View_ Sample Data'!AF1079</f>
        <v>0</v>
      </c>
      <c r="J1079">
        <f>'Quick View_ Sample Data'!AJ1079</f>
        <v>10.91</v>
      </c>
      <c r="K1079">
        <f>'Quick View_ Sample Data'!AH1079</f>
        <v>453.89121216482198</v>
      </c>
      <c r="L1079">
        <f t="shared" si="16"/>
        <v>0</v>
      </c>
    </row>
    <row r="1080" spans="1:12" ht="12.75" customHeight="1">
      <c r="A1080" s="321"/>
      <c r="B1080" t="str">
        <f>'Quick View_ Sample Data'!P1080</f>
        <v>SiNx</v>
      </c>
      <c r="C1080">
        <f>'Quick View_ Sample Data'!O1080</f>
        <v>368</v>
      </c>
      <c r="D1080">
        <f>'Quick View_ Sample Data'!AN1080</f>
        <v>0</v>
      </c>
      <c r="E1080">
        <f>'Quick View_ Sample Data'!O1080</f>
        <v>368</v>
      </c>
      <c r="F1080">
        <f>'Quick View_ Sample Data'!AO1080</f>
        <v>0</v>
      </c>
      <c r="G1080">
        <f>'Quick View_ Sample Data'!O1080</f>
        <v>368</v>
      </c>
      <c r="H1080">
        <f>'Quick View_ Sample Data'!AP1080</f>
        <v>0</v>
      </c>
      <c r="I1080">
        <f>'Quick View_ Sample Data'!AF1080</f>
        <v>0</v>
      </c>
      <c r="J1080">
        <f>'Quick View_ Sample Data'!AJ1080</f>
        <v>11.88</v>
      </c>
      <c r="K1080">
        <f>'Quick View_ Sample Data'!AH1080</f>
        <v>379.31317494591599</v>
      </c>
      <c r="L1080">
        <f t="shared" si="16"/>
        <v>0</v>
      </c>
    </row>
    <row r="1081" spans="1:12" ht="12.75" customHeight="1">
      <c r="A1081" s="321"/>
      <c r="B1081" t="str">
        <f>'Quick View_ Sample Data'!P1081</f>
        <v>SiNx</v>
      </c>
      <c r="C1081">
        <f>'Quick View_ Sample Data'!O1081</f>
        <v>368</v>
      </c>
      <c r="D1081">
        <f>'Quick View_ Sample Data'!AN1081</f>
        <v>0</v>
      </c>
      <c r="E1081">
        <f>'Quick View_ Sample Data'!O1081</f>
        <v>368</v>
      </c>
      <c r="F1081">
        <f>'Quick View_ Sample Data'!AO1081</f>
        <v>0</v>
      </c>
      <c r="G1081">
        <f>'Quick View_ Sample Data'!O1081</f>
        <v>368</v>
      </c>
      <c r="H1081">
        <f>'Quick View_ Sample Data'!AP1081</f>
        <v>0</v>
      </c>
      <c r="I1081">
        <f>'Quick View_ Sample Data'!AF1081</f>
        <v>0</v>
      </c>
      <c r="J1081">
        <f>'Quick View_ Sample Data'!AJ1081</f>
        <v>10.88</v>
      </c>
      <c r="K1081">
        <f>'Quick View_ Sample Data'!AH1081</f>
        <v>460.49261737319398</v>
      </c>
      <c r="L1081">
        <f t="shared" si="16"/>
        <v>0</v>
      </c>
    </row>
    <row r="1082" spans="1:12" ht="12.75" customHeight="1">
      <c r="A1082" s="321"/>
      <c r="B1082" t="str">
        <f>'Quick View_ Sample Data'!P1082</f>
        <v>SiNx</v>
      </c>
      <c r="C1082">
        <f>'Quick View_ Sample Data'!O1082</f>
        <v>368</v>
      </c>
      <c r="D1082">
        <f>'Quick View_ Sample Data'!AN1082</f>
        <v>0</v>
      </c>
      <c r="E1082">
        <f>'Quick View_ Sample Data'!O1082</f>
        <v>368</v>
      </c>
      <c r="F1082">
        <f>'Quick View_ Sample Data'!AO1082</f>
        <v>0</v>
      </c>
      <c r="G1082">
        <f>'Quick View_ Sample Data'!O1082</f>
        <v>368</v>
      </c>
      <c r="H1082">
        <f>'Quick View_ Sample Data'!AP1082</f>
        <v>0</v>
      </c>
      <c r="I1082">
        <f>'Quick View_ Sample Data'!AF1082</f>
        <v>0</v>
      </c>
      <c r="J1082">
        <f>'Quick View_ Sample Data'!AJ1082</f>
        <v>10.88</v>
      </c>
      <c r="K1082">
        <f>'Quick View_ Sample Data'!AH1082</f>
        <v>468.34293708044697</v>
      </c>
      <c r="L1082">
        <f t="shared" si="16"/>
        <v>0</v>
      </c>
    </row>
    <row r="1083" spans="1:12" ht="12.75" customHeight="1">
      <c r="A1083" s="321"/>
      <c r="B1083" t="str">
        <f>'Quick View_ Sample Data'!P1083</f>
        <v>MgO</v>
      </c>
      <c r="C1083">
        <f>'Quick View_ Sample Data'!O1083</f>
        <v>368</v>
      </c>
      <c r="D1083">
        <f>'Quick View_ Sample Data'!AN1083</f>
        <v>125.03418297370565</v>
      </c>
      <c r="E1083">
        <f>'Quick View_ Sample Data'!O1083</f>
        <v>368</v>
      </c>
      <c r="F1083">
        <f>'Quick View_ Sample Data'!AO1083</f>
        <v>15904.34807425536</v>
      </c>
      <c r="G1083">
        <f>'Quick View_ Sample Data'!O1083</f>
        <v>368</v>
      </c>
      <c r="H1083">
        <f>'Quick View_ Sample Data'!AP1083</f>
        <v>3.0206896551724141</v>
      </c>
      <c r="I1083">
        <f>'Quick View_ Sample Data'!AF1083</f>
        <v>4.38</v>
      </c>
      <c r="J1083">
        <f>'Quick View_ Sample Data'!AJ1083</f>
        <v>12.72</v>
      </c>
      <c r="K1083">
        <f>'Quick View_ Sample Data'!AH1083</f>
        <v>285.46617117284399</v>
      </c>
      <c r="L1083">
        <f t="shared" si="16"/>
        <v>55.7136</v>
      </c>
    </row>
    <row r="1084" spans="1:12" ht="12.75" customHeight="1">
      <c r="A1084" s="321"/>
      <c r="B1084" t="str">
        <f>'Quick View_ Sample Data'!P1084</f>
        <v>SiNx</v>
      </c>
      <c r="C1084">
        <f>'Quick View_ Sample Data'!O1084</f>
        <v>369</v>
      </c>
      <c r="D1084">
        <f>'Quick View_ Sample Data'!AN1084</f>
        <v>0</v>
      </c>
      <c r="E1084">
        <f>'Quick View_ Sample Data'!O1084</f>
        <v>369</v>
      </c>
      <c r="F1084">
        <f>'Quick View_ Sample Data'!AO1084</f>
        <v>0</v>
      </c>
      <c r="G1084">
        <f>'Quick View_ Sample Data'!O1084</f>
        <v>369</v>
      </c>
      <c r="H1084">
        <f>'Quick View_ Sample Data'!AP1084</f>
        <v>0</v>
      </c>
      <c r="I1084">
        <f>'Quick View_ Sample Data'!AF1084</f>
        <v>0</v>
      </c>
      <c r="J1084">
        <f>'Quick View_ Sample Data'!AJ1084</f>
        <v>10.56</v>
      </c>
      <c r="K1084">
        <f>'Quick View_ Sample Data'!AH1084</f>
        <v>525.25775495803305</v>
      </c>
      <c r="L1084">
        <f t="shared" si="16"/>
        <v>0</v>
      </c>
    </row>
    <row r="1085" spans="1:12" ht="12.75" customHeight="1">
      <c r="A1085" s="321"/>
      <c r="B1085" t="str">
        <f>'Quick View_ Sample Data'!P1085</f>
        <v>SiNx</v>
      </c>
      <c r="C1085">
        <f>'Quick View_ Sample Data'!O1085</f>
        <v>369</v>
      </c>
      <c r="D1085">
        <f>'Quick View_ Sample Data'!AN1085</f>
        <v>0</v>
      </c>
      <c r="E1085">
        <f>'Quick View_ Sample Data'!O1085</f>
        <v>369</v>
      </c>
      <c r="F1085">
        <f>'Quick View_ Sample Data'!AO1085</f>
        <v>0</v>
      </c>
      <c r="G1085">
        <f>'Quick View_ Sample Data'!O1085</f>
        <v>369</v>
      </c>
      <c r="H1085">
        <f>'Quick View_ Sample Data'!AP1085</f>
        <v>0</v>
      </c>
      <c r="I1085">
        <f>'Quick View_ Sample Data'!AF1085</f>
        <v>0</v>
      </c>
      <c r="J1085">
        <f>'Quick View_ Sample Data'!AJ1085</f>
        <v>10.54</v>
      </c>
      <c r="K1085">
        <f>'Quick View_ Sample Data'!AH1085</f>
        <v>524.54408953010102</v>
      </c>
      <c r="L1085">
        <f t="shared" si="16"/>
        <v>0</v>
      </c>
    </row>
    <row r="1086" spans="1:12" ht="12.75" customHeight="1">
      <c r="A1086" s="321"/>
      <c r="B1086" t="str">
        <f>'Quick View_ Sample Data'!P1086</f>
        <v>MgO</v>
      </c>
      <c r="C1086">
        <f>'Quick View_ Sample Data'!O1086</f>
        <v>369</v>
      </c>
      <c r="D1086">
        <f>'Quick View_ Sample Data'!AN1086</f>
        <v>134.85225668212487</v>
      </c>
      <c r="E1086">
        <f>'Quick View_ Sample Data'!O1086</f>
        <v>369</v>
      </c>
      <c r="F1086">
        <f>'Quick View_ Sample Data'!AO1086</f>
        <v>15885.595837154309</v>
      </c>
      <c r="G1086">
        <f>'Quick View_ Sample Data'!O1086</f>
        <v>369</v>
      </c>
      <c r="H1086">
        <f>'Quick View_ Sample Data'!AP1086</f>
        <v>3.0444444444444447</v>
      </c>
      <c r="I1086">
        <f>'Quick View_ Sample Data'!AF1086</f>
        <v>4.1100000000000003</v>
      </c>
      <c r="J1086">
        <f>'Quick View_ Sample Data'!AJ1086</f>
        <v>11.78</v>
      </c>
      <c r="K1086">
        <f>'Quick View_ Sample Data'!AH1086</f>
        <v>328.10768049178802</v>
      </c>
      <c r="L1086">
        <f t="shared" si="16"/>
        <v>48.415800000000004</v>
      </c>
    </row>
    <row r="1087" spans="1:12" ht="12.75" customHeight="1">
      <c r="A1087" s="321"/>
      <c r="B1087" t="str">
        <f>'Quick View_ Sample Data'!P1087</f>
        <v>SiNx</v>
      </c>
      <c r="C1087">
        <f>'Quick View_ Sample Data'!O1087</f>
        <v>369</v>
      </c>
      <c r="D1087">
        <f>'Quick View_ Sample Data'!AN1087</f>
        <v>0</v>
      </c>
      <c r="E1087">
        <f>'Quick View_ Sample Data'!O1087</f>
        <v>369</v>
      </c>
      <c r="F1087">
        <f>'Quick View_ Sample Data'!AO1087</f>
        <v>0</v>
      </c>
      <c r="G1087">
        <f>'Quick View_ Sample Data'!O1087</f>
        <v>369</v>
      </c>
      <c r="H1087">
        <f>'Quick View_ Sample Data'!AP1087</f>
        <v>0</v>
      </c>
      <c r="I1087">
        <f>'Quick View_ Sample Data'!AF1087</f>
        <v>0</v>
      </c>
      <c r="J1087">
        <f>'Quick View_ Sample Data'!AJ1087</f>
        <v>10.43</v>
      </c>
      <c r="K1087">
        <f>'Quick View_ Sample Data'!AH1087</f>
        <v>527.22033488484601</v>
      </c>
      <c r="L1087">
        <f t="shared" si="16"/>
        <v>0</v>
      </c>
    </row>
    <row r="1088" spans="1:12" ht="12.75" customHeight="1">
      <c r="A1088" s="321"/>
      <c r="B1088" t="str">
        <f>'Quick View_ Sample Data'!P1088</f>
        <v>SiNx</v>
      </c>
      <c r="C1088">
        <f>'Quick View_ Sample Data'!O1088</f>
        <v>369</v>
      </c>
      <c r="D1088">
        <f>'Quick View_ Sample Data'!AN1088</f>
        <v>0</v>
      </c>
      <c r="E1088">
        <f>'Quick View_ Sample Data'!O1088</f>
        <v>369</v>
      </c>
      <c r="F1088">
        <f>'Quick View_ Sample Data'!AO1088</f>
        <v>0</v>
      </c>
      <c r="G1088">
        <f>'Quick View_ Sample Data'!O1088</f>
        <v>369</v>
      </c>
      <c r="H1088">
        <f>'Quick View_ Sample Data'!AP1088</f>
        <v>0</v>
      </c>
      <c r="I1088">
        <f>'Quick View_ Sample Data'!AF1088</f>
        <v>0</v>
      </c>
      <c r="J1088">
        <f>'Quick View_ Sample Data'!AJ1088</f>
        <v>10.62</v>
      </c>
      <c r="K1088">
        <f>'Quick View_ Sample Data'!AH1088</f>
        <v>519.37001517759302</v>
      </c>
      <c r="L1088">
        <f t="shared" si="16"/>
        <v>0</v>
      </c>
    </row>
    <row r="1089" spans="1:12" ht="12.75" customHeight="1">
      <c r="A1089" s="321"/>
      <c r="B1089" t="str">
        <f>'Quick View_ Sample Data'!P1089</f>
        <v>MgO</v>
      </c>
      <c r="C1089">
        <f>'Quick View_ Sample Data'!O1089</f>
        <v>369</v>
      </c>
      <c r="D1089">
        <f>'Quick View_ Sample Data'!AN1089</f>
        <v>106.2050127395017</v>
      </c>
      <c r="E1089">
        <f>'Quick View_ Sample Data'!O1089</f>
        <v>369</v>
      </c>
      <c r="F1089">
        <f>'Quick View_ Sample Data'!AO1089</f>
        <v>14082.784689257924</v>
      </c>
      <c r="G1089">
        <f>'Quick View_ Sample Data'!O1089</f>
        <v>369</v>
      </c>
      <c r="H1089">
        <f>'Quick View_ Sample Data'!AP1089</f>
        <v>2.9259259259259265</v>
      </c>
      <c r="I1089">
        <f>'Quick View_ Sample Data'!AF1089</f>
        <v>3.95</v>
      </c>
      <c r="J1089">
        <f>'Quick View_ Sample Data'!AJ1089</f>
        <v>13.26</v>
      </c>
      <c r="K1089">
        <f>'Quick View_ Sample Data'!AH1089</f>
        <v>268.873449973422</v>
      </c>
      <c r="L1089">
        <f t="shared" si="16"/>
        <v>52.377000000000002</v>
      </c>
    </row>
    <row r="1090" spans="1:12" ht="12.75" customHeight="1">
      <c r="A1090" s="321"/>
      <c r="B1090" t="str">
        <f>'Quick View_ Sample Data'!P1090</f>
        <v>MgO</v>
      </c>
      <c r="C1090">
        <f>'Quick View_ Sample Data'!O1090</f>
        <v>370</v>
      </c>
      <c r="D1090">
        <f>'Quick View_ Sample Data'!AN1090</f>
        <v>83.498855068056599</v>
      </c>
      <c r="E1090">
        <f>'Quick View_ Sample Data'!O1090</f>
        <v>370</v>
      </c>
      <c r="F1090">
        <f>'Quick View_ Sample Data'!AO1090</f>
        <v>13568.563948559198</v>
      </c>
      <c r="G1090">
        <f>'Quick View_ Sample Data'!O1090</f>
        <v>370</v>
      </c>
      <c r="H1090">
        <f>'Quick View_ Sample Data'!AP1090</f>
        <v>3</v>
      </c>
      <c r="I1090">
        <f>'Quick View_ Sample Data'!AF1090</f>
        <v>60</v>
      </c>
      <c r="J1090">
        <f>'Quick View_ Sample Data'!AJ1090</f>
        <v>16.25</v>
      </c>
      <c r="K1090">
        <f>'Quick View_ Sample Data'!AH1090</f>
        <v>13.9164758446761</v>
      </c>
      <c r="L1090">
        <f t="shared" ref="L1090:L1153" si="17">I1090*J1090</f>
        <v>975</v>
      </c>
    </row>
    <row r="1091" spans="1:12" ht="12.75" customHeight="1">
      <c r="A1091" s="321"/>
      <c r="B1091" t="str">
        <f>'Quick View_ Sample Data'!P1091</f>
        <v>MgO</v>
      </c>
      <c r="C1091">
        <f>'Quick View_ Sample Data'!O1091</f>
        <v>370</v>
      </c>
      <c r="D1091">
        <f>'Quick View_ Sample Data'!AN1091</f>
        <v>88.851345777547806</v>
      </c>
      <c r="E1091">
        <f>'Quick View_ Sample Data'!O1091</f>
        <v>370</v>
      </c>
      <c r="F1091">
        <f>'Quick View_ Sample Data'!AO1091</f>
        <v>14393.918015962743</v>
      </c>
      <c r="G1091">
        <f>'Quick View_ Sample Data'!O1091</f>
        <v>370</v>
      </c>
      <c r="H1091">
        <f>'Quick View_ Sample Data'!AP1091</f>
        <v>3</v>
      </c>
      <c r="I1091">
        <f>'Quick View_ Sample Data'!AF1091</f>
        <v>60</v>
      </c>
      <c r="J1091">
        <f>'Quick View_ Sample Data'!AJ1091</f>
        <v>16.2</v>
      </c>
      <c r="K1091">
        <f>'Quick View_ Sample Data'!AH1091</f>
        <v>14.8085576295913</v>
      </c>
      <c r="L1091">
        <f t="shared" si="17"/>
        <v>972</v>
      </c>
    </row>
    <row r="1092" spans="1:12" ht="12.75" customHeight="1">
      <c r="A1092" s="321"/>
      <c r="B1092" t="str">
        <f>'Quick View_ Sample Data'!P1092</f>
        <v>SiNx</v>
      </c>
      <c r="C1092">
        <f>'Quick View_ Sample Data'!O1092</f>
        <v>372</v>
      </c>
      <c r="D1092">
        <f>'Quick View_ Sample Data'!AN1092</f>
        <v>0</v>
      </c>
      <c r="E1092">
        <f>'Quick View_ Sample Data'!O1092</f>
        <v>372</v>
      </c>
      <c r="F1092">
        <f>'Quick View_ Sample Data'!AO1092</f>
        <v>0</v>
      </c>
      <c r="G1092">
        <f>'Quick View_ Sample Data'!O1092</f>
        <v>372</v>
      </c>
      <c r="H1092">
        <f>'Quick View_ Sample Data'!AP1092</f>
        <v>0</v>
      </c>
      <c r="I1092">
        <f>'Quick View_ Sample Data'!AF1092</f>
        <v>0</v>
      </c>
      <c r="J1092">
        <f>'Quick View_ Sample Data'!AJ1092</f>
        <v>10.73</v>
      </c>
      <c r="K1092">
        <f>'Quick View_ Sample Data'!AH1092</f>
        <v>502.42046126420502</v>
      </c>
      <c r="L1092">
        <f t="shared" si="17"/>
        <v>0</v>
      </c>
    </row>
    <row r="1093" spans="1:12" ht="12.75" customHeight="1">
      <c r="A1093" s="321"/>
      <c r="B1093" t="str">
        <f>'Quick View_ Sample Data'!P1093</f>
        <v>SiNx</v>
      </c>
      <c r="C1093">
        <f>'Quick View_ Sample Data'!O1093</f>
        <v>372</v>
      </c>
      <c r="D1093">
        <f>'Quick View_ Sample Data'!AN1093</f>
        <v>0</v>
      </c>
      <c r="E1093">
        <f>'Quick View_ Sample Data'!O1093</f>
        <v>372</v>
      </c>
      <c r="F1093">
        <f>'Quick View_ Sample Data'!AO1093</f>
        <v>0</v>
      </c>
      <c r="G1093">
        <f>'Quick View_ Sample Data'!O1093</f>
        <v>372</v>
      </c>
      <c r="H1093">
        <f>'Quick View_ Sample Data'!AP1093</f>
        <v>0</v>
      </c>
      <c r="I1093">
        <f>'Quick View_ Sample Data'!AF1093</f>
        <v>0</v>
      </c>
      <c r="J1093">
        <f>'Quick View_ Sample Data'!AJ1093</f>
        <v>10.66</v>
      </c>
      <c r="K1093">
        <f>'Quick View_ Sample Data'!AH1093</f>
        <v>509.73553190051001</v>
      </c>
      <c r="L1093">
        <f t="shared" si="17"/>
        <v>0</v>
      </c>
    </row>
    <row r="1094" spans="1:12" ht="12.75" customHeight="1">
      <c r="A1094" s="321"/>
      <c r="B1094" t="str">
        <f>'Quick View_ Sample Data'!P1094</f>
        <v>MgO</v>
      </c>
      <c r="C1094">
        <f>'Quick View_ Sample Data'!O1094</f>
        <v>372</v>
      </c>
      <c r="D1094">
        <f>'Quick View_ Sample Data'!AN1094</f>
        <v>137.08442372433953</v>
      </c>
      <c r="E1094">
        <f>'Quick View_ Sample Data'!O1094</f>
        <v>372</v>
      </c>
      <c r="F1094">
        <f>'Quick View_ Sample Data'!AO1094</f>
        <v>16107.419787609895</v>
      </c>
      <c r="G1094">
        <f>'Quick View_ Sample Data'!O1094</f>
        <v>372</v>
      </c>
      <c r="H1094">
        <f>'Quick View_ Sample Data'!AP1094</f>
        <v>2.9285714285714279</v>
      </c>
      <c r="I1094">
        <f>'Quick View_ Sample Data'!AF1094</f>
        <v>4.0999999999999996</v>
      </c>
      <c r="J1094">
        <f>'Quick View_ Sample Data'!AJ1094</f>
        <v>11.75</v>
      </c>
      <c r="K1094">
        <f>'Quick View_ Sample Data'!AH1094</f>
        <v>334.352252986194</v>
      </c>
      <c r="L1094">
        <f t="shared" si="17"/>
        <v>48.174999999999997</v>
      </c>
    </row>
    <row r="1095" spans="1:12" ht="12.75" customHeight="1">
      <c r="A1095" s="321"/>
      <c r="B1095" t="str">
        <f>'Quick View_ Sample Data'!P1095</f>
        <v>SiNx</v>
      </c>
      <c r="C1095">
        <f>'Quick View_ Sample Data'!O1095</f>
        <v>372</v>
      </c>
      <c r="D1095">
        <f>'Quick View_ Sample Data'!AN1095</f>
        <v>0</v>
      </c>
      <c r="E1095">
        <f>'Quick View_ Sample Data'!O1095</f>
        <v>372</v>
      </c>
      <c r="F1095">
        <f>'Quick View_ Sample Data'!AO1095</f>
        <v>0</v>
      </c>
      <c r="G1095">
        <f>'Quick View_ Sample Data'!O1095</f>
        <v>372</v>
      </c>
      <c r="H1095">
        <f>'Quick View_ Sample Data'!AP1095</f>
        <v>0</v>
      </c>
      <c r="I1095">
        <f>'Quick View_ Sample Data'!AF1095</f>
        <v>0</v>
      </c>
      <c r="J1095">
        <f>'Quick View_ Sample Data'!AJ1095</f>
        <v>10.63</v>
      </c>
      <c r="K1095">
        <f>'Quick View_ Sample Data'!AH1095</f>
        <v>507.95136833067897</v>
      </c>
      <c r="L1095">
        <f t="shared" si="17"/>
        <v>0</v>
      </c>
    </row>
    <row r="1096" spans="1:12" ht="12.75" customHeight="1">
      <c r="A1096" s="321"/>
      <c r="B1096" t="str">
        <f>'Quick View_ Sample Data'!P1096</f>
        <v>SiNx</v>
      </c>
      <c r="C1096">
        <f>'Quick View_ Sample Data'!O1096</f>
        <v>372</v>
      </c>
      <c r="D1096">
        <f>'Quick View_ Sample Data'!AN1096</f>
        <v>0</v>
      </c>
      <c r="E1096">
        <f>'Quick View_ Sample Data'!O1096</f>
        <v>372</v>
      </c>
      <c r="F1096">
        <f>'Quick View_ Sample Data'!AO1096</f>
        <v>0</v>
      </c>
      <c r="G1096">
        <f>'Quick View_ Sample Data'!O1096</f>
        <v>372</v>
      </c>
      <c r="H1096">
        <f>'Quick View_ Sample Data'!AP1096</f>
        <v>0</v>
      </c>
      <c r="I1096">
        <f>'Quick View_ Sample Data'!AF1096</f>
        <v>0</v>
      </c>
      <c r="J1096">
        <f>'Quick View_ Sample Data'!AJ1096</f>
        <v>10.67</v>
      </c>
      <c r="K1096">
        <f>'Quick View_ Sample Data'!AH1096</f>
        <v>505.6319556899</v>
      </c>
      <c r="L1096">
        <f t="shared" si="17"/>
        <v>0</v>
      </c>
    </row>
    <row r="1097" spans="1:12" ht="12.75" customHeight="1">
      <c r="A1097" s="321"/>
      <c r="B1097" t="str">
        <f>'Quick View_ Sample Data'!P1097</f>
        <v>SiNx</v>
      </c>
      <c r="C1097">
        <f>'Quick View_ Sample Data'!O1097</f>
        <v>372</v>
      </c>
      <c r="D1097">
        <f>'Quick View_ Sample Data'!AN1097</f>
        <v>0</v>
      </c>
      <c r="E1097">
        <f>'Quick View_ Sample Data'!O1097</f>
        <v>372</v>
      </c>
      <c r="F1097">
        <f>'Quick View_ Sample Data'!AO1097</f>
        <v>0</v>
      </c>
      <c r="G1097">
        <f>'Quick View_ Sample Data'!O1097</f>
        <v>372</v>
      </c>
      <c r="H1097">
        <f>'Quick View_ Sample Data'!AP1097</f>
        <v>0</v>
      </c>
      <c r="I1097">
        <f>'Quick View_ Sample Data'!AF1097</f>
        <v>0</v>
      </c>
      <c r="J1097">
        <f>'Quick View_ Sample Data'!AJ1097</f>
        <v>11.82</v>
      </c>
      <c r="K1097">
        <f>'Quick View_ Sample Data'!AH1097</f>
        <v>412.14178463079401</v>
      </c>
      <c r="L1097">
        <f t="shared" si="17"/>
        <v>0</v>
      </c>
    </row>
    <row r="1098" spans="1:12" ht="12.75" customHeight="1">
      <c r="A1098" s="321"/>
      <c r="B1098">
        <f>'Quick View_ Sample Data'!P1098</f>
        <v>0</v>
      </c>
      <c r="C1098">
        <f>'Quick View_ Sample Data'!O1098</f>
        <v>373</v>
      </c>
      <c r="D1098">
        <f>'Quick View_ Sample Data'!AN1098</f>
        <v>0</v>
      </c>
      <c r="E1098">
        <f>'Quick View_ Sample Data'!O1098</f>
        <v>373</v>
      </c>
      <c r="F1098">
        <f>'Quick View_ Sample Data'!AO1098</f>
        <v>0</v>
      </c>
      <c r="G1098">
        <f>'Quick View_ Sample Data'!O1098</f>
        <v>373</v>
      </c>
      <c r="H1098" t="e">
        <f>'Quick View_ Sample Data'!AP1098</f>
        <v>#DIV/0!</v>
      </c>
      <c r="I1098">
        <f>'Quick View_ Sample Data'!AF1098</f>
        <v>0</v>
      </c>
      <c r="J1098">
        <f>'Quick View_ Sample Data'!AJ1098</f>
        <v>0</v>
      </c>
      <c r="K1098">
        <f>'Quick View_ Sample Data'!AH1098</f>
        <v>0</v>
      </c>
      <c r="L1098">
        <f t="shared" si="17"/>
        <v>0</v>
      </c>
    </row>
    <row r="1099" spans="1:12" ht="12.75" customHeight="1">
      <c r="A1099" s="321"/>
      <c r="B1099" t="str">
        <f>'Quick View_ Sample Data'!P1099</f>
        <v>MgO</v>
      </c>
      <c r="C1099">
        <f>'Quick View_ Sample Data'!O1099</f>
        <v>375</v>
      </c>
      <c r="D1099">
        <f>'Quick View_ Sample Data'!AN1099</f>
        <v>143.11132826322597</v>
      </c>
      <c r="E1099">
        <f>'Quick View_ Sample Data'!O1099</f>
        <v>375</v>
      </c>
      <c r="F1099">
        <f>'Quick View_ Sample Data'!AO1099</f>
        <v>16600.91407853421</v>
      </c>
      <c r="G1099">
        <f>'Quick View_ Sample Data'!O1099</f>
        <v>375</v>
      </c>
      <c r="H1099">
        <f>'Quick View_ Sample Data'!AP1099</f>
        <v>3.1428571428571428</v>
      </c>
      <c r="I1099">
        <f>'Quick View_ Sample Data'!AF1099</f>
        <v>4.4000000000000004</v>
      </c>
      <c r="J1099">
        <f>'Quick View_ Sample Data'!AJ1099</f>
        <v>11.6</v>
      </c>
      <c r="K1099">
        <f>'Quick View_ Sample Data'!AH1099</f>
        <v>325.25301878005899</v>
      </c>
      <c r="L1099">
        <f t="shared" si="17"/>
        <v>51.04</v>
      </c>
    </row>
    <row r="1100" spans="1:12" ht="12.75" customHeight="1">
      <c r="A1100" s="321"/>
      <c r="B1100" t="str">
        <f>'Quick View_ Sample Data'!P1100</f>
        <v>MgO</v>
      </c>
      <c r="C1100">
        <f>'Quick View_ Sample Data'!O1100</f>
        <v>375</v>
      </c>
      <c r="D1100">
        <f>'Quick View_ Sample Data'!AN1100</f>
        <v>0</v>
      </c>
      <c r="E1100">
        <f>'Quick View_ Sample Data'!O1100</f>
        <v>375</v>
      </c>
      <c r="F1100">
        <f>'Quick View_ Sample Data'!AO1100</f>
        <v>0</v>
      </c>
      <c r="G1100">
        <f>'Quick View_ Sample Data'!O1100</f>
        <v>375</v>
      </c>
      <c r="H1100">
        <f>'Quick View_ Sample Data'!AP1100</f>
        <v>0</v>
      </c>
      <c r="I1100">
        <f>'Quick View_ Sample Data'!AF1100</f>
        <v>0</v>
      </c>
      <c r="J1100">
        <f>'Quick View_ Sample Data'!AJ1100</f>
        <v>11.38</v>
      </c>
      <c r="K1100">
        <f>'Quick View_ Sample Data'!AH1100</f>
        <v>323.46885521022898</v>
      </c>
      <c r="L1100">
        <f t="shared" si="17"/>
        <v>0</v>
      </c>
    </row>
    <row r="1101" spans="1:12" ht="12.75" customHeight="1">
      <c r="A1101" s="321"/>
      <c r="B1101" t="str">
        <f>'Quick View_ Sample Data'!P1101</f>
        <v>MgO</v>
      </c>
      <c r="C1101">
        <f>'Quick View_ Sample Data'!O1101</f>
        <v>375</v>
      </c>
      <c r="D1101">
        <f>'Quick View_ Sample Data'!AN1101</f>
        <v>0</v>
      </c>
      <c r="E1101">
        <f>'Quick View_ Sample Data'!O1101</f>
        <v>375</v>
      </c>
      <c r="F1101">
        <f>'Quick View_ Sample Data'!AO1101</f>
        <v>0</v>
      </c>
      <c r="G1101">
        <f>'Quick View_ Sample Data'!O1101</f>
        <v>375</v>
      </c>
      <c r="H1101">
        <f>'Quick View_ Sample Data'!AP1101</f>
        <v>0</v>
      </c>
      <c r="I1101">
        <f>'Quick View_ Sample Data'!AF1101</f>
        <v>0</v>
      </c>
      <c r="J1101">
        <f>'Quick View_ Sample Data'!AJ1101</f>
        <v>11.96</v>
      </c>
      <c r="K1101">
        <f>'Quick View_ Sample Data'!AH1101</f>
        <v>306.16246858287502</v>
      </c>
      <c r="L1101">
        <f t="shared" si="17"/>
        <v>0</v>
      </c>
    </row>
    <row r="1102" spans="1:12" ht="12.75" customHeight="1">
      <c r="A1102" s="321"/>
      <c r="B1102" t="str">
        <f>'Quick View_ Sample Data'!P1102</f>
        <v>SiNx</v>
      </c>
      <c r="C1102">
        <f>'Quick View_ Sample Data'!O1102</f>
        <v>375</v>
      </c>
      <c r="D1102">
        <f>'Quick View_ Sample Data'!AN1102</f>
        <v>0</v>
      </c>
      <c r="E1102">
        <f>'Quick View_ Sample Data'!O1102</f>
        <v>375</v>
      </c>
      <c r="F1102">
        <f>'Quick View_ Sample Data'!AO1102</f>
        <v>0</v>
      </c>
      <c r="G1102">
        <f>'Quick View_ Sample Data'!O1102</f>
        <v>375</v>
      </c>
      <c r="H1102">
        <f>'Quick View_ Sample Data'!AP1102</f>
        <v>0</v>
      </c>
      <c r="I1102">
        <f>'Quick View_ Sample Data'!AF1102</f>
        <v>0</v>
      </c>
      <c r="J1102">
        <f>'Quick View_ Sample Data'!AJ1102</f>
        <v>10.3</v>
      </c>
      <c r="K1102">
        <f>'Quick View_ Sample Data'!AH1102</f>
        <v>483.68674378098802</v>
      </c>
      <c r="L1102">
        <f t="shared" si="17"/>
        <v>0</v>
      </c>
    </row>
    <row r="1103" spans="1:12" ht="12.75" customHeight="1">
      <c r="A1103" s="321"/>
      <c r="B1103" t="str">
        <f>'Quick View_ Sample Data'!P1103</f>
        <v>SiNx</v>
      </c>
      <c r="C1103">
        <f>'Quick View_ Sample Data'!O1103</f>
        <v>375</v>
      </c>
      <c r="D1103">
        <f>'Quick View_ Sample Data'!AN1103</f>
        <v>0</v>
      </c>
      <c r="E1103">
        <f>'Quick View_ Sample Data'!O1103</f>
        <v>375</v>
      </c>
      <c r="F1103">
        <f>'Quick View_ Sample Data'!AO1103</f>
        <v>0</v>
      </c>
      <c r="G1103">
        <f>'Quick View_ Sample Data'!O1103</f>
        <v>375</v>
      </c>
      <c r="H1103">
        <f>'Quick View_ Sample Data'!AP1103</f>
        <v>0</v>
      </c>
      <c r="I1103">
        <f>'Quick View_ Sample Data'!AF1103</f>
        <v>0</v>
      </c>
      <c r="J1103">
        <f>'Quick View_ Sample Data'!AJ1103</f>
        <v>10.1</v>
      </c>
      <c r="K1103">
        <f>'Quick View_ Sample Data'!AH1103</f>
        <v>487.07665456366499</v>
      </c>
      <c r="L1103">
        <f t="shared" si="17"/>
        <v>0</v>
      </c>
    </row>
    <row r="1104" spans="1:12" ht="12.75" customHeight="1">
      <c r="A1104" s="321"/>
      <c r="B1104" t="str">
        <f>'Quick View_ Sample Data'!P1104</f>
        <v>SiNx</v>
      </c>
      <c r="C1104">
        <f>'Quick View_ Sample Data'!O1104</f>
        <v>375</v>
      </c>
      <c r="D1104">
        <f>'Quick View_ Sample Data'!AN1104</f>
        <v>0</v>
      </c>
      <c r="E1104">
        <f>'Quick View_ Sample Data'!O1104</f>
        <v>375</v>
      </c>
      <c r="F1104">
        <f>'Quick View_ Sample Data'!AO1104</f>
        <v>0</v>
      </c>
      <c r="G1104">
        <f>'Quick View_ Sample Data'!O1104</f>
        <v>375</v>
      </c>
      <c r="H1104">
        <f>'Quick View_ Sample Data'!AP1104</f>
        <v>0</v>
      </c>
      <c r="I1104">
        <f>'Quick View_ Sample Data'!AF1104</f>
        <v>0</v>
      </c>
      <c r="J1104">
        <f>'Quick View_ Sample Data'!AJ1104</f>
        <v>11.48</v>
      </c>
      <c r="K1104">
        <f>'Quick View_ Sample Data'!AH1104</f>
        <v>389.839740007915</v>
      </c>
      <c r="L1104">
        <f t="shared" si="17"/>
        <v>0</v>
      </c>
    </row>
    <row r="1105" spans="1:12" ht="12.75" customHeight="1">
      <c r="A1105" s="321"/>
      <c r="B1105" t="str">
        <f>'Quick View_ Sample Data'!P1105</f>
        <v>SiNx</v>
      </c>
      <c r="C1105">
        <f>'Quick View_ Sample Data'!O1105</f>
        <v>377</v>
      </c>
      <c r="D1105">
        <f>'Quick View_ Sample Data'!AN1105</f>
        <v>0</v>
      </c>
      <c r="E1105">
        <f>'Quick View_ Sample Data'!O1105</f>
        <v>377</v>
      </c>
      <c r="F1105">
        <f>'Quick View_ Sample Data'!AO1105</f>
        <v>0</v>
      </c>
      <c r="G1105">
        <f>'Quick View_ Sample Data'!O1105</f>
        <v>377</v>
      </c>
      <c r="H1105">
        <f>'Quick View_ Sample Data'!AP1105</f>
        <v>0</v>
      </c>
      <c r="I1105">
        <f>'Quick View_ Sample Data'!AF1105</f>
        <v>0</v>
      </c>
      <c r="J1105">
        <f>'Quick View_ Sample Data'!AJ1105</f>
        <v>10.87</v>
      </c>
      <c r="K1105">
        <f>'Quick View_ Sample Data'!AH1105</f>
        <v>483.68674378098802</v>
      </c>
      <c r="L1105">
        <f t="shared" si="17"/>
        <v>0</v>
      </c>
    </row>
    <row r="1106" spans="1:12" ht="12.75" customHeight="1">
      <c r="A1106" s="321"/>
      <c r="B1106" t="str">
        <f>'Quick View_ Sample Data'!P1106</f>
        <v>SiNx</v>
      </c>
      <c r="C1106">
        <f>'Quick View_ Sample Data'!O1106</f>
        <v>377</v>
      </c>
      <c r="D1106">
        <f>'Quick View_ Sample Data'!AN1106</f>
        <v>0</v>
      </c>
      <c r="E1106">
        <f>'Quick View_ Sample Data'!O1106</f>
        <v>377</v>
      </c>
      <c r="F1106">
        <f>'Quick View_ Sample Data'!AO1106</f>
        <v>0</v>
      </c>
      <c r="G1106">
        <f>'Quick View_ Sample Data'!O1106</f>
        <v>377</v>
      </c>
      <c r="H1106">
        <f>'Quick View_ Sample Data'!AP1106</f>
        <v>0</v>
      </c>
      <c r="I1106">
        <f>'Quick View_ Sample Data'!AF1106</f>
        <v>0</v>
      </c>
      <c r="J1106">
        <f>'Quick View_ Sample Data'!AJ1106</f>
        <v>10.87</v>
      </c>
      <c r="K1106">
        <f>'Quick View_ Sample Data'!AH1106</f>
        <v>480.11841664132697</v>
      </c>
      <c r="L1106">
        <f t="shared" si="17"/>
        <v>0</v>
      </c>
    </row>
    <row r="1107" spans="1:12" ht="12.75" customHeight="1">
      <c r="A1107" s="321"/>
      <c r="B1107" t="str">
        <f>'Quick View_ Sample Data'!P1107</f>
        <v>MgO</v>
      </c>
      <c r="C1107">
        <f>'Quick View_ Sample Data'!O1107</f>
        <v>377</v>
      </c>
      <c r="D1107">
        <f>'Quick View_ Sample Data'!AN1107</f>
        <v>137.76936411879734</v>
      </c>
      <c r="E1107">
        <f>'Quick View_ Sample Data'!O1107</f>
        <v>377</v>
      </c>
      <c r="F1107">
        <f>'Quick View_ Sample Data'!AO1107</f>
        <v>15953.692364956734</v>
      </c>
      <c r="G1107">
        <f>'Quick View_ Sample Data'!O1107</f>
        <v>377</v>
      </c>
      <c r="H1107">
        <f>'Quick View_ Sample Data'!AP1107</f>
        <v>3.1214285714285719</v>
      </c>
      <c r="I1107">
        <f>'Quick View_ Sample Data'!AF1107</f>
        <v>4.37</v>
      </c>
      <c r="J1107">
        <f>'Quick View_ Sample Data'!AJ1107</f>
        <v>11.58</v>
      </c>
      <c r="K1107">
        <f>'Quick View_ Sample Data'!AH1107</f>
        <v>315.26170278900997</v>
      </c>
      <c r="L1107">
        <f t="shared" si="17"/>
        <v>50.604600000000005</v>
      </c>
    </row>
    <row r="1108" spans="1:12" ht="12.75" customHeight="1">
      <c r="A1108" s="321"/>
      <c r="B1108" t="str">
        <f>'Quick View_ Sample Data'!P1108</f>
        <v>SiNx</v>
      </c>
      <c r="C1108">
        <f>'Quick View_ Sample Data'!O1108</f>
        <v>377</v>
      </c>
      <c r="D1108">
        <f>'Quick View_ Sample Data'!AN1108</f>
        <v>0</v>
      </c>
      <c r="E1108">
        <f>'Quick View_ Sample Data'!O1108</f>
        <v>377</v>
      </c>
      <c r="F1108">
        <f>'Quick View_ Sample Data'!AO1108</f>
        <v>0</v>
      </c>
      <c r="G1108">
        <f>'Quick View_ Sample Data'!O1108</f>
        <v>377</v>
      </c>
      <c r="H1108">
        <f>'Quick View_ Sample Data'!AP1108</f>
        <v>0</v>
      </c>
      <c r="I1108">
        <f>'Quick View_ Sample Data'!AF1108</f>
        <v>0</v>
      </c>
      <c r="J1108">
        <f>'Quick View_ Sample Data'!AJ1108</f>
        <v>10.84</v>
      </c>
      <c r="K1108">
        <f>'Quick View_ Sample Data'!AH1108</f>
        <v>473.87384414692099</v>
      </c>
      <c r="L1108">
        <f t="shared" si="17"/>
        <v>0</v>
      </c>
    </row>
    <row r="1109" spans="1:12" ht="12.75" customHeight="1">
      <c r="A1109" s="321"/>
      <c r="B1109" t="str">
        <f>'Quick View_ Sample Data'!P1109</f>
        <v>SiNx</v>
      </c>
      <c r="C1109">
        <f>'Quick View_ Sample Data'!O1109</f>
        <v>377</v>
      </c>
      <c r="D1109">
        <f>'Quick View_ Sample Data'!AN1109</f>
        <v>0</v>
      </c>
      <c r="E1109">
        <f>'Quick View_ Sample Data'!O1109</f>
        <v>377</v>
      </c>
      <c r="F1109">
        <f>'Quick View_ Sample Data'!AO1109</f>
        <v>0</v>
      </c>
      <c r="G1109">
        <f>'Quick View_ Sample Data'!O1109</f>
        <v>377</v>
      </c>
      <c r="H1109">
        <f>'Quick View_ Sample Data'!AP1109</f>
        <v>0</v>
      </c>
      <c r="I1109">
        <f>'Quick View_ Sample Data'!AF1109</f>
        <v>0</v>
      </c>
      <c r="J1109">
        <f>'Quick View_ Sample Data'!AJ1109</f>
        <v>10.83</v>
      </c>
      <c r="K1109">
        <f>'Quick View_ Sample Data'!AH1109</f>
        <v>480.832082069259</v>
      </c>
      <c r="L1109">
        <f t="shared" si="17"/>
        <v>0</v>
      </c>
    </row>
    <row r="1110" spans="1:12" ht="12.75" customHeight="1">
      <c r="A1110" s="321"/>
      <c r="B1110" t="str">
        <f>'Quick View_ Sample Data'!P1110</f>
        <v>SiNx</v>
      </c>
      <c r="C1110">
        <f>'Quick View_ Sample Data'!O1110</f>
        <v>377</v>
      </c>
      <c r="D1110">
        <f>'Quick View_ Sample Data'!AN1110</f>
        <v>0</v>
      </c>
      <c r="E1110">
        <f>'Quick View_ Sample Data'!O1110</f>
        <v>377</v>
      </c>
      <c r="F1110">
        <f>'Quick View_ Sample Data'!AO1110</f>
        <v>0</v>
      </c>
      <c r="G1110">
        <f>'Quick View_ Sample Data'!O1110</f>
        <v>377</v>
      </c>
      <c r="H1110">
        <f>'Quick View_ Sample Data'!AP1110</f>
        <v>0</v>
      </c>
      <c r="I1110">
        <f>'Quick View_ Sample Data'!AF1110</f>
        <v>0</v>
      </c>
      <c r="J1110">
        <f>'Quick View_ Sample Data'!AJ1110</f>
        <v>12.09</v>
      </c>
      <c r="K1110">
        <f>'Quick View_ Sample Data'!AH1110</f>
        <v>389.839740007915</v>
      </c>
      <c r="L1110">
        <f t="shared" si="17"/>
        <v>0</v>
      </c>
    </row>
    <row r="1111" spans="1:12" ht="12.75" customHeight="1">
      <c r="A1111" s="321"/>
      <c r="B1111" t="str">
        <f>'Quick View_ Sample Data'!P1111</f>
        <v>SiNx</v>
      </c>
      <c r="C1111">
        <f>'Quick View_ Sample Data'!O1111</f>
        <v>378</v>
      </c>
      <c r="D1111">
        <f>'Quick View_ Sample Data'!AN1111</f>
        <v>0</v>
      </c>
      <c r="E1111">
        <f>'Quick View_ Sample Data'!O1111</f>
        <v>378</v>
      </c>
      <c r="F1111">
        <f>'Quick View_ Sample Data'!AO1111</f>
        <v>0</v>
      </c>
      <c r="G1111">
        <f>'Quick View_ Sample Data'!O1111</f>
        <v>378</v>
      </c>
      <c r="H1111">
        <f>'Quick View_ Sample Data'!AP1111</f>
        <v>0</v>
      </c>
      <c r="I1111">
        <f>'Quick View_ Sample Data'!AF1111</f>
        <v>0</v>
      </c>
      <c r="J1111">
        <f>'Quick View_ Sample Data'!AJ1111</f>
        <v>11.06</v>
      </c>
      <c r="K1111">
        <f>'Quick View_ Sample Data'!AH1111</f>
        <v>545.59721965409801</v>
      </c>
      <c r="L1111">
        <f t="shared" si="17"/>
        <v>0</v>
      </c>
    </row>
    <row r="1112" spans="1:12" ht="12.75" customHeight="1">
      <c r="A1112" s="321"/>
      <c r="B1112" t="str">
        <f>'Quick View_ Sample Data'!P1113</f>
        <v>SiNx</v>
      </c>
      <c r="C1112">
        <f>'Quick View_ Sample Data'!O1113</f>
        <v>378</v>
      </c>
      <c r="D1112">
        <f>'Quick View_ Sample Data'!AN1113</f>
        <v>0</v>
      </c>
      <c r="E1112">
        <f>'Quick View_ Sample Data'!O1113</f>
        <v>378</v>
      </c>
      <c r="F1112">
        <f>'Quick View_ Sample Data'!AO1113</f>
        <v>0</v>
      </c>
      <c r="G1112">
        <f>'Quick View_ Sample Data'!O1113</f>
        <v>378</v>
      </c>
      <c r="H1112">
        <f>'Quick View_ Sample Data'!AP1113</f>
        <v>0</v>
      </c>
      <c r="I1112">
        <f>'Quick View_ Sample Data'!AF1113</f>
        <v>0</v>
      </c>
      <c r="J1112">
        <f>'Quick View_ Sample Data'!AJ1113</f>
        <v>11.01</v>
      </c>
      <c r="K1112">
        <f>'Quick View_ Sample Data'!AH1113</f>
        <v>542.56414158538701</v>
      </c>
      <c r="L1112">
        <f t="shared" si="17"/>
        <v>0</v>
      </c>
    </row>
    <row r="1113" spans="1:12" ht="12.75" customHeight="1">
      <c r="A1113" s="321"/>
      <c r="B1113" t="str">
        <f>'Quick View_ Sample Data'!P1114</f>
        <v>SiNx</v>
      </c>
      <c r="C1113">
        <f>'Quick View_ Sample Data'!O1114</f>
        <v>379</v>
      </c>
      <c r="D1113">
        <f>'Quick View_ Sample Data'!AN1114</f>
        <v>0</v>
      </c>
      <c r="E1113">
        <f>'Quick View_ Sample Data'!O1114</f>
        <v>379</v>
      </c>
      <c r="F1113">
        <f>'Quick View_ Sample Data'!AO1114</f>
        <v>0</v>
      </c>
      <c r="G1113">
        <f>'Quick View_ Sample Data'!O1114</f>
        <v>379</v>
      </c>
      <c r="H1113">
        <f>'Quick View_ Sample Data'!AP1114</f>
        <v>0</v>
      </c>
      <c r="I1113">
        <f>'Quick View_ Sample Data'!AF1114</f>
        <v>0</v>
      </c>
      <c r="J1113">
        <f>'Quick View_ Sample Data'!AJ1114</f>
        <v>11.47</v>
      </c>
      <c r="K1113">
        <f>'Quick View_ Sample Data'!AH1114</f>
        <v>460.13578465922802</v>
      </c>
      <c r="L1113">
        <f t="shared" si="17"/>
        <v>0</v>
      </c>
    </row>
    <row r="1114" spans="1:12" ht="12.75" customHeight="1">
      <c r="A1114" s="321"/>
      <c r="B1114" t="str">
        <f>'Quick View_ Sample Data'!P1115</f>
        <v>MgO</v>
      </c>
      <c r="C1114">
        <f>'Quick View_ Sample Data'!O1115</f>
        <v>379</v>
      </c>
      <c r="D1114">
        <f>'Quick View_ Sample Data'!AN1115</f>
        <v>146.4644852763652</v>
      </c>
      <c r="E1114">
        <f>'Quick View_ Sample Data'!O1115</f>
        <v>379</v>
      </c>
      <c r="F1114">
        <f>'Quick View_ Sample Data'!AO1115</f>
        <v>15949.98244659617</v>
      </c>
      <c r="G1114">
        <f>'Quick View_ Sample Data'!O1115</f>
        <v>379</v>
      </c>
      <c r="H1114">
        <f>'Quick View_ Sample Data'!AP1115</f>
        <v>3.1583333333333332</v>
      </c>
      <c r="I1114">
        <f>'Quick View_ Sample Data'!AF1115</f>
        <v>3.79</v>
      </c>
      <c r="J1114">
        <f>'Quick View_ Sample Data'!AJ1115</f>
        <v>10.89</v>
      </c>
      <c r="K1114">
        <f>'Quick View_ Sample Data'!AH1115</f>
        <v>386.44982922523798</v>
      </c>
      <c r="L1114">
        <f t="shared" si="17"/>
        <v>41.273099999999999</v>
      </c>
    </row>
    <row r="1115" spans="1:12" ht="12.75" customHeight="1">
      <c r="A1115" s="321"/>
      <c r="B1115" t="str">
        <f>'Quick View_ Sample Data'!P1116</f>
        <v>SiNx</v>
      </c>
      <c r="C1115">
        <f>'Quick View_ Sample Data'!O1116</f>
        <v>379</v>
      </c>
      <c r="D1115">
        <f>'Quick View_ Sample Data'!AN1116</f>
        <v>0</v>
      </c>
      <c r="E1115">
        <f>'Quick View_ Sample Data'!O1116</f>
        <v>379</v>
      </c>
      <c r="F1115">
        <f>'Quick View_ Sample Data'!AO1116</f>
        <v>0</v>
      </c>
      <c r="G1115">
        <f>'Quick View_ Sample Data'!O1116</f>
        <v>379</v>
      </c>
      <c r="H1115">
        <f>'Quick View_ Sample Data'!AP1116</f>
        <v>0</v>
      </c>
      <c r="I1115">
        <f>'Quick View_ Sample Data'!AF1116</f>
        <v>0</v>
      </c>
      <c r="J1115">
        <f>'Quick View_ Sample Data'!AJ1116</f>
        <v>11.6</v>
      </c>
      <c r="K1115">
        <f>'Quick View_ Sample Data'!AH1116</f>
        <v>462.99044637095602</v>
      </c>
      <c r="L1115">
        <f t="shared" si="17"/>
        <v>0</v>
      </c>
    </row>
    <row r="1116" spans="1:12" ht="12.75" customHeight="1">
      <c r="A1116" s="321"/>
      <c r="B1116" t="str">
        <f>'Quick View_ Sample Data'!P1117</f>
        <v>MgO</v>
      </c>
      <c r="C1116">
        <f>'Quick View_ Sample Data'!O1117</f>
        <v>380</v>
      </c>
      <c r="D1116">
        <f>'Quick View_ Sample Data'!AN1117</f>
        <v>149.23993012559285</v>
      </c>
      <c r="E1116">
        <f>'Quick View_ Sample Data'!O1117</f>
        <v>380</v>
      </c>
      <c r="F1116">
        <f>'Quick View_ Sample Data'!AO1117</f>
        <v>17386.451859631568</v>
      </c>
      <c r="G1116">
        <f>'Quick View_ Sample Data'!O1117</f>
        <v>380</v>
      </c>
      <c r="H1116">
        <f>'Quick View_ Sample Data'!AP1117</f>
        <v>3.3285714285714287</v>
      </c>
      <c r="I1116">
        <f>'Quick View_ Sample Data'!AF1117</f>
        <v>4.66</v>
      </c>
      <c r="J1116">
        <f>'Quick View_ Sample Data'!AJ1117</f>
        <v>11.65</v>
      </c>
      <c r="K1116">
        <f>'Quick View_ Sample Data'!AH1117</f>
        <v>320.257360784534</v>
      </c>
      <c r="L1116">
        <f t="shared" si="17"/>
        <v>54.289000000000001</v>
      </c>
    </row>
    <row r="1117" spans="1:12" ht="12.75" customHeight="1">
      <c r="A1117" s="321"/>
      <c r="B1117" t="str">
        <f>'Quick View_ Sample Data'!P1118</f>
        <v>SiO2</v>
      </c>
      <c r="C1117">
        <f>'Quick View_ Sample Data'!O1118</f>
        <v>380</v>
      </c>
      <c r="D1117">
        <f>'Quick View_ Sample Data'!AN1118</f>
        <v>0</v>
      </c>
      <c r="E1117">
        <f>'Quick View_ Sample Data'!O1118</f>
        <v>380</v>
      </c>
      <c r="F1117">
        <f>'Quick View_ Sample Data'!AO1118</f>
        <v>0</v>
      </c>
      <c r="G1117">
        <f>'Quick View_ Sample Data'!O1118</f>
        <v>380</v>
      </c>
      <c r="H1117">
        <f>'Quick View_ Sample Data'!AP1118</f>
        <v>0</v>
      </c>
      <c r="I1117">
        <f>'Quick View_ Sample Data'!AF1118</f>
        <v>0</v>
      </c>
      <c r="J1117">
        <f>'Quick View_ Sample Data'!AJ1118</f>
        <v>11.1</v>
      </c>
      <c r="K1117">
        <f>'Quick View_ Sample Data'!AH1118</f>
        <v>430.69708575702799</v>
      </c>
      <c r="L1117">
        <f t="shared" si="17"/>
        <v>0</v>
      </c>
    </row>
    <row r="1118" spans="1:12" ht="12.75" customHeight="1">
      <c r="A1118" s="321"/>
      <c r="B1118" t="str">
        <f>'Quick View_ Sample Data'!P1119</f>
        <v>SiO2</v>
      </c>
      <c r="C1118">
        <f>'Quick View_ Sample Data'!O1119</f>
        <v>380</v>
      </c>
      <c r="D1118">
        <f>'Quick View_ Sample Data'!AN1119</f>
        <v>0</v>
      </c>
      <c r="E1118">
        <f>'Quick View_ Sample Data'!O1119</f>
        <v>380</v>
      </c>
      <c r="F1118">
        <f>'Quick View_ Sample Data'!AO1119</f>
        <v>0</v>
      </c>
      <c r="G1118">
        <f>'Quick View_ Sample Data'!O1119</f>
        <v>380</v>
      </c>
      <c r="H1118">
        <f>'Quick View_ Sample Data'!AP1119</f>
        <v>0</v>
      </c>
      <c r="I1118">
        <f>'Quick View_ Sample Data'!AF1119</f>
        <v>0</v>
      </c>
      <c r="J1118">
        <f>'Quick View_ Sample Data'!AJ1119</f>
        <v>12</v>
      </c>
      <c r="K1118">
        <f>'Quick View_ Sample Data'!AH1119</f>
        <v>364.50461731632498</v>
      </c>
      <c r="L1118">
        <f t="shared" si="17"/>
        <v>0</v>
      </c>
    </row>
    <row r="1119" spans="1:12" ht="12.75" customHeight="1">
      <c r="A1119" s="321"/>
      <c r="B1119" t="str">
        <f>'Quick View_ Sample Data'!P1120</f>
        <v>SiO2</v>
      </c>
      <c r="C1119">
        <f>'Quick View_ Sample Data'!O1120</f>
        <v>380</v>
      </c>
      <c r="D1119">
        <f>'Quick View_ Sample Data'!AN1120</f>
        <v>0</v>
      </c>
      <c r="E1119">
        <f>'Quick View_ Sample Data'!O1120</f>
        <v>380</v>
      </c>
      <c r="F1119">
        <f>'Quick View_ Sample Data'!AO1120</f>
        <v>0</v>
      </c>
      <c r="G1119">
        <f>'Quick View_ Sample Data'!O1120</f>
        <v>380</v>
      </c>
      <c r="H1119">
        <f>'Quick View_ Sample Data'!AP1120</f>
        <v>0</v>
      </c>
      <c r="I1119">
        <f>'Quick View_ Sample Data'!AF1120</f>
        <v>0</v>
      </c>
      <c r="J1119">
        <f>'Quick View_ Sample Data'!AJ1120</f>
        <v>11.01</v>
      </c>
      <c r="K1119">
        <f>'Quick View_ Sample Data'!AH1120</f>
        <v>431.58916754194399</v>
      </c>
      <c r="L1119">
        <f t="shared" si="17"/>
        <v>0</v>
      </c>
    </row>
    <row r="1120" spans="1:12" ht="12.75" customHeight="1">
      <c r="A1120" s="321"/>
      <c r="B1120" t="str">
        <f>'Quick View_ Sample Data'!P1121</f>
        <v>SiO2</v>
      </c>
      <c r="C1120">
        <f>'Quick View_ Sample Data'!O1121</f>
        <v>380</v>
      </c>
      <c r="D1120">
        <f>'Quick View_ Sample Data'!AN1121</f>
        <v>0</v>
      </c>
      <c r="E1120">
        <f>'Quick View_ Sample Data'!O1121</f>
        <v>380</v>
      </c>
      <c r="F1120">
        <f>'Quick View_ Sample Data'!AO1121</f>
        <v>0</v>
      </c>
      <c r="G1120">
        <f>'Quick View_ Sample Data'!O1121</f>
        <v>380</v>
      </c>
      <c r="H1120">
        <f>'Quick View_ Sample Data'!AP1121</f>
        <v>0</v>
      </c>
      <c r="I1120">
        <f>'Quick View_ Sample Data'!AF1121</f>
        <v>0</v>
      </c>
      <c r="J1120">
        <f>'Quick View_ Sample Data'!AJ1121</f>
        <v>11.14</v>
      </c>
      <c r="K1120">
        <f>'Quick View_ Sample Data'!AH1121</f>
        <v>426.593509546419</v>
      </c>
      <c r="L1120">
        <f t="shared" si="17"/>
        <v>0</v>
      </c>
    </row>
    <row r="1121" spans="1:12" ht="12.75" customHeight="1">
      <c r="A1121" s="321"/>
      <c r="B1121" t="str">
        <f>'Quick View_ Sample Data'!P1122</f>
        <v>SiO2</v>
      </c>
      <c r="C1121">
        <f>'Quick View_ Sample Data'!O1122</f>
        <v>380</v>
      </c>
      <c r="D1121">
        <f>'Quick View_ Sample Data'!AN1122</f>
        <v>0</v>
      </c>
      <c r="E1121">
        <f>'Quick View_ Sample Data'!O1122</f>
        <v>380</v>
      </c>
      <c r="F1121">
        <f>'Quick View_ Sample Data'!AO1122</f>
        <v>0</v>
      </c>
      <c r="G1121">
        <f>'Quick View_ Sample Data'!O1122</f>
        <v>380</v>
      </c>
      <c r="H1121">
        <f>'Quick View_ Sample Data'!AP1122</f>
        <v>0</v>
      </c>
      <c r="I1121">
        <f>'Quick View_ Sample Data'!AF1122</f>
        <v>0</v>
      </c>
      <c r="J1121">
        <f>'Quick View_ Sample Data'!AJ1122</f>
        <v>12.06</v>
      </c>
      <c r="K1121">
        <f>'Quick View_ Sample Data'!AH1122</f>
        <v>362.72045374649502</v>
      </c>
      <c r="L1121">
        <f t="shared" si="17"/>
        <v>0</v>
      </c>
    </row>
    <row r="1122" spans="1:12" ht="12.75" customHeight="1">
      <c r="A1122" s="321"/>
      <c r="B1122" t="str">
        <f>'Quick View_ Sample Data'!P1123</f>
        <v>SiNx</v>
      </c>
      <c r="C1122">
        <f>'Quick View_ Sample Data'!O1123</f>
        <v>381</v>
      </c>
      <c r="D1122">
        <f>'Quick View_ Sample Data'!AN1123</f>
        <v>0</v>
      </c>
      <c r="E1122">
        <f>'Quick View_ Sample Data'!O1123</f>
        <v>381</v>
      </c>
      <c r="F1122">
        <f>'Quick View_ Sample Data'!AO1123</f>
        <v>0</v>
      </c>
      <c r="G1122">
        <f>'Quick View_ Sample Data'!O1123</f>
        <v>381</v>
      </c>
      <c r="H1122">
        <f>'Quick View_ Sample Data'!AP1123</f>
        <v>0</v>
      </c>
      <c r="I1122">
        <f>'Quick View_ Sample Data'!AF1123</f>
        <v>0</v>
      </c>
      <c r="J1122">
        <f>'Quick View_ Sample Data'!AJ1123</f>
        <v>11.17</v>
      </c>
      <c r="K1122">
        <f>'Quick View_ Sample Data'!AH1123</f>
        <v>432.65966568384198</v>
      </c>
      <c r="L1122">
        <f t="shared" si="17"/>
        <v>0</v>
      </c>
    </row>
    <row r="1123" spans="1:12" ht="12.75" customHeight="1">
      <c r="A1123" s="321"/>
      <c r="B1123" t="str">
        <f>'Quick View_ Sample Data'!P1124</f>
        <v>MgO</v>
      </c>
      <c r="C1123">
        <f>'Quick View_ Sample Data'!O1124</f>
        <v>381</v>
      </c>
      <c r="D1123">
        <f>'Quick View_ Sample Data'!AN1124</f>
        <v>117.34800631487683</v>
      </c>
      <c r="E1123">
        <f>'Quick View_ Sample Data'!O1124</f>
        <v>381</v>
      </c>
      <c r="F1123">
        <f>'Quick View_ Sample Data'!AO1124</f>
        <v>14867.992400094894</v>
      </c>
      <c r="G1123">
        <f>'Quick View_ Sample Data'!O1124</f>
        <v>381</v>
      </c>
      <c r="H1123">
        <f>'Quick View_ Sample Data'!AP1124</f>
        <v>3.5</v>
      </c>
      <c r="I1123">
        <f>'Quick View_ Sample Data'!AF1124</f>
        <v>4.2</v>
      </c>
      <c r="J1123">
        <f>'Quick View_ Sample Data'!AJ1124</f>
        <v>12.67</v>
      </c>
      <c r="K1123">
        <f>'Quick View_ Sample Data'!AH1124</f>
        <v>279.40001503542101</v>
      </c>
      <c r="L1123">
        <f t="shared" si="17"/>
        <v>53.213999999999999</v>
      </c>
    </row>
    <row r="1124" spans="1:12" ht="12.75" customHeight="1">
      <c r="A1124" s="321"/>
      <c r="B1124" t="str">
        <f>'Quick View_ Sample Data'!P1125</f>
        <v>SiNx</v>
      </c>
      <c r="C1124">
        <f>'Quick View_ Sample Data'!O1125</f>
        <v>381</v>
      </c>
      <c r="D1124">
        <f>'Quick View_ Sample Data'!AN1125</f>
        <v>0</v>
      </c>
      <c r="E1124">
        <f>'Quick View_ Sample Data'!O1125</f>
        <v>381</v>
      </c>
      <c r="F1124">
        <f>'Quick View_ Sample Data'!AO1125</f>
        <v>0</v>
      </c>
      <c r="G1124">
        <f>'Quick View_ Sample Data'!O1125</f>
        <v>381</v>
      </c>
      <c r="H1124">
        <f>'Quick View_ Sample Data'!AP1125</f>
        <v>0</v>
      </c>
      <c r="I1124">
        <f>'Quick View_ Sample Data'!AF1125</f>
        <v>0</v>
      </c>
      <c r="J1124">
        <f>'Quick View_ Sample Data'!AJ1125</f>
        <v>11.1</v>
      </c>
      <c r="K1124">
        <f>'Quick View_ Sample Data'!AH1125</f>
        <v>437.12007460841699</v>
      </c>
      <c r="L1124">
        <f t="shared" si="17"/>
        <v>0</v>
      </c>
    </row>
    <row r="1125" spans="1:12" ht="12.75" customHeight="1">
      <c r="A1125" s="321"/>
      <c r="B1125">
        <f>'Quick View_ Sample Data'!P1126</f>
        <v>0</v>
      </c>
      <c r="C1125">
        <f>'Quick View_ Sample Data'!O1126</f>
        <v>0</v>
      </c>
      <c r="D1125">
        <f>'Quick View_ Sample Data'!AN1126</f>
        <v>0</v>
      </c>
      <c r="E1125">
        <f>'Quick View_ Sample Data'!O1126</f>
        <v>0</v>
      </c>
      <c r="F1125">
        <f>'Quick View_ Sample Data'!AO1126</f>
        <v>0</v>
      </c>
      <c r="G1125">
        <f>'Quick View_ Sample Data'!O1126</f>
        <v>0</v>
      </c>
      <c r="H1125" t="e">
        <f>'Quick View_ Sample Data'!AP1126</f>
        <v>#DIV/0!</v>
      </c>
      <c r="I1125">
        <f>'Quick View_ Sample Data'!AF1126</f>
        <v>0</v>
      </c>
      <c r="J1125">
        <f>'Quick View_ Sample Data'!AJ1126</f>
        <v>0</v>
      </c>
      <c r="K1125">
        <f>'Quick View_ Sample Data'!AH1126</f>
        <v>0</v>
      </c>
      <c r="L1125">
        <f t="shared" si="17"/>
        <v>0</v>
      </c>
    </row>
    <row r="1126" spans="1:12" ht="12.75" customHeight="1">
      <c r="A1126" s="321"/>
      <c r="B1126">
        <f>'Quick View_ Sample Data'!P1127</f>
        <v>0</v>
      </c>
      <c r="C1126">
        <f>'Quick View_ Sample Data'!O1127</f>
        <v>0</v>
      </c>
      <c r="D1126">
        <f>'Quick View_ Sample Data'!AN1127</f>
        <v>0</v>
      </c>
      <c r="E1126">
        <f>'Quick View_ Sample Data'!O1127</f>
        <v>0</v>
      </c>
      <c r="F1126">
        <f>'Quick View_ Sample Data'!AO1127</f>
        <v>0</v>
      </c>
      <c r="G1126">
        <f>'Quick View_ Sample Data'!O1127</f>
        <v>0</v>
      </c>
      <c r="H1126" t="e">
        <f>'Quick View_ Sample Data'!AP1127</f>
        <v>#DIV/0!</v>
      </c>
      <c r="I1126">
        <f>'Quick View_ Sample Data'!AF1127</f>
        <v>0</v>
      </c>
      <c r="J1126">
        <f>'Quick View_ Sample Data'!AJ1127</f>
        <v>0</v>
      </c>
      <c r="K1126">
        <f>'Quick View_ Sample Data'!AH1127</f>
        <v>0</v>
      </c>
      <c r="L1126">
        <f t="shared" si="17"/>
        <v>0</v>
      </c>
    </row>
    <row r="1127" spans="1:12" ht="12.75" customHeight="1">
      <c r="A1127" s="321"/>
      <c r="B1127">
        <f>'Quick View_ Sample Data'!P1128</f>
        <v>0</v>
      </c>
      <c r="C1127">
        <f>'Quick View_ Sample Data'!O1128</f>
        <v>0</v>
      </c>
      <c r="D1127">
        <f>'Quick View_ Sample Data'!AN1128</f>
        <v>0</v>
      </c>
      <c r="E1127">
        <f>'Quick View_ Sample Data'!O1128</f>
        <v>0</v>
      </c>
      <c r="F1127">
        <f>'Quick View_ Sample Data'!AO1128</f>
        <v>0</v>
      </c>
      <c r="G1127">
        <f>'Quick View_ Sample Data'!O1128</f>
        <v>0</v>
      </c>
      <c r="H1127" t="e">
        <f>'Quick View_ Sample Data'!AP1128</f>
        <v>#DIV/0!</v>
      </c>
      <c r="I1127">
        <f>'Quick View_ Sample Data'!AF1128</f>
        <v>0</v>
      </c>
      <c r="J1127">
        <f>'Quick View_ Sample Data'!AJ1128</f>
        <v>0</v>
      </c>
      <c r="K1127">
        <f>'Quick View_ Sample Data'!AH1128</f>
        <v>0</v>
      </c>
      <c r="L1127">
        <f t="shared" si="17"/>
        <v>0</v>
      </c>
    </row>
    <row r="1128" spans="1:12" ht="12.75" customHeight="1">
      <c r="A1128" s="321"/>
      <c r="B1128">
        <f>'Quick View_ Sample Data'!P1129</f>
        <v>0</v>
      </c>
      <c r="C1128">
        <f>'Quick View_ Sample Data'!O1129</f>
        <v>0</v>
      </c>
      <c r="D1128">
        <f>'Quick View_ Sample Data'!AN1129</f>
        <v>0</v>
      </c>
      <c r="E1128">
        <f>'Quick View_ Sample Data'!O1129</f>
        <v>0</v>
      </c>
      <c r="F1128">
        <f>'Quick View_ Sample Data'!AO1129</f>
        <v>0</v>
      </c>
      <c r="G1128">
        <f>'Quick View_ Sample Data'!O1129</f>
        <v>0</v>
      </c>
      <c r="H1128" t="e">
        <f>'Quick View_ Sample Data'!AP1129</f>
        <v>#DIV/0!</v>
      </c>
      <c r="I1128">
        <f>'Quick View_ Sample Data'!AF1129</f>
        <v>0</v>
      </c>
      <c r="J1128">
        <f>'Quick View_ Sample Data'!AJ1129</f>
        <v>0</v>
      </c>
      <c r="K1128">
        <f>'Quick View_ Sample Data'!AH1129</f>
        <v>0</v>
      </c>
      <c r="L1128">
        <f t="shared" si="17"/>
        <v>0</v>
      </c>
    </row>
    <row r="1129" spans="1:12" ht="12.75" customHeight="1">
      <c r="A1129" s="321"/>
      <c r="B1129">
        <f>'Quick View_ Sample Data'!P1130</f>
        <v>0</v>
      </c>
      <c r="C1129">
        <f>'Quick View_ Sample Data'!O1130</f>
        <v>0</v>
      </c>
      <c r="D1129">
        <f>'Quick View_ Sample Data'!AN1130</f>
        <v>0</v>
      </c>
      <c r="E1129">
        <f>'Quick View_ Sample Data'!O1130</f>
        <v>0</v>
      </c>
      <c r="F1129">
        <f>'Quick View_ Sample Data'!AO1130</f>
        <v>0</v>
      </c>
      <c r="G1129">
        <f>'Quick View_ Sample Data'!O1130</f>
        <v>0</v>
      </c>
      <c r="H1129" t="e">
        <f>'Quick View_ Sample Data'!AP1130</f>
        <v>#DIV/0!</v>
      </c>
      <c r="I1129">
        <f>'Quick View_ Sample Data'!AF1130</f>
        <v>0</v>
      </c>
      <c r="J1129">
        <f>'Quick View_ Sample Data'!AJ1130</f>
        <v>0</v>
      </c>
      <c r="K1129">
        <f>'Quick View_ Sample Data'!AH1130</f>
        <v>0</v>
      </c>
      <c r="L1129">
        <f t="shared" si="17"/>
        <v>0</v>
      </c>
    </row>
    <row r="1130" spans="1:12" ht="12.75" customHeight="1">
      <c r="A1130" s="321"/>
      <c r="B1130">
        <f>'Quick View_ Sample Data'!P1131</f>
        <v>0</v>
      </c>
      <c r="C1130">
        <f>'Quick View_ Sample Data'!O1131</f>
        <v>0</v>
      </c>
      <c r="D1130">
        <f>'Quick View_ Sample Data'!AN1131</f>
        <v>0</v>
      </c>
      <c r="E1130">
        <f>'Quick View_ Sample Data'!O1131</f>
        <v>0</v>
      </c>
      <c r="F1130">
        <f>'Quick View_ Sample Data'!AO1131</f>
        <v>0</v>
      </c>
      <c r="G1130">
        <f>'Quick View_ Sample Data'!O1131</f>
        <v>0</v>
      </c>
      <c r="H1130" t="e">
        <f>'Quick View_ Sample Data'!AP1131</f>
        <v>#DIV/0!</v>
      </c>
      <c r="I1130">
        <f>'Quick View_ Sample Data'!AF1131</f>
        <v>0</v>
      </c>
      <c r="J1130">
        <f>'Quick View_ Sample Data'!AJ1131</f>
        <v>0</v>
      </c>
      <c r="K1130">
        <f>'Quick View_ Sample Data'!AH1131</f>
        <v>0</v>
      </c>
      <c r="L1130">
        <f t="shared" si="17"/>
        <v>0</v>
      </c>
    </row>
    <row r="1131" spans="1:12" ht="12.75" customHeight="1">
      <c r="A1131" s="321"/>
      <c r="B1131">
        <f>'Quick View_ Sample Data'!P1132</f>
        <v>0</v>
      </c>
      <c r="C1131">
        <f>'Quick View_ Sample Data'!O1132</f>
        <v>0</v>
      </c>
      <c r="D1131">
        <f>'Quick View_ Sample Data'!AN1132</f>
        <v>0</v>
      </c>
      <c r="E1131">
        <f>'Quick View_ Sample Data'!O1132</f>
        <v>0</v>
      </c>
      <c r="F1131">
        <f>'Quick View_ Sample Data'!AO1132</f>
        <v>0</v>
      </c>
      <c r="G1131">
        <f>'Quick View_ Sample Data'!O1132</f>
        <v>0</v>
      </c>
      <c r="H1131" t="e">
        <f>'Quick View_ Sample Data'!AP1132</f>
        <v>#DIV/0!</v>
      </c>
      <c r="I1131">
        <f>'Quick View_ Sample Data'!AF1132</f>
        <v>0</v>
      </c>
      <c r="J1131">
        <f>'Quick View_ Sample Data'!AJ1132</f>
        <v>0</v>
      </c>
      <c r="K1131">
        <f>'Quick View_ Sample Data'!AH1132</f>
        <v>0</v>
      </c>
      <c r="L1131">
        <f t="shared" si="17"/>
        <v>0</v>
      </c>
    </row>
    <row r="1132" spans="1:12" ht="12.75" customHeight="1">
      <c r="A1132" s="321"/>
      <c r="B1132">
        <f>'Quick View_ Sample Data'!P1133</f>
        <v>0</v>
      </c>
      <c r="C1132">
        <f>'Quick View_ Sample Data'!O1133</f>
        <v>0</v>
      </c>
      <c r="D1132">
        <f>'Quick View_ Sample Data'!AN1133</f>
        <v>0</v>
      </c>
      <c r="E1132">
        <f>'Quick View_ Sample Data'!O1133</f>
        <v>0</v>
      </c>
      <c r="F1132">
        <f>'Quick View_ Sample Data'!AO1133</f>
        <v>0</v>
      </c>
      <c r="G1132">
        <f>'Quick View_ Sample Data'!O1133</f>
        <v>0</v>
      </c>
      <c r="H1132" t="e">
        <f>'Quick View_ Sample Data'!AP1133</f>
        <v>#DIV/0!</v>
      </c>
      <c r="I1132">
        <f>'Quick View_ Sample Data'!AF1133</f>
        <v>0</v>
      </c>
      <c r="J1132">
        <f>'Quick View_ Sample Data'!AJ1133</f>
        <v>0</v>
      </c>
      <c r="K1132">
        <f>'Quick View_ Sample Data'!AH1133</f>
        <v>0</v>
      </c>
      <c r="L1132">
        <f t="shared" si="17"/>
        <v>0</v>
      </c>
    </row>
    <row r="1133" spans="1:12" ht="12.75" customHeight="1">
      <c r="A1133" s="321"/>
      <c r="B1133" t="str">
        <f>'Quick View_ Sample Data'!P1134</f>
        <v>MgO</v>
      </c>
      <c r="C1133">
        <f>'Quick View_ Sample Data'!O1134</f>
        <v>385</v>
      </c>
      <c r="D1133">
        <f>'Quick View_ Sample Data'!AN1134</f>
        <v>163.98532836481243</v>
      </c>
      <c r="E1133">
        <f>'Quick View_ Sample Data'!O1134</f>
        <v>385</v>
      </c>
      <c r="F1133">
        <f>'Quick View_ Sample Data'!AO1134</f>
        <v>17054.474149940492</v>
      </c>
      <c r="G1133">
        <f>'Quick View_ Sample Data'!O1134</f>
        <v>385</v>
      </c>
      <c r="H1133">
        <f>'Quick View_ Sample Data'!AP1134</f>
        <v>3.1565217391304348</v>
      </c>
      <c r="I1133">
        <f>'Quick View_ Sample Data'!AF1134</f>
        <v>3.63</v>
      </c>
      <c r="J1133">
        <f>'Quick View_ Sample Data'!AJ1134</f>
        <v>10.4</v>
      </c>
      <c r="K1133">
        <f>'Quick View_ Sample Data'!AH1134</f>
        <v>451.75021588102601</v>
      </c>
      <c r="L1133">
        <f t="shared" si="17"/>
        <v>37.752000000000002</v>
      </c>
    </row>
    <row r="1134" spans="1:12" ht="12.75" customHeight="1">
      <c r="A1134" s="321"/>
      <c r="B1134" t="str">
        <f>'Quick View_ Sample Data'!P1135</f>
        <v>SiNx</v>
      </c>
      <c r="C1134">
        <f>'Quick View_ Sample Data'!O1135</f>
        <v>385</v>
      </c>
      <c r="D1134">
        <f>'Quick View_ Sample Data'!AN1135</f>
        <v>0</v>
      </c>
      <c r="E1134">
        <f>'Quick View_ Sample Data'!O1135</f>
        <v>385</v>
      </c>
      <c r="F1134">
        <f>'Quick View_ Sample Data'!AO1135</f>
        <v>0</v>
      </c>
      <c r="G1134">
        <f>'Quick View_ Sample Data'!O1135</f>
        <v>385</v>
      </c>
      <c r="H1134">
        <f>'Quick View_ Sample Data'!AP1135</f>
        <v>0</v>
      </c>
      <c r="I1134">
        <f>'Quick View_ Sample Data'!AF1135</f>
        <v>0</v>
      </c>
      <c r="J1134">
        <f>'Quick View_ Sample Data'!AJ1135</f>
        <v>11.39</v>
      </c>
      <c r="K1134">
        <f>'Quick View_ Sample Data'!AH1135</f>
        <v>541.85047615745395</v>
      </c>
      <c r="L1134">
        <f t="shared" si="17"/>
        <v>0</v>
      </c>
    </row>
    <row r="1135" spans="1:12" ht="12.75" customHeight="1">
      <c r="A1135" s="321"/>
      <c r="B1135" t="str">
        <f>'Quick View_ Sample Data'!P1136</f>
        <v>SiNx</v>
      </c>
      <c r="C1135">
        <f>'Quick View_ Sample Data'!O1136</f>
        <v>385</v>
      </c>
      <c r="D1135">
        <f>'Quick View_ Sample Data'!AN1136</f>
        <v>0</v>
      </c>
      <c r="E1135">
        <f>'Quick View_ Sample Data'!O1136</f>
        <v>385</v>
      </c>
      <c r="F1135">
        <f>'Quick View_ Sample Data'!AO1136</f>
        <v>0</v>
      </c>
      <c r="G1135">
        <f>'Quick View_ Sample Data'!O1136</f>
        <v>385</v>
      </c>
      <c r="H1135">
        <f>'Quick View_ Sample Data'!AP1136</f>
        <v>0</v>
      </c>
      <c r="I1135">
        <f>'Quick View_ Sample Data'!AF1136</f>
        <v>0</v>
      </c>
      <c r="J1135">
        <f>'Quick View_ Sample Data'!AJ1136</f>
        <v>11.33</v>
      </c>
      <c r="K1135">
        <f>'Quick View_ Sample Data'!AH1136</f>
        <v>546.84613415297895</v>
      </c>
      <c r="L1135">
        <f t="shared" si="17"/>
        <v>0</v>
      </c>
    </row>
    <row r="1136" spans="1:12" ht="12.75" customHeight="1">
      <c r="A1136" s="321"/>
      <c r="B1136" t="str">
        <f>'Quick View_ Sample Data'!P1137</f>
        <v>MgO</v>
      </c>
      <c r="C1136">
        <f>'Quick View_ Sample Data'!O1137</f>
        <v>386</v>
      </c>
      <c r="D1136">
        <f>'Quick View_ Sample Data'!AN1137</f>
        <v>146.88108746992037</v>
      </c>
      <c r="E1136">
        <f>'Quick View_ Sample Data'!O1137</f>
        <v>386</v>
      </c>
      <c r="F1136">
        <f>'Quick View_ Sample Data'!AO1137</f>
        <v>16391.929361643117</v>
      </c>
      <c r="G1136">
        <f>'Quick View_ Sample Data'!O1137</f>
        <v>386</v>
      </c>
      <c r="H1136">
        <f>'Quick View_ Sample Data'!AP1137</f>
        <v>3.2260869565217392</v>
      </c>
      <c r="I1136">
        <f>'Quick View_ Sample Data'!AF1137</f>
        <v>3.71</v>
      </c>
      <c r="J1136">
        <f>'Quick View_ Sample Data'!AJ1137</f>
        <v>11.16</v>
      </c>
      <c r="K1136">
        <f>'Quick View_ Sample Data'!AH1137</f>
        <v>395.90589614533798</v>
      </c>
      <c r="L1136">
        <f t="shared" si="17"/>
        <v>41.403599999999997</v>
      </c>
    </row>
    <row r="1137" spans="1:12" ht="12.75" customHeight="1">
      <c r="A1137" s="321"/>
      <c r="B1137" t="str">
        <f>'Quick View_ Sample Data'!P1138</f>
        <v>SiNx</v>
      </c>
      <c r="C1137">
        <f>'Quick View_ Sample Data'!O1138</f>
        <v>386</v>
      </c>
      <c r="D1137">
        <f>'Quick View_ Sample Data'!AN1138</f>
        <v>0</v>
      </c>
      <c r="E1137">
        <f>'Quick View_ Sample Data'!O1138</f>
        <v>386</v>
      </c>
      <c r="F1137">
        <f>'Quick View_ Sample Data'!AO1138</f>
        <v>0</v>
      </c>
      <c r="G1137">
        <f>'Quick View_ Sample Data'!O1138</f>
        <v>386</v>
      </c>
      <c r="H1137">
        <f>'Quick View_ Sample Data'!AP1138</f>
        <v>0</v>
      </c>
      <c r="I1137">
        <f>'Quick View_ Sample Data'!AF1138</f>
        <v>0</v>
      </c>
      <c r="J1137">
        <f>'Quick View_ Sample Data'!AJ1138</f>
        <v>11.38</v>
      </c>
      <c r="K1137">
        <f>'Quick View_ Sample Data'!AH1138</f>
        <v>501.885212193256</v>
      </c>
      <c r="L1137">
        <f t="shared" si="17"/>
        <v>0</v>
      </c>
    </row>
    <row r="1138" spans="1:12" ht="12.75" customHeight="1">
      <c r="A1138" s="321"/>
      <c r="B1138" t="str">
        <f>'Quick View_ Sample Data'!P1139</f>
        <v>SiNx</v>
      </c>
      <c r="C1138">
        <f>'Quick View_ Sample Data'!O1139</f>
        <v>386</v>
      </c>
      <c r="D1138">
        <f>'Quick View_ Sample Data'!AN1139</f>
        <v>0</v>
      </c>
      <c r="E1138">
        <f>'Quick View_ Sample Data'!O1139</f>
        <v>386</v>
      </c>
      <c r="F1138">
        <f>'Quick View_ Sample Data'!AO1139</f>
        <v>0</v>
      </c>
      <c r="G1138">
        <f>'Quick View_ Sample Data'!O1139</f>
        <v>386</v>
      </c>
      <c r="H1138">
        <f>'Quick View_ Sample Data'!AP1139</f>
        <v>0</v>
      </c>
      <c r="I1138">
        <f>'Quick View_ Sample Data'!AF1139</f>
        <v>0</v>
      </c>
      <c r="J1138">
        <f>'Quick View_ Sample Data'!AJ1139</f>
        <v>11.45</v>
      </c>
      <c r="K1138">
        <f>'Quick View_ Sample Data'!AH1139</f>
        <v>487.433487277631</v>
      </c>
      <c r="L1138">
        <f t="shared" si="17"/>
        <v>0</v>
      </c>
    </row>
    <row r="1139" spans="1:12" ht="12.75" customHeight="1">
      <c r="A1139" s="321"/>
      <c r="B1139" t="str">
        <f>'Quick View_ Sample Data'!P1140</f>
        <v>MgO</v>
      </c>
      <c r="C1139">
        <f>'Quick View_ Sample Data'!O1140</f>
        <v>387</v>
      </c>
      <c r="D1139">
        <f>'Quick View_ Sample Data'!AN1140</f>
        <v>155.92947301431462</v>
      </c>
      <c r="E1139">
        <f>'Quick View_ Sample Data'!O1140</f>
        <v>387</v>
      </c>
      <c r="F1139">
        <f>'Quick View_ Sample Data'!AO1140</f>
        <v>16606.488876024508</v>
      </c>
      <c r="G1139">
        <f>'Quick View_ Sample Data'!O1140</f>
        <v>387</v>
      </c>
      <c r="H1139">
        <f>'Quick View_ Sample Data'!AP1140</f>
        <v>3.1652173913043478</v>
      </c>
      <c r="I1139">
        <f>'Quick View_ Sample Data'!AF1140</f>
        <v>3.64</v>
      </c>
      <c r="J1139">
        <f>'Quick View_ Sample Data'!AJ1140</f>
        <v>10.65</v>
      </c>
      <c r="K1139">
        <f>'Quick View_ Sample Data'!AH1140</f>
        <v>428.37767311624901</v>
      </c>
      <c r="L1139">
        <f t="shared" si="17"/>
        <v>38.766000000000005</v>
      </c>
    </row>
    <row r="1140" spans="1:12" ht="12.75" customHeight="1">
      <c r="A1140" s="321"/>
      <c r="B1140" t="str">
        <f>'Quick View_ Sample Data'!P1141</f>
        <v>SiNx</v>
      </c>
      <c r="C1140">
        <f>'Quick View_ Sample Data'!O1141</f>
        <v>387</v>
      </c>
      <c r="D1140">
        <f>'Quick View_ Sample Data'!AN1141</f>
        <v>0</v>
      </c>
      <c r="E1140">
        <f>'Quick View_ Sample Data'!O1141</f>
        <v>387</v>
      </c>
      <c r="F1140">
        <f>'Quick View_ Sample Data'!AO1141</f>
        <v>0</v>
      </c>
      <c r="G1140">
        <f>'Quick View_ Sample Data'!O1141</f>
        <v>387</v>
      </c>
      <c r="H1140">
        <f>'Quick View_ Sample Data'!AP1141</f>
        <v>0</v>
      </c>
      <c r="I1140">
        <f>'Quick View_ Sample Data'!AF1141</f>
        <v>0</v>
      </c>
      <c r="J1140">
        <f>'Quick View_ Sample Data'!AJ1141</f>
        <v>11.23</v>
      </c>
      <c r="K1140">
        <f>'Quick View_ Sample Data'!AH1141</f>
        <v>515.26643896698295</v>
      </c>
      <c r="L1140">
        <f t="shared" si="17"/>
        <v>0</v>
      </c>
    </row>
    <row r="1141" spans="1:12" ht="12.75" customHeight="1">
      <c r="A1141" s="321"/>
      <c r="B1141" t="str">
        <f>'Quick View_ Sample Data'!P1142</f>
        <v>SiNx</v>
      </c>
      <c r="C1141">
        <f>'Quick View_ Sample Data'!O1142</f>
        <v>387</v>
      </c>
      <c r="D1141">
        <f>'Quick View_ Sample Data'!AN1142</f>
        <v>0</v>
      </c>
      <c r="E1141">
        <f>'Quick View_ Sample Data'!O1142</f>
        <v>387</v>
      </c>
      <c r="F1141">
        <f>'Quick View_ Sample Data'!AO1142</f>
        <v>0</v>
      </c>
      <c r="G1141">
        <f>'Quick View_ Sample Data'!O1142</f>
        <v>387</v>
      </c>
      <c r="H1141">
        <f>'Quick View_ Sample Data'!AP1142</f>
        <v>0</v>
      </c>
      <c r="I1141">
        <f>'Quick View_ Sample Data'!AF1142</f>
        <v>0</v>
      </c>
      <c r="J1141">
        <f>'Quick View_ Sample Data'!AJ1142</f>
        <v>11.29</v>
      </c>
      <c r="K1141">
        <f>'Quick View_ Sample Data'!AH1142</f>
        <v>522.58150960328805</v>
      </c>
      <c r="L1141">
        <f t="shared" si="17"/>
        <v>0</v>
      </c>
    </row>
    <row r="1142" spans="1:12" ht="12.75" customHeight="1">
      <c r="A1142" s="321"/>
      <c r="B1142" t="str">
        <f>'Quick View_ Sample Data'!P1143</f>
        <v>MgO</v>
      </c>
      <c r="C1142">
        <f>'Quick View_ Sample Data'!O1143</f>
        <v>388</v>
      </c>
      <c r="D1142">
        <f>'Quick View_ Sample Data'!AN1143</f>
        <v>130.30281799541456</v>
      </c>
      <c r="E1142">
        <f>'Quick View_ Sample Data'!O1143</f>
        <v>388</v>
      </c>
      <c r="F1142">
        <f>'Quick View_ Sample Data'!AO1143</f>
        <v>15493.005059654792</v>
      </c>
      <c r="G1142">
        <f>'Quick View_ Sample Data'!O1143</f>
        <v>388</v>
      </c>
      <c r="H1142">
        <f>'Quick View_ Sample Data'!AP1143</f>
        <v>3.1913043478260867</v>
      </c>
      <c r="I1142">
        <f>'Quick View_ Sample Data'!AF1143</f>
        <v>3.67</v>
      </c>
      <c r="J1142">
        <f>'Quick View_ Sample Data'!AJ1143</f>
        <v>11.89</v>
      </c>
      <c r="K1142">
        <f>'Quick View_ Sample Data'!AH1143</f>
        <v>355.04855039622498</v>
      </c>
      <c r="L1142">
        <f t="shared" si="17"/>
        <v>43.636299999999999</v>
      </c>
    </row>
    <row r="1143" spans="1:12" ht="12.75" customHeight="1">
      <c r="A1143" s="321"/>
      <c r="B1143" t="str">
        <f>'Quick View_ Sample Data'!P1144</f>
        <v>SiNx</v>
      </c>
      <c r="C1143">
        <f>'Quick View_ Sample Data'!O1144</f>
        <v>388</v>
      </c>
      <c r="D1143">
        <f>'Quick View_ Sample Data'!AN1144</f>
        <v>0</v>
      </c>
      <c r="E1143">
        <f>'Quick View_ Sample Data'!O1144</f>
        <v>388</v>
      </c>
      <c r="F1143">
        <f>'Quick View_ Sample Data'!AO1144</f>
        <v>0</v>
      </c>
      <c r="G1143">
        <f>'Quick View_ Sample Data'!O1144</f>
        <v>388</v>
      </c>
      <c r="H1143">
        <f>'Quick View_ Sample Data'!AP1144</f>
        <v>0</v>
      </c>
      <c r="I1143">
        <f>'Quick View_ Sample Data'!AF1144</f>
        <v>0</v>
      </c>
      <c r="J1143">
        <f>'Quick View_ Sample Data'!AJ1144</f>
        <v>11.26</v>
      </c>
      <c r="K1143">
        <f>'Quick View_ Sample Data'!AH1144</f>
        <v>502.24204490722201</v>
      </c>
      <c r="L1143">
        <f t="shared" si="17"/>
        <v>0</v>
      </c>
    </row>
    <row r="1144" spans="1:12" ht="12.75" customHeight="1">
      <c r="A1144" s="321"/>
      <c r="B1144" t="str">
        <f>'Quick View_ Sample Data'!P1145</f>
        <v>SiNx</v>
      </c>
      <c r="C1144">
        <f>'Quick View_ Sample Data'!O1145</f>
        <v>388</v>
      </c>
      <c r="D1144">
        <f>'Quick View_ Sample Data'!AN1145</f>
        <v>0</v>
      </c>
      <c r="E1144">
        <f>'Quick View_ Sample Data'!O1145</f>
        <v>388</v>
      </c>
      <c r="F1144">
        <f>'Quick View_ Sample Data'!AO1145</f>
        <v>0</v>
      </c>
      <c r="G1144">
        <f>'Quick View_ Sample Data'!O1145</f>
        <v>388</v>
      </c>
      <c r="H1144">
        <f>'Quick View_ Sample Data'!AP1145</f>
        <v>0</v>
      </c>
      <c r="I1144">
        <f>'Quick View_ Sample Data'!AF1145</f>
        <v>0</v>
      </c>
      <c r="J1144">
        <f>'Quick View_ Sample Data'!AJ1145</f>
        <v>11.28</v>
      </c>
      <c r="K1144">
        <f>'Quick View_ Sample Data'!AH1145</f>
        <v>498.13846869661302</v>
      </c>
      <c r="L1144">
        <f t="shared" si="17"/>
        <v>0</v>
      </c>
    </row>
    <row r="1145" spans="1:12" ht="12.75" customHeight="1">
      <c r="A1145" s="321"/>
      <c r="B1145" t="str">
        <f>'Quick View_ Sample Data'!P1146</f>
        <v>MgO</v>
      </c>
      <c r="C1145">
        <f>'Quick View_ Sample Data'!O1146</f>
        <v>389</v>
      </c>
      <c r="D1145">
        <f>'Quick View_ Sample Data'!AN1146</f>
        <v>163.01545704825261</v>
      </c>
      <c r="E1145">
        <f>'Quick View_ Sample Data'!O1146</f>
        <v>389</v>
      </c>
      <c r="F1145">
        <f>'Quick View_ Sample Data'!AO1146</f>
        <v>17703.478635440235</v>
      </c>
      <c r="G1145">
        <f>'Quick View_ Sample Data'!O1146</f>
        <v>389</v>
      </c>
      <c r="H1145">
        <f>'Quick View_ Sample Data'!AP1146</f>
        <v>3.2695652173913041</v>
      </c>
      <c r="I1145">
        <f>'Quick View_ Sample Data'!AF1146</f>
        <v>3.76</v>
      </c>
      <c r="J1145">
        <f>'Quick View_ Sample Data'!AJ1146</f>
        <v>10.86</v>
      </c>
      <c r="K1145">
        <f>'Quick View_ Sample Data'!AH1146</f>
        <v>433.55174746875701</v>
      </c>
      <c r="L1145">
        <f t="shared" si="17"/>
        <v>40.833599999999997</v>
      </c>
    </row>
    <row r="1146" spans="1:12" ht="12.75" customHeight="1">
      <c r="A1146" s="321"/>
      <c r="B1146" t="str">
        <f>'Quick View_ Sample Data'!P1147</f>
        <v>SiNx</v>
      </c>
      <c r="C1146">
        <f>'Quick View_ Sample Data'!O1147</f>
        <v>389</v>
      </c>
      <c r="D1146">
        <f>'Quick View_ Sample Data'!AN1147</f>
        <v>0</v>
      </c>
      <c r="E1146">
        <f>'Quick View_ Sample Data'!O1147</f>
        <v>389</v>
      </c>
      <c r="F1146">
        <f>'Quick View_ Sample Data'!AO1147</f>
        <v>0</v>
      </c>
      <c r="G1146">
        <f>'Quick View_ Sample Data'!O1147</f>
        <v>389</v>
      </c>
      <c r="H1146">
        <f>'Quick View_ Sample Data'!AP1147</f>
        <v>0</v>
      </c>
      <c r="I1146">
        <f>'Quick View_ Sample Data'!AF1147</f>
        <v>0</v>
      </c>
      <c r="J1146">
        <f>'Quick View_ Sample Data'!AJ1147</f>
        <v>10.66</v>
      </c>
      <c r="K1146">
        <f>'Quick View_ Sample Data'!AH1147</f>
        <v>563.617271709384</v>
      </c>
      <c r="L1146">
        <f t="shared" si="17"/>
        <v>0</v>
      </c>
    </row>
    <row r="1147" spans="1:12" ht="12.75" customHeight="1">
      <c r="A1147" s="321"/>
      <c r="B1147" t="str">
        <f>'Quick View_ Sample Data'!P1148</f>
        <v>SiNx</v>
      </c>
      <c r="C1147">
        <f>'Quick View_ Sample Data'!O1148</f>
        <v>389</v>
      </c>
      <c r="D1147">
        <f>'Quick View_ Sample Data'!AN1148</f>
        <v>0</v>
      </c>
      <c r="E1147">
        <f>'Quick View_ Sample Data'!O1148</f>
        <v>389</v>
      </c>
      <c r="F1147">
        <f>'Quick View_ Sample Data'!AO1148</f>
        <v>0</v>
      </c>
      <c r="G1147">
        <f>'Quick View_ Sample Data'!O1148</f>
        <v>389</v>
      </c>
      <c r="H1147">
        <f>'Quick View_ Sample Data'!AP1148</f>
        <v>0</v>
      </c>
      <c r="I1147">
        <f>'Quick View_ Sample Data'!AF1148</f>
        <v>0</v>
      </c>
      <c r="J1147">
        <f>'Quick View_ Sample Data'!AJ1148</f>
        <v>10.74</v>
      </c>
      <c r="K1147">
        <f>'Quick View_ Sample Data'!AH1148</f>
        <v>562.54677356748596</v>
      </c>
      <c r="L1147">
        <f t="shared" si="17"/>
        <v>0</v>
      </c>
    </row>
    <row r="1148" spans="1:12" ht="12.75" customHeight="1">
      <c r="A1148" s="321"/>
      <c r="B1148" t="str">
        <f>'Quick View_ Sample Data'!P1149</f>
        <v>MgO</v>
      </c>
      <c r="C1148">
        <f>'Quick View_ Sample Data'!O1149</f>
        <v>391</v>
      </c>
      <c r="D1148">
        <f>'Quick View_ Sample Data'!AN1149</f>
        <v>163.90771724952452</v>
      </c>
      <c r="E1148">
        <f>'Quick View_ Sample Data'!O1149</f>
        <v>391</v>
      </c>
      <c r="F1148">
        <f>'Quick View_ Sample Data'!AO1149</f>
        <v>0</v>
      </c>
      <c r="G1148">
        <f>'Quick View_ Sample Data'!O1149</f>
        <v>391</v>
      </c>
      <c r="H1148">
        <f>'Quick View_ Sample Data'!AP1149</f>
        <v>3.1217391304347828</v>
      </c>
      <c r="I1148">
        <f>'Quick View_ Sample Data'!AF1149</f>
        <v>3.59</v>
      </c>
      <c r="J1148">
        <f>'Quick View_ Sample Data'!AJ1149</f>
        <v>0</v>
      </c>
      <c r="K1148">
        <f>'Quick View_ Sample Data'!AH1149</f>
        <v>456.56745751956697</v>
      </c>
      <c r="L1148">
        <f t="shared" si="17"/>
        <v>0</v>
      </c>
    </row>
    <row r="1149" spans="1:12" ht="12.75" customHeight="1">
      <c r="A1149" s="321"/>
      <c r="B1149" t="str">
        <f>'Quick View_ Sample Data'!P1150</f>
        <v>SiO2</v>
      </c>
      <c r="C1149">
        <f>'Quick View_ Sample Data'!O1150</f>
        <v>391</v>
      </c>
      <c r="D1149">
        <f>'Quick View_ Sample Data'!AN1150</f>
        <v>0</v>
      </c>
      <c r="E1149">
        <f>'Quick View_ Sample Data'!O1150</f>
        <v>391</v>
      </c>
      <c r="F1149">
        <f>'Quick View_ Sample Data'!AO1150</f>
        <v>0</v>
      </c>
      <c r="G1149">
        <f>'Quick View_ Sample Data'!O1150</f>
        <v>391</v>
      </c>
      <c r="H1149">
        <f>'Quick View_ Sample Data'!AP1150</f>
        <v>0</v>
      </c>
      <c r="I1149">
        <f>'Quick View_ Sample Data'!AF1150</f>
        <v>0</v>
      </c>
      <c r="J1149">
        <f>'Quick View_ Sample Data'!AJ1150</f>
        <v>11.55</v>
      </c>
      <c r="K1149">
        <f>'Quick View_ Sample Data'!AH1150</f>
        <v>512.94702632620397</v>
      </c>
      <c r="L1149">
        <f t="shared" si="17"/>
        <v>0</v>
      </c>
    </row>
    <row r="1150" spans="1:12" ht="12.75" customHeight="1">
      <c r="A1150" s="321"/>
      <c r="B1150" t="str">
        <f>'Quick View_ Sample Data'!P1151</f>
        <v>SiO2</v>
      </c>
      <c r="C1150">
        <f>'Quick View_ Sample Data'!O1151</f>
        <v>391</v>
      </c>
      <c r="D1150">
        <f>'Quick View_ Sample Data'!AN1151</f>
        <v>0</v>
      </c>
      <c r="E1150">
        <f>'Quick View_ Sample Data'!O1151</f>
        <v>391</v>
      </c>
      <c r="F1150">
        <f>'Quick View_ Sample Data'!AO1151</f>
        <v>0</v>
      </c>
      <c r="G1150">
        <f>'Quick View_ Sample Data'!O1151</f>
        <v>391</v>
      </c>
      <c r="H1150">
        <f>'Quick View_ Sample Data'!AP1151</f>
        <v>0</v>
      </c>
      <c r="I1150">
        <f>'Quick View_ Sample Data'!AF1151</f>
        <v>0</v>
      </c>
      <c r="J1150">
        <f>'Quick View_ Sample Data'!AJ1151</f>
        <v>11.6</v>
      </c>
      <c r="K1150">
        <f>'Quick View_ Sample Data'!AH1151</f>
        <v>509.378699186544</v>
      </c>
      <c r="L1150">
        <f t="shared" si="17"/>
        <v>0</v>
      </c>
    </row>
    <row r="1151" spans="1:12" ht="12.75" customHeight="1">
      <c r="A1151" s="321"/>
      <c r="B1151" t="str">
        <f>'Quick View_ Sample Data'!P1152</f>
        <v>MgO</v>
      </c>
      <c r="C1151">
        <f>'Quick View_ Sample Data'!O1152</f>
        <v>392</v>
      </c>
      <c r="D1151">
        <f>'Quick View_ Sample Data'!AN1152</f>
        <v>146.29356240637537</v>
      </c>
      <c r="E1151">
        <f>'Quick View_ Sample Data'!O1152</f>
        <v>392</v>
      </c>
      <c r="F1151">
        <f>'Quick View_ Sample Data'!AO1152</f>
        <v>15594.893752519614</v>
      </c>
      <c r="G1151">
        <f>'Quick View_ Sample Data'!O1152</f>
        <v>392</v>
      </c>
      <c r="H1151">
        <f>'Quick View_ Sample Data'!AP1152</f>
        <v>3.1217391304347828</v>
      </c>
      <c r="I1151">
        <f>'Quick View_ Sample Data'!AF1152</f>
        <v>3.59</v>
      </c>
      <c r="J1151">
        <f>'Quick View_ Sample Data'!AJ1152</f>
        <v>10.66</v>
      </c>
      <c r="K1151">
        <f>'Quick View_ Sample Data'!AH1152</f>
        <v>407.50295934923503</v>
      </c>
      <c r="L1151">
        <f t="shared" si="17"/>
        <v>38.269399999999997</v>
      </c>
    </row>
    <row r="1152" spans="1:12" ht="12.75" customHeight="1">
      <c r="A1152" s="321"/>
      <c r="B1152" t="str">
        <f>'Quick View_ Sample Data'!P1153</f>
        <v>SiO2</v>
      </c>
      <c r="C1152">
        <f>'Quick View_ Sample Data'!O1153</f>
        <v>392</v>
      </c>
      <c r="D1152">
        <f>'Quick View_ Sample Data'!AN1153</f>
        <v>0</v>
      </c>
      <c r="E1152">
        <f>'Quick View_ Sample Data'!O1153</f>
        <v>392</v>
      </c>
      <c r="F1152">
        <f>'Quick View_ Sample Data'!AO1153</f>
        <v>0</v>
      </c>
      <c r="G1152">
        <f>'Quick View_ Sample Data'!O1153</f>
        <v>392</v>
      </c>
      <c r="H1152">
        <f>'Quick View_ Sample Data'!AP1153</f>
        <v>0</v>
      </c>
      <c r="I1152">
        <f>'Quick View_ Sample Data'!AF1153</f>
        <v>0</v>
      </c>
      <c r="J1152">
        <f>'Quick View_ Sample Data'!AJ1153</f>
        <v>11.5</v>
      </c>
      <c r="K1152">
        <f>'Quick View_ Sample Data'!AH1153</f>
        <v>504.56145754800201</v>
      </c>
      <c r="L1152">
        <f t="shared" si="17"/>
        <v>0</v>
      </c>
    </row>
    <row r="1153" spans="1:12" ht="12.75" customHeight="1">
      <c r="A1153" s="321"/>
      <c r="B1153" t="str">
        <f>'Quick View_ Sample Data'!P1154</f>
        <v>SiO2</v>
      </c>
      <c r="C1153">
        <f>'Quick View_ Sample Data'!O1154</f>
        <v>392</v>
      </c>
      <c r="D1153">
        <f>'Quick View_ Sample Data'!AN1154</f>
        <v>0</v>
      </c>
      <c r="E1153">
        <f>'Quick View_ Sample Data'!O1154</f>
        <v>392</v>
      </c>
      <c r="F1153">
        <f>'Quick View_ Sample Data'!AO1154</f>
        <v>0</v>
      </c>
      <c r="G1153">
        <f>'Quick View_ Sample Data'!O1154</f>
        <v>392</v>
      </c>
      <c r="H1153">
        <f>'Quick View_ Sample Data'!AP1154</f>
        <v>0</v>
      </c>
      <c r="I1153">
        <f>'Quick View_ Sample Data'!AF1154</f>
        <v>0</v>
      </c>
      <c r="J1153">
        <f>'Quick View_ Sample Data'!AJ1154</f>
        <v>11.64</v>
      </c>
      <c r="K1153">
        <f>'Quick View_ Sample Data'!AH1154</f>
        <v>491.89389620220697</v>
      </c>
      <c r="L1153">
        <f t="shared" si="17"/>
        <v>0</v>
      </c>
    </row>
    <row r="1154" spans="1:12" ht="12.75" customHeight="1">
      <c r="A1154" s="321"/>
      <c r="B1154" t="str">
        <f>'Quick View_ Sample Data'!P1155</f>
        <v>MgO</v>
      </c>
      <c r="C1154">
        <f>'Quick View_ Sample Data'!O1155</f>
        <v>393</v>
      </c>
      <c r="D1154">
        <f>'Quick View_ Sample Data'!AN1155</f>
        <v>122.65856918047677</v>
      </c>
      <c r="E1154">
        <f>'Quick View_ Sample Data'!O1155</f>
        <v>393</v>
      </c>
      <c r="F1154">
        <f>'Quick View_ Sample Data'!AO1155</f>
        <v>15013.408867690358</v>
      </c>
      <c r="G1154">
        <f>'Quick View_ Sample Data'!O1155</f>
        <v>393</v>
      </c>
      <c r="H1154">
        <f>'Quick View_ Sample Data'!AP1155</f>
        <v>3.1217391304347828</v>
      </c>
      <c r="I1154">
        <f>'Quick View_ Sample Data'!AF1155</f>
        <v>3.59</v>
      </c>
      <c r="J1154">
        <f>'Quick View_ Sample Data'!AJ1155</f>
        <v>12.24</v>
      </c>
      <c r="K1154">
        <f>'Quick View_ Sample Data'!AH1155</f>
        <v>341.66732362249797</v>
      </c>
      <c r="L1154">
        <f t="shared" ref="L1154:L1217" si="18">I1154*J1154</f>
        <v>43.941600000000001</v>
      </c>
    </row>
    <row r="1155" spans="1:12" ht="12.75" customHeight="1">
      <c r="A1155" s="321"/>
      <c r="B1155" t="str">
        <f>'Quick View_ Sample Data'!P1156</f>
        <v>SiO2</v>
      </c>
      <c r="C1155">
        <f>'Quick View_ Sample Data'!O1156</f>
        <v>393</v>
      </c>
      <c r="D1155">
        <f>'Quick View_ Sample Data'!AN1156</f>
        <v>0</v>
      </c>
      <c r="E1155">
        <f>'Quick View_ Sample Data'!O1156</f>
        <v>393</v>
      </c>
      <c r="F1155">
        <f>'Quick View_ Sample Data'!AO1156</f>
        <v>0</v>
      </c>
      <c r="G1155">
        <f>'Quick View_ Sample Data'!O1156</f>
        <v>393</v>
      </c>
      <c r="H1155">
        <f>'Quick View_ Sample Data'!AP1156</f>
        <v>0</v>
      </c>
      <c r="I1155">
        <f>'Quick View_ Sample Data'!AF1156</f>
        <v>0</v>
      </c>
      <c r="J1155">
        <f>'Quick View_ Sample Data'!AJ1156</f>
        <v>11.57</v>
      </c>
      <c r="K1155">
        <f>'Quick View_ Sample Data'!AH1156</f>
        <v>489.21765084746102</v>
      </c>
      <c r="L1155">
        <f t="shared" si="18"/>
        <v>0</v>
      </c>
    </row>
    <row r="1156" spans="1:12" ht="12.75" customHeight="1">
      <c r="A1156" s="321"/>
      <c r="B1156" t="str">
        <f>'Quick View_ Sample Data'!P1157</f>
        <v>SiO2</v>
      </c>
      <c r="C1156">
        <f>'Quick View_ Sample Data'!O1157</f>
        <v>393</v>
      </c>
      <c r="D1156">
        <f>'Quick View_ Sample Data'!AN1157</f>
        <v>0</v>
      </c>
      <c r="E1156">
        <f>'Quick View_ Sample Data'!O1157</f>
        <v>393</v>
      </c>
      <c r="F1156">
        <f>'Quick View_ Sample Data'!AO1157</f>
        <v>0</v>
      </c>
      <c r="G1156">
        <f>'Quick View_ Sample Data'!O1157</f>
        <v>393</v>
      </c>
      <c r="H1156">
        <f>'Quick View_ Sample Data'!AP1157</f>
        <v>0</v>
      </c>
      <c r="I1156">
        <f>'Quick View_ Sample Data'!AF1157</f>
        <v>0</v>
      </c>
      <c r="J1156">
        <f>'Quick View_ Sample Data'!AJ1157</f>
        <v>11.48</v>
      </c>
      <c r="K1156">
        <f>'Quick View_ Sample Data'!AH1157</f>
        <v>485.47090735081798</v>
      </c>
      <c r="L1156">
        <f t="shared" si="18"/>
        <v>0</v>
      </c>
    </row>
    <row r="1157" spans="1:12" ht="12.75" customHeight="1">
      <c r="A1157" s="321"/>
      <c r="B1157" t="str">
        <f>'Quick View_ Sample Data'!P1158</f>
        <v>MgO</v>
      </c>
      <c r="C1157">
        <f>'Quick View_ Sample Data'!O1158</f>
        <v>394</v>
      </c>
      <c r="D1157">
        <f>'Quick View_ Sample Data'!AN1158</f>
        <v>124.96906100340695</v>
      </c>
      <c r="E1157">
        <f>'Quick View_ Sample Data'!O1158</f>
        <v>394</v>
      </c>
      <c r="F1157">
        <f>'Quick View_ Sample Data'!AO1158</f>
        <v>15196.237818014286</v>
      </c>
      <c r="G1157">
        <f>'Quick View_ Sample Data'!O1158</f>
        <v>394</v>
      </c>
      <c r="H1157">
        <f>'Quick View_ Sample Data'!AP1158</f>
        <v>3.1739130434782608</v>
      </c>
      <c r="I1157">
        <f>'Quick View_ Sample Data'!AF1158</f>
        <v>3.65</v>
      </c>
      <c r="J1157">
        <f>'Quick View_ Sample Data'!AJ1158</f>
        <v>12.16</v>
      </c>
      <c r="K1157">
        <f>'Quick View_ Sample Data'!AH1158</f>
        <v>342.38098905043</v>
      </c>
      <c r="L1157">
        <f t="shared" si="18"/>
        <v>44.384</v>
      </c>
    </row>
    <row r="1158" spans="1:12" ht="12.75" customHeight="1">
      <c r="A1158" s="321"/>
      <c r="B1158" t="str">
        <f>'Quick View_ Sample Data'!P1159</f>
        <v>SiO2</v>
      </c>
      <c r="C1158">
        <f>'Quick View_ Sample Data'!O1159</f>
        <v>394</v>
      </c>
      <c r="D1158">
        <f>'Quick View_ Sample Data'!AN1159</f>
        <v>0</v>
      </c>
      <c r="E1158">
        <f>'Quick View_ Sample Data'!O1159</f>
        <v>394</v>
      </c>
      <c r="F1158">
        <f>'Quick View_ Sample Data'!AO1159</f>
        <v>0</v>
      </c>
      <c r="G1158">
        <f>'Quick View_ Sample Data'!O1159</f>
        <v>394</v>
      </c>
      <c r="H1158">
        <f>'Quick View_ Sample Data'!AP1159</f>
        <v>0</v>
      </c>
      <c r="I1158">
        <f>'Quick View_ Sample Data'!AF1159</f>
        <v>0</v>
      </c>
      <c r="J1158">
        <f>'Quick View_ Sample Data'!AJ1159</f>
        <v>11.54</v>
      </c>
      <c r="K1158">
        <f>'Quick View_ Sample Data'!AH1159</f>
        <v>480.65366571227599</v>
      </c>
      <c r="L1158">
        <f t="shared" si="18"/>
        <v>0</v>
      </c>
    </row>
    <row r="1159" spans="1:12" ht="12.75" customHeight="1">
      <c r="A1159" s="321"/>
      <c r="B1159" t="str">
        <f>'Quick View_ Sample Data'!P1160</f>
        <v>SiO2</v>
      </c>
      <c r="C1159">
        <f>'Quick View_ Sample Data'!O1160</f>
        <v>394</v>
      </c>
      <c r="D1159">
        <f>'Quick View_ Sample Data'!AN1160</f>
        <v>0</v>
      </c>
      <c r="E1159">
        <f>'Quick View_ Sample Data'!O1160</f>
        <v>394</v>
      </c>
      <c r="F1159">
        <f>'Quick View_ Sample Data'!AO1160</f>
        <v>0</v>
      </c>
      <c r="G1159">
        <f>'Quick View_ Sample Data'!O1160</f>
        <v>394</v>
      </c>
      <c r="H1159">
        <f>'Quick View_ Sample Data'!AP1160</f>
        <v>0</v>
      </c>
      <c r="I1159">
        <f>'Quick View_ Sample Data'!AF1160</f>
        <v>0</v>
      </c>
      <c r="J1159">
        <f>'Quick View_ Sample Data'!AJ1160</f>
        <v>11.65</v>
      </c>
      <c r="K1159">
        <f>'Quick View_ Sample Data'!AH1160</f>
        <v>461.20628280112601</v>
      </c>
      <c r="L1159">
        <f t="shared" si="18"/>
        <v>0</v>
      </c>
    </row>
    <row r="1160" spans="1:12" ht="12.75" customHeight="1">
      <c r="A1160" s="321"/>
      <c r="B1160" t="str">
        <f>'Quick View_ Sample Data'!P1161</f>
        <v>Al2O3</v>
      </c>
      <c r="C1160">
        <f>'Quick View_ Sample Data'!O1161</f>
        <v>395</v>
      </c>
      <c r="D1160">
        <f>'Quick View_ Sample Data'!AN1161</f>
        <v>0</v>
      </c>
      <c r="E1160">
        <f>'Quick View_ Sample Data'!O1161</f>
        <v>395</v>
      </c>
      <c r="F1160">
        <f>'Quick View_ Sample Data'!AO1161</f>
        <v>0</v>
      </c>
      <c r="G1160">
        <f>'Quick View_ Sample Data'!O1161</f>
        <v>395</v>
      </c>
      <c r="H1160">
        <f>'Quick View_ Sample Data'!AP1161</f>
        <v>0</v>
      </c>
      <c r="I1160">
        <f>'Quick View_ Sample Data'!AF1161</f>
        <v>0</v>
      </c>
      <c r="J1160">
        <f>'Quick View_ Sample Data'!AJ1161</f>
        <v>0</v>
      </c>
      <c r="K1160">
        <f>'Quick View_ Sample Data'!AH1161</f>
        <v>966.30298942007698</v>
      </c>
      <c r="L1160">
        <f t="shared" si="18"/>
        <v>0</v>
      </c>
    </row>
    <row r="1161" spans="1:12" ht="12.75" customHeight="1">
      <c r="A1161" s="321"/>
      <c r="B1161" t="str">
        <f>'Quick View_ Sample Data'!P1162</f>
        <v>Al2O3</v>
      </c>
      <c r="C1161">
        <f>'Quick View_ Sample Data'!O1162</f>
        <v>395</v>
      </c>
      <c r="D1161">
        <f>'Quick View_ Sample Data'!AN1162</f>
        <v>0</v>
      </c>
      <c r="E1161">
        <f>'Quick View_ Sample Data'!O1162</f>
        <v>395</v>
      </c>
      <c r="F1161">
        <f>'Quick View_ Sample Data'!AO1162</f>
        <v>0</v>
      </c>
      <c r="G1161">
        <f>'Quick View_ Sample Data'!O1162</f>
        <v>395</v>
      </c>
      <c r="H1161">
        <f>'Quick View_ Sample Data'!AP1162</f>
        <v>0</v>
      </c>
      <c r="I1161">
        <f>'Quick View_ Sample Data'!AF1162</f>
        <v>0</v>
      </c>
      <c r="J1161">
        <f>'Quick View_ Sample Data'!AJ1162</f>
        <v>0</v>
      </c>
      <c r="K1161">
        <f>'Quick View_ Sample Data'!AH1162</f>
        <v>969.51448384577202</v>
      </c>
      <c r="L1161">
        <f t="shared" si="18"/>
        <v>0</v>
      </c>
    </row>
    <row r="1162" spans="1:12" ht="12.75" customHeight="1">
      <c r="A1162" s="321"/>
      <c r="B1162" t="str">
        <f>'Quick View_ Sample Data'!P1163</f>
        <v>MgO</v>
      </c>
      <c r="C1162">
        <f>'Quick View_ Sample Data'!O1163</f>
        <v>397</v>
      </c>
      <c r="D1162">
        <f>'Quick View_ Sample Data'!AN1163</f>
        <v>0</v>
      </c>
      <c r="E1162">
        <f>'Quick View_ Sample Data'!O1163</f>
        <v>397</v>
      </c>
      <c r="F1162">
        <f>'Quick View_ Sample Data'!AO1163</f>
        <v>0</v>
      </c>
      <c r="G1162">
        <f>'Quick View_ Sample Data'!O1163</f>
        <v>397</v>
      </c>
      <c r="H1162">
        <f>'Quick View_ Sample Data'!AP1163</f>
        <v>0</v>
      </c>
      <c r="I1162">
        <f>'Quick View_ Sample Data'!AF1163</f>
        <v>0</v>
      </c>
      <c r="J1162">
        <f>'Quick View_ Sample Data'!AJ1163</f>
        <v>0</v>
      </c>
      <c r="K1162">
        <f>'Quick View_ Sample Data'!AH1163</f>
        <v>0</v>
      </c>
      <c r="L1162">
        <f t="shared" si="18"/>
        <v>0</v>
      </c>
    </row>
    <row r="1163" spans="1:12" ht="12.75" customHeight="1">
      <c r="A1163" s="321"/>
      <c r="B1163" t="str">
        <f>'Quick View_ Sample Data'!P1164</f>
        <v>MgO</v>
      </c>
      <c r="C1163">
        <f>'Quick View_ Sample Data'!O1164</f>
        <v>397</v>
      </c>
      <c r="D1163">
        <f>'Quick View_ Sample Data'!AN1164</f>
        <v>0</v>
      </c>
      <c r="E1163">
        <f>'Quick View_ Sample Data'!O1164</f>
        <v>397</v>
      </c>
      <c r="F1163">
        <f>'Quick View_ Sample Data'!AO1164</f>
        <v>0</v>
      </c>
      <c r="G1163">
        <f>'Quick View_ Sample Data'!O1164</f>
        <v>397</v>
      </c>
      <c r="H1163">
        <f>'Quick View_ Sample Data'!AP1164</f>
        <v>0</v>
      </c>
      <c r="I1163">
        <f>'Quick View_ Sample Data'!AF1164</f>
        <v>0</v>
      </c>
      <c r="J1163">
        <f>'Quick View_ Sample Data'!AJ1164</f>
        <v>0</v>
      </c>
      <c r="K1163">
        <f>'Quick View_ Sample Data'!AH1164</f>
        <v>0</v>
      </c>
      <c r="L1163">
        <f t="shared" si="18"/>
        <v>0</v>
      </c>
    </row>
    <row r="1164" spans="1:12" ht="12.75" customHeight="1">
      <c r="A1164" s="321"/>
      <c r="B1164" t="str">
        <f>'Quick View_ Sample Data'!P1165</f>
        <v>MgO</v>
      </c>
      <c r="C1164">
        <f>'Quick View_ Sample Data'!O1165</f>
        <v>398</v>
      </c>
      <c r="D1164">
        <f>'Quick View_ Sample Data'!AN1165</f>
        <v>0</v>
      </c>
      <c r="E1164">
        <f>'Quick View_ Sample Data'!O1165</f>
        <v>398</v>
      </c>
      <c r="F1164">
        <f>'Quick View_ Sample Data'!AO1165</f>
        <v>0</v>
      </c>
      <c r="G1164">
        <f>'Quick View_ Sample Data'!O1165</f>
        <v>398</v>
      </c>
      <c r="H1164">
        <f>'Quick View_ Sample Data'!AP1165</f>
        <v>0</v>
      </c>
      <c r="I1164">
        <f>'Quick View_ Sample Data'!AF1165</f>
        <v>0</v>
      </c>
      <c r="J1164">
        <f>'Quick View_ Sample Data'!AL1165</f>
        <v>0.8</v>
      </c>
      <c r="K1164">
        <f>'Quick View_ Sample Data'!AJ1165</f>
        <v>15.4</v>
      </c>
      <c r="L1164">
        <f t="shared" si="18"/>
        <v>0</v>
      </c>
    </row>
    <row r="1165" spans="1:12" ht="12.75" customHeight="1">
      <c r="A1165" s="321"/>
      <c r="B1165" t="str">
        <f>'Quick View_ Sample Data'!P1166</f>
        <v>Al2O3</v>
      </c>
      <c r="C1165">
        <f>'Quick View_ Sample Data'!O1166</f>
        <v>398</v>
      </c>
      <c r="D1165">
        <f>'Quick View_ Sample Data'!AN1166</f>
        <v>0</v>
      </c>
      <c r="E1165">
        <f>'Quick View_ Sample Data'!O1166</f>
        <v>398</v>
      </c>
      <c r="F1165">
        <f>'Quick View_ Sample Data'!AO1166</f>
        <v>0</v>
      </c>
      <c r="G1165">
        <f>'Quick View_ Sample Data'!O1166</f>
        <v>398</v>
      </c>
      <c r="H1165">
        <f>'Quick View_ Sample Data'!AP1166</f>
        <v>0</v>
      </c>
      <c r="I1165">
        <f>'Quick View_ Sample Data'!AF1166</f>
        <v>0</v>
      </c>
      <c r="J1165">
        <f>'Quick View_ Sample Data'!AJ1166</f>
        <v>14.8</v>
      </c>
      <c r="K1165">
        <f>'Quick View_ Sample Data'!AH1166</f>
        <v>25.513539048572898</v>
      </c>
      <c r="L1165">
        <f t="shared" si="18"/>
        <v>0</v>
      </c>
    </row>
    <row r="1166" spans="1:12" ht="12.75" customHeight="1">
      <c r="A1166" s="321"/>
      <c r="B1166" t="str">
        <f>'Quick View_ Sample Data'!P1167</f>
        <v>SiNx</v>
      </c>
      <c r="C1166">
        <f>'Quick View_ Sample Data'!O1167</f>
        <v>399</v>
      </c>
      <c r="D1166">
        <f>'Quick View_ Sample Data'!AN1167</f>
        <v>0</v>
      </c>
      <c r="E1166">
        <f>'Quick View_ Sample Data'!O1167</f>
        <v>399</v>
      </c>
      <c r="F1166" t="e">
        <f>'Quick View_ Sample Data'!AO1167</f>
        <v>#VALUE!</v>
      </c>
      <c r="G1166">
        <f>'Quick View_ Sample Data'!O1167</f>
        <v>399</v>
      </c>
      <c r="H1166">
        <f>'Quick View_ Sample Data'!AP1167</f>
        <v>0</v>
      </c>
      <c r="I1166">
        <f>'Quick View_ Sample Data'!AF1167</f>
        <v>0</v>
      </c>
      <c r="J1166" t="str">
        <f>'Quick View_ Sample Data'!AJ1167</f>
        <v>&lt;8</v>
      </c>
      <c r="K1166">
        <f>'Quick View_ Sample Data'!AH1167</f>
        <v>104.373568835071</v>
      </c>
      <c r="L1166" t="e">
        <f t="shared" si="18"/>
        <v>#VALUE!</v>
      </c>
    </row>
    <row r="1167" spans="1:12" ht="12.75" customHeight="1">
      <c r="A1167" s="321"/>
      <c r="B1167" t="str">
        <f>'Quick View_ Sample Data'!P1168</f>
        <v>SiNx</v>
      </c>
      <c r="C1167">
        <f>'Quick View_ Sample Data'!O1168</f>
        <v>399</v>
      </c>
      <c r="D1167">
        <f>'Quick View_ Sample Data'!AN1168</f>
        <v>0</v>
      </c>
      <c r="E1167">
        <f>'Quick View_ Sample Data'!O1168</f>
        <v>399</v>
      </c>
      <c r="F1167" t="e">
        <f>'Quick View_ Sample Data'!AO1168</f>
        <v>#VALUE!</v>
      </c>
      <c r="G1167">
        <f>'Quick View_ Sample Data'!O1168</f>
        <v>399</v>
      </c>
      <c r="H1167">
        <f>'Quick View_ Sample Data'!AP1168</f>
        <v>0</v>
      </c>
      <c r="I1167">
        <f>'Quick View_ Sample Data'!AF1168</f>
        <v>0</v>
      </c>
      <c r="J1167" t="str">
        <f>'Quick View_ Sample Data'!AJ1168</f>
        <v>&lt;8</v>
      </c>
      <c r="K1167">
        <f>'Quick View_ Sample Data'!AH1168</f>
        <v>110.261308615511</v>
      </c>
      <c r="L1167" t="e">
        <f t="shared" si="18"/>
        <v>#VALUE!</v>
      </c>
    </row>
    <row r="1168" spans="1:12" ht="12.75" customHeight="1">
      <c r="A1168" s="321"/>
      <c r="B1168" t="str">
        <f>'Quick View_ Sample Data'!P1169</f>
        <v>SiNx</v>
      </c>
      <c r="C1168">
        <f>'Quick View_ Sample Data'!O1169</f>
        <v>400</v>
      </c>
      <c r="D1168">
        <f>'Quick View_ Sample Data'!AN1169</f>
        <v>0</v>
      </c>
      <c r="E1168">
        <f>'Quick View_ Sample Data'!O1169</f>
        <v>400</v>
      </c>
      <c r="F1168">
        <f>'Quick View_ Sample Data'!AO1169</f>
        <v>0</v>
      </c>
      <c r="G1168">
        <f>'Quick View_ Sample Data'!O1169</f>
        <v>400</v>
      </c>
      <c r="H1168">
        <f>'Quick View_ Sample Data'!AP1169</f>
        <v>0</v>
      </c>
      <c r="I1168">
        <f>'Quick View_ Sample Data'!AF1169</f>
        <v>0</v>
      </c>
      <c r="J1168">
        <f>'Quick View_ Sample Data'!AJ1169</f>
        <v>11.3</v>
      </c>
      <c r="K1168">
        <f>'Quick View_ Sample Data'!AH1169</f>
        <v>19.9826319820991</v>
      </c>
      <c r="L1168">
        <f t="shared" si="18"/>
        <v>0</v>
      </c>
    </row>
    <row r="1169" spans="1:12" ht="12.75" customHeight="1">
      <c r="A1169" s="321"/>
      <c r="B1169" t="str">
        <f>'Quick View_ Sample Data'!P1170</f>
        <v>Al2O3</v>
      </c>
      <c r="C1169">
        <f>'Quick View_ Sample Data'!O1170</f>
        <v>400</v>
      </c>
      <c r="D1169">
        <f>'Quick View_ Sample Data'!AN1170</f>
        <v>0</v>
      </c>
      <c r="E1169">
        <f>'Quick View_ Sample Data'!O1170</f>
        <v>400</v>
      </c>
      <c r="F1169">
        <f>'Quick View_ Sample Data'!AO1170</f>
        <v>0</v>
      </c>
      <c r="G1169">
        <f>'Quick View_ Sample Data'!O1170</f>
        <v>400</v>
      </c>
      <c r="H1169">
        <f>'Quick View_ Sample Data'!AP1170</f>
        <v>0</v>
      </c>
      <c r="I1169">
        <f>'Quick View_ Sample Data'!AF1170</f>
        <v>0</v>
      </c>
      <c r="J1169">
        <f>'Quick View_ Sample Data'!AJ1170</f>
        <v>13.8</v>
      </c>
      <c r="K1169">
        <f>'Quick View_ Sample Data'!AH1170</f>
        <v>11.8111628322764</v>
      </c>
      <c r="L1169">
        <f t="shared" si="18"/>
        <v>0</v>
      </c>
    </row>
    <row r="1170" spans="1:12" ht="12.75" customHeight="1">
      <c r="A1170" s="321"/>
      <c r="B1170" t="str">
        <f>'Quick View_ Sample Data'!P1171</f>
        <v>SiO2</v>
      </c>
      <c r="C1170">
        <f>'Quick View_ Sample Data'!O1171</f>
        <v>400</v>
      </c>
      <c r="D1170">
        <f>'Quick View_ Sample Data'!AN1171</f>
        <v>0</v>
      </c>
      <c r="E1170">
        <f>'Quick View_ Sample Data'!O1171</f>
        <v>400</v>
      </c>
      <c r="F1170">
        <f>'Quick View_ Sample Data'!AO1171</f>
        <v>0</v>
      </c>
      <c r="G1170">
        <f>'Quick View_ Sample Data'!O1171</f>
        <v>400</v>
      </c>
      <c r="H1170">
        <f>'Quick View_ Sample Data'!AP1171</f>
        <v>0</v>
      </c>
      <c r="I1170">
        <f>'Quick View_ Sample Data'!AF1171</f>
        <v>0</v>
      </c>
      <c r="J1170">
        <f>'Quick View_ Sample Data'!AJ1171</f>
        <v>0</v>
      </c>
      <c r="K1170">
        <f>'Quick View_ Sample Data'!AH1171</f>
        <v>0</v>
      </c>
      <c r="L1170">
        <f t="shared" si="18"/>
        <v>0</v>
      </c>
    </row>
    <row r="1171" spans="1:12" ht="12.75" customHeight="1">
      <c r="A1171" s="321"/>
      <c r="B1171" t="str">
        <f>'Quick View_ Sample Data'!P1172</f>
        <v>MgO</v>
      </c>
      <c r="C1171">
        <f>'Quick View_ Sample Data'!O1172</f>
        <v>400</v>
      </c>
      <c r="D1171">
        <f>'Quick View_ Sample Data'!AN1172</f>
        <v>0</v>
      </c>
      <c r="E1171">
        <f>'Quick View_ Sample Data'!O1172</f>
        <v>400</v>
      </c>
      <c r="F1171">
        <f>'Quick View_ Sample Data'!AO1172</f>
        <v>0</v>
      </c>
      <c r="G1171">
        <f>'Quick View_ Sample Data'!O1172</f>
        <v>400</v>
      </c>
      <c r="H1171">
        <f>'Quick View_ Sample Data'!AP1172</f>
        <v>0</v>
      </c>
      <c r="I1171">
        <f>'Quick View_ Sample Data'!AF1172</f>
        <v>0</v>
      </c>
      <c r="J1171">
        <f>'Quick View_ Sample Data'!AJ1172</f>
        <v>15.7</v>
      </c>
      <c r="K1171">
        <f>'Quick View_ Sample Data'!AH1172</f>
        <v>25.691955405556001</v>
      </c>
      <c r="L1171">
        <f t="shared" si="18"/>
        <v>0</v>
      </c>
    </row>
    <row r="1172" spans="1:12" ht="12.75" customHeight="1">
      <c r="A1172" s="321"/>
      <c r="B1172" t="str">
        <f>'Quick View_ Sample Data'!P1173</f>
        <v>SiO2</v>
      </c>
      <c r="C1172">
        <f>'Quick View_ Sample Data'!O1173</f>
        <v>401</v>
      </c>
      <c r="D1172">
        <f>'Quick View_ Sample Data'!AN1173</f>
        <v>0</v>
      </c>
      <c r="E1172">
        <f>'Quick View_ Sample Data'!O1173</f>
        <v>401</v>
      </c>
      <c r="F1172">
        <f>'Quick View_ Sample Data'!AO1173</f>
        <v>0</v>
      </c>
      <c r="G1172">
        <f>'Quick View_ Sample Data'!O1173</f>
        <v>401</v>
      </c>
      <c r="H1172">
        <f>'Quick View_ Sample Data'!AP1173</f>
        <v>0</v>
      </c>
      <c r="I1172">
        <f>'Quick View_ Sample Data'!AF1173</f>
        <v>0</v>
      </c>
      <c r="J1172">
        <f>'Quick View_ Sample Data'!AJ1173</f>
        <v>0</v>
      </c>
      <c r="K1172">
        <f>'Quick View_ Sample Data'!AH1173</f>
        <v>502.24204490722201</v>
      </c>
      <c r="L1172">
        <f t="shared" si="18"/>
        <v>0</v>
      </c>
    </row>
    <row r="1173" spans="1:12" ht="12.75" customHeight="1">
      <c r="A1173" s="321"/>
      <c r="B1173" t="str">
        <f>'Quick View_ Sample Data'!P1174</f>
        <v>SiO2</v>
      </c>
      <c r="C1173">
        <f>'Quick View_ Sample Data'!O1174</f>
        <v>401</v>
      </c>
      <c r="D1173">
        <f>'Quick View_ Sample Data'!AN1174</f>
        <v>0</v>
      </c>
      <c r="E1173">
        <f>'Quick View_ Sample Data'!O1174</f>
        <v>401</v>
      </c>
      <c r="F1173">
        <f>'Quick View_ Sample Data'!AO1174</f>
        <v>0</v>
      </c>
      <c r="G1173">
        <f>'Quick View_ Sample Data'!O1174</f>
        <v>401</v>
      </c>
      <c r="H1173">
        <f>'Quick View_ Sample Data'!AP1174</f>
        <v>0</v>
      </c>
      <c r="I1173">
        <f>'Quick View_ Sample Data'!AF1174</f>
        <v>0</v>
      </c>
      <c r="J1173">
        <f>'Quick View_ Sample Data'!AJ1174</f>
        <v>11.2</v>
      </c>
      <c r="K1173">
        <f>'Quick View_ Sample Data'!AH1174</f>
        <v>506.88087018878099</v>
      </c>
      <c r="L1173">
        <f t="shared" si="18"/>
        <v>0</v>
      </c>
    </row>
    <row r="1174" spans="1:12" ht="12.75" customHeight="1">
      <c r="A1174" s="321"/>
      <c r="B1174" t="str">
        <f>'Quick View_ Sample Data'!P1175</f>
        <v>SiNx</v>
      </c>
      <c r="C1174">
        <f>'Quick View_ Sample Data'!O1175</f>
        <v>402</v>
      </c>
      <c r="D1174">
        <f>'Quick View_ Sample Data'!AN1175</f>
        <v>0</v>
      </c>
      <c r="E1174">
        <f>'Quick View_ Sample Data'!O1175</f>
        <v>402</v>
      </c>
      <c r="F1174" t="e">
        <f>'Quick View_ Sample Data'!AO1175</f>
        <v>#VALUE!</v>
      </c>
      <c r="G1174">
        <f>'Quick View_ Sample Data'!O1175</f>
        <v>402</v>
      </c>
      <c r="H1174">
        <f>'Quick View_ Sample Data'!AP1175</f>
        <v>0</v>
      </c>
      <c r="I1174">
        <f>'Quick View_ Sample Data'!AF1175</f>
        <v>0</v>
      </c>
      <c r="J1174" t="str">
        <f>'Quick View_ Sample Data'!AJ1175</f>
        <v>&lt;7</v>
      </c>
      <c r="K1174">
        <f>'Quick View_ Sample Data'!AH1175</f>
        <v>1130.80287055843</v>
      </c>
      <c r="L1174" t="e">
        <f t="shared" si="18"/>
        <v>#VALUE!</v>
      </c>
    </row>
    <row r="1175" spans="1:12" ht="12.75" customHeight="1">
      <c r="A1175" s="321"/>
      <c r="B1175" t="str">
        <f>'Quick View_ Sample Data'!P1176</f>
        <v>Al2O3</v>
      </c>
      <c r="C1175">
        <f>'Quick View_ Sample Data'!O1176</f>
        <v>402</v>
      </c>
      <c r="D1175">
        <f>'Quick View_ Sample Data'!AN1176</f>
        <v>0</v>
      </c>
      <c r="E1175">
        <f>'Quick View_ Sample Data'!O1176</f>
        <v>402</v>
      </c>
      <c r="F1175" t="e">
        <f>'Quick View_ Sample Data'!AO1176</f>
        <v>#VALUE!</v>
      </c>
      <c r="G1175">
        <f>'Quick View_ Sample Data'!O1176</f>
        <v>402</v>
      </c>
      <c r="H1175">
        <f>'Quick View_ Sample Data'!AP1176</f>
        <v>0</v>
      </c>
      <c r="I1175">
        <f>'Quick View_ Sample Data'!AF1176</f>
        <v>0</v>
      </c>
      <c r="J1175" t="str">
        <f>'Quick View_ Sample Data'!AJ1176</f>
        <v>&lt;7</v>
      </c>
      <c r="K1175">
        <f>'Quick View_ Sample Data'!AH1176</f>
        <v>1087.62611216854</v>
      </c>
      <c r="L1175" t="e">
        <f t="shared" si="18"/>
        <v>#VALUE!</v>
      </c>
    </row>
    <row r="1176" spans="1:12" ht="12.75" customHeight="1">
      <c r="A1176" s="321"/>
      <c r="B1176" t="str">
        <f>'Quick View_ Sample Data'!P1177</f>
        <v>SiNx</v>
      </c>
      <c r="C1176">
        <f>'Quick View_ Sample Data'!O1177</f>
        <v>403</v>
      </c>
      <c r="D1176">
        <f>'Quick View_ Sample Data'!AN1177</f>
        <v>0</v>
      </c>
      <c r="E1176">
        <f>'Quick View_ Sample Data'!O1177</f>
        <v>403</v>
      </c>
      <c r="F1176">
        <f>'Quick View_ Sample Data'!AO1177</f>
        <v>0</v>
      </c>
      <c r="G1176">
        <f>'Quick View_ Sample Data'!O1177</f>
        <v>403</v>
      </c>
      <c r="H1176">
        <f>'Quick View_ Sample Data'!AP1177</f>
        <v>0</v>
      </c>
      <c r="I1176">
        <f>'Quick View_ Sample Data'!AF1177</f>
        <v>0</v>
      </c>
      <c r="J1176">
        <f>'Quick View_ Sample Data'!AJ1177</f>
        <v>7.4</v>
      </c>
      <c r="K1176">
        <f>'Quick View_ Sample Data'!AH1177</f>
        <v>591.98547246968496</v>
      </c>
      <c r="L1176">
        <f t="shared" si="18"/>
        <v>0</v>
      </c>
    </row>
    <row r="1177" spans="1:12" ht="12.75" customHeight="1">
      <c r="A1177" s="321"/>
      <c r="B1177" t="str">
        <f>'Quick View_ Sample Data'!P1178</f>
        <v>Al2O3</v>
      </c>
      <c r="C1177">
        <f>'Quick View_ Sample Data'!O1178</f>
        <v>403</v>
      </c>
      <c r="D1177">
        <f>'Quick View_ Sample Data'!AN1178</f>
        <v>0</v>
      </c>
      <c r="E1177">
        <f>'Quick View_ Sample Data'!O1178</f>
        <v>403</v>
      </c>
      <c r="F1177">
        <f>'Quick View_ Sample Data'!AO1178</f>
        <v>0</v>
      </c>
      <c r="G1177">
        <f>'Quick View_ Sample Data'!O1178</f>
        <v>403</v>
      </c>
      <c r="H1177">
        <f>'Quick View_ Sample Data'!AP1178</f>
        <v>0</v>
      </c>
      <c r="I1177">
        <f>'Quick View_ Sample Data'!AF1178</f>
        <v>0</v>
      </c>
      <c r="J1177">
        <f>'Quick View_ Sample Data'!AJ1178</f>
        <v>6.6</v>
      </c>
      <c r="K1177">
        <f>'Quick View_ Sample Data'!AH1178</f>
        <v>538.63898173176005</v>
      </c>
      <c r="L1177">
        <f t="shared" si="18"/>
        <v>0</v>
      </c>
    </row>
    <row r="1178" spans="1:12" ht="12.75" customHeight="1">
      <c r="A1178" s="321"/>
      <c r="B1178" t="str">
        <f>'Quick View_ Sample Data'!P1179</f>
        <v>SiNx</v>
      </c>
      <c r="C1178">
        <f>'Quick View_ Sample Data'!O1179</f>
        <v>404</v>
      </c>
      <c r="D1178">
        <f>'Quick View_ Sample Data'!AN1179</f>
        <v>0</v>
      </c>
      <c r="E1178">
        <f>'Quick View_ Sample Data'!O1179</f>
        <v>404</v>
      </c>
      <c r="F1178">
        <f>'Quick View_ Sample Data'!AO1179</f>
        <v>0</v>
      </c>
      <c r="G1178">
        <f>'Quick View_ Sample Data'!O1179</f>
        <v>404</v>
      </c>
      <c r="H1178">
        <f>'Quick View_ Sample Data'!AP1179</f>
        <v>0</v>
      </c>
      <c r="I1178">
        <f>'Quick View_ Sample Data'!AF1179</f>
        <v>0</v>
      </c>
      <c r="J1178">
        <f>'Quick View_ Sample Data'!AJ1179</f>
        <v>7.9</v>
      </c>
      <c r="K1178">
        <f>'Quick View_ Sample Data'!AH1179</f>
        <v>500.457881337392</v>
      </c>
      <c r="L1178">
        <f t="shared" si="18"/>
        <v>0</v>
      </c>
    </row>
    <row r="1179" spans="1:12" ht="12.75" customHeight="1">
      <c r="A1179" s="321"/>
      <c r="B1179" t="str">
        <f>'Quick View_ Sample Data'!P1180</f>
        <v>Al2O3</v>
      </c>
      <c r="C1179">
        <f>'Quick View_ Sample Data'!O1180</f>
        <v>404</v>
      </c>
      <c r="D1179">
        <f>'Quick View_ Sample Data'!AN1180</f>
        <v>0</v>
      </c>
      <c r="E1179">
        <f>'Quick View_ Sample Data'!O1180</f>
        <v>404</v>
      </c>
      <c r="F1179">
        <f>'Quick View_ Sample Data'!AO1180</f>
        <v>0</v>
      </c>
      <c r="G1179">
        <f>'Quick View_ Sample Data'!O1180</f>
        <v>404</v>
      </c>
      <c r="H1179">
        <f>'Quick View_ Sample Data'!AP1180</f>
        <v>0</v>
      </c>
      <c r="I1179">
        <f>'Quick View_ Sample Data'!AF1180</f>
        <v>0</v>
      </c>
      <c r="J1179">
        <f>'Quick View_ Sample Data'!AJ1180</f>
        <v>6.1</v>
      </c>
      <c r="K1179">
        <f>'Quick View_ Sample Data'!AH1180</f>
        <v>477.977420357531</v>
      </c>
      <c r="L1179">
        <f t="shared" si="18"/>
        <v>0</v>
      </c>
    </row>
    <row r="1180" spans="1:12" ht="12.75" customHeight="1">
      <c r="A1180" s="321"/>
      <c r="B1180" t="str">
        <f>'Quick View_ Sample Data'!P1181</f>
        <v>SiNx</v>
      </c>
      <c r="C1180">
        <f>'Quick View_ Sample Data'!O1181</f>
        <v>405</v>
      </c>
      <c r="D1180">
        <f>'Quick View_ Sample Data'!AN1181</f>
        <v>0</v>
      </c>
      <c r="E1180">
        <f>'Quick View_ Sample Data'!O1181</f>
        <v>405</v>
      </c>
      <c r="F1180">
        <f>'Quick View_ Sample Data'!AO1181</f>
        <v>0</v>
      </c>
      <c r="G1180">
        <f>'Quick View_ Sample Data'!O1181</f>
        <v>405</v>
      </c>
      <c r="H1180">
        <f>'Quick View_ Sample Data'!AP1181</f>
        <v>0</v>
      </c>
      <c r="I1180">
        <f>'Quick View_ Sample Data'!AF1181</f>
        <v>0</v>
      </c>
      <c r="J1180">
        <f>'Quick View_ Sample Data'!AJ1181</f>
        <v>6.2</v>
      </c>
      <c r="K1180">
        <f>'Quick View_ Sample Data'!AH1181</f>
        <v>49.956579955247697</v>
      </c>
      <c r="L1180">
        <f t="shared" si="18"/>
        <v>0</v>
      </c>
    </row>
    <row r="1181" spans="1:12" ht="12.75" customHeight="1">
      <c r="A1181" s="321"/>
      <c r="B1181" t="str">
        <f>'Quick View_ Sample Data'!P1182</f>
        <v>Al2O3</v>
      </c>
      <c r="C1181">
        <f>'Quick View_ Sample Data'!O1182</f>
        <v>405</v>
      </c>
      <c r="D1181">
        <f>'Quick View_ Sample Data'!AN1182</f>
        <v>0</v>
      </c>
      <c r="E1181">
        <f>'Quick View_ Sample Data'!O1182</f>
        <v>405</v>
      </c>
      <c r="F1181">
        <f>'Quick View_ Sample Data'!AO1182</f>
        <v>0</v>
      </c>
      <c r="G1181">
        <f>'Quick View_ Sample Data'!O1182</f>
        <v>405</v>
      </c>
      <c r="H1181">
        <f>'Quick View_ Sample Data'!AP1182</f>
        <v>0</v>
      </c>
      <c r="I1181">
        <f>'Quick View_ Sample Data'!AF1182</f>
        <v>0</v>
      </c>
      <c r="J1181">
        <f>'Quick View_ Sample Data'!AJ1182</f>
        <v>6.3</v>
      </c>
      <c r="K1181">
        <f>'Quick View_ Sample Data'!AH1182</f>
        <v>50.313412669213797</v>
      </c>
      <c r="L1181">
        <f t="shared" si="18"/>
        <v>0</v>
      </c>
    </row>
    <row r="1182" spans="1:12" ht="12.75" customHeight="1">
      <c r="A1182" s="321"/>
      <c r="B1182" t="str">
        <f>'Quick View_ Sample Data'!P1183</f>
        <v>SiO2</v>
      </c>
      <c r="C1182">
        <f>'Quick View_ Sample Data'!O1183</f>
        <v>406</v>
      </c>
      <c r="D1182">
        <f>'Quick View_ Sample Data'!AN1183</f>
        <v>0</v>
      </c>
      <c r="E1182">
        <f>'Quick View_ Sample Data'!O1183</f>
        <v>406</v>
      </c>
      <c r="F1182">
        <f>'Quick View_ Sample Data'!AO1183</f>
        <v>0</v>
      </c>
      <c r="G1182">
        <f>'Quick View_ Sample Data'!O1183</f>
        <v>406</v>
      </c>
      <c r="H1182">
        <f>'Quick View_ Sample Data'!AP1183</f>
        <v>0</v>
      </c>
      <c r="I1182">
        <f>'Quick View_ Sample Data'!AF1183</f>
        <v>0</v>
      </c>
      <c r="J1182">
        <f>'Quick View_ Sample Data'!AJ1183</f>
        <v>0</v>
      </c>
      <c r="K1182">
        <f>'Quick View_ Sample Data'!AH1183</f>
        <v>0</v>
      </c>
      <c r="L1182">
        <f t="shared" si="18"/>
        <v>0</v>
      </c>
    </row>
    <row r="1183" spans="1:12" ht="12.75" customHeight="1">
      <c r="A1183" s="321"/>
      <c r="B1183" t="str">
        <f>'Quick View_ Sample Data'!P1184</f>
        <v>SiO2</v>
      </c>
      <c r="C1183">
        <f>'Quick View_ Sample Data'!O1184</f>
        <v>406</v>
      </c>
      <c r="D1183">
        <f>'Quick View_ Sample Data'!AN1184</f>
        <v>0</v>
      </c>
      <c r="E1183">
        <f>'Quick View_ Sample Data'!O1184</f>
        <v>406</v>
      </c>
      <c r="F1183">
        <f>'Quick View_ Sample Data'!AO1184</f>
        <v>0</v>
      </c>
      <c r="G1183">
        <f>'Quick View_ Sample Data'!O1184</f>
        <v>406</v>
      </c>
      <c r="H1183">
        <f>'Quick View_ Sample Data'!AP1184</f>
        <v>0</v>
      </c>
      <c r="I1183">
        <f>'Quick View_ Sample Data'!AF1184</f>
        <v>0</v>
      </c>
      <c r="J1183">
        <f>'Quick View_ Sample Data'!AJ1184</f>
        <v>0</v>
      </c>
      <c r="K1183">
        <f>'Quick View_ Sample Data'!AH1184</f>
        <v>0</v>
      </c>
      <c r="L1183">
        <f t="shared" si="18"/>
        <v>0</v>
      </c>
    </row>
    <row r="1184" spans="1:12" ht="12.75" customHeight="1">
      <c r="A1184" s="321"/>
      <c r="B1184" t="str">
        <f>'Quick View_ Sample Data'!P1185</f>
        <v>SiNx</v>
      </c>
      <c r="C1184">
        <f>'Quick View_ Sample Data'!O1185</f>
        <v>407</v>
      </c>
      <c r="D1184">
        <f>'Quick View_ Sample Data'!AN1185</f>
        <v>0</v>
      </c>
      <c r="E1184">
        <f>'Quick View_ Sample Data'!O1185</f>
        <v>407</v>
      </c>
      <c r="F1184" t="e">
        <f>'Quick View_ Sample Data'!AO1185</f>
        <v>#VALUE!</v>
      </c>
      <c r="G1184">
        <f>'Quick View_ Sample Data'!O1185</f>
        <v>407</v>
      </c>
      <c r="H1184">
        <f>'Quick View_ Sample Data'!AP1185</f>
        <v>0</v>
      </c>
      <c r="I1184">
        <f>'Quick View_ Sample Data'!AF1185</f>
        <v>0</v>
      </c>
      <c r="J1184" t="str">
        <f>'Quick View_ Sample Data'!AJ1185</f>
        <v>&lt;7.4</v>
      </c>
      <c r="K1184">
        <f>'Quick View_ Sample Data'!AH1185</f>
        <v>1122.41730178023</v>
      </c>
      <c r="L1184" t="e">
        <f t="shared" si="18"/>
        <v>#VALUE!</v>
      </c>
    </row>
    <row r="1185" spans="1:12" ht="12.75" customHeight="1">
      <c r="A1185" s="321"/>
      <c r="B1185" t="str">
        <f>'Quick View_ Sample Data'!P1186</f>
        <v>SiNx</v>
      </c>
      <c r="C1185">
        <f>'Quick View_ Sample Data'!O1186</f>
        <v>407</v>
      </c>
      <c r="D1185">
        <f>'Quick View_ Sample Data'!AN1186</f>
        <v>0</v>
      </c>
      <c r="E1185">
        <f>'Quick View_ Sample Data'!O1186</f>
        <v>407</v>
      </c>
      <c r="F1185">
        <f>'Quick View_ Sample Data'!AO1186</f>
        <v>0</v>
      </c>
      <c r="G1185">
        <f>'Quick View_ Sample Data'!O1186</f>
        <v>407</v>
      </c>
      <c r="H1185">
        <f>'Quick View_ Sample Data'!AP1186</f>
        <v>0</v>
      </c>
      <c r="I1185">
        <f>'Quick View_ Sample Data'!AF1186</f>
        <v>0</v>
      </c>
      <c r="J1185">
        <f>'Quick View_ Sample Data'!AJ1186</f>
        <v>0</v>
      </c>
      <c r="K1185">
        <f>'Quick View_ Sample Data'!AH1186</f>
        <v>1103.14833522606</v>
      </c>
      <c r="L1185">
        <f t="shared" si="18"/>
        <v>0</v>
      </c>
    </row>
    <row r="1186" spans="1:12" ht="12.75" customHeight="1">
      <c r="A1186" s="321"/>
      <c r="B1186" t="str">
        <f>'Quick View_ Sample Data'!P1189</f>
        <v>SiNx</v>
      </c>
      <c r="C1186">
        <f>'Quick View_ Sample Data'!O1189</f>
        <v>409</v>
      </c>
      <c r="D1186">
        <f>'Quick View_ Sample Data'!AN1189</f>
        <v>0</v>
      </c>
      <c r="E1186">
        <f>'Quick View_ Sample Data'!O1189</f>
        <v>409</v>
      </c>
      <c r="F1186">
        <f>'Quick View_ Sample Data'!AO1189</f>
        <v>0</v>
      </c>
      <c r="G1186">
        <f>'Quick View_ Sample Data'!O1189</f>
        <v>409</v>
      </c>
      <c r="H1186">
        <f>'Quick View_ Sample Data'!AP1189</f>
        <v>0</v>
      </c>
      <c r="I1186">
        <f>'Quick View_ Sample Data'!AF1189</f>
        <v>0</v>
      </c>
      <c r="J1186">
        <f>'Quick View_ Sample Data'!AJ1189</f>
        <v>0</v>
      </c>
      <c r="K1186">
        <f>'Quick View_ Sample Data'!AH1189</f>
        <v>114.54330118310401</v>
      </c>
      <c r="L1186">
        <f t="shared" si="18"/>
        <v>0</v>
      </c>
    </row>
    <row r="1187" spans="1:12" ht="12.75" customHeight="1">
      <c r="A1187" s="321"/>
      <c r="B1187" t="str">
        <f>'Quick View_ Sample Data'!P1190</f>
        <v>SiNx</v>
      </c>
      <c r="C1187">
        <f>'Quick View_ Sample Data'!O1190</f>
        <v>409</v>
      </c>
      <c r="D1187">
        <f>'Quick View_ Sample Data'!AN1190</f>
        <v>0</v>
      </c>
      <c r="E1187">
        <f>'Quick View_ Sample Data'!O1190</f>
        <v>409</v>
      </c>
      <c r="F1187">
        <f>'Quick View_ Sample Data'!AO1190</f>
        <v>0</v>
      </c>
      <c r="G1187">
        <f>'Quick View_ Sample Data'!O1190</f>
        <v>409</v>
      </c>
      <c r="H1187">
        <f>'Quick View_ Sample Data'!AP1190</f>
        <v>0</v>
      </c>
      <c r="I1187">
        <f>'Quick View_ Sample Data'!AF1190</f>
        <v>0</v>
      </c>
      <c r="J1187">
        <f>'Quick View_ Sample Data'!AJ1190</f>
        <v>0</v>
      </c>
      <c r="K1187">
        <f>'Quick View_ Sample Data'!AH1190</f>
        <v>115.61379932500201</v>
      </c>
      <c r="L1187">
        <f t="shared" si="18"/>
        <v>0</v>
      </c>
    </row>
    <row r="1188" spans="1:12" ht="12.75" customHeight="1">
      <c r="A1188" s="321"/>
      <c r="B1188" t="str">
        <f>'Quick View_ Sample Data'!P1191</f>
        <v>SiNx</v>
      </c>
      <c r="C1188">
        <f>'Quick View_ Sample Data'!O1191</f>
        <v>409</v>
      </c>
      <c r="D1188">
        <f>'Quick View_ Sample Data'!AN1191</f>
        <v>0</v>
      </c>
      <c r="E1188">
        <f>'Quick View_ Sample Data'!O1191</f>
        <v>409</v>
      </c>
      <c r="F1188">
        <f>'Quick View_ Sample Data'!AO1191</f>
        <v>0</v>
      </c>
      <c r="G1188">
        <f>'Quick View_ Sample Data'!O1191</f>
        <v>409</v>
      </c>
      <c r="H1188">
        <f>'Quick View_ Sample Data'!AP1191</f>
        <v>0</v>
      </c>
      <c r="I1188">
        <f>'Quick View_ Sample Data'!AF1191</f>
        <v>0</v>
      </c>
      <c r="J1188">
        <f>'Quick View_ Sample Data'!AJ1191</f>
        <v>0</v>
      </c>
      <c r="K1188">
        <f>'Quick View_ Sample Data'!AH1191</f>
        <v>116.505881109917</v>
      </c>
      <c r="L1188">
        <f t="shared" si="18"/>
        <v>0</v>
      </c>
    </row>
    <row r="1189" spans="1:12" ht="12.75" customHeight="1">
      <c r="A1189" s="321"/>
      <c r="B1189" t="str">
        <f>'Quick View_ Sample Data'!P1192</f>
        <v>SiNx</v>
      </c>
      <c r="C1189">
        <f>'Quick View_ Sample Data'!O1192</f>
        <v>409</v>
      </c>
      <c r="D1189">
        <f>'Quick View_ Sample Data'!AN1192</f>
        <v>0</v>
      </c>
      <c r="E1189">
        <f>'Quick View_ Sample Data'!O1192</f>
        <v>409</v>
      </c>
      <c r="F1189">
        <f>'Quick View_ Sample Data'!AO1192</f>
        <v>0</v>
      </c>
      <c r="G1189">
        <f>'Quick View_ Sample Data'!O1192</f>
        <v>409</v>
      </c>
      <c r="H1189">
        <f>'Quick View_ Sample Data'!AP1192</f>
        <v>0</v>
      </c>
      <c r="I1189">
        <f>'Quick View_ Sample Data'!AF1192</f>
        <v>0</v>
      </c>
      <c r="J1189">
        <f>'Quick View_ Sample Data'!AJ1192</f>
        <v>0</v>
      </c>
      <c r="K1189">
        <f>'Quick View_ Sample Data'!AH1192</f>
        <v>114.54330118310401</v>
      </c>
      <c r="L1189">
        <f t="shared" si="18"/>
        <v>0</v>
      </c>
    </row>
    <row r="1190" spans="1:12" ht="12.75" customHeight="1">
      <c r="A1190" s="321"/>
      <c r="B1190">
        <f>'Quick View_ Sample Data'!P1193</f>
        <v>0</v>
      </c>
      <c r="C1190">
        <f>'Quick View_ Sample Data'!O1193</f>
        <v>0</v>
      </c>
      <c r="D1190">
        <f>'Quick View_ Sample Data'!AN1193</f>
        <v>0</v>
      </c>
      <c r="E1190">
        <f>'Quick View_ Sample Data'!O1193</f>
        <v>0</v>
      </c>
      <c r="F1190">
        <f>'Quick View_ Sample Data'!AO1193</f>
        <v>0</v>
      </c>
      <c r="G1190">
        <f>'Quick View_ Sample Data'!O1193</f>
        <v>0</v>
      </c>
      <c r="H1190" t="e">
        <f>'Quick View_ Sample Data'!AP1193</f>
        <v>#DIV/0!</v>
      </c>
      <c r="I1190">
        <f>'Quick View_ Sample Data'!AF1193</f>
        <v>0</v>
      </c>
      <c r="J1190">
        <f>'Quick View_ Sample Data'!AJ1193</f>
        <v>0</v>
      </c>
      <c r="K1190">
        <f>'Quick View_ Sample Data'!AH1193</f>
        <v>0</v>
      </c>
      <c r="L1190">
        <f t="shared" si="18"/>
        <v>0</v>
      </c>
    </row>
    <row r="1191" spans="1:12" ht="12.75" customHeight="1">
      <c r="A1191" s="321"/>
      <c r="B1191">
        <f>'Quick View_ Sample Data'!P1194</f>
        <v>0</v>
      </c>
      <c r="C1191">
        <f>'Quick View_ Sample Data'!O1194</f>
        <v>0</v>
      </c>
      <c r="D1191">
        <f>'Quick View_ Sample Data'!AN1194</f>
        <v>0</v>
      </c>
      <c r="E1191">
        <f>'Quick View_ Sample Data'!O1194</f>
        <v>0</v>
      </c>
      <c r="F1191">
        <f>'Quick View_ Sample Data'!AO1194</f>
        <v>0</v>
      </c>
      <c r="G1191">
        <f>'Quick View_ Sample Data'!O1194</f>
        <v>0</v>
      </c>
      <c r="H1191" t="e">
        <f>'Quick View_ Sample Data'!AP1194</f>
        <v>#DIV/0!</v>
      </c>
      <c r="I1191">
        <f>'Quick View_ Sample Data'!AF1194</f>
        <v>0</v>
      </c>
      <c r="J1191">
        <f>'Quick View_ Sample Data'!AJ1194</f>
        <v>0</v>
      </c>
      <c r="K1191">
        <f>'Quick View_ Sample Data'!AH1194</f>
        <v>0</v>
      </c>
      <c r="L1191">
        <f t="shared" si="18"/>
        <v>0</v>
      </c>
    </row>
    <row r="1192" spans="1:12" ht="12.75" customHeight="1">
      <c r="A1192" s="321"/>
      <c r="B1192">
        <f>'Quick View_ Sample Data'!P1195</f>
        <v>0</v>
      </c>
      <c r="C1192">
        <f>'Quick View_ Sample Data'!O1195</f>
        <v>0</v>
      </c>
      <c r="D1192">
        <f>'Quick View_ Sample Data'!AN1195</f>
        <v>0</v>
      </c>
      <c r="E1192">
        <f>'Quick View_ Sample Data'!O1195</f>
        <v>0</v>
      </c>
      <c r="F1192">
        <f>'Quick View_ Sample Data'!AO1195</f>
        <v>0</v>
      </c>
      <c r="G1192">
        <f>'Quick View_ Sample Data'!O1195</f>
        <v>0</v>
      </c>
      <c r="H1192" t="e">
        <f>'Quick View_ Sample Data'!AP1195</f>
        <v>#DIV/0!</v>
      </c>
      <c r="I1192">
        <f>'Quick View_ Sample Data'!AF1195</f>
        <v>0</v>
      </c>
      <c r="J1192">
        <f>'Quick View_ Sample Data'!AJ1195</f>
        <v>0</v>
      </c>
      <c r="K1192">
        <f>'Quick View_ Sample Data'!AH1195</f>
        <v>0</v>
      </c>
      <c r="L1192">
        <f t="shared" si="18"/>
        <v>0</v>
      </c>
    </row>
    <row r="1193" spans="1:12" ht="12.75" customHeight="1">
      <c r="A1193" s="321"/>
      <c r="B1193">
        <f>'Quick View_ Sample Data'!P1196</f>
        <v>0</v>
      </c>
      <c r="C1193">
        <f>'Quick View_ Sample Data'!O1196</f>
        <v>0</v>
      </c>
      <c r="D1193">
        <f>'Quick View_ Sample Data'!AN1196</f>
        <v>0</v>
      </c>
      <c r="E1193">
        <f>'Quick View_ Sample Data'!O1196</f>
        <v>0</v>
      </c>
      <c r="F1193">
        <f>'Quick View_ Sample Data'!AO1196</f>
        <v>0</v>
      </c>
      <c r="G1193">
        <f>'Quick View_ Sample Data'!O1196</f>
        <v>0</v>
      </c>
      <c r="H1193" t="e">
        <f>'Quick View_ Sample Data'!AP1196</f>
        <v>#DIV/0!</v>
      </c>
      <c r="I1193">
        <f>'Quick View_ Sample Data'!AF1196</f>
        <v>0</v>
      </c>
      <c r="J1193">
        <f>'Quick View_ Sample Data'!AJ1196</f>
        <v>0</v>
      </c>
      <c r="K1193">
        <f>'Quick View_ Sample Data'!AH1196</f>
        <v>0</v>
      </c>
      <c r="L1193">
        <f t="shared" si="18"/>
        <v>0</v>
      </c>
    </row>
    <row r="1194" spans="1:12" ht="12.75" customHeight="1">
      <c r="A1194" s="321"/>
      <c r="B1194" t="str">
        <f>'Quick View_ Sample Data'!P1197</f>
        <v>SiO2</v>
      </c>
      <c r="C1194">
        <f>'Quick View_ Sample Data'!O1197</f>
        <v>411</v>
      </c>
      <c r="D1194">
        <f>'Quick View_ Sample Data'!AN1197</f>
        <v>0</v>
      </c>
      <c r="E1194">
        <f>'Quick View_ Sample Data'!O1197</f>
        <v>411</v>
      </c>
      <c r="F1194">
        <f>'Quick View_ Sample Data'!AO1197</f>
        <v>0</v>
      </c>
      <c r="G1194">
        <f>'Quick View_ Sample Data'!O1197</f>
        <v>411</v>
      </c>
      <c r="H1194">
        <f>'Quick View_ Sample Data'!AP1197</f>
        <v>0</v>
      </c>
      <c r="I1194">
        <f>'Quick View_ Sample Data'!AF1197</f>
        <v>0</v>
      </c>
      <c r="J1194">
        <f>'Quick View_ Sample Data'!AJ1197</f>
        <v>0</v>
      </c>
      <c r="K1194">
        <f>'Quick View_ Sample Data'!AH1197</f>
        <v>0</v>
      </c>
      <c r="L1194">
        <f t="shared" si="18"/>
        <v>0</v>
      </c>
    </row>
    <row r="1195" spans="1:12" ht="12.75" customHeight="1">
      <c r="A1195" s="321"/>
      <c r="B1195" t="str">
        <f>'Quick View_ Sample Data'!P1198</f>
        <v>SiO2</v>
      </c>
      <c r="C1195">
        <f>'Quick View_ Sample Data'!O1198</f>
        <v>411</v>
      </c>
      <c r="D1195">
        <f>'Quick View_ Sample Data'!AN1198</f>
        <v>0</v>
      </c>
      <c r="E1195">
        <f>'Quick View_ Sample Data'!O1198</f>
        <v>411</v>
      </c>
      <c r="F1195">
        <f>'Quick View_ Sample Data'!AO1198</f>
        <v>0</v>
      </c>
      <c r="G1195">
        <f>'Quick View_ Sample Data'!O1198</f>
        <v>411</v>
      </c>
      <c r="H1195">
        <f>'Quick View_ Sample Data'!AP1198</f>
        <v>0</v>
      </c>
      <c r="I1195">
        <f>'Quick View_ Sample Data'!AF1198</f>
        <v>0</v>
      </c>
      <c r="J1195">
        <f>'Quick View_ Sample Data'!AJ1198</f>
        <v>6.7</v>
      </c>
      <c r="K1195">
        <f>'Quick View_ Sample Data'!AH1198</f>
        <v>0</v>
      </c>
      <c r="L1195">
        <f t="shared" si="18"/>
        <v>0</v>
      </c>
    </row>
    <row r="1196" spans="1:12" ht="12.75" customHeight="1">
      <c r="A1196" s="321"/>
      <c r="B1196">
        <f>'Quick View_ Sample Data'!P1199</f>
        <v>0</v>
      </c>
      <c r="C1196">
        <f>'Quick View_ Sample Data'!O1199</f>
        <v>0</v>
      </c>
      <c r="D1196">
        <f>'Quick View_ Sample Data'!AN1199</f>
        <v>0</v>
      </c>
      <c r="E1196">
        <f>'Quick View_ Sample Data'!O1199</f>
        <v>0</v>
      </c>
      <c r="F1196">
        <f>'Quick View_ Sample Data'!AO1199</f>
        <v>0</v>
      </c>
      <c r="G1196">
        <f>'Quick View_ Sample Data'!O1199</f>
        <v>0</v>
      </c>
      <c r="H1196" t="e">
        <f>'Quick View_ Sample Data'!AP1199</f>
        <v>#DIV/0!</v>
      </c>
      <c r="I1196">
        <f>'Quick View_ Sample Data'!AF1199</f>
        <v>0</v>
      </c>
      <c r="J1196">
        <f>'Quick View_ Sample Data'!AJ1199</f>
        <v>0</v>
      </c>
      <c r="K1196">
        <f>'Quick View_ Sample Data'!AH1199</f>
        <v>0</v>
      </c>
      <c r="L1196">
        <f t="shared" si="18"/>
        <v>0</v>
      </c>
    </row>
    <row r="1197" spans="1:12" ht="12.75" customHeight="1">
      <c r="A1197" s="321"/>
      <c r="B1197">
        <f>'Quick View_ Sample Data'!P1200</f>
        <v>0</v>
      </c>
      <c r="C1197">
        <f>'Quick View_ Sample Data'!O1200</f>
        <v>0</v>
      </c>
      <c r="D1197">
        <f>'Quick View_ Sample Data'!AN1200</f>
        <v>0</v>
      </c>
      <c r="E1197">
        <f>'Quick View_ Sample Data'!O1200</f>
        <v>0</v>
      </c>
      <c r="F1197">
        <f>'Quick View_ Sample Data'!AO1200</f>
        <v>0</v>
      </c>
      <c r="G1197">
        <f>'Quick View_ Sample Data'!O1200</f>
        <v>0</v>
      </c>
      <c r="H1197" t="e">
        <f>'Quick View_ Sample Data'!AP1200</f>
        <v>#DIV/0!</v>
      </c>
      <c r="I1197">
        <f>'Quick View_ Sample Data'!AF1200</f>
        <v>0</v>
      </c>
      <c r="J1197">
        <f>'Quick View_ Sample Data'!AJ1200</f>
        <v>0</v>
      </c>
      <c r="K1197">
        <f>'Quick View_ Sample Data'!AH1200</f>
        <v>0</v>
      </c>
      <c r="L1197">
        <f t="shared" si="18"/>
        <v>0</v>
      </c>
    </row>
    <row r="1198" spans="1:12" ht="12.75" customHeight="1">
      <c r="A1198" s="321"/>
      <c r="B1198">
        <f>'Quick View_ Sample Data'!P1201</f>
        <v>0</v>
      </c>
      <c r="C1198">
        <f>'Quick View_ Sample Data'!O1201</f>
        <v>0</v>
      </c>
      <c r="D1198">
        <f>'Quick View_ Sample Data'!AN1201</f>
        <v>0</v>
      </c>
      <c r="E1198">
        <f>'Quick View_ Sample Data'!O1201</f>
        <v>0</v>
      </c>
      <c r="F1198">
        <f>'Quick View_ Sample Data'!AO1201</f>
        <v>0</v>
      </c>
      <c r="G1198">
        <f>'Quick View_ Sample Data'!O1201</f>
        <v>0</v>
      </c>
      <c r="H1198" t="e">
        <f>'Quick View_ Sample Data'!AP1201</f>
        <v>#DIV/0!</v>
      </c>
      <c r="I1198">
        <f>'Quick View_ Sample Data'!AF1201</f>
        <v>0</v>
      </c>
      <c r="J1198">
        <f>'Quick View_ Sample Data'!AJ1201</f>
        <v>0</v>
      </c>
      <c r="K1198">
        <f>'Quick View_ Sample Data'!AH1201</f>
        <v>0</v>
      </c>
      <c r="L1198">
        <f t="shared" si="18"/>
        <v>0</v>
      </c>
    </row>
    <row r="1199" spans="1:12" ht="12.75" customHeight="1">
      <c r="A1199" s="321"/>
      <c r="B1199">
        <f>'Quick View_ Sample Data'!P1202</f>
        <v>0</v>
      </c>
      <c r="C1199">
        <f>'Quick View_ Sample Data'!O1202</f>
        <v>0</v>
      </c>
      <c r="D1199">
        <f>'Quick View_ Sample Data'!AN1202</f>
        <v>0</v>
      </c>
      <c r="E1199">
        <f>'Quick View_ Sample Data'!O1202</f>
        <v>0</v>
      </c>
      <c r="F1199">
        <f>'Quick View_ Sample Data'!AO1202</f>
        <v>0</v>
      </c>
      <c r="G1199">
        <f>'Quick View_ Sample Data'!O1202</f>
        <v>0</v>
      </c>
      <c r="H1199" t="e">
        <f>'Quick View_ Sample Data'!AP1202</f>
        <v>#DIV/0!</v>
      </c>
      <c r="I1199">
        <f>'Quick View_ Sample Data'!AF1202</f>
        <v>0</v>
      </c>
      <c r="J1199">
        <f>'Quick View_ Sample Data'!AJ1202</f>
        <v>0</v>
      </c>
      <c r="K1199">
        <f>'Quick View_ Sample Data'!AH1202</f>
        <v>0</v>
      </c>
      <c r="L1199">
        <f t="shared" si="18"/>
        <v>0</v>
      </c>
    </row>
    <row r="1200" spans="1:12" ht="12.75" customHeight="1">
      <c r="A1200" s="321"/>
      <c r="B1200" t="str">
        <f>'Quick View_ Sample Data'!P1203</f>
        <v>SiO2</v>
      </c>
      <c r="C1200">
        <f>'Quick View_ Sample Data'!O1203</f>
        <v>415</v>
      </c>
      <c r="D1200">
        <f>'Quick View_ Sample Data'!AN1203</f>
        <v>0</v>
      </c>
      <c r="E1200">
        <f>'Quick View_ Sample Data'!O1203</f>
        <v>415</v>
      </c>
      <c r="F1200" t="e">
        <f>'Quick View_ Sample Data'!AO1203</f>
        <v>#VALUE!</v>
      </c>
      <c r="G1200">
        <f>'Quick View_ Sample Data'!O1203</f>
        <v>415</v>
      </c>
      <c r="H1200">
        <f>'Quick View_ Sample Data'!AP1203</f>
        <v>0</v>
      </c>
      <c r="I1200">
        <f>'Quick View_ Sample Data'!AF1203</f>
        <v>0</v>
      </c>
      <c r="J1200" t="str">
        <f>'Quick View_ Sample Data'!AJ1203</f>
        <v>&lt;6.8</v>
      </c>
      <c r="K1200">
        <f>'Quick View_ Sample Data'!AH1203</f>
        <v>520.61892967647395</v>
      </c>
      <c r="L1200" t="e">
        <f t="shared" si="18"/>
        <v>#VALUE!</v>
      </c>
    </row>
    <row r="1201" spans="1:12" ht="12.75" customHeight="1">
      <c r="A1201" s="321"/>
      <c r="B1201" t="str">
        <f>'Quick View_ Sample Data'!P1204</f>
        <v>SiO2</v>
      </c>
      <c r="C1201">
        <f>'Quick View_ Sample Data'!O1204</f>
        <v>415</v>
      </c>
      <c r="D1201">
        <f>'Quick View_ Sample Data'!AN1204</f>
        <v>0</v>
      </c>
      <c r="E1201">
        <f>'Quick View_ Sample Data'!O1204</f>
        <v>415</v>
      </c>
      <c r="F1201" t="e">
        <f>'Quick View_ Sample Data'!AO1204</f>
        <v>#VALUE!</v>
      </c>
      <c r="G1201">
        <f>'Quick View_ Sample Data'!O1204</f>
        <v>415</v>
      </c>
      <c r="H1201">
        <f>'Quick View_ Sample Data'!AP1204</f>
        <v>0</v>
      </c>
      <c r="I1201">
        <f>'Quick View_ Sample Data'!AF1204</f>
        <v>0</v>
      </c>
      <c r="J1201" t="str">
        <f>'Quick View_ Sample Data'!AJ1204</f>
        <v>&lt;6.8</v>
      </c>
      <c r="K1201">
        <f>'Quick View_ Sample Data'!AH1204</f>
        <v>518.834766106644</v>
      </c>
      <c r="L1201" t="e">
        <f t="shared" si="18"/>
        <v>#VALUE!</v>
      </c>
    </row>
    <row r="1202" spans="1:12" ht="12.75" customHeight="1">
      <c r="A1202" s="321"/>
      <c r="B1202" t="str">
        <f>'Quick View_ Sample Data'!P1205</f>
        <v>MgO</v>
      </c>
      <c r="C1202">
        <f>'Quick View_ Sample Data'!O1205</f>
        <v>416</v>
      </c>
      <c r="D1202">
        <f>'Quick View_ Sample Data'!AN1205</f>
        <v>0</v>
      </c>
      <c r="E1202">
        <f>'Quick View_ Sample Data'!O1205</f>
        <v>416</v>
      </c>
      <c r="F1202">
        <f>'Quick View_ Sample Data'!AO1205</f>
        <v>0</v>
      </c>
      <c r="G1202">
        <f>'Quick View_ Sample Data'!O1205</f>
        <v>416</v>
      </c>
      <c r="H1202">
        <f>'Quick View_ Sample Data'!AP1205</f>
        <v>0</v>
      </c>
      <c r="I1202">
        <f>'Quick View_ Sample Data'!AF1205</f>
        <v>0</v>
      </c>
      <c r="J1202">
        <f>'Quick View_ Sample Data'!AJ1205</f>
        <v>11.59</v>
      </c>
      <c r="K1202">
        <f>'Quick View_ Sample Data'!AH1205</f>
        <v>425.87984411848697</v>
      </c>
      <c r="L1202">
        <f t="shared" si="18"/>
        <v>0</v>
      </c>
    </row>
    <row r="1203" spans="1:12" ht="12.75" customHeight="1">
      <c r="A1203" s="321"/>
      <c r="B1203" t="str">
        <f>'Quick View_ Sample Data'!P1206</f>
        <v>SiO2</v>
      </c>
      <c r="C1203">
        <f>'Quick View_ Sample Data'!O1206</f>
        <v>416</v>
      </c>
      <c r="D1203">
        <f>'Quick View_ Sample Data'!AN1206</f>
        <v>0</v>
      </c>
      <c r="E1203">
        <f>'Quick View_ Sample Data'!O1206</f>
        <v>416</v>
      </c>
      <c r="F1203">
        <f>'Quick View_ Sample Data'!AO1206</f>
        <v>0</v>
      </c>
      <c r="G1203">
        <f>'Quick View_ Sample Data'!O1206</f>
        <v>416</v>
      </c>
      <c r="H1203">
        <f>'Quick View_ Sample Data'!AP1206</f>
        <v>0</v>
      </c>
      <c r="I1203">
        <f>'Quick View_ Sample Data'!AF1206</f>
        <v>0</v>
      </c>
      <c r="J1203">
        <f>'Quick View_ Sample Data'!AJ1206</f>
        <v>10.81</v>
      </c>
      <c r="K1203">
        <f>'Quick View_ Sample Data'!AH1206</f>
        <v>569.68342784680704</v>
      </c>
      <c r="L1203">
        <f t="shared" si="18"/>
        <v>0</v>
      </c>
    </row>
    <row r="1204" spans="1:12" ht="12.75" customHeight="1">
      <c r="A1204" s="321"/>
      <c r="B1204" t="str">
        <f>'Quick View_ Sample Data'!P1207</f>
        <v>SiO2</v>
      </c>
      <c r="C1204">
        <f>'Quick View_ Sample Data'!O1207</f>
        <v>416</v>
      </c>
      <c r="D1204">
        <f>'Quick View_ Sample Data'!AN1207</f>
        <v>0</v>
      </c>
      <c r="E1204">
        <f>'Quick View_ Sample Data'!O1207</f>
        <v>416</v>
      </c>
      <c r="F1204">
        <f>'Quick View_ Sample Data'!AO1207</f>
        <v>0</v>
      </c>
      <c r="G1204">
        <f>'Quick View_ Sample Data'!O1207</f>
        <v>416</v>
      </c>
      <c r="H1204">
        <f>'Quick View_ Sample Data'!AP1207</f>
        <v>0</v>
      </c>
      <c r="I1204">
        <f>'Quick View_ Sample Data'!AF1207</f>
        <v>0</v>
      </c>
      <c r="J1204">
        <f>'Quick View_ Sample Data'!AJ1207</f>
        <v>10.87</v>
      </c>
      <c r="K1204">
        <f>'Quick View_ Sample Data'!AH1207</f>
        <v>583.24307097751705</v>
      </c>
      <c r="L1204">
        <f t="shared" si="18"/>
        <v>0</v>
      </c>
    </row>
    <row r="1205" spans="1:12" ht="12.75" customHeight="1">
      <c r="A1205" s="321"/>
      <c r="B1205" t="str">
        <f>'Quick View_ Sample Data'!P1208</f>
        <v>MgO</v>
      </c>
      <c r="C1205">
        <f>'Quick View_ Sample Data'!O1208</f>
        <v>417</v>
      </c>
      <c r="D1205">
        <f>'Quick View_ Sample Data'!AN1208</f>
        <v>0</v>
      </c>
      <c r="E1205">
        <f>'Quick View_ Sample Data'!O1208</f>
        <v>417</v>
      </c>
      <c r="F1205">
        <f>'Quick View_ Sample Data'!AO1208</f>
        <v>0</v>
      </c>
      <c r="G1205">
        <f>'Quick View_ Sample Data'!O1208</f>
        <v>417</v>
      </c>
      <c r="H1205">
        <f>'Quick View_ Sample Data'!AP1208</f>
        <v>0</v>
      </c>
      <c r="I1205">
        <f>'Quick View_ Sample Data'!AF1208</f>
        <v>0</v>
      </c>
      <c r="J1205">
        <f>'Quick View_ Sample Data'!AJ1208</f>
        <v>0</v>
      </c>
      <c r="K1205">
        <f>'Quick View_ Sample Data'!AH1208</f>
        <v>689.04397066845195</v>
      </c>
      <c r="L1205">
        <f t="shared" si="18"/>
        <v>0</v>
      </c>
    </row>
    <row r="1206" spans="1:12" ht="12.75" customHeight="1">
      <c r="A1206" s="321"/>
      <c r="B1206" t="str">
        <f>'Quick View_ Sample Data'!P1209</f>
        <v>SiO2</v>
      </c>
      <c r="C1206">
        <f>'Quick View_ Sample Data'!O1209</f>
        <v>417</v>
      </c>
      <c r="D1206">
        <f>'Quick View_ Sample Data'!AN1209</f>
        <v>0</v>
      </c>
      <c r="E1206">
        <f>'Quick View_ Sample Data'!O1209</f>
        <v>417</v>
      </c>
      <c r="F1206">
        <f>'Quick View_ Sample Data'!AO1209</f>
        <v>0</v>
      </c>
      <c r="G1206">
        <f>'Quick View_ Sample Data'!O1209</f>
        <v>417</v>
      </c>
      <c r="H1206">
        <f>'Quick View_ Sample Data'!AP1209</f>
        <v>0</v>
      </c>
      <c r="I1206">
        <f>'Quick View_ Sample Data'!AF1209</f>
        <v>0</v>
      </c>
      <c r="J1206">
        <f>'Quick View_ Sample Data'!AJ1209</f>
        <v>10.9</v>
      </c>
      <c r="K1206">
        <f>'Quick View_ Sample Data'!AH1209</f>
        <v>616.96376244730902</v>
      </c>
      <c r="L1206">
        <f t="shared" si="18"/>
        <v>0</v>
      </c>
    </row>
    <row r="1207" spans="1:12" ht="12.75" customHeight="1">
      <c r="A1207" s="321"/>
      <c r="B1207" t="str">
        <f>'Quick View_ Sample Data'!P1210</f>
        <v>SiO2</v>
      </c>
      <c r="C1207">
        <f>'Quick View_ Sample Data'!O1210</f>
        <v>417</v>
      </c>
      <c r="D1207">
        <f>'Quick View_ Sample Data'!AN1210</f>
        <v>0</v>
      </c>
      <c r="E1207">
        <f>'Quick View_ Sample Data'!O1210</f>
        <v>417</v>
      </c>
      <c r="F1207">
        <f>'Quick View_ Sample Data'!AO1210</f>
        <v>0</v>
      </c>
      <c r="G1207">
        <f>'Quick View_ Sample Data'!O1210</f>
        <v>417</v>
      </c>
      <c r="H1207">
        <f>'Quick View_ Sample Data'!AP1210</f>
        <v>0</v>
      </c>
      <c r="I1207">
        <f>'Quick View_ Sample Data'!AF1210</f>
        <v>0</v>
      </c>
      <c r="J1207">
        <f>'Quick View_ Sample Data'!AJ1210</f>
        <v>10.8</v>
      </c>
      <c r="K1207">
        <f>'Quick View_ Sample Data'!AH1210</f>
        <v>615.53643159144497</v>
      </c>
      <c r="L1207">
        <f t="shared" si="18"/>
        <v>0</v>
      </c>
    </row>
    <row r="1208" spans="1:12" ht="12.75" customHeight="1">
      <c r="A1208" s="321"/>
      <c r="B1208" t="str">
        <f>'Quick View_ Sample Data'!P1211</f>
        <v>MgO</v>
      </c>
      <c r="C1208">
        <f>'Quick View_ Sample Data'!O1211</f>
        <v>418</v>
      </c>
      <c r="D1208">
        <f>'Quick View_ Sample Data'!AN1211</f>
        <v>0</v>
      </c>
      <c r="E1208">
        <f>'Quick View_ Sample Data'!O1211</f>
        <v>418</v>
      </c>
      <c r="F1208">
        <f>'Quick View_ Sample Data'!AO1211</f>
        <v>0</v>
      </c>
      <c r="G1208">
        <f>'Quick View_ Sample Data'!O1211</f>
        <v>418</v>
      </c>
      <c r="H1208">
        <f>'Quick View_ Sample Data'!AP1211</f>
        <v>0</v>
      </c>
      <c r="I1208">
        <f>'Quick View_ Sample Data'!AF1211</f>
        <v>0</v>
      </c>
      <c r="J1208">
        <f>'Quick View_ Sample Data'!AJ1211</f>
        <v>0</v>
      </c>
      <c r="K1208">
        <f>'Quick View_ Sample Data'!AH1211</f>
        <v>576.46324941216199</v>
      </c>
      <c r="L1208">
        <f t="shared" si="18"/>
        <v>0</v>
      </c>
    </row>
    <row r="1209" spans="1:12" ht="12.75" customHeight="1">
      <c r="A1209" s="321"/>
      <c r="B1209" t="str">
        <f>'Quick View_ Sample Data'!P1212</f>
        <v>SiO2</v>
      </c>
      <c r="C1209">
        <f>'Quick View_ Sample Data'!O1212</f>
        <v>418</v>
      </c>
      <c r="D1209">
        <f>'Quick View_ Sample Data'!AN1212</f>
        <v>0</v>
      </c>
      <c r="E1209">
        <f>'Quick View_ Sample Data'!O1212</f>
        <v>418</v>
      </c>
      <c r="F1209">
        <f>'Quick View_ Sample Data'!AO1212</f>
        <v>0</v>
      </c>
      <c r="G1209">
        <f>'Quick View_ Sample Data'!O1212</f>
        <v>418</v>
      </c>
      <c r="H1209">
        <f>'Quick View_ Sample Data'!AP1212</f>
        <v>0</v>
      </c>
      <c r="I1209">
        <f>'Quick View_ Sample Data'!AF1212</f>
        <v>0</v>
      </c>
      <c r="J1209">
        <f>'Quick View_ Sample Data'!AJ1212</f>
        <v>11.03</v>
      </c>
      <c r="K1209">
        <f>'Quick View_ Sample Data'!AH1212</f>
        <v>645.86721227856003</v>
      </c>
      <c r="L1209">
        <f t="shared" si="18"/>
        <v>0</v>
      </c>
    </row>
    <row r="1210" spans="1:12" ht="12.75" customHeight="1">
      <c r="A1210" s="321"/>
      <c r="B1210" t="str">
        <f>'Quick View_ Sample Data'!P1213</f>
        <v>SiO2</v>
      </c>
      <c r="C1210">
        <f>'Quick View_ Sample Data'!O1213</f>
        <v>418</v>
      </c>
      <c r="D1210">
        <f>'Quick View_ Sample Data'!AN1213</f>
        <v>0</v>
      </c>
      <c r="E1210">
        <f>'Quick View_ Sample Data'!O1213</f>
        <v>418</v>
      </c>
      <c r="F1210">
        <f>'Quick View_ Sample Data'!AO1213</f>
        <v>0</v>
      </c>
      <c r="G1210">
        <f>'Quick View_ Sample Data'!O1213</f>
        <v>418</v>
      </c>
      <c r="H1210">
        <f>'Quick View_ Sample Data'!AP1213</f>
        <v>0</v>
      </c>
      <c r="I1210">
        <f>'Quick View_ Sample Data'!AF1213</f>
        <v>0</v>
      </c>
      <c r="J1210">
        <f>'Quick View_ Sample Data'!AJ1213</f>
        <v>11.1</v>
      </c>
      <c r="K1210">
        <f>'Quick View_ Sample Data'!AH1213</f>
        <v>586.81139811717799</v>
      </c>
      <c r="L1210">
        <f t="shared" si="18"/>
        <v>0</v>
      </c>
    </row>
    <row r="1211" spans="1:12" ht="12.75" customHeight="1">
      <c r="A1211" s="321"/>
      <c r="B1211">
        <f>'Quick View_ Sample Data'!P1214</f>
        <v>0</v>
      </c>
      <c r="C1211">
        <f>'Quick View_ Sample Data'!O1214</f>
        <v>0</v>
      </c>
      <c r="D1211">
        <f>'Quick View_ Sample Data'!AN1214</f>
        <v>0</v>
      </c>
      <c r="E1211">
        <f>'Quick View_ Sample Data'!O1214</f>
        <v>0</v>
      </c>
      <c r="F1211">
        <f>'Quick View_ Sample Data'!AO1214</f>
        <v>0</v>
      </c>
      <c r="G1211">
        <f>'Quick View_ Sample Data'!O1214</f>
        <v>0</v>
      </c>
      <c r="H1211" t="e">
        <f>'Quick View_ Sample Data'!AP1214</f>
        <v>#DIV/0!</v>
      </c>
      <c r="I1211">
        <f>'Quick View_ Sample Data'!AF1214</f>
        <v>0</v>
      </c>
      <c r="J1211">
        <f>'Quick View_ Sample Data'!AJ1214</f>
        <v>0</v>
      </c>
      <c r="K1211">
        <f>'Quick View_ Sample Data'!AH1214</f>
        <v>0</v>
      </c>
      <c r="L1211">
        <f t="shared" si="18"/>
        <v>0</v>
      </c>
    </row>
    <row r="1212" spans="1:12" ht="12.75" customHeight="1">
      <c r="A1212" s="321"/>
      <c r="B1212">
        <f>'Quick View_ Sample Data'!P1215</f>
        <v>0</v>
      </c>
      <c r="C1212">
        <f>'Quick View_ Sample Data'!O1215</f>
        <v>0</v>
      </c>
      <c r="D1212">
        <f>'Quick View_ Sample Data'!AN1215</f>
        <v>0</v>
      </c>
      <c r="E1212">
        <f>'Quick View_ Sample Data'!O1215</f>
        <v>0</v>
      </c>
      <c r="F1212">
        <f>'Quick View_ Sample Data'!AO1215</f>
        <v>0</v>
      </c>
      <c r="G1212">
        <f>'Quick View_ Sample Data'!O1215</f>
        <v>0</v>
      </c>
      <c r="H1212" t="e">
        <f>'Quick View_ Sample Data'!AP1215</f>
        <v>#DIV/0!</v>
      </c>
      <c r="I1212">
        <f>'Quick View_ Sample Data'!AF1215</f>
        <v>0</v>
      </c>
      <c r="J1212">
        <f>'Quick View_ Sample Data'!AJ1215</f>
        <v>0</v>
      </c>
      <c r="K1212">
        <f>'Quick View_ Sample Data'!AH1215</f>
        <v>0</v>
      </c>
      <c r="L1212">
        <f t="shared" si="18"/>
        <v>0</v>
      </c>
    </row>
    <row r="1213" spans="1:12" ht="12.75" customHeight="1">
      <c r="A1213" s="321"/>
      <c r="B1213">
        <f>'Quick View_ Sample Data'!P1216</f>
        <v>0</v>
      </c>
      <c r="C1213">
        <f>'Quick View_ Sample Data'!O1216</f>
        <v>0</v>
      </c>
      <c r="D1213">
        <f>'Quick View_ Sample Data'!AN1216</f>
        <v>0</v>
      </c>
      <c r="E1213">
        <f>'Quick View_ Sample Data'!O1216</f>
        <v>0</v>
      </c>
      <c r="F1213">
        <f>'Quick View_ Sample Data'!AO1216</f>
        <v>0</v>
      </c>
      <c r="G1213">
        <f>'Quick View_ Sample Data'!O1216</f>
        <v>0</v>
      </c>
      <c r="H1213" t="e">
        <f>'Quick View_ Sample Data'!AP1216</f>
        <v>#DIV/0!</v>
      </c>
      <c r="I1213">
        <f>'Quick View_ Sample Data'!AF1216</f>
        <v>0</v>
      </c>
      <c r="J1213">
        <f>'Quick View_ Sample Data'!AJ1216</f>
        <v>0</v>
      </c>
      <c r="K1213">
        <f>'Quick View_ Sample Data'!AH1216</f>
        <v>0</v>
      </c>
      <c r="L1213">
        <f t="shared" si="18"/>
        <v>0</v>
      </c>
    </row>
    <row r="1214" spans="1:12" ht="12.75" customHeight="1">
      <c r="A1214" s="321"/>
      <c r="B1214">
        <f>'Quick View_ Sample Data'!P1217</f>
        <v>0</v>
      </c>
      <c r="C1214">
        <f>'Quick View_ Sample Data'!O1217</f>
        <v>0</v>
      </c>
      <c r="D1214">
        <f>'Quick View_ Sample Data'!AN1217</f>
        <v>0</v>
      </c>
      <c r="E1214">
        <f>'Quick View_ Sample Data'!O1217</f>
        <v>0</v>
      </c>
      <c r="F1214">
        <f>'Quick View_ Sample Data'!AO1217</f>
        <v>0</v>
      </c>
      <c r="G1214">
        <f>'Quick View_ Sample Data'!O1217</f>
        <v>0</v>
      </c>
      <c r="H1214" t="e">
        <f>'Quick View_ Sample Data'!AP1217</f>
        <v>#DIV/0!</v>
      </c>
      <c r="I1214">
        <f>'Quick View_ Sample Data'!AF1217</f>
        <v>0</v>
      </c>
      <c r="J1214">
        <f>'Quick View_ Sample Data'!AJ1217</f>
        <v>0</v>
      </c>
      <c r="K1214">
        <f>'Quick View_ Sample Data'!AH1217</f>
        <v>0</v>
      </c>
      <c r="L1214">
        <f t="shared" si="18"/>
        <v>0</v>
      </c>
    </row>
    <row r="1215" spans="1:12" ht="12.75" customHeight="1">
      <c r="A1215" s="321"/>
      <c r="B1215">
        <f>'Quick View_ Sample Data'!P1218</f>
        <v>0</v>
      </c>
      <c r="C1215">
        <f>'Quick View_ Sample Data'!O1218</f>
        <v>0</v>
      </c>
      <c r="D1215">
        <f>'Quick View_ Sample Data'!AN1218</f>
        <v>0</v>
      </c>
      <c r="E1215">
        <f>'Quick View_ Sample Data'!O1218</f>
        <v>0</v>
      </c>
      <c r="F1215">
        <f>'Quick View_ Sample Data'!AO1218</f>
        <v>0</v>
      </c>
      <c r="G1215">
        <f>'Quick View_ Sample Data'!O1218</f>
        <v>0</v>
      </c>
      <c r="H1215" t="e">
        <f>'Quick View_ Sample Data'!AP1218</f>
        <v>#DIV/0!</v>
      </c>
      <c r="I1215">
        <f>'Quick View_ Sample Data'!AF1218</f>
        <v>0</v>
      </c>
      <c r="J1215">
        <f>'Quick View_ Sample Data'!AJ1218</f>
        <v>0</v>
      </c>
      <c r="K1215">
        <f>'Quick View_ Sample Data'!AH1218</f>
        <v>0</v>
      </c>
      <c r="L1215">
        <f t="shared" si="18"/>
        <v>0</v>
      </c>
    </row>
    <row r="1216" spans="1:12" ht="12.75" customHeight="1">
      <c r="A1216" s="321"/>
      <c r="B1216">
        <f>'Quick View_ Sample Data'!P1219</f>
        <v>0</v>
      </c>
      <c r="C1216">
        <f>'Quick View_ Sample Data'!O1219</f>
        <v>0</v>
      </c>
      <c r="D1216">
        <f>'Quick View_ Sample Data'!AN1219</f>
        <v>0</v>
      </c>
      <c r="E1216">
        <f>'Quick View_ Sample Data'!O1219</f>
        <v>0</v>
      </c>
      <c r="F1216">
        <f>'Quick View_ Sample Data'!AO1219</f>
        <v>0</v>
      </c>
      <c r="G1216">
        <f>'Quick View_ Sample Data'!O1219</f>
        <v>0</v>
      </c>
      <c r="H1216" t="e">
        <f>'Quick View_ Sample Data'!AP1219</f>
        <v>#DIV/0!</v>
      </c>
      <c r="I1216">
        <f>'Quick View_ Sample Data'!AF1219</f>
        <v>0</v>
      </c>
      <c r="J1216">
        <f>'Quick View_ Sample Data'!AJ1219</f>
        <v>0</v>
      </c>
      <c r="K1216">
        <f>'Quick View_ Sample Data'!AH1219</f>
        <v>0</v>
      </c>
      <c r="L1216">
        <f t="shared" si="18"/>
        <v>0</v>
      </c>
    </row>
    <row r="1217" spans="1:12" ht="12.75" customHeight="1">
      <c r="A1217" s="321"/>
      <c r="B1217">
        <f>'Quick View_ Sample Data'!P1220</f>
        <v>0</v>
      </c>
      <c r="C1217">
        <f>'Quick View_ Sample Data'!O1220</f>
        <v>0</v>
      </c>
      <c r="D1217">
        <f>'Quick View_ Sample Data'!AN1220</f>
        <v>0</v>
      </c>
      <c r="E1217">
        <f>'Quick View_ Sample Data'!O1220</f>
        <v>0</v>
      </c>
      <c r="F1217">
        <f>'Quick View_ Sample Data'!AO1220</f>
        <v>0</v>
      </c>
      <c r="G1217">
        <f>'Quick View_ Sample Data'!O1220</f>
        <v>0</v>
      </c>
      <c r="H1217" t="e">
        <f>'Quick View_ Sample Data'!AP1220</f>
        <v>#DIV/0!</v>
      </c>
      <c r="I1217">
        <f>'Quick View_ Sample Data'!AF1220</f>
        <v>0</v>
      </c>
      <c r="J1217">
        <f>'Quick View_ Sample Data'!AJ1220</f>
        <v>0</v>
      </c>
      <c r="K1217">
        <f>'Quick View_ Sample Data'!AH1220</f>
        <v>0</v>
      </c>
      <c r="L1217">
        <f t="shared" si="18"/>
        <v>0</v>
      </c>
    </row>
    <row r="1218" spans="1:12" ht="12.75" customHeight="1">
      <c r="A1218" s="321"/>
      <c r="B1218">
        <f>'Quick View_ Sample Data'!P1221</f>
        <v>0</v>
      </c>
      <c r="C1218">
        <f>'Quick View_ Sample Data'!O1221</f>
        <v>0</v>
      </c>
      <c r="D1218">
        <f>'Quick View_ Sample Data'!AN1221</f>
        <v>0</v>
      </c>
      <c r="E1218">
        <f>'Quick View_ Sample Data'!O1221</f>
        <v>0</v>
      </c>
      <c r="F1218">
        <f>'Quick View_ Sample Data'!AO1221</f>
        <v>0</v>
      </c>
      <c r="G1218">
        <f>'Quick View_ Sample Data'!O1221</f>
        <v>0</v>
      </c>
      <c r="H1218" t="e">
        <f>'Quick View_ Sample Data'!AP1221</f>
        <v>#DIV/0!</v>
      </c>
      <c r="I1218">
        <f>'Quick View_ Sample Data'!AF1221</f>
        <v>0</v>
      </c>
      <c r="J1218">
        <f>'Quick View_ Sample Data'!AJ1221</f>
        <v>0</v>
      </c>
      <c r="K1218">
        <f>'Quick View_ Sample Data'!AH1221</f>
        <v>0</v>
      </c>
      <c r="L1218">
        <f t="shared" ref="L1218:L1281" si="19">I1218*J1218</f>
        <v>0</v>
      </c>
    </row>
    <row r="1219" spans="1:12" ht="12.75" customHeight="1">
      <c r="A1219" s="321"/>
      <c r="B1219">
        <f>'Quick View_ Sample Data'!P1222</f>
        <v>0</v>
      </c>
      <c r="C1219">
        <f>'Quick View_ Sample Data'!O1222</f>
        <v>0</v>
      </c>
      <c r="D1219">
        <f>'Quick View_ Sample Data'!AN1222</f>
        <v>0</v>
      </c>
      <c r="E1219">
        <f>'Quick View_ Sample Data'!O1222</f>
        <v>0</v>
      </c>
      <c r="F1219">
        <f>'Quick View_ Sample Data'!AO1222</f>
        <v>0</v>
      </c>
      <c r="G1219">
        <f>'Quick View_ Sample Data'!O1222</f>
        <v>0</v>
      </c>
      <c r="H1219" t="e">
        <f>'Quick View_ Sample Data'!AP1222</f>
        <v>#DIV/0!</v>
      </c>
      <c r="I1219">
        <f>'Quick View_ Sample Data'!AF1222</f>
        <v>0</v>
      </c>
      <c r="J1219">
        <f>'Quick View_ Sample Data'!AJ1222</f>
        <v>0</v>
      </c>
      <c r="K1219">
        <f>'Quick View_ Sample Data'!AH1222</f>
        <v>0</v>
      </c>
      <c r="L1219">
        <f t="shared" si="19"/>
        <v>0</v>
      </c>
    </row>
    <row r="1220" spans="1:12" ht="12.75" customHeight="1">
      <c r="A1220" s="321"/>
      <c r="B1220">
        <f>'Quick View_ Sample Data'!P1223</f>
        <v>0</v>
      </c>
      <c r="C1220">
        <f>'Quick View_ Sample Data'!O1223</f>
        <v>0</v>
      </c>
      <c r="D1220">
        <f>'Quick View_ Sample Data'!AN1223</f>
        <v>0</v>
      </c>
      <c r="E1220">
        <f>'Quick View_ Sample Data'!O1223</f>
        <v>0</v>
      </c>
      <c r="F1220">
        <f>'Quick View_ Sample Data'!AO1223</f>
        <v>0</v>
      </c>
      <c r="G1220">
        <f>'Quick View_ Sample Data'!O1223</f>
        <v>0</v>
      </c>
      <c r="H1220" t="e">
        <f>'Quick View_ Sample Data'!AP1223</f>
        <v>#DIV/0!</v>
      </c>
      <c r="I1220">
        <f>'Quick View_ Sample Data'!AF1223</f>
        <v>0</v>
      </c>
      <c r="J1220">
        <f>'Quick View_ Sample Data'!AJ1223</f>
        <v>0</v>
      </c>
      <c r="K1220">
        <f>'Quick View_ Sample Data'!AH1223</f>
        <v>0</v>
      </c>
      <c r="L1220">
        <f t="shared" si="19"/>
        <v>0</v>
      </c>
    </row>
    <row r="1221" spans="1:12" ht="12.75" customHeight="1">
      <c r="A1221" s="321"/>
      <c r="B1221">
        <f>'Quick View_ Sample Data'!P1224</f>
        <v>0</v>
      </c>
      <c r="C1221">
        <f>'Quick View_ Sample Data'!O1224</f>
        <v>0</v>
      </c>
      <c r="D1221">
        <f>'Quick View_ Sample Data'!AN1224</f>
        <v>0</v>
      </c>
      <c r="E1221">
        <f>'Quick View_ Sample Data'!O1224</f>
        <v>0</v>
      </c>
      <c r="F1221">
        <f>'Quick View_ Sample Data'!AO1224</f>
        <v>0</v>
      </c>
      <c r="G1221">
        <f>'Quick View_ Sample Data'!O1224</f>
        <v>0</v>
      </c>
      <c r="H1221" t="e">
        <f>'Quick View_ Sample Data'!AP1224</f>
        <v>#DIV/0!</v>
      </c>
      <c r="I1221">
        <f>'Quick View_ Sample Data'!AF1224</f>
        <v>0</v>
      </c>
      <c r="J1221">
        <f>'Quick View_ Sample Data'!AJ1224</f>
        <v>0</v>
      </c>
      <c r="K1221">
        <f>'Quick View_ Sample Data'!AH1224</f>
        <v>0</v>
      </c>
      <c r="L1221">
        <f t="shared" si="19"/>
        <v>0</v>
      </c>
    </row>
    <row r="1222" spans="1:12" ht="12.75" customHeight="1">
      <c r="A1222" s="321"/>
      <c r="B1222">
        <f>'Quick View_ Sample Data'!P1225</f>
        <v>0</v>
      </c>
      <c r="C1222">
        <f>'Quick View_ Sample Data'!O1225</f>
        <v>0</v>
      </c>
      <c r="D1222">
        <f>'Quick View_ Sample Data'!AN1225</f>
        <v>0</v>
      </c>
      <c r="E1222">
        <f>'Quick View_ Sample Data'!O1225</f>
        <v>0</v>
      </c>
      <c r="F1222">
        <f>'Quick View_ Sample Data'!AO1225</f>
        <v>0</v>
      </c>
      <c r="G1222">
        <f>'Quick View_ Sample Data'!O1225</f>
        <v>0</v>
      </c>
      <c r="H1222" t="e">
        <f>'Quick View_ Sample Data'!AP1225</f>
        <v>#DIV/0!</v>
      </c>
      <c r="I1222">
        <f>'Quick View_ Sample Data'!AF1225</f>
        <v>0</v>
      </c>
      <c r="J1222">
        <f>'Quick View_ Sample Data'!AJ1225</f>
        <v>0</v>
      </c>
      <c r="K1222">
        <f>'Quick View_ Sample Data'!AH1225</f>
        <v>0</v>
      </c>
      <c r="L1222">
        <f t="shared" si="19"/>
        <v>0</v>
      </c>
    </row>
    <row r="1223" spans="1:12" ht="12.75" customHeight="1">
      <c r="A1223" s="321"/>
      <c r="B1223">
        <f>'Quick View_ Sample Data'!P1226</f>
        <v>0</v>
      </c>
      <c r="C1223">
        <f>'Quick View_ Sample Data'!O1226</f>
        <v>0</v>
      </c>
      <c r="D1223">
        <f>'Quick View_ Sample Data'!AN1226</f>
        <v>0</v>
      </c>
      <c r="E1223">
        <f>'Quick View_ Sample Data'!O1226</f>
        <v>0</v>
      </c>
      <c r="F1223">
        <f>'Quick View_ Sample Data'!AO1226</f>
        <v>0</v>
      </c>
      <c r="G1223">
        <f>'Quick View_ Sample Data'!O1226</f>
        <v>0</v>
      </c>
      <c r="H1223" t="e">
        <f>'Quick View_ Sample Data'!AP1226</f>
        <v>#DIV/0!</v>
      </c>
      <c r="I1223">
        <f>'Quick View_ Sample Data'!AF1226</f>
        <v>0</v>
      </c>
      <c r="J1223">
        <f>'Quick View_ Sample Data'!AJ1226</f>
        <v>0</v>
      </c>
      <c r="K1223">
        <f>'Quick View_ Sample Data'!AH1226</f>
        <v>0</v>
      </c>
      <c r="L1223">
        <f t="shared" si="19"/>
        <v>0</v>
      </c>
    </row>
    <row r="1224" spans="1:12" ht="12.75" customHeight="1">
      <c r="A1224" s="321"/>
      <c r="B1224">
        <f>'Quick View_ Sample Data'!P1227</f>
        <v>0</v>
      </c>
      <c r="C1224">
        <f>'Quick View_ Sample Data'!O1227</f>
        <v>0</v>
      </c>
      <c r="D1224">
        <f>'Quick View_ Sample Data'!AN1227</f>
        <v>0</v>
      </c>
      <c r="E1224">
        <f>'Quick View_ Sample Data'!O1227</f>
        <v>0</v>
      </c>
      <c r="F1224">
        <f>'Quick View_ Sample Data'!AO1227</f>
        <v>0</v>
      </c>
      <c r="G1224">
        <f>'Quick View_ Sample Data'!O1227</f>
        <v>0</v>
      </c>
      <c r="H1224" t="e">
        <f>'Quick View_ Sample Data'!AP1227</f>
        <v>#DIV/0!</v>
      </c>
      <c r="I1224">
        <f>'Quick View_ Sample Data'!AF1227</f>
        <v>0</v>
      </c>
      <c r="J1224">
        <f>'Quick View_ Sample Data'!AJ1227</f>
        <v>0</v>
      </c>
      <c r="K1224">
        <f>'Quick View_ Sample Data'!AH1227</f>
        <v>0</v>
      </c>
      <c r="L1224">
        <f t="shared" si="19"/>
        <v>0</v>
      </c>
    </row>
    <row r="1225" spans="1:12" ht="12.75" customHeight="1">
      <c r="A1225" s="321"/>
      <c r="B1225" t="str">
        <f>'Quick View_ Sample Data'!P1228</f>
        <v>MgO</v>
      </c>
      <c r="C1225">
        <f>'Quick View_ Sample Data'!O1228</f>
        <v>423</v>
      </c>
      <c r="D1225">
        <f>'Quick View_ Sample Data'!AN1228</f>
        <v>0</v>
      </c>
      <c r="E1225">
        <f>'Quick View_ Sample Data'!O1228</f>
        <v>423</v>
      </c>
      <c r="F1225">
        <f>'Quick View_ Sample Data'!AO1228</f>
        <v>0</v>
      </c>
      <c r="G1225">
        <f>'Quick View_ Sample Data'!O1228</f>
        <v>423</v>
      </c>
      <c r="H1225">
        <f>'Quick View_ Sample Data'!AP1228</f>
        <v>0</v>
      </c>
      <c r="I1225">
        <f>'Quick View_ Sample Data'!AF1228</f>
        <v>0</v>
      </c>
      <c r="J1225">
        <f>'Quick View_ Sample Data'!AJ1228</f>
        <v>0</v>
      </c>
      <c r="K1225">
        <f>'Quick View_ Sample Data'!AH1228</f>
        <v>399.65263964198198</v>
      </c>
      <c r="L1225">
        <f t="shared" si="19"/>
        <v>0</v>
      </c>
    </row>
    <row r="1226" spans="1:12" ht="12.75" customHeight="1">
      <c r="A1226" s="321"/>
      <c r="B1226" t="str">
        <f>'Quick View_ Sample Data'!P1229</f>
        <v>SiO2</v>
      </c>
      <c r="C1226">
        <f>'Quick View_ Sample Data'!O1229</f>
        <v>423</v>
      </c>
      <c r="D1226">
        <f>'Quick View_ Sample Data'!AN1229</f>
        <v>0</v>
      </c>
      <c r="E1226">
        <f>'Quick View_ Sample Data'!O1229</f>
        <v>423</v>
      </c>
      <c r="F1226">
        <f>'Quick View_ Sample Data'!AO1229</f>
        <v>0</v>
      </c>
      <c r="G1226">
        <f>'Quick View_ Sample Data'!O1229</f>
        <v>423</v>
      </c>
      <c r="H1226">
        <f>'Quick View_ Sample Data'!AP1229</f>
        <v>0</v>
      </c>
      <c r="I1226">
        <f>'Quick View_ Sample Data'!AF1229</f>
        <v>0</v>
      </c>
      <c r="J1226">
        <f>'Quick View_ Sample Data'!AJ1229</f>
        <v>9.8000000000000007</v>
      </c>
      <c r="K1226">
        <f>'Quick View_ Sample Data'!AH1229</f>
        <v>667.27717511652304</v>
      </c>
      <c r="L1226">
        <f t="shared" si="19"/>
        <v>0</v>
      </c>
    </row>
    <row r="1227" spans="1:12" ht="12.75" customHeight="1">
      <c r="A1227" s="321"/>
      <c r="B1227" t="str">
        <f>'Quick View_ Sample Data'!P1230</f>
        <v>SiO2</v>
      </c>
      <c r="C1227">
        <f>'Quick View_ Sample Data'!O1230</f>
        <v>423</v>
      </c>
      <c r="D1227">
        <f>'Quick View_ Sample Data'!AN1230</f>
        <v>0</v>
      </c>
      <c r="E1227">
        <f>'Quick View_ Sample Data'!O1230</f>
        <v>423</v>
      </c>
      <c r="F1227">
        <f>'Quick View_ Sample Data'!AO1230</f>
        <v>0</v>
      </c>
      <c r="G1227">
        <f>'Quick View_ Sample Data'!O1230</f>
        <v>423</v>
      </c>
      <c r="H1227">
        <f>'Quick View_ Sample Data'!AP1230</f>
        <v>0</v>
      </c>
      <c r="I1227">
        <f>'Quick View_ Sample Data'!AF1230</f>
        <v>0</v>
      </c>
      <c r="J1227">
        <f>'Quick View_ Sample Data'!AJ1230</f>
        <v>0</v>
      </c>
      <c r="K1227">
        <f>'Quick View_ Sample Data'!AH1230</f>
        <v>597.33796317917597</v>
      </c>
      <c r="L1227">
        <f t="shared" si="19"/>
        <v>0</v>
      </c>
    </row>
    <row r="1228" spans="1:12" ht="12.75" customHeight="1">
      <c r="A1228" s="321"/>
      <c r="B1228" t="str">
        <f>'Quick View_ Sample Data'!P1231</f>
        <v>SiO2</v>
      </c>
      <c r="C1228">
        <f>'Quick View_ Sample Data'!O1231</f>
        <v>423</v>
      </c>
      <c r="D1228">
        <f>'Quick View_ Sample Data'!AN1231</f>
        <v>0</v>
      </c>
      <c r="E1228">
        <f>'Quick View_ Sample Data'!O1231</f>
        <v>423</v>
      </c>
      <c r="F1228">
        <f>'Quick View_ Sample Data'!AO1231</f>
        <v>0</v>
      </c>
      <c r="G1228">
        <f>'Quick View_ Sample Data'!O1231</f>
        <v>423</v>
      </c>
      <c r="H1228">
        <f>'Quick View_ Sample Data'!AP1231</f>
        <v>0</v>
      </c>
      <c r="I1228">
        <f>'Quick View_ Sample Data'!AF1231</f>
        <v>0</v>
      </c>
      <c r="J1228">
        <f>'Quick View_ Sample Data'!AJ1231</f>
        <v>10.6</v>
      </c>
      <c r="K1228">
        <f>'Quick View_ Sample Data'!AH1231</f>
        <v>586.63298176019396</v>
      </c>
      <c r="L1228">
        <f t="shared" si="19"/>
        <v>0</v>
      </c>
    </row>
    <row r="1229" spans="1:12" ht="12.75" customHeight="1">
      <c r="A1229" s="321"/>
      <c r="B1229" t="str">
        <f>'Quick View_ Sample Data'!P1232</f>
        <v>MgO</v>
      </c>
      <c r="C1229">
        <f>'Quick View_ Sample Data'!O1232</f>
        <v>424</v>
      </c>
      <c r="D1229">
        <f>'Quick View_ Sample Data'!AN1232</f>
        <v>0</v>
      </c>
      <c r="E1229">
        <f>'Quick View_ Sample Data'!O1232</f>
        <v>424</v>
      </c>
      <c r="F1229">
        <f>'Quick View_ Sample Data'!AO1232</f>
        <v>0</v>
      </c>
      <c r="G1229">
        <f>'Quick View_ Sample Data'!O1232</f>
        <v>424</v>
      </c>
      <c r="H1229">
        <f>'Quick View_ Sample Data'!AP1232</f>
        <v>0</v>
      </c>
      <c r="I1229">
        <f>'Quick View_ Sample Data'!AF1232</f>
        <v>0</v>
      </c>
      <c r="J1229">
        <f>'Quick View_ Sample Data'!AJ1232</f>
        <v>0</v>
      </c>
      <c r="K1229">
        <f>'Quick View_ Sample Data'!AH1232</f>
        <v>344.87881804819199</v>
      </c>
      <c r="L1229">
        <f t="shared" si="19"/>
        <v>0</v>
      </c>
    </row>
    <row r="1230" spans="1:12" ht="12.75" customHeight="1">
      <c r="A1230" s="321"/>
      <c r="B1230" t="str">
        <f>'Quick View_ Sample Data'!P1233</f>
        <v>SiO2</v>
      </c>
      <c r="C1230">
        <f>'Quick View_ Sample Data'!O1233</f>
        <v>424</v>
      </c>
      <c r="D1230">
        <f>'Quick View_ Sample Data'!AN1233</f>
        <v>0</v>
      </c>
      <c r="E1230">
        <f>'Quick View_ Sample Data'!O1233</f>
        <v>424</v>
      </c>
      <c r="F1230">
        <f>'Quick View_ Sample Data'!AO1233</f>
        <v>0</v>
      </c>
      <c r="G1230">
        <f>'Quick View_ Sample Data'!O1233</f>
        <v>424</v>
      </c>
      <c r="H1230">
        <f>'Quick View_ Sample Data'!AP1233</f>
        <v>0</v>
      </c>
      <c r="I1230">
        <f>'Quick View_ Sample Data'!AF1233</f>
        <v>0</v>
      </c>
      <c r="J1230">
        <f>'Quick View_ Sample Data'!AJ1233</f>
        <v>10.5</v>
      </c>
      <c r="K1230">
        <f>'Quick View_ Sample Data'!AH1233</f>
        <v>619.64000780205401</v>
      </c>
      <c r="L1230">
        <f t="shared" si="19"/>
        <v>0</v>
      </c>
    </row>
    <row r="1231" spans="1:12" ht="12.75" customHeight="1">
      <c r="A1231" s="321"/>
      <c r="B1231" t="str">
        <f>'Quick View_ Sample Data'!P1234</f>
        <v>SiO2</v>
      </c>
      <c r="C1231">
        <f>'Quick View_ Sample Data'!O1234</f>
        <v>424</v>
      </c>
      <c r="D1231">
        <f>'Quick View_ Sample Data'!AN1234</f>
        <v>0</v>
      </c>
      <c r="E1231">
        <f>'Quick View_ Sample Data'!O1234</f>
        <v>424</v>
      </c>
      <c r="F1231">
        <f>'Quick View_ Sample Data'!AO1234</f>
        <v>0</v>
      </c>
      <c r="G1231">
        <f>'Quick View_ Sample Data'!O1234</f>
        <v>424</v>
      </c>
      <c r="H1231">
        <f>'Quick View_ Sample Data'!AP1234</f>
        <v>0</v>
      </c>
      <c r="I1231">
        <f>'Quick View_ Sample Data'!AF1234</f>
        <v>0</v>
      </c>
      <c r="J1231">
        <f>'Quick View_ Sample Data'!AJ1234</f>
        <v>10.6</v>
      </c>
      <c r="K1231">
        <f>'Quick View_ Sample Data'!AH1234</f>
        <v>624.10041672662999</v>
      </c>
      <c r="L1231">
        <f t="shared" si="19"/>
        <v>0</v>
      </c>
    </row>
    <row r="1232" spans="1:12" ht="12.75" customHeight="1">
      <c r="A1232" s="321"/>
      <c r="B1232" t="str">
        <f>'Quick View_ Sample Data'!P1235</f>
        <v>MgO</v>
      </c>
      <c r="C1232">
        <f>'Quick View_ Sample Data'!O1235</f>
        <v>425</v>
      </c>
      <c r="D1232">
        <f>'Quick View_ Sample Data'!AN1235</f>
        <v>0</v>
      </c>
      <c r="E1232">
        <f>'Quick View_ Sample Data'!O1235</f>
        <v>425</v>
      </c>
      <c r="F1232">
        <f>'Quick View_ Sample Data'!AO1235</f>
        <v>0</v>
      </c>
      <c r="G1232">
        <f>'Quick View_ Sample Data'!O1235</f>
        <v>425</v>
      </c>
      <c r="H1232">
        <f>'Quick View_ Sample Data'!AP1235</f>
        <v>0</v>
      </c>
      <c r="I1232">
        <f>'Quick View_ Sample Data'!AF1235</f>
        <v>0</v>
      </c>
      <c r="J1232">
        <f>'Quick View_ Sample Data'!AJ1235</f>
        <v>0</v>
      </c>
      <c r="K1232">
        <f>'Quick View_ Sample Data'!AH1235</f>
        <v>348.62556154483599</v>
      </c>
      <c r="L1232">
        <f t="shared" si="19"/>
        <v>0</v>
      </c>
    </row>
    <row r="1233" spans="1:12" ht="12.75" customHeight="1">
      <c r="A1233" s="321"/>
      <c r="B1233" t="str">
        <f>'Quick View_ Sample Data'!P1236</f>
        <v>SiO2</v>
      </c>
      <c r="C1233">
        <f>'Quick View_ Sample Data'!O1236</f>
        <v>425</v>
      </c>
      <c r="D1233">
        <f>'Quick View_ Sample Data'!AN1236</f>
        <v>0</v>
      </c>
      <c r="E1233">
        <f>'Quick View_ Sample Data'!O1236</f>
        <v>425</v>
      </c>
      <c r="F1233">
        <f>'Quick View_ Sample Data'!AO1236</f>
        <v>0</v>
      </c>
      <c r="G1233">
        <f>'Quick View_ Sample Data'!O1236</f>
        <v>425</v>
      </c>
      <c r="H1233">
        <f>'Quick View_ Sample Data'!AP1236</f>
        <v>0</v>
      </c>
      <c r="I1233">
        <f>'Quick View_ Sample Data'!AF1236</f>
        <v>0</v>
      </c>
      <c r="J1233">
        <f>'Quick View_ Sample Data'!AJ1236</f>
        <v>10.9</v>
      </c>
      <c r="K1233">
        <f>'Quick View_ Sample Data'!AH1236</f>
        <v>509.91394825749302</v>
      </c>
      <c r="L1233">
        <f t="shared" si="19"/>
        <v>0</v>
      </c>
    </row>
    <row r="1234" spans="1:12" ht="12.75" customHeight="1">
      <c r="A1234" s="321"/>
      <c r="B1234" t="str">
        <f>'Quick View_ Sample Data'!P1237</f>
        <v>SiO2</v>
      </c>
      <c r="C1234">
        <f>'Quick View_ Sample Data'!O1237</f>
        <v>425</v>
      </c>
      <c r="D1234">
        <f>'Quick View_ Sample Data'!AN1237</f>
        <v>0</v>
      </c>
      <c r="E1234">
        <f>'Quick View_ Sample Data'!O1237</f>
        <v>425</v>
      </c>
      <c r="F1234">
        <f>'Quick View_ Sample Data'!AO1237</f>
        <v>0</v>
      </c>
      <c r="G1234">
        <f>'Quick View_ Sample Data'!O1237</f>
        <v>425</v>
      </c>
      <c r="H1234">
        <f>'Quick View_ Sample Data'!AP1237</f>
        <v>0</v>
      </c>
      <c r="I1234">
        <f>'Quick View_ Sample Data'!AF1237</f>
        <v>0</v>
      </c>
      <c r="J1234">
        <f>'Quick View_ Sample Data'!AJ1237</f>
        <v>11</v>
      </c>
      <c r="K1234">
        <f>'Quick View_ Sample Data'!AH1237</f>
        <v>507.59453561671302</v>
      </c>
      <c r="L1234">
        <f t="shared" si="19"/>
        <v>0</v>
      </c>
    </row>
    <row r="1235" spans="1:12" ht="12.75" customHeight="1">
      <c r="A1235" s="321"/>
      <c r="B1235" t="str">
        <f>'Quick View_ Sample Data'!P1238</f>
        <v>Al2O3</v>
      </c>
      <c r="C1235">
        <f>'Quick View_ Sample Data'!O1238</f>
        <v>426</v>
      </c>
      <c r="D1235">
        <f>'Quick View_ Sample Data'!AN1238</f>
        <v>0</v>
      </c>
      <c r="E1235">
        <f>'Quick View_ Sample Data'!O1238</f>
        <v>426</v>
      </c>
      <c r="F1235">
        <f>'Quick View_ Sample Data'!AO1238</f>
        <v>0</v>
      </c>
      <c r="G1235">
        <f>'Quick View_ Sample Data'!O1238</f>
        <v>426</v>
      </c>
      <c r="H1235">
        <f>'Quick View_ Sample Data'!AP1238</f>
        <v>0</v>
      </c>
      <c r="I1235">
        <f>'Quick View_ Sample Data'!AF1238</f>
        <v>0</v>
      </c>
      <c r="J1235">
        <f>'Quick View_ Sample Data'!AJ1238</f>
        <v>0</v>
      </c>
      <c r="K1235">
        <f>'Quick View_ Sample Data'!AH1238</f>
        <v>429.80500397211301</v>
      </c>
      <c r="L1235">
        <f t="shared" si="19"/>
        <v>0</v>
      </c>
    </row>
    <row r="1236" spans="1:12" ht="12.75" customHeight="1">
      <c r="A1236" s="321"/>
      <c r="B1236" t="str">
        <f>'Quick View_ Sample Data'!P1239</f>
        <v>SiO2</v>
      </c>
      <c r="C1236">
        <f>'Quick View_ Sample Data'!O1239</f>
        <v>425</v>
      </c>
      <c r="D1236">
        <f>'Quick View_ Sample Data'!AN1239</f>
        <v>0</v>
      </c>
      <c r="E1236">
        <f>'Quick View_ Sample Data'!O1239</f>
        <v>425</v>
      </c>
      <c r="F1236">
        <f>'Quick View_ Sample Data'!AO1239</f>
        <v>0</v>
      </c>
      <c r="G1236">
        <f>'Quick View_ Sample Data'!O1239</f>
        <v>425</v>
      </c>
      <c r="H1236">
        <f>'Quick View_ Sample Data'!AP1239</f>
        <v>0</v>
      </c>
      <c r="I1236">
        <f>'Quick View_ Sample Data'!AF1239</f>
        <v>0</v>
      </c>
      <c r="J1236">
        <f>'Quick View_ Sample Data'!AJ1239</f>
        <v>10.84</v>
      </c>
      <c r="K1236">
        <f>'Quick View_ Sample Data'!AH1239</f>
        <v>542.20730887142099</v>
      </c>
      <c r="L1236">
        <f t="shared" si="19"/>
        <v>0</v>
      </c>
    </row>
    <row r="1237" spans="1:12" ht="12.75" customHeight="1">
      <c r="A1237" s="321"/>
      <c r="B1237" t="str">
        <f>'Quick View_ Sample Data'!P1240</f>
        <v>SiO2</v>
      </c>
      <c r="C1237">
        <f>'Quick View_ Sample Data'!O1240</f>
        <v>426</v>
      </c>
      <c r="D1237">
        <f>'Quick View_ Sample Data'!AN1240</f>
        <v>0</v>
      </c>
      <c r="E1237">
        <f>'Quick View_ Sample Data'!O1240</f>
        <v>426</v>
      </c>
      <c r="F1237">
        <f>'Quick View_ Sample Data'!AO1240</f>
        <v>0</v>
      </c>
      <c r="G1237">
        <f>'Quick View_ Sample Data'!O1240</f>
        <v>426</v>
      </c>
      <c r="H1237">
        <f>'Quick View_ Sample Data'!AP1240</f>
        <v>0</v>
      </c>
      <c r="I1237">
        <f>'Quick View_ Sample Data'!AF1240</f>
        <v>0</v>
      </c>
      <c r="J1237">
        <f>'Quick View_ Sample Data'!AJ1240</f>
        <v>10.89</v>
      </c>
      <c r="K1237">
        <f>'Quick View_ Sample Data'!AH1240</f>
        <v>543.45622337030204</v>
      </c>
      <c r="L1237">
        <f t="shared" si="19"/>
        <v>0</v>
      </c>
    </row>
    <row r="1238" spans="1:12" ht="12.75" customHeight="1">
      <c r="A1238" s="321"/>
      <c r="B1238" t="str">
        <f>'Quick View_ Sample Data'!P1241</f>
        <v>Al2O3</v>
      </c>
      <c r="C1238">
        <f>'Quick View_ Sample Data'!O1241</f>
        <v>427</v>
      </c>
      <c r="D1238">
        <f>'Quick View_ Sample Data'!AN1241</f>
        <v>0</v>
      </c>
      <c r="E1238">
        <f>'Quick View_ Sample Data'!O1241</f>
        <v>427</v>
      </c>
      <c r="F1238">
        <f>'Quick View_ Sample Data'!AO1241</f>
        <v>0</v>
      </c>
      <c r="G1238">
        <f>'Quick View_ Sample Data'!O1241</f>
        <v>427</v>
      </c>
      <c r="H1238">
        <f>'Quick View_ Sample Data'!AP1241</f>
        <v>0</v>
      </c>
      <c r="I1238">
        <f>'Quick View_ Sample Data'!AF1241</f>
        <v>0</v>
      </c>
      <c r="J1238">
        <f>'Quick View_ Sample Data'!AJ1241</f>
        <v>0</v>
      </c>
      <c r="K1238">
        <f>'Quick View_ Sample Data'!AH1241</f>
        <v>474.40909321787001</v>
      </c>
      <c r="L1238">
        <f t="shared" si="19"/>
        <v>0</v>
      </c>
    </row>
    <row r="1239" spans="1:12" ht="12.75" customHeight="1">
      <c r="A1239" s="321"/>
      <c r="B1239" t="str">
        <f>'Quick View_ Sample Data'!P1242</f>
        <v>SiO2</v>
      </c>
      <c r="C1239">
        <f>'Quick View_ Sample Data'!O1242</f>
        <v>427</v>
      </c>
      <c r="D1239">
        <f>'Quick View_ Sample Data'!AN1242</f>
        <v>0</v>
      </c>
      <c r="E1239">
        <f>'Quick View_ Sample Data'!O1242</f>
        <v>427</v>
      </c>
      <c r="F1239">
        <f>'Quick View_ Sample Data'!AO1242</f>
        <v>0</v>
      </c>
      <c r="G1239">
        <f>'Quick View_ Sample Data'!O1242</f>
        <v>427</v>
      </c>
      <c r="H1239">
        <f>'Quick View_ Sample Data'!AP1242</f>
        <v>0</v>
      </c>
      <c r="I1239">
        <f>'Quick View_ Sample Data'!AF1242</f>
        <v>0</v>
      </c>
      <c r="J1239">
        <f>'Quick View_ Sample Data'!AJ1242</f>
        <v>10.93</v>
      </c>
      <c r="K1239">
        <f>'Quick View_ Sample Data'!AH1242</f>
        <v>549.16554679375804</v>
      </c>
      <c r="L1239">
        <f t="shared" si="19"/>
        <v>0</v>
      </c>
    </row>
    <row r="1240" spans="1:12" ht="12.75" customHeight="1">
      <c r="A1240" s="321"/>
      <c r="B1240" t="str">
        <f>'Quick View_ Sample Data'!P1243</f>
        <v>SiO2</v>
      </c>
      <c r="C1240">
        <f>'Quick View_ Sample Data'!O1243</f>
        <v>427</v>
      </c>
      <c r="D1240">
        <f>'Quick View_ Sample Data'!AN1243</f>
        <v>0</v>
      </c>
      <c r="E1240">
        <f>'Quick View_ Sample Data'!O1243</f>
        <v>427</v>
      </c>
      <c r="F1240">
        <f>'Quick View_ Sample Data'!AO1243</f>
        <v>0</v>
      </c>
      <c r="G1240">
        <f>'Quick View_ Sample Data'!O1243</f>
        <v>427</v>
      </c>
      <c r="H1240">
        <f>'Quick View_ Sample Data'!AP1243</f>
        <v>0</v>
      </c>
      <c r="I1240">
        <f>'Quick View_ Sample Data'!AF1243</f>
        <v>0</v>
      </c>
      <c r="J1240">
        <f>'Quick View_ Sample Data'!AJ1243</f>
        <v>11.02</v>
      </c>
      <c r="K1240">
        <f>'Quick View_ Sample Data'!AH1243</f>
        <v>552.19862486246996</v>
      </c>
      <c r="L1240">
        <f t="shared" si="19"/>
        <v>0</v>
      </c>
    </row>
    <row r="1241" spans="1:12" ht="12.75" customHeight="1">
      <c r="A1241" s="321"/>
      <c r="B1241">
        <f>'Quick View_ Sample Data'!P1244</f>
        <v>0</v>
      </c>
      <c r="C1241">
        <f>'Quick View_ Sample Data'!O1244</f>
        <v>0</v>
      </c>
      <c r="D1241">
        <f>'Quick View_ Sample Data'!AN1244</f>
        <v>0</v>
      </c>
      <c r="E1241">
        <f>'Quick View_ Sample Data'!O1244</f>
        <v>0</v>
      </c>
      <c r="F1241">
        <f>'Quick View_ Sample Data'!AO1244</f>
        <v>0</v>
      </c>
      <c r="G1241">
        <f>'Quick View_ Sample Data'!O1244</f>
        <v>0</v>
      </c>
      <c r="H1241" t="e">
        <f>'Quick View_ Sample Data'!AP1244</f>
        <v>#DIV/0!</v>
      </c>
      <c r="I1241">
        <f>'Quick View_ Sample Data'!AF1244</f>
        <v>0</v>
      </c>
      <c r="J1241">
        <f>'Quick View_ Sample Data'!AJ1244</f>
        <v>0</v>
      </c>
      <c r="K1241">
        <f>'Quick View_ Sample Data'!AH1244</f>
        <v>0</v>
      </c>
      <c r="L1241">
        <f t="shared" si="19"/>
        <v>0</v>
      </c>
    </row>
    <row r="1242" spans="1:12" ht="12.75" customHeight="1">
      <c r="A1242" s="321"/>
      <c r="B1242" t="str">
        <f>'Quick View_ Sample Data'!P1245</f>
        <v>MgO</v>
      </c>
      <c r="C1242">
        <f>'Quick View_ Sample Data'!O1245</f>
        <v>442</v>
      </c>
      <c r="D1242">
        <f>'Quick View_ Sample Data'!AN1245</f>
        <v>0</v>
      </c>
      <c r="E1242">
        <f>'Quick View_ Sample Data'!O1245</f>
        <v>442</v>
      </c>
      <c r="F1242">
        <f>'Quick View_ Sample Data'!AO1245</f>
        <v>0</v>
      </c>
      <c r="G1242">
        <f>'Quick View_ Sample Data'!O1245</f>
        <v>442</v>
      </c>
      <c r="H1242">
        <f>'Quick View_ Sample Data'!AP1245</f>
        <v>0</v>
      </c>
      <c r="I1242">
        <f>'Quick View_ Sample Data'!AF1245</f>
        <v>0</v>
      </c>
      <c r="J1242">
        <f>'Quick View_ Sample Data'!AJ1245</f>
        <v>0</v>
      </c>
      <c r="K1242">
        <f>'Quick View_ Sample Data'!AH1245</f>
        <v>0</v>
      </c>
      <c r="L1242">
        <f t="shared" si="19"/>
        <v>0</v>
      </c>
    </row>
    <row r="1243" spans="1:12" ht="12.75" customHeight="1">
      <c r="A1243" s="321"/>
      <c r="B1243" t="str">
        <f>'Quick View_ Sample Data'!P1246</f>
        <v>SiO2</v>
      </c>
      <c r="C1243">
        <f>'Quick View_ Sample Data'!O1246</f>
        <v>442</v>
      </c>
      <c r="D1243">
        <f>'Quick View_ Sample Data'!AN1246</f>
        <v>0</v>
      </c>
      <c r="E1243">
        <f>'Quick View_ Sample Data'!O1246</f>
        <v>442</v>
      </c>
      <c r="F1243">
        <f>'Quick View_ Sample Data'!AO1246</f>
        <v>0</v>
      </c>
      <c r="G1243">
        <f>'Quick View_ Sample Data'!O1246</f>
        <v>442</v>
      </c>
      <c r="H1243">
        <f>'Quick View_ Sample Data'!AP1246</f>
        <v>0</v>
      </c>
      <c r="I1243">
        <f>'Quick View_ Sample Data'!AF1246</f>
        <v>0</v>
      </c>
      <c r="J1243">
        <f>'Quick View_ Sample Data'!AJ1246</f>
        <v>0</v>
      </c>
      <c r="K1243">
        <f>'Quick View_ Sample Data'!AH1246</f>
        <v>0</v>
      </c>
      <c r="L1243">
        <f t="shared" si="19"/>
        <v>0</v>
      </c>
    </row>
    <row r="1244" spans="1:12" ht="12.75" customHeight="1">
      <c r="A1244" s="321"/>
      <c r="B1244" t="str">
        <f>'Quick View_ Sample Data'!P1247</f>
        <v>SiO2</v>
      </c>
      <c r="C1244">
        <f>'Quick View_ Sample Data'!O1247</f>
        <v>442</v>
      </c>
      <c r="D1244">
        <f>'Quick View_ Sample Data'!AN1247</f>
        <v>0</v>
      </c>
      <c r="E1244">
        <f>'Quick View_ Sample Data'!O1247</f>
        <v>442</v>
      </c>
      <c r="F1244">
        <f>'Quick View_ Sample Data'!AO1247</f>
        <v>0</v>
      </c>
      <c r="G1244">
        <f>'Quick View_ Sample Data'!O1247</f>
        <v>442</v>
      </c>
      <c r="H1244">
        <f>'Quick View_ Sample Data'!AP1247</f>
        <v>0</v>
      </c>
      <c r="I1244">
        <f>'Quick View_ Sample Data'!AF1247</f>
        <v>0</v>
      </c>
      <c r="J1244">
        <f>'Quick View_ Sample Data'!AJ1247</f>
        <v>0</v>
      </c>
      <c r="K1244">
        <f>'Quick View_ Sample Data'!AH1247</f>
        <v>0</v>
      </c>
      <c r="L1244">
        <f t="shared" si="19"/>
        <v>0</v>
      </c>
    </row>
    <row r="1245" spans="1:12" ht="12.75" customHeight="1">
      <c r="A1245" s="321"/>
      <c r="B1245">
        <f>'Quick View_ Sample Data'!P1248</f>
        <v>0</v>
      </c>
      <c r="C1245">
        <f>'Quick View_ Sample Data'!O1248</f>
        <v>0</v>
      </c>
      <c r="D1245">
        <f>'Quick View_ Sample Data'!AN1248</f>
        <v>0</v>
      </c>
      <c r="E1245">
        <f>'Quick View_ Sample Data'!O1248</f>
        <v>0</v>
      </c>
      <c r="F1245">
        <f>'Quick View_ Sample Data'!AO1248</f>
        <v>0</v>
      </c>
      <c r="G1245">
        <f>'Quick View_ Sample Data'!O1248</f>
        <v>0</v>
      </c>
      <c r="H1245">
        <f>'Quick View_ Sample Data'!AP1248</f>
        <v>0</v>
      </c>
      <c r="I1245">
        <f>'Quick View_ Sample Data'!AF1248</f>
        <v>0</v>
      </c>
      <c r="J1245">
        <f>'Quick View_ Sample Data'!AJ1248</f>
        <v>0</v>
      </c>
      <c r="K1245">
        <f>'Quick View_ Sample Data'!AH1248</f>
        <v>0</v>
      </c>
      <c r="L1245">
        <f t="shared" si="19"/>
        <v>0</v>
      </c>
    </row>
    <row r="1246" spans="1:12" ht="12.75" customHeight="1">
      <c r="A1246" s="321"/>
      <c r="B1246" t="str">
        <f>'Quick View_ Sample Data'!P1249</f>
        <v>MgO</v>
      </c>
      <c r="C1246">
        <f>'Quick View_ Sample Data'!O1249</f>
        <v>457</v>
      </c>
      <c r="D1246">
        <f>'Quick View_ Sample Data'!AN1249</f>
        <v>220.68319195230688</v>
      </c>
      <c r="E1246">
        <f>'Quick View_ Sample Data'!O1249</f>
        <v>457</v>
      </c>
      <c r="F1246">
        <f>'Quick View_ Sample Data'!AO1249</f>
        <v>21450.406257764229</v>
      </c>
      <c r="G1246">
        <f>'Quick View_ Sample Data'!O1249</f>
        <v>457</v>
      </c>
      <c r="H1246">
        <f>'Quick View_ Sample Data'!AP1249</f>
        <v>3.3928571428571428</v>
      </c>
      <c r="I1246">
        <f>'Quick View_ Sample Data'!AF1249</f>
        <v>4.1500000000000004</v>
      </c>
      <c r="J1246">
        <f>'Quick View_ Sample Data'!AJ1249</f>
        <v>9.7200000000000006</v>
      </c>
      <c r="K1246">
        <f>'Quick View_ Sample Data'!AH1249</f>
        <v>464.59619358380399</v>
      </c>
      <c r="L1246">
        <f t="shared" si="19"/>
        <v>40.338000000000008</v>
      </c>
    </row>
    <row r="1247" spans="1:12" ht="12.75" customHeight="1">
      <c r="A1247" s="321"/>
      <c r="B1247" t="str">
        <f>'Quick View_ Sample Data'!P1250</f>
        <v>SiO2</v>
      </c>
      <c r="C1247">
        <f>'Quick View_ Sample Data'!O1250</f>
        <v>457</v>
      </c>
      <c r="D1247">
        <f>'Quick View_ Sample Data'!AN1250</f>
        <v>195.17910897065377</v>
      </c>
      <c r="E1247">
        <f>'Quick View_ Sample Data'!O1250</f>
        <v>457</v>
      </c>
      <c r="F1247">
        <f>'Quick View_ Sample Data'!AO1250</f>
        <v>22874.991571360624</v>
      </c>
      <c r="G1247">
        <f>'Quick View_ Sample Data'!O1250</f>
        <v>457</v>
      </c>
      <c r="H1247">
        <f>'Quick View_ Sample Data'!AP1250</f>
        <v>3.2928571428571431</v>
      </c>
      <c r="I1247">
        <f>'Quick View_ Sample Data'!AF1250</f>
        <v>0</v>
      </c>
      <c r="J1247">
        <f>'Quick View_ Sample Data'!AJ1250</f>
        <v>11.72</v>
      </c>
      <c r="K1247">
        <f>'Quick View_ Sample Data'!AH1250</f>
        <v>423.38201512072402</v>
      </c>
      <c r="L1247">
        <f t="shared" si="19"/>
        <v>0</v>
      </c>
    </row>
    <row r="1248" spans="1:12" ht="12.75" customHeight="1">
      <c r="A1248" s="321"/>
      <c r="B1248" t="str">
        <f>'Quick View_ Sample Data'!P1251</f>
        <v>SiO2</v>
      </c>
      <c r="C1248">
        <f>'Quick View_ Sample Data'!O1251</f>
        <v>457</v>
      </c>
      <c r="D1248">
        <f>'Quick View_ Sample Data'!AN1251</f>
        <v>198.26374936653326</v>
      </c>
      <c r="E1248">
        <f>'Quick View_ Sample Data'!O1251</f>
        <v>457</v>
      </c>
      <c r="F1248">
        <f>'Quick View_ Sample Data'!AO1251</f>
        <v>23058.074051327822</v>
      </c>
      <c r="G1248">
        <f>'Quick View_ Sample Data'!O1251</f>
        <v>457</v>
      </c>
      <c r="H1248">
        <f>'Quick View_ Sample Data'!AP1251</f>
        <v>3.1928571428571431</v>
      </c>
      <c r="I1248">
        <f>'Quick View_ Sample Data'!AF1251</f>
        <v>0</v>
      </c>
      <c r="J1248">
        <f>'Quick View_ Sample Data'!AJ1251</f>
        <v>11.63</v>
      </c>
      <c r="K1248">
        <f>'Quick View_ Sample Data'!AH1251</f>
        <v>443.54306345980598</v>
      </c>
      <c r="L1248">
        <f t="shared" si="19"/>
        <v>0</v>
      </c>
    </row>
    <row r="1249" spans="1:12" ht="12.75" customHeight="1">
      <c r="A1249" s="321"/>
      <c r="B1249" t="str">
        <f>'Quick View_ Sample Data'!P1252</f>
        <v>MgO</v>
      </c>
      <c r="C1249">
        <f>'Quick View_ Sample Data'!O1252</f>
        <v>458</v>
      </c>
      <c r="D1249">
        <f>'Quick View_ Sample Data'!AN1252</f>
        <v>216.54357563758634</v>
      </c>
      <c r="E1249">
        <f>'Quick View_ Sample Data'!O1252</f>
        <v>458</v>
      </c>
      <c r="F1249">
        <f>'Quick View_ Sample Data'!AO1252</f>
        <v>21048.035551973397</v>
      </c>
      <c r="G1249">
        <f>'Quick View_ Sample Data'!O1252</f>
        <v>458</v>
      </c>
      <c r="H1249">
        <f>'Quick View_ Sample Data'!AP1252</f>
        <v>3.4928571428571429</v>
      </c>
      <c r="I1249">
        <f>'Quick View_ Sample Data'!AF1252</f>
        <v>4.09</v>
      </c>
      <c r="J1249">
        <f>'Quick View_ Sample Data'!AJ1252</f>
        <v>9.7200000000000006</v>
      </c>
      <c r="K1249">
        <f>'Quick View_ Sample Data'!AH1252</f>
        <v>442.82939803187401</v>
      </c>
      <c r="L1249">
        <f t="shared" si="19"/>
        <v>39.754800000000003</v>
      </c>
    </row>
    <row r="1250" spans="1:12" ht="12.75" customHeight="1">
      <c r="A1250" s="321"/>
      <c r="B1250" t="str">
        <f>'Quick View_ Sample Data'!P1253</f>
        <v>SiO2</v>
      </c>
      <c r="C1250">
        <f>'Quick View_ Sample Data'!O1253</f>
        <v>458</v>
      </c>
      <c r="D1250">
        <f>'Quick View_ Sample Data'!AN1253</f>
        <v>194.21940738644241</v>
      </c>
      <c r="E1250">
        <f>'Quick View_ Sample Data'!O1253</f>
        <v>458</v>
      </c>
      <c r="F1250">
        <f>'Quick View_ Sample Data'!AO1253</f>
        <v>22723.670664213761</v>
      </c>
      <c r="G1250">
        <f>'Quick View_ Sample Data'!O1253</f>
        <v>458</v>
      </c>
      <c r="H1250">
        <f>'Quick View_ Sample Data'!AP1253</f>
        <v>3.2642857142857142</v>
      </c>
      <c r="I1250">
        <f>'Quick View_ Sample Data'!AF1253</f>
        <v>0</v>
      </c>
      <c r="J1250">
        <f>'Quick View_ Sample Data'!AJ1253</f>
        <v>11.7</v>
      </c>
      <c r="K1250">
        <f>'Quick View_ Sample Data'!AH1253</f>
        <v>424.98776233357199</v>
      </c>
      <c r="L1250">
        <f t="shared" si="19"/>
        <v>0</v>
      </c>
    </row>
    <row r="1251" spans="1:12" ht="12.75" customHeight="1">
      <c r="A1251" s="321"/>
      <c r="B1251" t="str">
        <f>'Quick View_ Sample Data'!P1254</f>
        <v>SiO2</v>
      </c>
      <c r="C1251">
        <f>'Quick View_ Sample Data'!O1254</f>
        <v>458</v>
      </c>
      <c r="D1251">
        <f>'Quick View_ Sample Data'!AN1254</f>
        <v>195.23299071046296</v>
      </c>
      <c r="E1251">
        <f>'Quick View_ Sample Data'!O1254</f>
        <v>458</v>
      </c>
      <c r="F1251">
        <f>'Quick View_ Sample Data'!AO1254</f>
        <v>22686.073520555794</v>
      </c>
      <c r="G1251">
        <f>'Quick View_ Sample Data'!O1254</f>
        <v>458</v>
      </c>
      <c r="H1251">
        <f>'Quick View_ Sample Data'!AP1254</f>
        <v>3.1785714285714284</v>
      </c>
      <c r="I1251">
        <f>'Quick View_ Sample Data'!AF1254</f>
        <v>0</v>
      </c>
      <c r="J1251">
        <f>'Quick View_ Sample Data'!AJ1254</f>
        <v>11.62</v>
      </c>
      <c r="K1251">
        <f>'Quick View_ Sample Data'!AH1254</f>
        <v>438.72582182126501</v>
      </c>
      <c r="L1251">
        <f t="shared" si="19"/>
        <v>0</v>
      </c>
    </row>
    <row r="1252" spans="1:12" ht="12.75" customHeight="1">
      <c r="A1252" s="321"/>
      <c r="B1252" t="str">
        <f>'Quick View_ Sample Data'!P1255</f>
        <v>MgO</v>
      </c>
      <c r="C1252">
        <f>'Quick View_ Sample Data'!O1255</f>
        <v>459</v>
      </c>
      <c r="D1252">
        <f>'Quick View_ Sample Data'!AN1255</f>
        <v>215.49341696038431</v>
      </c>
      <c r="E1252">
        <f>'Quick View_ Sample Data'!O1255</f>
        <v>459</v>
      </c>
      <c r="F1252">
        <f>'Quick View_ Sample Data'!AO1255</f>
        <v>0</v>
      </c>
      <c r="G1252">
        <f>'Quick View_ Sample Data'!O1255</f>
        <v>459</v>
      </c>
      <c r="H1252">
        <f>'Quick View_ Sample Data'!AP1255</f>
        <v>3.5857142857142854</v>
      </c>
      <c r="I1252">
        <f>'Quick View_ Sample Data'!AF1255</f>
        <v>4.16</v>
      </c>
      <c r="J1252">
        <f>'Quick View_ Sample Data'!AJ1255</f>
        <v>0</v>
      </c>
      <c r="K1252">
        <f>'Quick View_ Sample Data'!AH1255</f>
        <v>429.26975490116399</v>
      </c>
      <c r="L1252">
        <f t="shared" si="19"/>
        <v>0</v>
      </c>
    </row>
    <row r="1253" spans="1:12" ht="12.75" customHeight="1">
      <c r="A1253" s="321"/>
      <c r="B1253" t="str">
        <f>'Quick View_ Sample Data'!P1256</f>
        <v>SiO2</v>
      </c>
      <c r="C1253">
        <f>'Quick View_ Sample Data'!O1256</f>
        <v>459</v>
      </c>
      <c r="D1253">
        <f>'Quick View_ Sample Data'!AN1256</f>
        <v>196.98022209439742</v>
      </c>
      <c r="E1253">
        <f>'Quick View_ Sample Data'!O1256</f>
        <v>459</v>
      </c>
      <c r="F1253">
        <f>'Quick View_ Sample Data'!AO1256</f>
        <v>22731.517629693459</v>
      </c>
      <c r="G1253">
        <f>'Quick View_ Sample Data'!O1256</f>
        <v>459</v>
      </c>
      <c r="H1253">
        <f>'Quick View_ Sample Data'!AP1256</f>
        <v>3.2214285714285715</v>
      </c>
      <c r="I1253">
        <f>'Quick View_ Sample Data'!AF1256</f>
        <v>0</v>
      </c>
      <c r="J1253">
        <f>'Quick View_ Sample Data'!AJ1256</f>
        <v>11.54</v>
      </c>
      <c r="K1253">
        <f>'Quick View_ Sample Data'!AH1256</f>
        <v>436.76324189445103</v>
      </c>
      <c r="L1253">
        <f t="shared" si="19"/>
        <v>0</v>
      </c>
    </row>
    <row r="1254" spans="1:12" ht="12.75" customHeight="1">
      <c r="A1254" s="321"/>
      <c r="B1254" t="str">
        <f>'Quick View_ Sample Data'!P1257</f>
        <v>SiO2</v>
      </c>
      <c r="C1254">
        <f>'Quick View_ Sample Data'!O1257</f>
        <v>459</v>
      </c>
      <c r="D1254">
        <f>'Quick View_ Sample Data'!AN1257</f>
        <v>196.74703191582057</v>
      </c>
      <c r="E1254">
        <f>'Quick View_ Sample Data'!O1257</f>
        <v>459</v>
      </c>
      <c r="F1254">
        <f>'Quick View_ Sample Data'!AO1257</f>
        <v>22763.63159266044</v>
      </c>
      <c r="G1254">
        <f>'Quick View_ Sample Data'!O1257</f>
        <v>459</v>
      </c>
      <c r="H1254">
        <f>'Quick View_ Sample Data'!AP1257</f>
        <v>3.2642857142857142</v>
      </c>
      <c r="I1254">
        <f>'Quick View_ Sample Data'!AF1257</f>
        <v>0</v>
      </c>
      <c r="J1254">
        <f>'Quick View_ Sample Data'!AJ1257</f>
        <v>11.57</v>
      </c>
      <c r="K1254">
        <f>'Quick View_ Sample Data'!AH1257</f>
        <v>430.51866940004498</v>
      </c>
      <c r="L1254">
        <f t="shared" si="19"/>
        <v>0</v>
      </c>
    </row>
    <row r="1255" spans="1:12" ht="12.75" customHeight="1">
      <c r="A1255" s="321"/>
      <c r="B1255" t="str">
        <f>'Quick View_ Sample Data'!P1258</f>
        <v>MgO</v>
      </c>
      <c r="C1255">
        <f>'Quick View_ Sample Data'!O1258</f>
        <v>460</v>
      </c>
      <c r="D1255">
        <f>'Quick View_ Sample Data'!AN1258</f>
        <v>209.95091283070678</v>
      </c>
      <c r="E1255">
        <f>'Quick View_ Sample Data'!O1258</f>
        <v>460</v>
      </c>
      <c r="F1255">
        <f>'Quick View_ Sample Data'!AO1258</f>
        <v>0</v>
      </c>
      <c r="G1255">
        <f>'Quick View_ Sample Data'!O1258</f>
        <v>460</v>
      </c>
      <c r="H1255">
        <f>'Quick View_ Sample Data'!AP1258</f>
        <v>3.6214285714285714</v>
      </c>
      <c r="I1255">
        <f>'Quick View_ Sample Data'!AF1258</f>
        <v>4.1500000000000004</v>
      </c>
      <c r="J1255">
        <f>'Quick View_ Sample Data'!AJ1258</f>
        <v>0</v>
      </c>
      <c r="K1255">
        <f>'Quick View_ Sample Data'!AH1258</f>
        <v>414.10436455760703</v>
      </c>
      <c r="L1255">
        <f t="shared" si="19"/>
        <v>0</v>
      </c>
    </row>
    <row r="1256" spans="1:12" ht="12.75" customHeight="1">
      <c r="A1256" s="321"/>
      <c r="B1256" t="str">
        <f>'Quick View_ Sample Data'!P1259</f>
        <v>SiO2</v>
      </c>
      <c r="C1256">
        <f>'Quick View_ Sample Data'!O1259</f>
        <v>460</v>
      </c>
      <c r="D1256">
        <f>'Quick View_ Sample Data'!AN1259</f>
        <v>192.94016210687397</v>
      </c>
      <c r="E1256">
        <f>'Quick View_ Sample Data'!O1259</f>
        <v>460</v>
      </c>
      <c r="F1256">
        <f>'Quick View_ Sample Data'!AO1259</f>
        <v>22824.82117724319</v>
      </c>
      <c r="G1256">
        <f>'Quick View_ Sample Data'!O1259</f>
        <v>460</v>
      </c>
      <c r="H1256">
        <f>'Quick View_ Sample Data'!AP1259</f>
        <v>3.2785714285714285</v>
      </c>
      <c r="I1256">
        <f>'Quick View_ Sample Data'!AF1259</f>
        <v>0</v>
      </c>
      <c r="J1256">
        <f>'Quick View_ Sample Data'!AJ1259</f>
        <v>11.83</v>
      </c>
      <c r="K1256">
        <f>'Quick View_ Sample Data'!AH1259</f>
        <v>420.34893705201301</v>
      </c>
      <c r="L1256">
        <f t="shared" si="19"/>
        <v>0</v>
      </c>
    </row>
    <row r="1257" spans="1:12" ht="12.75" customHeight="1">
      <c r="A1257" s="321"/>
      <c r="B1257" t="str">
        <f>'Quick View_ Sample Data'!P1260</f>
        <v>SiO2</v>
      </c>
      <c r="C1257">
        <f>'Quick View_ Sample Data'!O1260</f>
        <v>460</v>
      </c>
      <c r="D1257">
        <f>'Quick View_ Sample Data'!AN1260</f>
        <v>192.55264177950664</v>
      </c>
      <c r="E1257">
        <f>'Quick View_ Sample Data'!O1260</f>
        <v>460</v>
      </c>
      <c r="F1257">
        <f>'Quick View_ Sample Data'!AO1260</f>
        <v>22624.935409092031</v>
      </c>
      <c r="G1257">
        <f>'Quick View_ Sample Data'!O1260</f>
        <v>460</v>
      </c>
      <c r="H1257">
        <f>'Quick View_ Sample Data'!AP1260</f>
        <v>3.3</v>
      </c>
      <c r="I1257">
        <f>'Quick View_ Sample Data'!AF1260</f>
        <v>0</v>
      </c>
      <c r="J1257">
        <f>'Quick View_ Sample Data'!AJ1260</f>
        <v>11.75</v>
      </c>
      <c r="K1257">
        <f>'Quick View_ Sample Data'!AH1260</f>
        <v>416.78060991235202</v>
      </c>
      <c r="L1257">
        <f t="shared" si="19"/>
        <v>0</v>
      </c>
    </row>
    <row r="1258" spans="1:12" ht="12.75" customHeight="1">
      <c r="A1258" s="321"/>
      <c r="B1258" t="str">
        <f>'Quick View_ Sample Data'!P1261</f>
        <v>MgO</v>
      </c>
      <c r="C1258">
        <f>'Quick View_ Sample Data'!O1261</f>
        <v>461</v>
      </c>
      <c r="D1258">
        <f>'Quick View_ Sample Data'!AN1261</f>
        <v>208.30823343196371</v>
      </c>
      <c r="E1258">
        <f>'Quick View_ Sample Data'!O1261</f>
        <v>461</v>
      </c>
      <c r="F1258">
        <f>'Quick View_ Sample Data'!AO1261</f>
        <v>21601.563806894635</v>
      </c>
      <c r="G1258">
        <f>'Quick View_ Sample Data'!O1261</f>
        <v>461</v>
      </c>
      <c r="H1258">
        <f>'Quick View_ Sample Data'!AP1261</f>
        <v>3.625</v>
      </c>
      <c r="I1258">
        <f>'Quick View_ Sample Data'!AF1261</f>
        <v>4.8099999999999996</v>
      </c>
      <c r="J1258">
        <f>'Quick View_ Sample Data'!AJ1261</f>
        <v>10.37</v>
      </c>
      <c r="K1258">
        <f>'Quick View_ Sample Data'!AH1261</f>
        <v>359.15212660683397</v>
      </c>
      <c r="L1258">
        <f t="shared" si="19"/>
        <v>49.879699999999993</v>
      </c>
    </row>
    <row r="1259" spans="1:12" ht="12.75" customHeight="1">
      <c r="A1259" s="321"/>
      <c r="B1259" t="str">
        <f>'Quick View_ Sample Data'!P1262</f>
        <v>SiNx</v>
      </c>
      <c r="C1259">
        <f>'Quick View_ Sample Data'!O1262</f>
        <v>461</v>
      </c>
      <c r="D1259">
        <f>'Quick View_ Sample Data'!AN1262</f>
        <v>167.24606570503428</v>
      </c>
      <c r="E1259">
        <f>'Quick View_ Sample Data'!O1262</f>
        <v>461</v>
      </c>
      <c r="F1259">
        <f>'Quick View_ Sample Data'!AO1262</f>
        <v>19902.281818899082</v>
      </c>
      <c r="G1259">
        <f>'Quick View_ Sample Data'!O1262</f>
        <v>461</v>
      </c>
      <c r="H1259">
        <f>'Quick View_ Sample Data'!AP1262</f>
        <v>2.9499999999999997</v>
      </c>
      <c r="I1259">
        <f>'Quick View_ Sample Data'!AF1262</f>
        <v>0</v>
      </c>
      <c r="J1259">
        <f>'Quick View_ Sample Data'!AJ1262</f>
        <v>11.9</v>
      </c>
      <c r="K1259">
        <f>'Quick View_ Sample Data'!AH1262</f>
        <v>354.33488496829301</v>
      </c>
      <c r="L1259">
        <f t="shared" si="19"/>
        <v>0</v>
      </c>
    </row>
    <row r="1260" spans="1:12" ht="12.75" customHeight="1">
      <c r="A1260" s="321"/>
      <c r="B1260" t="str">
        <f>'Quick View_ Sample Data'!P1263</f>
        <v>SiNx</v>
      </c>
      <c r="C1260">
        <f>'Quick View_ Sample Data'!O1263</f>
        <v>461</v>
      </c>
      <c r="D1260">
        <f>'Quick View_ Sample Data'!AN1263</f>
        <v>168.56598991399443</v>
      </c>
      <c r="E1260">
        <f>'Quick View_ Sample Data'!O1263</f>
        <v>461</v>
      </c>
      <c r="F1260">
        <f>'Quick View_ Sample Data'!AO1263</f>
        <v>20126.779195730935</v>
      </c>
      <c r="G1260">
        <f>'Quick View_ Sample Data'!O1263</f>
        <v>461</v>
      </c>
      <c r="H1260">
        <f>'Quick View_ Sample Data'!AP1263</f>
        <v>2.8875000000000002</v>
      </c>
      <c r="I1260">
        <f>'Quick View_ Sample Data'!AF1263</f>
        <v>0</v>
      </c>
      <c r="J1260">
        <f>'Quick View_ Sample Data'!AJ1263</f>
        <v>11.94</v>
      </c>
      <c r="K1260">
        <f>'Quick View_ Sample Data'!AH1263</f>
        <v>364.861450030291</v>
      </c>
      <c r="L1260">
        <f t="shared" si="19"/>
        <v>0</v>
      </c>
    </row>
    <row r="1261" spans="1:12" ht="12.75" customHeight="1">
      <c r="A1261" s="321"/>
      <c r="B1261" t="str">
        <f>'Quick View_ Sample Data'!P1264</f>
        <v>MgO</v>
      </c>
      <c r="C1261">
        <f>'Quick View_ Sample Data'!O1264</f>
        <v>463</v>
      </c>
      <c r="D1261">
        <f>'Quick View_ Sample Data'!AN1264</f>
        <v>230.82455609957901</v>
      </c>
      <c r="E1261">
        <f>'Quick View_ Sample Data'!O1264</f>
        <v>463</v>
      </c>
      <c r="F1261">
        <f>'Quick View_ Sample Data'!AO1264</f>
        <v>18281.304843086658</v>
      </c>
      <c r="G1261">
        <f>'Quick View_ Sample Data'!O1264</f>
        <v>463</v>
      </c>
      <c r="H1261">
        <f>'Quick View_ Sample Data'!AP1264</f>
        <v>3.3652173913043479</v>
      </c>
      <c r="I1261">
        <f>'Quick View_ Sample Data'!AF1264</f>
        <v>3.36</v>
      </c>
      <c r="J1261">
        <f>'Quick View_ Sample Data'!AJ1264</f>
        <v>7.92</v>
      </c>
      <c r="K1261">
        <f>'Quick View_ Sample Data'!AH1264</f>
        <v>596.44588139426105</v>
      </c>
      <c r="L1261">
        <f t="shared" si="19"/>
        <v>26.6112</v>
      </c>
    </row>
    <row r="1262" spans="1:12" ht="12.75" customHeight="1">
      <c r="A1262" s="321"/>
      <c r="B1262" t="str">
        <f>'Quick View_ Sample Data'!P1265</f>
        <v>SiNx</v>
      </c>
      <c r="C1262">
        <f>'Quick View_ Sample Data'!O1265</f>
        <v>463</v>
      </c>
      <c r="D1262">
        <f>'Quick View_ Sample Data'!AN1265</f>
        <v>193.22134628547909</v>
      </c>
      <c r="E1262">
        <f>'Quick View_ Sample Data'!O1265</f>
        <v>463</v>
      </c>
      <c r="F1262">
        <f>'Quick View_ Sample Data'!AO1265</f>
        <v>20191.630686832563</v>
      </c>
      <c r="G1262">
        <f>'Quick View_ Sample Data'!O1265</f>
        <v>463</v>
      </c>
      <c r="H1262">
        <f>'Quick View_ Sample Data'!AP1265</f>
        <v>2.7217391304347824</v>
      </c>
      <c r="I1262">
        <f>'Quick View_ Sample Data'!AF1265</f>
        <v>0</v>
      </c>
      <c r="J1262">
        <f>'Quick View_ Sample Data'!AJ1265</f>
        <v>10.45</v>
      </c>
      <c r="K1262">
        <f>'Quick View_ Sample Data'!AH1265</f>
        <v>617.32059516127504</v>
      </c>
      <c r="L1262">
        <f t="shared" si="19"/>
        <v>0</v>
      </c>
    </row>
    <row r="1263" spans="1:12" ht="12.75" customHeight="1">
      <c r="A1263" s="321"/>
      <c r="B1263" t="str">
        <f>'Quick View_ Sample Data'!P1266</f>
        <v>SiNx</v>
      </c>
      <c r="C1263">
        <f>'Quick View_ Sample Data'!O1266</f>
        <v>463</v>
      </c>
      <c r="D1263">
        <f>'Quick View_ Sample Data'!AN1266</f>
        <v>192.15316755622163</v>
      </c>
      <c r="E1263">
        <f>'Quick View_ Sample Data'!O1266</f>
        <v>463</v>
      </c>
      <c r="F1263">
        <f>'Quick View_ Sample Data'!AO1266</f>
        <v>20041.575376113917</v>
      </c>
      <c r="G1263">
        <f>'Quick View_ Sample Data'!O1266</f>
        <v>463</v>
      </c>
      <c r="H1263">
        <f>'Quick View_ Sample Data'!AP1266</f>
        <v>2.7043478260869565</v>
      </c>
      <c r="I1263">
        <f>'Quick View_ Sample Data'!AF1266</f>
        <v>0</v>
      </c>
      <c r="J1263">
        <f>'Quick View_ Sample Data'!AJ1266</f>
        <v>10.43</v>
      </c>
      <c r="K1263">
        <f>'Quick View_ Sample Data'!AH1266</f>
        <v>617.85584423222394</v>
      </c>
      <c r="L1263">
        <f t="shared" si="19"/>
        <v>0</v>
      </c>
    </row>
    <row r="1264" spans="1:12" ht="12.75" customHeight="1">
      <c r="A1264" s="321"/>
      <c r="B1264" t="str">
        <f>'Quick View_ Sample Data'!P1267</f>
        <v>MgO</v>
      </c>
      <c r="C1264">
        <f>'Quick View_ Sample Data'!O1267</f>
        <v>464</v>
      </c>
      <c r="D1264">
        <f>'Quick View_ Sample Data'!AN1267</f>
        <v>232.17258088476427</v>
      </c>
      <c r="E1264">
        <f>'Quick View_ Sample Data'!O1267</f>
        <v>464</v>
      </c>
      <c r="F1264">
        <f>'Quick View_ Sample Data'!AO1267</f>
        <v>18411.285664161805</v>
      </c>
      <c r="G1264">
        <f>'Quick View_ Sample Data'!O1267</f>
        <v>464</v>
      </c>
      <c r="H1264">
        <f>'Quick View_ Sample Data'!AP1267</f>
        <v>3.27</v>
      </c>
      <c r="I1264">
        <f>'Quick View_ Sample Data'!AF1267</f>
        <v>2.88</v>
      </c>
      <c r="J1264">
        <f>'Quick View_ Sample Data'!AJ1267</f>
        <v>7.93</v>
      </c>
      <c r="K1264">
        <f>'Quick View_ Sample Data'!AH1267</f>
        <v>710.00789261395801</v>
      </c>
      <c r="L1264">
        <f t="shared" si="19"/>
        <v>22.8384</v>
      </c>
    </row>
    <row r="1265" spans="1:12" ht="12.75" customHeight="1">
      <c r="A1265" s="321"/>
      <c r="B1265" t="str">
        <f>'Quick View_ Sample Data'!P1268</f>
        <v>SiNx</v>
      </c>
      <c r="C1265">
        <f>'Quick View_ Sample Data'!O1268</f>
        <v>464</v>
      </c>
      <c r="D1265">
        <f>'Quick View_ Sample Data'!AN1268</f>
        <v>205.28942867181095</v>
      </c>
      <c r="E1265">
        <f>'Quick View_ Sample Data'!O1268</f>
        <v>464</v>
      </c>
      <c r="F1265">
        <f>'Quick View_ Sample Data'!AO1268</f>
        <v>19687.25620962667</v>
      </c>
      <c r="G1265">
        <f>'Quick View_ Sample Data'!O1268</f>
        <v>464</v>
      </c>
      <c r="H1265">
        <f>'Quick View_ Sample Data'!AP1268</f>
        <v>2.54</v>
      </c>
      <c r="I1265">
        <f>'Quick View_ Sample Data'!AF1268</f>
        <v>0</v>
      </c>
      <c r="J1265">
        <f>'Quick View_ Sample Data'!AJ1268</f>
        <v>9.59</v>
      </c>
      <c r="K1265">
        <f>'Quick View_ Sample Data'!AH1268</f>
        <v>808.22609713311397</v>
      </c>
      <c r="L1265">
        <f t="shared" si="19"/>
        <v>0</v>
      </c>
    </row>
    <row r="1266" spans="1:12" ht="12.75" customHeight="1">
      <c r="A1266" s="321"/>
      <c r="B1266" t="str">
        <f>'Quick View_ Sample Data'!P1269</f>
        <v>SiNx</v>
      </c>
      <c r="C1266">
        <f>'Quick View_ Sample Data'!O1269</f>
        <v>464</v>
      </c>
      <c r="D1266">
        <f>'Quick View_ Sample Data'!AN1269</f>
        <v>207.18956287368027</v>
      </c>
      <c r="E1266">
        <f>'Quick View_ Sample Data'!O1269</f>
        <v>464</v>
      </c>
      <c r="F1266">
        <f>'Quick View_ Sample Data'!AO1269</f>
        <v>19683.008472999627</v>
      </c>
      <c r="G1266">
        <f>'Quick View_ Sample Data'!O1269</f>
        <v>464</v>
      </c>
      <c r="H1266">
        <f>'Quick View_ Sample Data'!AP1269</f>
        <v>2.5499999999999998</v>
      </c>
      <c r="I1266">
        <f>'Quick View_ Sample Data'!AF1269</f>
        <v>0</v>
      </c>
      <c r="J1266">
        <f>'Quick View_ Sample Data'!AJ1269</f>
        <v>9.5</v>
      </c>
      <c r="K1266">
        <f>'Quick View_ Sample Data'!AH1269</f>
        <v>812.50808970070705</v>
      </c>
      <c r="L1266">
        <f t="shared" si="19"/>
        <v>0</v>
      </c>
    </row>
    <row r="1267" spans="1:12" ht="12.75" customHeight="1">
      <c r="A1267" s="321"/>
      <c r="B1267" t="str">
        <f>'Quick View_ Sample Data'!P1270</f>
        <v>MgO</v>
      </c>
      <c r="C1267">
        <f>'Quick View_ Sample Data'!O1270</f>
        <v>465</v>
      </c>
      <c r="D1267">
        <f>'Quick View_ Sample Data'!AN1270</f>
        <v>201.50329084354587</v>
      </c>
      <c r="E1267">
        <f>'Quick View_ Sample Data'!O1270</f>
        <v>465</v>
      </c>
      <c r="F1267">
        <f>'Quick View_ Sample Data'!AO1270</f>
        <v>22104.911005536982</v>
      </c>
      <c r="G1267">
        <f>'Quick View_ Sample Data'!O1270</f>
        <v>465</v>
      </c>
      <c r="H1267">
        <f>'Quick View_ Sample Data'!AP1270</f>
        <v>3.7621621621621619</v>
      </c>
      <c r="I1267">
        <f>'Quick View_ Sample Data'!AF1270</f>
        <v>5.68</v>
      </c>
      <c r="J1267">
        <f>'Quick View_ Sample Data'!AJ1270</f>
        <v>10.97</v>
      </c>
      <c r="K1267">
        <f>'Quick View_ Sample Data'!AH1270</f>
        <v>289.51622247635902</v>
      </c>
      <c r="L1267">
        <f t="shared" si="19"/>
        <v>62.309600000000003</v>
      </c>
    </row>
    <row r="1268" spans="1:12" ht="12.75" customHeight="1">
      <c r="A1268" s="321"/>
      <c r="B1268" t="str">
        <f>'Quick View_ Sample Data'!P1271</f>
        <v>SiNx</v>
      </c>
      <c r="C1268">
        <f>'Quick View_ Sample Data'!O1271</f>
        <v>465</v>
      </c>
      <c r="D1268">
        <f>'Quick View_ Sample Data'!AN1271</f>
        <v>160.79952589452344</v>
      </c>
      <c r="E1268">
        <f>'Quick View_ Sample Data'!O1271</f>
        <v>465</v>
      </c>
      <c r="F1268">
        <f>'Quick View_ Sample Data'!AO1271</f>
        <v>19826.581542794738</v>
      </c>
      <c r="G1268">
        <f>'Quick View_ Sample Data'!O1271</f>
        <v>465</v>
      </c>
      <c r="H1268">
        <f>'Quick View_ Sample Data'!AP1271</f>
        <v>2.9189189189189193</v>
      </c>
      <c r="I1268">
        <f>'Quick View_ Sample Data'!AF1271</f>
        <v>0</v>
      </c>
      <c r="J1268">
        <f>'Quick View_ Sample Data'!AJ1271</f>
        <v>12.33</v>
      </c>
      <c r="K1268">
        <f>'Quick View_ Sample Data'!AH1271</f>
        <v>297.77689980467301</v>
      </c>
      <c r="L1268">
        <f t="shared" si="19"/>
        <v>0</v>
      </c>
    </row>
    <row r="1269" spans="1:12" ht="12.75" customHeight="1">
      <c r="A1269" s="321"/>
      <c r="B1269" t="str">
        <f>'Quick View_ Sample Data'!P1272</f>
        <v>SiNx</v>
      </c>
      <c r="C1269">
        <f>'Quick View_ Sample Data'!O1272</f>
        <v>465</v>
      </c>
      <c r="D1269">
        <f>'Quick View_ Sample Data'!AN1272</f>
        <v>156.0443731482118</v>
      </c>
      <c r="E1269">
        <f>'Quick View_ Sample Data'!O1272</f>
        <v>465</v>
      </c>
      <c r="F1269">
        <f>'Quick View_ Sample Data'!AO1272</f>
        <v>19255.875646489334</v>
      </c>
      <c r="G1269">
        <f>'Quick View_ Sample Data'!O1272</f>
        <v>465</v>
      </c>
      <c r="H1269">
        <f>'Quick View_ Sample Data'!AP1272</f>
        <v>2.9621621621621621</v>
      </c>
      <c r="I1269">
        <f>'Quick View_ Sample Data'!AF1272</f>
        <v>0</v>
      </c>
      <c r="J1269">
        <f>'Quick View_ Sample Data'!AJ1272</f>
        <v>12.34</v>
      </c>
      <c r="K1269">
        <f>'Quick View_ Sample Data'!AH1272</f>
        <v>284.75250574491201</v>
      </c>
      <c r="L1269">
        <f t="shared" si="19"/>
        <v>0</v>
      </c>
    </row>
    <row r="1270" spans="1:12" ht="12.75" customHeight="1">
      <c r="A1270" s="321"/>
      <c r="B1270" t="str">
        <f>'Quick View_ Sample Data'!P1273</f>
        <v>SiNx</v>
      </c>
      <c r="C1270">
        <f>'Quick View_ Sample Data'!O1273</f>
        <v>470</v>
      </c>
      <c r="D1270">
        <f>'Quick View_ Sample Data'!AN1273</f>
        <v>188.36378255025926</v>
      </c>
      <c r="E1270">
        <f>'Quick View_ Sample Data'!O1273</f>
        <v>470</v>
      </c>
      <c r="F1270">
        <f>'Quick View_ Sample Data'!AO1273</f>
        <v>20493.979541468208</v>
      </c>
      <c r="G1270">
        <f>'Quick View_ Sample Data'!O1273</f>
        <v>470</v>
      </c>
      <c r="H1270">
        <f>'Quick View_ Sample Data'!AP1273</f>
        <v>2.7360000000000002</v>
      </c>
      <c r="I1270">
        <f>'Quick View_ Sample Data'!AF1273</f>
        <v>0</v>
      </c>
      <c r="J1270">
        <f>'Quick View_ Sample Data'!AJ1273</f>
        <v>10.88</v>
      </c>
      <c r="K1270">
        <f>'Quick View_ Sample Data'!AH1273</f>
        <v>550.77129400660601</v>
      </c>
      <c r="L1270">
        <f t="shared" si="19"/>
        <v>0</v>
      </c>
    </row>
    <row r="1271" spans="1:12" ht="12.75" customHeight="1">
      <c r="A1271" s="321"/>
      <c r="B1271" t="str">
        <f>'Quick View_ Sample Data'!P1274</f>
        <v>SiNx</v>
      </c>
      <c r="C1271">
        <f>'Quick View_ Sample Data'!O1274</f>
        <v>470</v>
      </c>
      <c r="D1271">
        <f>'Quick View_ Sample Data'!AN1274</f>
        <v>192.99564959389565</v>
      </c>
      <c r="E1271">
        <f>'Quick View_ Sample Data'!O1274</f>
        <v>470</v>
      </c>
      <c r="F1271">
        <f>'Quick View_ Sample Data'!AO1274</f>
        <v>20708.433201425003</v>
      </c>
      <c r="G1271">
        <f>'Quick View_ Sample Data'!O1274</f>
        <v>470</v>
      </c>
      <c r="H1271">
        <f>'Quick View_ Sample Data'!AP1274</f>
        <v>2.68</v>
      </c>
      <c r="I1271">
        <f>'Quick View_ Sample Data'!AF1274</f>
        <v>0</v>
      </c>
      <c r="J1271">
        <f>'Quick View_ Sample Data'!AJ1274</f>
        <v>10.73</v>
      </c>
      <c r="K1271">
        <f>'Quick View_ Sample Data'!AH1274</f>
        <v>576.10641669819597</v>
      </c>
      <c r="L1271">
        <f t="shared" si="19"/>
        <v>0</v>
      </c>
    </row>
    <row r="1272" spans="1:12" ht="12.75" customHeight="1">
      <c r="A1272" s="321"/>
      <c r="B1272" t="str">
        <f>'Quick View_ Sample Data'!P1275</f>
        <v>SiNx</v>
      </c>
      <c r="C1272">
        <f>'Quick View_ Sample Data'!O1275</f>
        <v>471</v>
      </c>
      <c r="D1272">
        <f>'Quick View_ Sample Data'!AN1275</f>
        <v>180.33201340795443</v>
      </c>
      <c r="E1272">
        <f>'Quick View_ Sample Data'!O1275</f>
        <v>471</v>
      </c>
      <c r="F1272">
        <f>'Quick View_ Sample Data'!AO1275</f>
        <v>20720.148340573964</v>
      </c>
      <c r="G1272">
        <f>'Quick View_ Sample Data'!O1275</f>
        <v>471</v>
      </c>
      <c r="H1272">
        <f>'Quick View_ Sample Data'!AP1275</f>
        <v>2.7357142857142858</v>
      </c>
      <c r="I1272">
        <f>'Quick View_ Sample Data'!AF1275</f>
        <v>0</v>
      </c>
      <c r="J1272">
        <f>'Quick View_ Sample Data'!AJ1275</f>
        <v>11.49</v>
      </c>
      <c r="K1272">
        <f>'Quick View_ Sample Data'!AH1275</f>
        <v>470.84076607820998</v>
      </c>
      <c r="L1272">
        <f t="shared" si="19"/>
        <v>0</v>
      </c>
    </row>
    <row r="1273" spans="1:12" ht="12.75" customHeight="1">
      <c r="A1273" s="321"/>
      <c r="B1273" t="str">
        <f>'Quick View_ Sample Data'!P1276</f>
        <v>SiNx</v>
      </c>
      <c r="C1273">
        <f>'Quick View_ Sample Data'!O1276</f>
        <v>471</v>
      </c>
      <c r="D1273">
        <f>'Quick View_ Sample Data'!AN1276</f>
        <v>181.14755457572375</v>
      </c>
      <c r="E1273">
        <f>'Quick View_ Sample Data'!O1276</f>
        <v>471</v>
      </c>
      <c r="F1273">
        <f>'Quick View_ Sample Data'!AO1276</f>
        <v>20723.280243462796</v>
      </c>
      <c r="G1273">
        <f>'Quick View_ Sample Data'!O1276</f>
        <v>471</v>
      </c>
      <c r="H1273">
        <f>'Quick View_ Sample Data'!AP1276</f>
        <v>2.6999999999999997</v>
      </c>
      <c r="I1273">
        <f>'Quick View_ Sample Data'!AF1276</f>
        <v>0</v>
      </c>
      <c r="J1273">
        <f>'Quick View_ Sample Data'!AJ1276</f>
        <v>11.44</v>
      </c>
      <c r="K1273">
        <f>'Quick View_ Sample Data'!AH1276</f>
        <v>479.226334856412</v>
      </c>
      <c r="L1273">
        <f t="shared" si="19"/>
        <v>0</v>
      </c>
    </row>
    <row r="1274" spans="1:12" ht="12.75" customHeight="1">
      <c r="A1274" s="321"/>
      <c r="B1274">
        <f>'Quick View_ Sample Data'!P1277</f>
        <v>0</v>
      </c>
      <c r="C1274">
        <f>'Quick View_ Sample Data'!O1277</f>
        <v>0</v>
      </c>
      <c r="D1274">
        <f>'Quick View_ Sample Data'!AN1277</f>
        <v>0</v>
      </c>
      <c r="E1274">
        <f>'Quick View_ Sample Data'!O1277</f>
        <v>0</v>
      </c>
      <c r="F1274">
        <f>'Quick View_ Sample Data'!AO1277</f>
        <v>0</v>
      </c>
      <c r="G1274">
        <f>'Quick View_ Sample Data'!O1277</f>
        <v>0</v>
      </c>
      <c r="H1274" t="e">
        <f>'Quick View_ Sample Data'!AP1277</f>
        <v>#DIV/0!</v>
      </c>
      <c r="I1274">
        <f>'Quick View_ Sample Data'!AF1277</f>
        <v>0</v>
      </c>
      <c r="J1274">
        <f>'Quick View_ Sample Data'!AJ1277</f>
        <v>0</v>
      </c>
      <c r="K1274">
        <f>'Quick View_ Sample Data'!AH1277</f>
        <v>0</v>
      </c>
      <c r="L1274">
        <f t="shared" si="19"/>
        <v>0</v>
      </c>
    </row>
    <row r="1275" spans="1:12" ht="12.75" customHeight="1">
      <c r="A1275" s="321"/>
      <c r="B1275" t="str">
        <f>'Quick View_ Sample Data'!P1278</f>
        <v>SiNx</v>
      </c>
      <c r="C1275">
        <f>'Quick View_ Sample Data'!O1278</f>
        <v>478</v>
      </c>
      <c r="D1275">
        <f>'Quick View_ Sample Data'!AN1278</f>
        <v>186.36070211041064</v>
      </c>
      <c r="E1275">
        <f>'Quick View_ Sample Data'!O1278</f>
        <v>478</v>
      </c>
      <c r="F1275">
        <f>'Quick View_ Sample Data'!AO1278</f>
        <v>19754.234423703529</v>
      </c>
      <c r="G1275">
        <f>'Quick View_ Sample Data'!O1278</f>
        <v>478</v>
      </c>
      <c r="H1275">
        <f>'Quick View_ Sample Data'!AP1278</f>
        <v>2.7153846153846151</v>
      </c>
      <c r="I1275">
        <f>'Quick View_ Sample Data'!AF1278</f>
        <v>0</v>
      </c>
      <c r="J1275">
        <f>'Quick View_ Sample Data'!AJ1278</f>
        <v>10.6</v>
      </c>
      <c r="K1275">
        <f>'Quick View_ Sample Data'!AH1278</f>
        <v>527.93400031277804</v>
      </c>
      <c r="L1275">
        <f t="shared" si="19"/>
        <v>0</v>
      </c>
    </row>
    <row r="1276" spans="1:12" ht="12.75" customHeight="1">
      <c r="A1276" s="321"/>
      <c r="B1276" t="str">
        <f>'Quick View_ Sample Data'!P1279</f>
        <v>SiNx</v>
      </c>
      <c r="C1276">
        <f>'Quick View_ Sample Data'!O1279</f>
        <v>478</v>
      </c>
      <c r="D1276">
        <f>'Quick View_ Sample Data'!AN1279</f>
        <v>184.2701976556406</v>
      </c>
      <c r="E1276">
        <f>'Quick View_ Sample Data'!O1279</f>
        <v>478</v>
      </c>
      <c r="F1276">
        <f>'Quick View_ Sample Data'!AO1279</f>
        <v>19348.370753842264</v>
      </c>
      <c r="G1276">
        <f>'Quick View_ Sample Data'!O1279</f>
        <v>478</v>
      </c>
      <c r="H1276">
        <f>'Quick View_ Sample Data'!AP1279</f>
        <v>2.6615384615384614</v>
      </c>
      <c r="I1276">
        <f>'Quick View_ Sample Data'!AF1279</f>
        <v>0</v>
      </c>
      <c r="J1276">
        <f>'Quick View_ Sample Data'!AJ1279</f>
        <v>10.5</v>
      </c>
      <c r="K1276">
        <f>'Quick View_ Sample Data'!AH1279</f>
        <v>532.57282559433702</v>
      </c>
      <c r="L1276">
        <f t="shared" si="19"/>
        <v>0</v>
      </c>
    </row>
    <row r="1277" spans="1:12" ht="12.75" customHeight="1">
      <c r="A1277" s="321"/>
      <c r="B1277" t="str">
        <f>'Quick View_ Sample Data'!P1280</f>
        <v>SiNx</v>
      </c>
      <c r="C1277">
        <f>'Quick View_ Sample Data'!O1280</f>
        <v>481</v>
      </c>
      <c r="D1277">
        <f>'Quick View_ Sample Data'!AN1280</f>
        <v>180.72067560000599</v>
      </c>
      <c r="E1277">
        <f>'Quick View_ Sample Data'!O1280</f>
        <v>481</v>
      </c>
      <c r="F1277">
        <f>'Quick View_ Sample Data'!AO1280</f>
        <v>20059.994991600663</v>
      </c>
      <c r="G1277">
        <f>'Quick View_ Sample Data'!O1280</f>
        <v>481</v>
      </c>
      <c r="H1277">
        <f>'Quick View_ Sample Data'!AP1280</f>
        <v>2.8074074074074074</v>
      </c>
      <c r="I1277">
        <f>'Quick View_ Sample Data'!AF1280</f>
        <v>0</v>
      </c>
      <c r="J1277">
        <f>'Quick View_ Sample Data'!AJ1280</f>
        <v>11.1</v>
      </c>
      <c r="K1277">
        <f>'Quick View_ Sample Data'!AH1280</f>
        <v>476.83555567283901</v>
      </c>
      <c r="L1277">
        <f t="shared" si="19"/>
        <v>0</v>
      </c>
    </row>
    <row r="1278" spans="1:12" ht="12.75" customHeight="1">
      <c r="A1278" s="321"/>
      <c r="B1278" t="str">
        <f>'Quick View_ Sample Data'!P1281</f>
        <v>SiNx</v>
      </c>
      <c r="C1278">
        <f>'Quick View_ Sample Data'!O1281</f>
        <v>481</v>
      </c>
      <c r="D1278">
        <f>'Quick View_ Sample Data'!AN1281</f>
        <v>181.3156227840015</v>
      </c>
      <c r="E1278">
        <f>'Quick View_ Sample Data'!O1281</f>
        <v>481</v>
      </c>
      <c r="F1278">
        <f>'Quick View_ Sample Data'!AO1281</f>
        <v>19944.718506240166</v>
      </c>
      <c r="G1278">
        <f>'Quick View_ Sample Data'!O1281</f>
        <v>481</v>
      </c>
      <c r="H1278">
        <f>'Quick View_ Sample Data'!AP1281</f>
        <v>2.7777777777777777</v>
      </c>
      <c r="I1278">
        <f>'Quick View_ Sample Data'!AF1281</f>
        <v>0</v>
      </c>
      <c r="J1278">
        <f>'Quick View_ Sample Data'!AJ1281</f>
        <v>11</v>
      </c>
      <c r="K1278">
        <f>'Quick View_ Sample Data'!AH1281</f>
        <v>483.50832742400399</v>
      </c>
      <c r="L1278">
        <f t="shared" si="19"/>
        <v>0</v>
      </c>
    </row>
    <row r="1279" spans="1:12" ht="12.75" customHeight="1">
      <c r="A1279" s="321"/>
      <c r="B1279" t="str">
        <f>'Quick View_ Sample Data'!P1282</f>
        <v>Al2O3</v>
      </c>
      <c r="C1279">
        <f>'Quick View_ Sample Data'!O1282</f>
        <v>482</v>
      </c>
      <c r="D1279">
        <f>'Quick View_ Sample Data'!AN1282</f>
        <v>158.13699138244289</v>
      </c>
      <c r="E1279">
        <f>'Quick View_ Sample Data'!O1282</f>
        <v>482</v>
      </c>
      <c r="F1279">
        <f>'Quick View_ Sample Data'!AO1282</f>
        <v>0</v>
      </c>
      <c r="G1279">
        <f>'Quick View_ Sample Data'!O1282</f>
        <v>482</v>
      </c>
      <c r="H1279">
        <f>'Quick View_ Sample Data'!AP1282</f>
        <v>2.8879999999999999</v>
      </c>
      <c r="I1279">
        <f>'Quick View_ Sample Data'!AF1282</f>
        <v>0</v>
      </c>
      <c r="J1279">
        <f>'Quick View_ Sample Data'!AJ1282</f>
        <v>0</v>
      </c>
      <c r="K1279">
        <f>'Quick View_ Sample Data'!AH1282</f>
        <v>438.05260770759799</v>
      </c>
      <c r="L1279">
        <f t="shared" si="19"/>
        <v>0</v>
      </c>
    </row>
    <row r="1280" spans="1:12" ht="12.75" customHeight="1">
      <c r="A1280" s="321"/>
      <c r="B1280" t="str">
        <f>'Quick View_ Sample Data'!P1283</f>
        <v>SiNx</v>
      </c>
      <c r="C1280">
        <f>'Quick View_ Sample Data'!O1283</f>
        <v>490</v>
      </c>
      <c r="D1280">
        <f>'Quick View_ Sample Data'!AN1283</f>
        <v>68.934602956082387</v>
      </c>
      <c r="E1280">
        <f>'Quick View_ Sample Data'!O1283</f>
        <v>490</v>
      </c>
      <c r="F1280">
        <f>'Quick View_ Sample Data'!AO1283</f>
        <v>2964.1879271115426</v>
      </c>
      <c r="G1280">
        <f>'Quick View_ Sample Data'!O1283</f>
        <v>490</v>
      </c>
      <c r="H1280">
        <f>'Quick View_ Sample Data'!AP1283</f>
        <v>5.1769230769230772</v>
      </c>
      <c r="I1280">
        <f>'Quick View_ Sample Data'!AF1283</f>
        <v>0</v>
      </c>
      <c r="J1280">
        <f>'Quick View_ Sample Data'!AJ1283</f>
        <v>4.3</v>
      </c>
      <c r="K1280">
        <f>'Quick View_ Sample Data'!AH1283</f>
        <v>102.428830543956</v>
      </c>
      <c r="L1280">
        <f t="shared" si="19"/>
        <v>0</v>
      </c>
    </row>
    <row r="1281" spans="1:12" ht="12.75" customHeight="1">
      <c r="A1281" s="321"/>
      <c r="B1281" t="str">
        <f>'Quick View_ Sample Data'!P1284</f>
        <v>SiNx</v>
      </c>
      <c r="C1281">
        <f>'Quick View_ Sample Data'!O1284</f>
        <v>490</v>
      </c>
      <c r="D1281">
        <f>'Quick View_ Sample Data'!AN1284</f>
        <v>134.39568922460529</v>
      </c>
      <c r="E1281">
        <f>'Quick View_ Sample Data'!O1284</f>
        <v>490</v>
      </c>
      <c r="F1281" t="e">
        <f>'Quick View_ Sample Data'!AO1284</f>
        <v>#VALUE!</v>
      </c>
      <c r="G1281">
        <f>'Quick View_ Sample Data'!O1284</f>
        <v>490</v>
      </c>
      <c r="H1281">
        <f>'Quick View_ Sample Data'!AP1284</f>
        <v>4.8692307692307697</v>
      </c>
      <c r="I1281">
        <f>'Quick View_ Sample Data'!AF1284</f>
        <v>0</v>
      </c>
      <c r="J1281" t="str">
        <f>'Quick View_ Sample Data'!AJ1284</f>
        <v>&lt;4</v>
      </c>
      <c r="K1281">
        <f>'Quick View_ Sample Data'!AH1284</f>
        <v>212.31546480980299</v>
      </c>
      <c r="L1281" t="e">
        <f t="shared" si="19"/>
        <v>#VALUE!</v>
      </c>
    </row>
    <row r="1282" spans="1:12" ht="12.75" customHeight="1">
      <c r="A1282" s="321"/>
      <c r="B1282" t="str">
        <f>'Quick View_ Sample Data'!P1285</f>
        <v>SiNx</v>
      </c>
      <c r="C1282">
        <f>'Quick View_ Sample Data'!O1285</f>
        <v>490</v>
      </c>
      <c r="D1282">
        <f>'Quick View_ Sample Data'!AN1285</f>
        <v>121.69761868176613</v>
      </c>
      <c r="E1282">
        <f>'Quick View_ Sample Data'!O1285</f>
        <v>490</v>
      </c>
      <c r="F1282" t="e">
        <f>'Quick View_ Sample Data'!AO1285</f>
        <v>#VALUE!</v>
      </c>
      <c r="G1282">
        <f>'Quick View_ Sample Data'!O1285</f>
        <v>490</v>
      </c>
      <c r="H1282">
        <f>'Quick View_ Sample Data'!AP1285</f>
        <v>4.9923076923076923</v>
      </c>
      <c r="I1282">
        <f>'Quick View_ Sample Data'!AF1285</f>
        <v>0</v>
      </c>
      <c r="J1282" t="str">
        <f>'Quick View_ Sample Data'!AJ1285</f>
        <v>&lt;4</v>
      </c>
      <c r="K1282">
        <f>'Quick View_ Sample Data'!AH1285</f>
        <v>187.515591189162</v>
      </c>
      <c r="L1282" t="e">
        <f t="shared" ref="L1282:L1345" si="20">I1282*J1282</f>
        <v>#VALUE!</v>
      </c>
    </row>
    <row r="1283" spans="1:12" ht="12.75" customHeight="1">
      <c r="A1283" s="321"/>
      <c r="B1283" t="str">
        <f>'Quick View_ Sample Data'!P1286</f>
        <v>SiNx</v>
      </c>
      <c r="C1283">
        <f>'Quick View_ Sample Data'!O1286</f>
        <v>491</v>
      </c>
      <c r="D1283">
        <f>'Quick View_ Sample Data'!AN1286</f>
        <v>208.23204964753222</v>
      </c>
      <c r="E1283">
        <f>'Quick View_ Sample Data'!O1286</f>
        <v>491</v>
      </c>
      <c r="F1283">
        <f>'Quick View_ Sample Data'!AO1286</f>
        <v>20823.204964753222</v>
      </c>
      <c r="G1283">
        <f>'Quick View_ Sample Data'!O1286</f>
        <v>491</v>
      </c>
      <c r="H1283">
        <f>'Quick View_ Sample Data'!AP1286</f>
        <v>2.7769230769230768</v>
      </c>
      <c r="I1283">
        <f>'Quick View_ Sample Data'!AF1286</f>
        <v>0</v>
      </c>
      <c r="J1283">
        <f>'Quick View_ Sample Data'!AJ1286</f>
        <v>10</v>
      </c>
      <c r="K1283">
        <f>'Quick View_ Sample Data'!AH1286</f>
        <v>576.820082126128</v>
      </c>
      <c r="L1283">
        <f t="shared" si="20"/>
        <v>0</v>
      </c>
    </row>
    <row r="1284" spans="1:12" ht="12.75" customHeight="1">
      <c r="A1284" s="321"/>
      <c r="B1284" t="str">
        <f>'Quick View_ Sample Data'!P1287</f>
        <v>SiNx</v>
      </c>
      <c r="C1284">
        <f>'Quick View_ Sample Data'!O1287</f>
        <v>491</v>
      </c>
      <c r="D1284">
        <f>'Quick View_ Sample Data'!AN1287</f>
        <v>180.04922348213606</v>
      </c>
      <c r="E1284">
        <f>'Quick View_ Sample Data'!O1287</f>
        <v>491</v>
      </c>
      <c r="F1284">
        <f>'Quick View_ Sample Data'!AO1287</f>
        <v>20525.611476963513</v>
      </c>
      <c r="G1284">
        <f>'Quick View_ Sample Data'!O1287</f>
        <v>491</v>
      </c>
      <c r="H1284">
        <f>'Quick View_ Sample Data'!AP1287</f>
        <v>2.953846153846154</v>
      </c>
      <c r="I1284">
        <f>'Quick View_ Sample Data'!AF1287</f>
        <v>0</v>
      </c>
      <c r="J1284">
        <f>'Quick View_ Sample Data'!AJ1287</f>
        <v>11.4</v>
      </c>
      <c r="K1284">
        <f>'Quick View_ Sample Data'!AH1287</f>
        <v>468.87818615139599</v>
      </c>
      <c r="L1284">
        <f t="shared" si="20"/>
        <v>0</v>
      </c>
    </row>
    <row r="1285" spans="1:12" ht="12.75" customHeight="1">
      <c r="A1285" s="321"/>
      <c r="B1285" t="str">
        <f>'Quick View_ Sample Data'!P1288</f>
        <v>SiNx</v>
      </c>
      <c r="C1285">
        <f>'Quick View_ Sample Data'!O1288</f>
        <v>491</v>
      </c>
      <c r="D1285">
        <f>'Quick View_ Sample Data'!AN1288</f>
        <v>180.14877980933261</v>
      </c>
      <c r="E1285">
        <f>'Quick View_ Sample Data'!O1288</f>
        <v>491</v>
      </c>
      <c r="F1285">
        <f>'Quick View_ Sample Data'!AO1288</f>
        <v>20536.960898263918</v>
      </c>
      <c r="G1285">
        <f>'Quick View_ Sample Data'!O1288</f>
        <v>491</v>
      </c>
      <c r="H1285">
        <f>'Quick View_ Sample Data'!AP1288</f>
        <v>2.9999999999999996</v>
      </c>
      <c r="I1285">
        <f>'Quick View_ Sample Data'!AF1288</f>
        <v>0</v>
      </c>
      <c r="J1285">
        <f>'Quick View_ Sample Data'!AJ1288</f>
        <v>11.4</v>
      </c>
      <c r="K1285">
        <f>'Quick View_ Sample Data'!AH1288</f>
        <v>461.91994822905798</v>
      </c>
      <c r="L1285">
        <f t="shared" si="20"/>
        <v>0</v>
      </c>
    </row>
    <row r="1286" spans="1:12" ht="12.75" customHeight="1">
      <c r="A1286" s="321"/>
      <c r="B1286" t="str">
        <f>'Quick View_ Sample Data'!P1289</f>
        <v>SiO2</v>
      </c>
      <c r="C1286">
        <f>'Quick View_ Sample Data'!O1289</f>
        <v>493</v>
      </c>
      <c r="D1286">
        <f>'Quick View_ Sample Data'!AN1289</f>
        <v>10.413805924385326</v>
      </c>
      <c r="E1286">
        <f>'Quick View_ Sample Data'!O1289</f>
        <v>493</v>
      </c>
      <c r="F1286">
        <f>'Quick View_ Sample Data'!AO1289</f>
        <v>0</v>
      </c>
      <c r="G1286">
        <f>'Quick View_ Sample Data'!O1289</f>
        <v>493</v>
      </c>
      <c r="H1286">
        <f>'Quick View_ Sample Data'!AP1289</f>
        <v>0.60799999999999998</v>
      </c>
      <c r="I1286">
        <f>'Quick View_ Sample Data'!AF1289</f>
        <v>0</v>
      </c>
      <c r="J1286">
        <f>'Quick View_ Sample Data'!AJ1289</f>
        <v>0</v>
      </c>
      <c r="K1286">
        <f>'Quick View_ Sample Data'!AH1289</f>
        <v>17.1279702703706</v>
      </c>
      <c r="L1286">
        <f t="shared" si="20"/>
        <v>0</v>
      </c>
    </row>
    <row r="1287" spans="1:12" ht="12.75" customHeight="1">
      <c r="A1287" s="321"/>
      <c r="B1287" t="str">
        <f>'Quick View_ Sample Data'!P1290</f>
        <v>SiNx</v>
      </c>
      <c r="C1287">
        <f>'Quick View_ Sample Data'!O1290</f>
        <v>493</v>
      </c>
      <c r="D1287">
        <f>'Quick View_ Sample Data'!AN1290</f>
        <v>9.4276987193401336</v>
      </c>
      <c r="E1287">
        <f>'Quick View_ Sample Data'!O1290</f>
        <v>493</v>
      </c>
      <c r="F1287">
        <f>'Quick View_ Sample Data'!AO1290</f>
        <v>1126.609996961146</v>
      </c>
      <c r="G1287">
        <f>'Quick View_ Sample Data'!O1290</f>
        <v>493</v>
      </c>
      <c r="H1287">
        <f>'Quick View_ Sample Data'!AP1290</f>
        <v>0.53</v>
      </c>
      <c r="I1287">
        <f>'Quick View_ Sample Data'!AF1290</f>
        <v>0</v>
      </c>
      <c r="J1287">
        <f>'Quick View_ Sample Data'!AJ1290</f>
        <v>11.95</v>
      </c>
      <c r="K1287">
        <f>'Quick View_ Sample Data'!AH1290</f>
        <v>17.788110791207799</v>
      </c>
      <c r="L1287">
        <f t="shared" si="20"/>
        <v>0</v>
      </c>
    </row>
    <row r="1288" spans="1:12" ht="12.75" customHeight="1">
      <c r="A1288" s="321"/>
      <c r="B1288" t="str">
        <f>'Quick View_ Sample Data'!P1291</f>
        <v>SiNx</v>
      </c>
      <c r="C1288">
        <f>'Quick View_ Sample Data'!O1291</f>
        <v>494</v>
      </c>
      <c r="D1288">
        <f>'Quick View_ Sample Data'!AN1291</f>
        <v>165.47439128019295</v>
      </c>
      <c r="E1288">
        <f>'Quick View_ Sample Data'!O1291</f>
        <v>494</v>
      </c>
      <c r="F1288">
        <f>'Quick View_ Sample Data'!AO1291</f>
        <v>15885.541562898523</v>
      </c>
      <c r="G1288">
        <f>'Quick View_ Sample Data'!O1291</f>
        <v>494</v>
      </c>
      <c r="H1288">
        <f>'Quick View_ Sample Data'!AP1291</f>
        <v>2.9422222222222225</v>
      </c>
      <c r="I1288">
        <f>'Quick View_ Sample Data'!AF1291</f>
        <v>0</v>
      </c>
      <c r="J1288">
        <f>'Quick View_ Sample Data'!AJ1291</f>
        <v>9.6</v>
      </c>
      <c r="K1288">
        <f>'Quick View_ Sample Data'!AH1291</f>
        <v>249.961316133222</v>
      </c>
      <c r="L1288">
        <f t="shared" si="20"/>
        <v>0</v>
      </c>
    </row>
    <row r="1289" spans="1:12" ht="12.75" customHeight="1">
      <c r="A1289" s="321"/>
      <c r="B1289">
        <f>'Quick View_ Sample Data'!P1292</f>
        <v>0</v>
      </c>
      <c r="C1289">
        <f>'Quick View_ Sample Data'!O1292</f>
        <v>0</v>
      </c>
      <c r="D1289">
        <f>'Quick View_ Sample Data'!AN1292</f>
        <v>0</v>
      </c>
      <c r="E1289">
        <f>'Quick View_ Sample Data'!O1292</f>
        <v>0</v>
      </c>
      <c r="F1289">
        <f>'Quick View_ Sample Data'!AO1292</f>
        <v>0</v>
      </c>
      <c r="G1289">
        <f>'Quick View_ Sample Data'!O1292</f>
        <v>0</v>
      </c>
      <c r="H1289" t="e">
        <f>'Quick View_ Sample Data'!AP1292</f>
        <v>#DIV/0!</v>
      </c>
      <c r="I1289">
        <f>'Quick View_ Sample Data'!AF1292</f>
        <v>0</v>
      </c>
      <c r="J1289">
        <f>'Quick View_ Sample Data'!AJ1292</f>
        <v>0</v>
      </c>
      <c r="K1289">
        <f>'Quick View_ Sample Data'!AH1292</f>
        <v>0</v>
      </c>
      <c r="L1289">
        <f t="shared" si="20"/>
        <v>0</v>
      </c>
    </row>
    <row r="1290" spans="1:12" ht="12.75" customHeight="1">
      <c r="A1290" s="321"/>
      <c r="B1290" t="str">
        <f>'Quick View_ Sample Data'!P1293</f>
        <v>SiO2</v>
      </c>
      <c r="C1290">
        <f>'Quick View_ Sample Data'!O1293</f>
        <v>511</v>
      </c>
      <c r="D1290">
        <f>'Quick View_ Sample Data'!AN1293</f>
        <v>211.41000179811371</v>
      </c>
      <c r="E1290">
        <f>'Quick View_ Sample Data'!O1293</f>
        <v>511</v>
      </c>
      <c r="F1290">
        <f>'Quick View_ Sample Data'!AO1293</f>
        <v>21775.230185205713</v>
      </c>
      <c r="G1290">
        <f>'Quick View_ Sample Data'!O1293</f>
        <v>511</v>
      </c>
      <c r="H1290">
        <f>'Quick View_ Sample Data'!AP1293</f>
        <v>3.05</v>
      </c>
      <c r="I1290">
        <f>'Quick View_ Sample Data'!AF1293</f>
        <v>0</v>
      </c>
      <c r="J1290">
        <f>'Quick View_ Sample Data'!AJ1293</f>
        <v>10.3</v>
      </c>
      <c r="K1290">
        <f>'Quick View_ Sample Data'!AH1293</f>
        <v>495.10539062790099</v>
      </c>
      <c r="L1290">
        <f t="shared" si="20"/>
        <v>0</v>
      </c>
    </row>
    <row r="1291" spans="1:12" ht="12.75" customHeight="1">
      <c r="A1291" s="321"/>
      <c r="B1291" t="str">
        <f>'Quick View_ Sample Data'!P1294</f>
        <v>SiO2</v>
      </c>
      <c r="C1291">
        <f>'Quick View_ Sample Data'!O1294</f>
        <v>511</v>
      </c>
      <c r="D1291">
        <f>'Quick View_ Sample Data'!AN1294</f>
        <v>214.05948469931195</v>
      </c>
      <c r="E1291">
        <f>'Quick View_ Sample Data'!O1294</f>
        <v>511</v>
      </c>
      <c r="F1291">
        <f>'Quick View_ Sample Data'!AO1294</f>
        <v>22048.126924029133</v>
      </c>
      <c r="G1291">
        <f>'Quick View_ Sample Data'!O1294</f>
        <v>511</v>
      </c>
      <c r="H1291">
        <f>'Quick View_ Sample Data'!AP1294</f>
        <v>3.0357142857142856</v>
      </c>
      <c r="I1291">
        <f>'Quick View_ Sample Data'!AF1294</f>
        <v>0</v>
      </c>
      <c r="J1291">
        <f>'Quick View_ Sample Data'!AJ1294</f>
        <v>10.3</v>
      </c>
      <c r="K1291">
        <f>'Quick View_ Sample Data'!AH1294</f>
        <v>503.66937576308698</v>
      </c>
      <c r="L1291">
        <f t="shared" si="20"/>
        <v>0</v>
      </c>
    </row>
    <row r="1292" spans="1:12" ht="12.75" customHeight="1">
      <c r="A1292" s="321"/>
      <c r="B1292" t="str">
        <f>'Quick View_ Sample Data'!P1295</f>
        <v>Al2O3</v>
      </c>
      <c r="C1292">
        <f>'Quick View_ Sample Data'!O1295</f>
        <v>511</v>
      </c>
      <c r="D1292">
        <f>'Quick View_ Sample Data'!AN1295</f>
        <v>163.62046691478182</v>
      </c>
      <c r="E1292">
        <f>'Quick View_ Sample Data'!O1295</f>
        <v>511</v>
      </c>
      <c r="F1292">
        <f>'Quick View_ Sample Data'!AO1295</f>
        <v>20616.178831262507</v>
      </c>
      <c r="G1292">
        <f>'Quick View_ Sample Data'!O1295</f>
        <v>511</v>
      </c>
      <c r="H1292">
        <f>'Quick View_ Sample Data'!AP1295</f>
        <v>3.1357142857142857</v>
      </c>
      <c r="I1292">
        <f>'Quick View_ Sample Data'!AF1295</f>
        <v>0</v>
      </c>
      <c r="J1292">
        <f>'Quick View_ Sample Data'!AJ1295</f>
        <v>12.6</v>
      </c>
      <c r="K1292">
        <f>'Quick View_ Sample Data'!AH1295</f>
        <v>372.71176973754399</v>
      </c>
      <c r="L1292">
        <f t="shared" si="20"/>
        <v>0</v>
      </c>
    </row>
    <row r="1293" spans="1:12" ht="12.75" customHeight="1">
      <c r="A1293" s="321"/>
      <c r="B1293" t="str">
        <f>'Quick View_ Sample Data'!P1296</f>
        <v>Al2O3</v>
      </c>
      <c r="C1293">
        <f>'Quick View_ Sample Data'!O1296</f>
        <v>511</v>
      </c>
      <c r="D1293">
        <f>'Quick View_ Sample Data'!AN1296</f>
        <v>153.06945881187667</v>
      </c>
      <c r="E1293">
        <f>'Quick View_ Sample Data'!O1296</f>
        <v>511</v>
      </c>
      <c r="F1293">
        <f>'Quick View_ Sample Data'!AO1296</f>
        <v>19669.42545732615</v>
      </c>
      <c r="G1293">
        <f>'Quick View_ Sample Data'!O1296</f>
        <v>511</v>
      </c>
      <c r="H1293">
        <f>'Quick View_ Sample Data'!AP1296</f>
        <v>3.3</v>
      </c>
      <c r="I1293">
        <f>'Quick View_ Sample Data'!AF1296</f>
        <v>0</v>
      </c>
      <c r="J1293">
        <f>'Quick View_ Sample Data'!AJ1296</f>
        <v>12.85</v>
      </c>
      <c r="K1293">
        <f>'Quick View_ Sample Data'!AH1296</f>
        <v>331.31917491748197</v>
      </c>
      <c r="L1293">
        <f t="shared" si="20"/>
        <v>0</v>
      </c>
    </row>
    <row r="1294" spans="1:12" ht="12.75" customHeight="1">
      <c r="A1294" s="321"/>
      <c r="B1294" t="str">
        <f>'Quick View_ Sample Data'!P1297</f>
        <v>SiO2</v>
      </c>
      <c r="C1294">
        <f>'Quick View_ Sample Data'!O1297</f>
        <v>512</v>
      </c>
      <c r="D1294">
        <f>'Quick View_ Sample Data'!AN1297</f>
        <v>216.0218862097683</v>
      </c>
      <c r="E1294">
        <f>'Quick View_ Sample Data'!O1297</f>
        <v>512</v>
      </c>
      <c r="F1294">
        <f>'Quick View_ Sample Data'!AO1297</f>
        <v>22898.31993823544</v>
      </c>
      <c r="G1294">
        <f>'Quick View_ Sample Data'!O1297</f>
        <v>512</v>
      </c>
      <c r="H1294">
        <f>'Quick View_ Sample Data'!AP1297</f>
        <v>3.186666666666667</v>
      </c>
      <c r="I1294">
        <f>'Quick View_ Sample Data'!AF1297</f>
        <v>0</v>
      </c>
      <c r="J1294">
        <f>'Quick View_ Sample Data'!AJ1297</f>
        <v>10.6</v>
      </c>
      <c r="K1294">
        <f>'Quick View_ Sample Data'!AH1297</f>
        <v>451.92863223800902</v>
      </c>
      <c r="L1294">
        <f t="shared" si="20"/>
        <v>0</v>
      </c>
    </row>
    <row r="1295" spans="1:12" ht="12.75" customHeight="1">
      <c r="A1295" s="321"/>
      <c r="B1295" t="str">
        <f>'Quick View_ Sample Data'!P1298</f>
        <v>SiO2</v>
      </c>
      <c r="C1295">
        <f>'Quick View_ Sample Data'!O1298</f>
        <v>512</v>
      </c>
      <c r="D1295">
        <f>'Quick View_ Sample Data'!AN1298</f>
        <v>219.2424798696687</v>
      </c>
      <c r="E1295">
        <f>'Quick View_ Sample Data'!O1298</f>
        <v>512</v>
      </c>
      <c r="F1295">
        <f>'Quick View_ Sample Data'!AO1298</f>
        <v>22910.839146380378</v>
      </c>
      <c r="G1295">
        <f>'Quick View_ Sample Data'!O1298</f>
        <v>512</v>
      </c>
      <c r="H1295">
        <f>'Quick View_ Sample Data'!AP1298</f>
        <v>3.1666666666666665</v>
      </c>
      <c r="I1295">
        <f>'Quick View_ Sample Data'!AF1298</f>
        <v>0</v>
      </c>
      <c r="J1295">
        <f>'Quick View_ Sample Data'!AJ1298</f>
        <v>10.45</v>
      </c>
      <c r="K1295">
        <f>'Quick View_ Sample Data'!AH1298</f>
        <v>461.56311551509202</v>
      </c>
      <c r="L1295">
        <f t="shared" si="20"/>
        <v>0</v>
      </c>
    </row>
    <row r="1296" spans="1:12" ht="12.75" customHeight="1">
      <c r="A1296" s="321"/>
      <c r="B1296" t="str">
        <f>'Quick View_ Sample Data'!P1299</f>
        <v>SiO2</v>
      </c>
      <c r="C1296">
        <f>'Quick View_ Sample Data'!O1299</f>
        <v>512</v>
      </c>
      <c r="D1296">
        <f>'Quick View_ Sample Data'!AN1299</f>
        <v>190.48283362214681</v>
      </c>
      <c r="E1296">
        <f>'Quick View_ Sample Data'!O1299</f>
        <v>512</v>
      </c>
      <c r="F1296">
        <f>'Quick View_ Sample Data'!AO1299</f>
        <v>21715.043032924736</v>
      </c>
      <c r="G1296">
        <f>'Quick View_ Sample Data'!O1299</f>
        <v>512</v>
      </c>
      <c r="H1296">
        <f>'Quick View_ Sample Data'!AP1299</f>
        <v>3.34</v>
      </c>
      <c r="I1296">
        <f>'Quick View_ Sample Data'!AF1299</f>
        <v>0</v>
      </c>
      <c r="J1296">
        <f>'Quick View_ Sample Data'!AJ1299</f>
        <v>11.4</v>
      </c>
      <c r="K1296">
        <f>'Quick View_ Sample Data'!AH1299</f>
        <v>380.20525673083199</v>
      </c>
      <c r="L1296">
        <f t="shared" si="20"/>
        <v>0</v>
      </c>
    </row>
    <row r="1297" spans="1:12" ht="12.75" customHeight="1">
      <c r="A1297" s="321"/>
      <c r="B1297" t="str">
        <f>'Quick View_ Sample Data'!P1300</f>
        <v>Al2O3</v>
      </c>
      <c r="C1297">
        <f>'Quick View_ Sample Data'!O1300</f>
        <v>512</v>
      </c>
      <c r="D1297">
        <f>'Quick View_ Sample Data'!AN1300</f>
        <v>161.36796040787121</v>
      </c>
      <c r="E1297">
        <f>'Quick View_ Sample Data'!O1300</f>
        <v>512</v>
      </c>
      <c r="F1297">
        <f>'Quick View_ Sample Data'!AO1300</f>
        <v>20235.542235147048</v>
      </c>
      <c r="G1297">
        <f>'Quick View_ Sample Data'!O1300</f>
        <v>512</v>
      </c>
      <c r="H1297">
        <f>'Quick View_ Sample Data'!AP1300</f>
        <v>3.24</v>
      </c>
      <c r="I1297">
        <f>'Quick View_ Sample Data'!AF1300</f>
        <v>0</v>
      </c>
      <c r="J1297">
        <f>'Quick View_ Sample Data'!AJ1300</f>
        <v>12.54</v>
      </c>
      <c r="K1297">
        <f>'Quick View_ Sample Data'!AH1300</f>
        <v>332.032840345414</v>
      </c>
      <c r="L1297">
        <f t="shared" si="20"/>
        <v>0</v>
      </c>
    </row>
    <row r="1298" spans="1:12" ht="12.75" customHeight="1">
      <c r="A1298" s="321"/>
      <c r="B1298" t="str">
        <f>'Quick View_ Sample Data'!P1301</f>
        <v>SiO2</v>
      </c>
      <c r="C1298">
        <f>'Quick View_ Sample Data'!O1301</f>
        <v>513</v>
      </c>
      <c r="D1298">
        <f>'Quick View_ Sample Data'!AN1301</f>
        <v>213.90337038695148</v>
      </c>
      <c r="E1298">
        <f>'Quick View_ Sample Data'!O1301</f>
        <v>513</v>
      </c>
      <c r="F1298">
        <f>'Quick View_ Sample Data'!AO1301</f>
        <v>22716.537935094246</v>
      </c>
      <c r="G1298">
        <f>'Quick View_ Sample Data'!O1301</f>
        <v>513</v>
      </c>
      <c r="H1298">
        <f>'Quick View_ Sample Data'!AP1301</f>
        <v>3.1666666666666665</v>
      </c>
      <c r="I1298">
        <f>'Quick View_ Sample Data'!AF1301</f>
        <v>0</v>
      </c>
      <c r="J1298">
        <f>'Quick View_ Sample Data'!AJ1301</f>
        <v>10.62</v>
      </c>
      <c r="K1298">
        <f>'Quick View_ Sample Data'!AH1301</f>
        <v>450.32288502516099</v>
      </c>
      <c r="L1298">
        <f t="shared" si="20"/>
        <v>0</v>
      </c>
    </row>
    <row r="1299" spans="1:12" ht="12.75" customHeight="1">
      <c r="A1299" s="321"/>
      <c r="B1299" t="str">
        <f>'Quick View_ Sample Data'!P1302</f>
        <v>SiO2</v>
      </c>
      <c r="C1299">
        <f>'Quick View_ Sample Data'!O1302</f>
        <v>513</v>
      </c>
      <c r="D1299">
        <f>'Quick View_ Sample Data'!AN1302</f>
        <v>210.04904182704712</v>
      </c>
      <c r="E1299">
        <f>'Quick View_ Sample Data'!O1302</f>
        <v>513</v>
      </c>
      <c r="F1299">
        <f>'Quick View_ Sample Data'!AO1302</f>
        <v>22391.227858763225</v>
      </c>
      <c r="G1299">
        <f>'Quick View_ Sample Data'!O1302</f>
        <v>513</v>
      </c>
      <c r="H1299">
        <f>'Quick View_ Sample Data'!AP1302</f>
        <v>3.1533333333333338</v>
      </c>
      <c r="I1299">
        <f>'Quick View_ Sample Data'!AF1302</f>
        <v>0</v>
      </c>
      <c r="J1299">
        <f>'Quick View_ Sample Data'!AJ1302</f>
        <v>10.66</v>
      </c>
      <c r="K1299">
        <f>'Quick View_ Sample Data'!AH1302</f>
        <v>444.078312530755</v>
      </c>
      <c r="L1299">
        <f t="shared" si="20"/>
        <v>0</v>
      </c>
    </row>
    <row r="1300" spans="1:12" ht="12.75" customHeight="1">
      <c r="A1300" s="321"/>
      <c r="B1300" t="str">
        <f>'Quick View_ Sample Data'!P1303</f>
        <v>MgO</v>
      </c>
      <c r="C1300">
        <f>'Quick View_ Sample Data'!O1303</f>
        <v>513</v>
      </c>
      <c r="D1300">
        <f>'Quick View_ Sample Data'!AN1303</f>
        <v>183.54047475558011</v>
      </c>
      <c r="E1300">
        <f>'Quick View_ Sample Data'!O1303</f>
        <v>513</v>
      </c>
      <c r="F1300">
        <f>'Quick View_ Sample Data'!AO1303</f>
        <v>21162.216739318384</v>
      </c>
      <c r="G1300">
        <f>'Quick View_ Sample Data'!O1303</f>
        <v>513</v>
      </c>
      <c r="H1300">
        <f>'Quick View_ Sample Data'!AP1303</f>
        <v>4.1066666666666665</v>
      </c>
      <c r="I1300">
        <f>'Quick View_ Sample Data'!AF1303</f>
        <v>0</v>
      </c>
      <c r="J1300">
        <f>'Quick View_ Sample Data'!AJ1303</f>
        <v>11.53</v>
      </c>
      <c r="K1300">
        <f>'Quick View_ Sample Data'!AH1303</f>
        <v>297.95531616165601</v>
      </c>
      <c r="L1300">
        <f t="shared" si="20"/>
        <v>0</v>
      </c>
    </row>
    <row r="1301" spans="1:12" ht="12.75" customHeight="1">
      <c r="A1301" s="321"/>
      <c r="B1301" t="str">
        <f>'Quick View_ Sample Data'!P1304</f>
        <v>MgO</v>
      </c>
      <c r="C1301">
        <f>'Quick View_ Sample Data'!O1304</f>
        <v>513</v>
      </c>
      <c r="D1301">
        <f>'Quick View_ Sample Data'!AN1304</f>
        <v>184.66895821349755</v>
      </c>
      <c r="E1301">
        <f>'Quick View_ Sample Data'!O1304</f>
        <v>513</v>
      </c>
      <c r="F1301">
        <f>'Quick View_ Sample Data'!AO1304</f>
        <v>21587.801215157862</v>
      </c>
      <c r="G1301">
        <f>'Quick View_ Sample Data'!O1304</f>
        <v>513</v>
      </c>
      <c r="H1301">
        <f>'Quick View_ Sample Data'!AP1304</f>
        <v>4.1000000000000005</v>
      </c>
      <c r="I1301">
        <f>'Quick View_ Sample Data'!AF1304</f>
        <v>0</v>
      </c>
      <c r="J1301">
        <f>'Quick View_ Sample Data'!AJ1304</f>
        <v>11.69</v>
      </c>
      <c r="K1301">
        <f>'Quick View_ Sample Data'!AH1304</f>
        <v>300.27472880243499</v>
      </c>
      <c r="L1301">
        <f t="shared" si="20"/>
        <v>0</v>
      </c>
    </row>
    <row r="1302" spans="1:12" ht="12.75" customHeight="1">
      <c r="A1302" s="321"/>
      <c r="B1302" t="str">
        <f>'Quick View_ Sample Data'!P1305</f>
        <v>SiO2</v>
      </c>
      <c r="C1302">
        <f>'Quick View_ Sample Data'!O1305</f>
        <v>514</v>
      </c>
      <c r="D1302">
        <f>'Quick View_ Sample Data'!AN1305</f>
        <v>204.92438880542363</v>
      </c>
      <c r="E1302">
        <f>'Quick View_ Sample Data'!O1305</f>
        <v>514</v>
      </c>
      <c r="F1302">
        <f>'Quick View_ Sample Data'!AO1305</f>
        <v>22849.069351804737</v>
      </c>
      <c r="G1302">
        <f>'Quick View_ Sample Data'!O1305</f>
        <v>514</v>
      </c>
      <c r="H1302">
        <f>'Quick View_ Sample Data'!AP1305</f>
        <v>3.22</v>
      </c>
      <c r="I1302">
        <f>'Quick View_ Sample Data'!AF1305</f>
        <v>0</v>
      </c>
      <c r="J1302">
        <f>'Quick View_ Sample Data'!AJ1305</f>
        <v>11.15</v>
      </c>
      <c r="K1302">
        <f>'Quick View_ Sample Data'!AH1305</f>
        <v>424.274096905639</v>
      </c>
      <c r="L1302">
        <f t="shared" si="20"/>
        <v>0</v>
      </c>
    </row>
    <row r="1303" spans="1:12" ht="12.75" customHeight="1">
      <c r="A1303" s="321"/>
      <c r="B1303" t="str">
        <f>'Quick View_ Sample Data'!P1306</f>
        <v>SiO2</v>
      </c>
      <c r="C1303">
        <f>'Quick View_ Sample Data'!O1306</f>
        <v>514</v>
      </c>
      <c r="D1303">
        <f>'Quick View_ Sample Data'!AN1306</f>
        <v>203.45941209823621</v>
      </c>
      <c r="E1303">
        <f>'Quick View_ Sample Data'!O1306</f>
        <v>514</v>
      </c>
      <c r="F1303">
        <f>'Quick View_ Sample Data'!AO1306</f>
        <v>22807.800096212282</v>
      </c>
      <c r="G1303">
        <f>'Quick View_ Sample Data'!O1306</f>
        <v>514</v>
      </c>
      <c r="H1303">
        <f>'Quick View_ Sample Data'!AP1306</f>
        <v>3.22</v>
      </c>
      <c r="I1303">
        <f>'Quick View_ Sample Data'!AF1306</f>
        <v>0</v>
      </c>
      <c r="J1303">
        <f>'Quick View_ Sample Data'!AJ1306</f>
        <v>11.21</v>
      </c>
      <c r="K1303">
        <f>'Quick View_ Sample Data'!AH1306</f>
        <v>421.24101883692799</v>
      </c>
      <c r="L1303">
        <f t="shared" si="20"/>
        <v>0</v>
      </c>
    </row>
    <row r="1304" spans="1:12" ht="12.75" customHeight="1">
      <c r="A1304" s="321"/>
      <c r="B1304" t="str">
        <f>'Quick View_ Sample Data'!P1307</f>
        <v>SiO2</v>
      </c>
      <c r="C1304">
        <f>'Quick View_ Sample Data'!O1307</f>
        <v>514</v>
      </c>
      <c r="D1304">
        <f>'Quick View_ Sample Data'!AN1307</f>
        <v>182.31154288868069</v>
      </c>
      <c r="E1304">
        <f>'Quick View_ Sample Data'!O1307</f>
        <v>514</v>
      </c>
      <c r="F1304">
        <f>'Quick View_ Sample Data'!AO1307</f>
        <v>21622.148986597531</v>
      </c>
      <c r="G1304">
        <f>'Quick View_ Sample Data'!O1307</f>
        <v>514</v>
      </c>
      <c r="H1304">
        <f>'Quick View_ Sample Data'!AP1307</f>
        <v>3.3133333333333335</v>
      </c>
      <c r="I1304">
        <f>'Quick View_ Sample Data'!AF1307</f>
        <v>0</v>
      </c>
      <c r="J1304">
        <f>'Quick View_ Sample Data'!AJ1307</f>
        <v>11.86</v>
      </c>
      <c r="K1304">
        <f>'Quick View_ Sample Data'!AH1307</f>
        <v>366.82402995710402</v>
      </c>
      <c r="L1304">
        <f t="shared" si="20"/>
        <v>0</v>
      </c>
    </row>
    <row r="1305" spans="1:12" ht="12.75" customHeight="1">
      <c r="A1305" s="321"/>
      <c r="B1305" t="str">
        <f>'Quick View_ Sample Data'!P1308</f>
        <v>MgO</v>
      </c>
      <c r="C1305">
        <f>'Quick View_ Sample Data'!O1308</f>
        <v>514</v>
      </c>
      <c r="D1305">
        <f>'Quick View_ Sample Data'!AN1308</f>
        <v>179.56625040378319</v>
      </c>
      <c r="E1305">
        <f>'Quick View_ Sample Data'!O1308</f>
        <v>514</v>
      </c>
      <c r="F1305">
        <f>'Quick View_ Sample Data'!AO1308</f>
        <v>0</v>
      </c>
      <c r="G1305">
        <f>'Quick View_ Sample Data'!O1308</f>
        <v>514</v>
      </c>
      <c r="H1305">
        <f>'Quick View_ Sample Data'!AP1308</f>
        <v>4.206666666666667</v>
      </c>
      <c r="I1305">
        <f>'Quick View_ Sample Data'!AF1308</f>
        <v>0</v>
      </c>
      <c r="J1305">
        <f>'Quick View_ Sample Data'!AJ1308</f>
        <v>0</v>
      </c>
      <c r="K1305">
        <f>'Quick View_ Sample Data'!AH1308</f>
        <v>284.57408938792901</v>
      </c>
      <c r="L1305">
        <f t="shared" si="20"/>
        <v>0</v>
      </c>
    </row>
    <row r="1306" spans="1:12" ht="12.75" customHeight="1">
      <c r="A1306" s="321"/>
      <c r="B1306" t="str">
        <f>'Quick View_ Sample Data'!P1309</f>
        <v>SiO2</v>
      </c>
      <c r="C1306">
        <f>'Quick View_ Sample Data'!O1309</f>
        <v>515</v>
      </c>
      <c r="D1306">
        <f>'Quick View_ Sample Data'!AN1309</f>
        <v>0</v>
      </c>
      <c r="E1306">
        <f>'Quick View_ Sample Data'!O1309</f>
        <v>515</v>
      </c>
      <c r="F1306" t="e">
        <f>'Quick View_ Sample Data'!AO1309</f>
        <v>#VALUE!</v>
      </c>
      <c r="G1306">
        <f>'Quick View_ Sample Data'!O1309</f>
        <v>515</v>
      </c>
      <c r="H1306">
        <f>'Quick View_ Sample Data'!AP1309</f>
        <v>0</v>
      </c>
      <c r="I1306">
        <f>'Quick View_ Sample Data'!AF1309</f>
        <v>0</v>
      </c>
      <c r="J1306" t="str">
        <f>'Quick View_ Sample Data'!AJ1309</f>
        <v>&lt;4</v>
      </c>
      <c r="K1306">
        <f>'Quick View_ Sample Data'!AH1309</f>
        <v>39.608431250232101</v>
      </c>
      <c r="L1306" t="e">
        <f t="shared" si="20"/>
        <v>#VALUE!</v>
      </c>
    </row>
    <row r="1307" spans="1:12" ht="12.75" customHeight="1">
      <c r="A1307" s="321"/>
      <c r="B1307" t="str">
        <f>'Quick View_ Sample Data'!P1310</f>
        <v>MgO</v>
      </c>
      <c r="C1307">
        <f>'Quick View_ Sample Data'!O1310</f>
        <v>515</v>
      </c>
      <c r="D1307">
        <f>'Quick View_ Sample Data'!AN1310</f>
        <v>0</v>
      </c>
      <c r="E1307">
        <f>'Quick View_ Sample Data'!O1310</f>
        <v>515</v>
      </c>
      <c r="F1307">
        <f>'Quick View_ Sample Data'!AO1310</f>
        <v>0</v>
      </c>
      <c r="G1307">
        <f>'Quick View_ Sample Data'!O1310</f>
        <v>515</v>
      </c>
      <c r="H1307">
        <f>'Quick View_ Sample Data'!AP1310</f>
        <v>0</v>
      </c>
      <c r="I1307">
        <f>'Quick View_ Sample Data'!AF1310</f>
        <v>0</v>
      </c>
      <c r="J1307">
        <f>'Quick View_ Sample Data'!AJ1310</f>
        <v>0</v>
      </c>
      <c r="K1307">
        <f>'Quick View_ Sample Data'!AH1310</f>
        <v>29.260282545216501</v>
      </c>
      <c r="L1307">
        <f t="shared" si="20"/>
        <v>0</v>
      </c>
    </row>
    <row r="1308" spans="1:12" ht="12.75" customHeight="1">
      <c r="A1308" s="321"/>
      <c r="B1308" t="str">
        <f>'Quick View_ Sample Data'!P1311</f>
        <v>SiO2</v>
      </c>
      <c r="C1308">
        <f>'Quick View_ Sample Data'!O1311</f>
        <v>515</v>
      </c>
      <c r="D1308">
        <f>'Quick View_ Sample Data'!AN1311</f>
        <v>0</v>
      </c>
      <c r="E1308">
        <f>'Quick View_ Sample Data'!O1311</f>
        <v>515</v>
      </c>
      <c r="F1308" t="e">
        <f>'Quick View_ Sample Data'!AO1311</f>
        <v>#VALUE!</v>
      </c>
      <c r="G1308">
        <f>'Quick View_ Sample Data'!O1311</f>
        <v>515</v>
      </c>
      <c r="H1308">
        <f>'Quick View_ Sample Data'!AP1311</f>
        <v>0</v>
      </c>
      <c r="I1308">
        <f>'Quick View_ Sample Data'!AF1311</f>
        <v>0</v>
      </c>
      <c r="J1308" t="str">
        <f>'Quick View_ Sample Data'!AJ1311</f>
        <v>&lt;4</v>
      </c>
      <c r="K1308">
        <f>'Quick View_ Sample Data'!AH1311</f>
        <v>46.031420101621102</v>
      </c>
      <c r="L1308" t="e">
        <f t="shared" si="20"/>
        <v>#VALUE!</v>
      </c>
    </row>
    <row r="1309" spans="1:12" ht="12.75" customHeight="1">
      <c r="A1309" s="321"/>
      <c r="B1309" t="str">
        <f>'Quick View_ Sample Data'!P1312</f>
        <v>MgO</v>
      </c>
      <c r="C1309">
        <f>'Quick View_ Sample Data'!O1312</f>
        <v>515</v>
      </c>
      <c r="D1309">
        <f>'Quick View_ Sample Data'!AN1312</f>
        <v>0</v>
      </c>
      <c r="E1309">
        <f>'Quick View_ Sample Data'!O1312</f>
        <v>515</v>
      </c>
      <c r="F1309" t="e">
        <f>'Quick View_ Sample Data'!AO1312</f>
        <v>#VALUE!</v>
      </c>
      <c r="G1309">
        <f>'Quick View_ Sample Data'!O1312</f>
        <v>515</v>
      </c>
      <c r="H1309">
        <f>'Quick View_ Sample Data'!AP1312</f>
        <v>0</v>
      </c>
      <c r="I1309">
        <f>'Quick View_ Sample Data'!AF1312</f>
        <v>0</v>
      </c>
      <c r="J1309" t="str">
        <f>'Quick View_ Sample Data'!AJ1312</f>
        <v>&lt;4</v>
      </c>
      <c r="K1309">
        <f>'Quick View_ Sample Data'!AH1312</f>
        <v>29.795531616165601</v>
      </c>
      <c r="L1309" t="e">
        <f t="shared" si="20"/>
        <v>#VALUE!</v>
      </c>
    </row>
    <row r="1310" spans="1:12" ht="12.75" customHeight="1">
      <c r="A1310" s="321"/>
      <c r="B1310" t="str">
        <f>'Quick View_ Sample Data'!P1313</f>
        <v>SiO2</v>
      </c>
      <c r="C1310">
        <f>'Quick View_ Sample Data'!O1313</f>
        <v>516</v>
      </c>
      <c r="D1310">
        <f>'Quick View_ Sample Data'!AN1313</f>
        <v>227.7306380531364</v>
      </c>
      <c r="E1310">
        <f>'Quick View_ Sample Data'!O1313</f>
        <v>516</v>
      </c>
      <c r="F1310">
        <f>'Quick View_ Sample Data'!AO1313</f>
        <v>23000.794443366776</v>
      </c>
      <c r="G1310">
        <f>'Quick View_ Sample Data'!O1313</f>
        <v>516</v>
      </c>
      <c r="H1310">
        <f>'Quick View_ Sample Data'!AP1313</f>
        <v>2.666666666666667</v>
      </c>
      <c r="I1310">
        <f>'Quick View_ Sample Data'!AF1313</f>
        <v>0</v>
      </c>
      <c r="J1310">
        <f>'Quick View_ Sample Data'!AJ1313</f>
        <v>10.1</v>
      </c>
      <c r="K1310">
        <f>'Quick View_ Sample Data'!AH1313</f>
        <v>569.32659513284102</v>
      </c>
      <c r="L1310">
        <f t="shared" si="20"/>
        <v>0</v>
      </c>
    </row>
    <row r="1311" spans="1:12" ht="12.75" customHeight="1">
      <c r="A1311" s="321"/>
      <c r="B1311" t="str">
        <f>'Quick View_ Sample Data'!P1314</f>
        <v>SiO2</v>
      </c>
      <c r="C1311">
        <f>'Quick View_ Sample Data'!O1314</f>
        <v>516</v>
      </c>
      <c r="D1311">
        <f>'Quick View_ Sample Data'!AN1314</f>
        <v>215.55122386004692</v>
      </c>
      <c r="E1311">
        <f>'Quick View_ Sample Data'!O1314</f>
        <v>516</v>
      </c>
      <c r="F1311">
        <f>'Quick View_ Sample Data'!AO1314</f>
        <v>22417.327281444879</v>
      </c>
      <c r="G1311">
        <f>'Quick View_ Sample Data'!O1314</f>
        <v>516</v>
      </c>
      <c r="H1311">
        <f>'Quick View_ Sample Data'!AP1314</f>
        <v>2.84</v>
      </c>
      <c r="I1311">
        <f>'Quick View_ Sample Data'!AF1314</f>
        <v>0</v>
      </c>
      <c r="J1311">
        <f>'Quick View_ Sample Data'!AJ1314</f>
        <v>10.4</v>
      </c>
      <c r="K1311">
        <f>'Quick View_ Sample Data'!AH1314</f>
        <v>505.98878840386601</v>
      </c>
      <c r="L1311">
        <f t="shared" si="20"/>
        <v>0</v>
      </c>
    </row>
    <row r="1312" spans="1:12" ht="12.75" customHeight="1">
      <c r="A1312" s="321"/>
      <c r="B1312" t="str">
        <f>'Quick View_ Sample Data'!P1315</f>
        <v>SiO2</v>
      </c>
      <c r="C1312">
        <f>'Quick View_ Sample Data'!O1315</f>
        <v>516</v>
      </c>
      <c r="D1312">
        <f>'Quick View_ Sample Data'!AN1315</f>
        <v>193.95392384725159</v>
      </c>
      <c r="E1312">
        <f>'Quick View_ Sample Data'!O1315</f>
        <v>516</v>
      </c>
      <c r="F1312">
        <f>'Quick View_ Sample Data'!AO1315</f>
        <v>21722.839470892177</v>
      </c>
      <c r="G1312">
        <f>'Quick View_ Sample Data'!O1315</f>
        <v>516</v>
      </c>
      <c r="H1312">
        <f>'Quick View_ Sample Data'!AP1315</f>
        <v>3.08</v>
      </c>
      <c r="I1312">
        <f>'Quick View_ Sample Data'!AF1315</f>
        <v>0</v>
      </c>
      <c r="J1312">
        <f>'Quick View_ Sample Data'!AJ1315</f>
        <v>11.2</v>
      </c>
      <c r="K1312">
        <f>'Quick View_ Sample Data'!AH1315</f>
        <v>419.81368798106399</v>
      </c>
      <c r="L1312">
        <f t="shared" si="20"/>
        <v>0</v>
      </c>
    </row>
    <row r="1313" spans="1:12" ht="12.75" customHeight="1">
      <c r="A1313" s="321"/>
      <c r="B1313" t="str">
        <f>'Quick View_ Sample Data'!P1316</f>
        <v>MgO</v>
      </c>
      <c r="C1313">
        <f>'Quick View_ Sample Data'!O1316</f>
        <v>516</v>
      </c>
      <c r="D1313">
        <f>'Quick View_ Sample Data'!AN1316</f>
        <v>166.01552809092243</v>
      </c>
      <c r="E1313">
        <f>'Quick View_ Sample Data'!O1316</f>
        <v>516</v>
      </c>
      <c r="F1313">
        <f>'Quick View_ Sample Data'!AO1316</f>
        <v>20419.909955183459</v>
      </c>
      <c r="G1313">
        <f>'Quick View_ Sample Data'!O1316</f>
        <v>516</v>
      </c>
      <c r="H1313">
        <f>'Quick View_ Sample Data'!AP1316</f>
        <v>4.1000000000000005</v>
      </c>
      <c r="I1313">
        <f>'Quick View_ Sample Data'!AF1316</f>
        <v>0</v>
      </c>
      <c r="J1313">
        <f>'Quick View_ Sample Data'!AJ1316</f>
        <v>12.3</v>
      </c>
      <c r="K1313">
        <f>'Quick View_ Sample Data'!AH1316</f>
        <v>269.94394811532101</v>
      </c>
      <c r="L1313">
        <f t="shared" si="20"/>
        <v>0</v>
      </c>
    </row>
    <row r="1314" spans="1:12" ht="12.75" customHeight="1">
      <c r="A1314" s="321"/>
      <c r="B1314" t="str">
        <f>'Quick View_ Sample Data'!P1317</f>
        <v>MgO</v>
      </c>
      <c r="C1314">
        <f>'Quick View_ Sample Data'!O1317</f>
        <v>519</v>
      </c>
      <c r="D1314">
        <f>'Quick View_ Sample Data'!AN1317</f>
        <v>140.67772915397734</v>
      </c>
      <c r="E1314">
        <f>'Quick View_ Sample Data'!O1317</f>
        <v>519</v>
      </c>
      <c r="F1314">
        <f>'Quick View_ Sample Data'!AO1317</f>
        <v>21664.370289712511</v>
      </c>
      <c r="G1314">
        <f>'Quick View_ Sample Data'!O1317</f>
        <v>519</v>
      </c>
      <c r="H1314">
        <f>'Quick View_ Sample Data'!AP1317</f>
        <v>4.4799999999999995</v>
      </c>
      <c r="I1314">
        <f>'Quick View_ Sample Data'!AF1317</f>
        <v>0</v>
      </c>
      <c r="J1314">
        <f>'Quick View_ Sample Data'!AJ1317</f>
        <v>15.4</v>
      </c>
      <c r="K1314">
        <f>'Quick View_ Sample Data'!AH1317</f>
        <v>31.401278829012799</v>
      </c>
      <c r="L1314">
        <f t="shared" si="20"/>
        <v>0</v>
      </c>
    </row>
    <row r="1315" spans="1:12" ht="12.75" customHeight="1">
      <c r="A1315" s="321"/>
      <c r="B1315" t="str">
        <f>'Quick View_ Sample Data'!P1318</f>
        <v>MgO</v>
      </c>
      <c r="C1315">
        <f>'Quick View_ Sample Data'!O1318</f>
        <v>519</v>
      </c>
      <c r="D1315">
        <f>'Quick View_ Sample Data'!AN1318</f>
        <v>140.20135748083274</v>
      </c>
      <c r="E1315">
        <f>'Quick View_ Sample Data'!O1318</f>
        <v>519</v>
      </c>
      <c r="F1315">
        <f>'Quick View_ Sample Data'!AO1318</f>
        <v>21591.009052048241</v>
      </c>
      <c r="G1315">
        <f>'Quick View_ Sample Data'!O1318</f>
        <v>519</v>
      </c>
      <c r="H1315">
        <f>'Quick View_ Sample Data'!AP1318</f>
        <v>4.3899999999999997</v>
      </c>
      <c r="I1315">
        <f>'Quick View_ Sample Data'!AF1318</f>
        <v>0</v>
      </c>
      <c r="J1315">
        <f>'Quick View_ Sample Data'!AJ1318</f>
        <v>15.4</v>
      </c>
      <c r="K1315">
        <f>'Quick View_ Sample Data'!AH1318</f>
        <v>31.936527899961899</v>
      </c>
      <c r="L1315">
        <f t="shared" si="20"/>
        <v>0</v>
      </c>
    </row>
    <row r="1316" spans="1:12" ht="12.75" customHeight="1">
      <c r="A1316" s="321"/>
      <c r="B1316" t="str">
        <f>'Quick View_ Sample Data'!P1319</f>
        <v>MgO</v>
      </c>
      <c r="C1316">
        <f>'Quick View_ Sample Data'!O1319</f>
        <v>519</v>
      </c>
      <c r="D1316">
        <f>'Quick View_ Sample Data'!AN1319</f>
        <v>95.731080502813299</v>
      </c>
      <c r="E1316">
        <f>'Quick View_ Sample Data'!O1319</f>
        <v>519</v>
      </c>
      <c r="F1316">
        <f>'Quick View_ Sample Data'!AO1319</f>
        <v>15029.779638941687</v>
      </c>
      <c r="G1316">
        <f>'Quick View_ Sample Data'!O1319</f>
        <v>519</v>
      </c>
      <c r="H1316">
        <f>'Quick View_ Sample Data'!AP1319</f>
        <v>3.53</v>
      </c>
      <c r="I1316">
        <f>'Quick View_ Sample Data'!AF1319</f>
        <v>0</v>
      </c>
      <c r="J1316">
        <f>'Quick View_ Sample Data'!AJ1319</f>
        <v>15.7</v>
      </c>
      <c r="K1316">
        <f>'Quick View_ Sample Data'!AH1319</f>
        <v>27.1192862614202</v>
      </c>
      <c r="L1316">
        <f t="shared" si="20"/>
        <v>0</v>
      </c>
    </row>
    <row r="1317" spans="1:12" ht="12.75" customHeight="1">
      <c r="A1317" s="321"/>
      <c r="B1317" t="str">
        <f>'Quick View_ Sample Data'!P1320</f>
        <v>MgO</v>
      </c>
      <c r="C1317">
        <f>'Quick View_ Sample Data'!O1320</f>
        <v>519</v>
      </c>
      <c r="D1317">
        <f>'Quick View_ Sample Data'!AN1320</f>
        <v>0</v>
      </c>
      <c r="E1317">
        <f>'Quick View_ Sample Data'!O1320</f>
        <v>519</v>
      </c>
      <c r="F1317">
        <f>'Quick View_ Sample Data'!AO1320</f>
        <v>0</v>
      </c>
      <c r="G1317">
        <f>'Quick View_ Sample Data'!O1320</f>
        <v>519</v>
      </c>
      <c r="H1317">
        <f>'Quick View_ Sample Data'!AP1320</f>
        <v>0</v>
      </c>
      <c r="I1317">
        <f>'Quick View_ Sample Data'!AF1320</f>
        <v>0</v>
      </c>
      <c r="J1317">
        <f>'Quick View_ Sample Data'!AJ1320</f>
        <v>15.3</v>
      </c>
      <c r="K1317">
        <f>'Quick View_ Sample Data'!AH1320</f>
        <v>32.293360613928002</v>
      </c>
      <c r="L1317">
        <f t="shared" si="20"/>
        <v>0</v>
      </c>
    </row>
    <row r="1318" spans="1:12" ht="12.75" customHeight="1">
      <c r="A1318" s="321"/>
      <c r="B1318" t="str">
        <f>'Quick View_ Sample Data'!P1321</f>
        <v>MgO</v>
      </c>
      <c r="C1318">
        <f>'Quick View_ Sample Data'!O1321</f>
        <v>519</v>
      </c>
      <c r="D1318">
        <f>'Quick View_ Sample Data'!AN1321</f>
        <v>0</v>
      </c>
      <c r="E1318">
        <f>'Quick View_ Sample Data'!O1321</f>
        <v>519</v>
      </c>
      <c r="F1318">
        <f>'Quick View_ Sample Data'!AO1321</f>
        <v>0</v>
      </c>
      <c r="G1318">
        <f>'Quick View_ Sample Data'!O1321</f>
        <v>519</v>
      </c>
      <c r="H1318">
        <f>'Quick View_ Sample Data'!AP1321</f>
        <v>0</v>
      </c>
      <c r="I1318">
        <f>'Quick View_ Sample Data'!AF1321</f>
        <v>0</v>
      </c>
      <c r="J1318">
        <f>'Quick View_ Sample Data'!AJ1321</f>
        <v>15.4</v>
      </c>
      <c r="K1318">
        <f>'Quick View_ Sample Data'!AH1321</f>
        <v>32.293360613928002</v>
      </c>
      <c r="L1318">
        <f t="shared" si="20"/>
        <v>0</v>
      </c>
    </row>
    <row r="1319" spans="1:12" ht="12.75" customHeight="1">
      <c r="A1319" s="321"/>
      <c r="B1319" t="str">
        <f>'Quick View_ Sample Data'!P1322</f>
        <v>MgO</v>
      </c>
      <c r="C1319">
        <f>'Quick View_ Sample Data'!O1322</f>
        <v>519</v>
      </c>
      <c r="D1319">
        <f>'Quick View_ Sample Data'!AN1322</f>
        <v>0</v>
      </c>
      <c r="E1319">
        <f>'Quick View_ Sample Data'!O1322</f>
        <v>519</v>
      </c>
      <c r="F1319">
        <f>'Quick View_ Sample Data'!AO1322</f>
        <v>0</v>
      </c>
      <c r="G1319">
        <f>'Quick View_ Sample Data'!O1322</f>
        <v>519</v>
      </c>
      <c r="H1319">
        <f>'Quick View_ Sample Data'!AP1322</f>
        <v>0</v>
      </c>
      <c r="I1319">
        <f>'Quick View_ Sample Data'!AF1322</f>
        <v>0</v>
      </c>
      <c r="J1319">
        <f>'Quick View_ Sample Data'!AJ1322</f>
        <v>15.7</v>
      </c>
      <c r="K1319">
        <f>'Quick View_ Sample Data'!AH1322</f>
        <v>27.1192862614202</v>
      </c>
      <c r="L1319">
        <f t="shared" si="20"/>
        <v>0</v>
      </c>
    </row>
    <row r="1320" spans="1:12" ht="12.75" customHeight="1">
      <c r="A1320" s="321"/>
      <c r="B1320" t="str">
        <f>'Quick View_ Sample Data'!P1323</f>
        <v>MgO</v>
      </c>
      <c r="C1320">
        <f>'Quick View_ Sample Data'!O1323</f>
        <v>520</v>
      </c>
      <c r="D1320">
        <f>'Quick View_ Sample Data'!AN1323</f>
        <v>0</v>
      </c>
      <c r="E1320">
        <f>'Quick View_ Sample Data'!O1323</f>
        <v>520</v>
      </c>
      <c r="F1320" t="e">
        <f>'Quick View_ Sample Data'!AO1323</f>
        <v>#VALUE!</v>
      </c>
      <c r="G1320">
        <f>'Quick View_ Sample Data'!O1323</f>
        <v>520</v>
      </c>
      <c r="H1320">
        <f>'Quick View_ Sample Data'!AP1323</f>
        <v>0</v>
      </c>
      <c r="I1320">
        <f>'Quick View_ Sample Data'!AF1323</f>
        <v>0</v>
      </c>
      <c r="J1320" t="str">
        <f>'Quick View_ Sample Data'!AJ1323</f>
        <v>&lt;4</v>
      </c>
      <c r="K1320">
        <f>'Quick View_ Sample Data'!AH1323</f>
        <v>0</v>
      </c>
      <c r="L1320" t="e">
        <f t="shared" si="20"/>
        <v>#VALUE!</v>
      </c>
    </row>
    <row r="1321" spans="1:12" ht="12.75" customHeight="1">
      <c r="A1321" s="321"/>
      <c r="B1321" t="str">
        <f>'Quick View_ Sample Data'!P1324</f>
        <v>MgO</v>
      </c>
      <c r="C1321">
        <f>'Quick View_ Sample Data'!O1324</f>
        <v>520</v>
      </c>
      <c r="D1321">
        <f>'Quick View_ Sample Data'!AN1324</f>
        <v>0</v>
      </c>
      <c r="E1321">
        <f>'Quick View_ Sample Data'!O1324</f>
        <v>520</v>
      </c>
      <c r="F1321">
        <f>'Quick View_ Sample Data'!AO1324</f>
        <v>0</v>
      </c>
      <c r="G1321">
        <f>'Quick View_ Sample Data'!O1324</f>
        <v>520</v>
      </c>
      <c r="H1321">
        <f>'Quick View_ Sample Data'!AP1324</f>
        <v>0</v>
      </c>
      <c r="I1321">
        <f>'Quick View_ Sample Data'!AF1324</f>
        <v>0</v>
      </c>
      <c r="J1321">
        <f>'Quick View_ Sample Data'!AJ1324</f>
        <v>0</v>
      </c>
      <c r="K1321">
        <f>'Quick View_ Sample Data'!AH1324</f>
        <v>0</v>
      </c>
      <c r="L1321">
        <f t="shared" si="20"/>
        <v>0</v>
      </c>
    </row>
    <row r="1322" spans="1:12" ht="12.75" customHeight="1">
      <c r="A1322" s="321"/>
      <c r="B1322" t="str">
        <f>'Quick View_ Sample Data'!P1325</f>
        <v>SiNx</v>
      </c>
      <c r="C1322">
        <f>'Quick View_ Sample Data'!O1325</f>
        <v>522</v>
      </c>
      <c r="D1322">
        <f>'Quick View_ Sample Data'!AN1325</f>
        <v>200.39609245701592</v>
      </c>
      <c r="E1322">
        <f>'Quick View_ Sample Data'!O1325</f>
        <v>522</v>
      </c>
      <c r="F1322">
        <f>'Quick View_ Sample Data'!AO1325</f>
        <v>18296.163241325554</v>
      </c>
      <c r="G1322">
        <f>'Quick View_ Sample Data'!O1325</f>
        <v>522</v>
      </c>
      <c r="H1322">
        <f>'Quick View_ Sample Data'!AP1325</f>
        <v>2.6269230769230769</v>
      </c>
      <c r="I1322">
        <f>'Quick View_ Sample Data'!AF1325</f>
        <v>0</v>
      </c>
      <c r="J1322">
        <f>'Quick View_ Sample Data'!AJ1325</f>
        <v>9.1300000000000008</v>
      </c>
      <c r="K1322">
        <f>'Quick View_ Sample Data'!AH1325</f>
        <v>586.81139811717696</v>
      </c>
      <c r="L1322">
        <f t="shared" si="20"/>
        <v>0</v>
      </c>
    </row>
    <row r="1323" spans="1:12" ht="12.75" customHeight="1">
      <c r="A1323" s="321"/>
      <c r="B1323" t="str">
        <f>'Quick View_ Sample Data'!P1326</f>
        <v>SiNx</v>
      </c>
      <c r="C1323">
        <f>'Quick View_ Sample Data'!O1326</f>
        <v>522</v>
      </c>
      <c r="D1323">
        <f>'Quick View_ Sample Data'!AN1326</f>
        <v>188.06118840881595</v>
      </c>
      <c r="E1323">
        <f>'Quick View_ Sample Data'!O1326</f>
        <v>522</v>
      </c>
      <c r="F1323">
        <f>'Quick View_ Sample Data'!AO1326</f>
        <v>17677.7517104287</v>
      </c>
      <c r="G1323">
        <f>'Quick View_ Sample Data'!O1326</f>
        <v>522</v>
      </c>
      <c r="H1323">
        <f>'Quick View_ Sample Data'!AP1326</f>
        <v>2.7153846153846151</v>
      </c>
      <c r="I1323">
        <f>'Quick View_ Sample Data'!AF1326</f>
        <v>0</v>
      </c>
      <c r="J1323">
        <f>'Quick View_ Sample Data'!AJ1326</f>
        <v>9.4</v>
      </c>
      <c r="K1323">
        <f>'Quick View_ Sample Data'!AH1326</f>
        <v>532.75124195132003</v>
      </c>
      <c r="L1323">
        <f t="shared" si="20"/>
        <v>0</v>
      </c>
    </row>
    <row r="1324" spans="1:12" ht="12.75" customHeight="1">
      <c r="A1324" s="321"/>
      <c r="B1324" t="str">
        <f>'Quick View_ Sample Data'!P1327</f>
        <v>SiNx</v>
      </c>
      <c r="C1324">
        <f>'Quick View_ Sample Data'!O1327</f>
        <v>522</v>
      </c>
      <c r="D1324">
        <f>'Quick View_ Sample Data'!AN1327</f>
        <v>185.34033896482475</v>
      </c>
      <c r="E1324">
        <f>'Quick View_ Sample Data'!O1327</f>
        <v>522</v>
      </c>
      <c r="F1324">
        <f>'Quick View_ Sample Data'!AO1327</f>
        <v>17607.332201658352</v>
      </c>
      <c r="G1324">
        <f>'Quick View_ Sample Data'!O1327</f>
        <v>522</v>
      </c>
      <c r="H1324">
        <f>'Quick View_ Sample Data'!AP1327</f>
        <v>2.7384615384615385</v>
      </c>
      <c r="I1324">
        <f>'Quick View_ Sample Data'!AF1327</f>
        <v>0</v>
      </c>
      <c r="J1324">
        <f>'Quick View_ Sample Data'!AJ1327</f>
        <v>9.5</v>
      </c>
      <c r="K1324">
        <f>'Quick View_ Sample Data'!AH1327</f>
        <v>520.61892967647395</v>
      </c>
      <c r="L1324">
        <f t="shared" si="20"/>
        <v>0</v>
      </c>
    </row>
    <row r="1325" spans="1:12" ht="12.75" customHeight="1">
      <c r="A1325" s="321"/>
      <c r="B1325" t="str">
        <f>'Quick View_ Sample Data'!P1328</f>
        <v>SiNx</v>
      </c>
      <c r="C1325">
        <f>'Quick View_ Sample Data'!O1328</f>
        <v>523</v>
      </c>
      <c r="D1325">
        <f>'Quick View_ Sample Data'!AN1328</f>
        <v>197.51333016906295</v>
      </c>
      <c r="E1325">
        <f>'Quick View_ Sample Data'!O1328</f>
        <v>523</v>
      </c>
      <c r="F1325">
        <f>'Quick View_ Sample Data'!AO1328</f>
        <v>19218.047025449829</v>
      </c>
      <c r="G1325">
        <f>'Quick View_ Sample Data'!O1328</f>
        <v>523</v>
      </c>
      <c r="H1325">
        <f>'Quick View_ Sample Data'!AP1328</f>
        <v>2.7285714285714286</v>
      </c>
      <c r="I1325">
        <f>'Quick View_ Sample Data'!AF1328</f>
        <v>0</v>
      </c>
      <c r="J1325">
        <f>'Quick View_ Sample Data'!AJ1328</f>
        <v>9.73</v>
      </c>
      <c r="K1325">
        <f>'Quick View_ Sample Data'!AH1328</f>
        <v>517.05060253681404</v>
      </c>
      <c r="L1325">
        <f t="shared" si="20"/>
        <v>0</v>
      </c>
    </row>
    <row r="1326" spans="1:12" ht="12.75" customHeight="1">
      <c r="A1326" s="321"/>
      <c r="B1326" t="str">
        <f>'Quick View_ Sample Data'!P1329</f>
        <v>SiNx</v>
      </c>
      <c r="C1326">
        <f>'Quick View_ Sample Data'!O1329</f>
        <v>523</v>
      </c>
      <c r="D1326">
        <f>'Quick View_ Sample Data'!AN1329</f>
        <v>179.93860534080682</v>
      </c>
      <c r="E1326">
        <f>'Quick View_ Sample Data'!O1329</f>
        <v>523</v>
      </c>
      <c r="F1326">
        <f>'Quick View_ Sample Data'!AO1329</f>
        <v>18173.799139421488</v>
      </c>
      <c r="G1326">
        <f>'Quick View_ Sample Data'!O1329</f>
        <v>523</v>
      </c>
      <c r="H1326">
        <f>'Quick View_ Sample Data'!AP1329</f>
        <v>2.8428571428571425</v>
      </c>
      <c r="I1326">
        <f>'Quick View_ Sample Data'!AF1329</f>
        <v>0</v>
      </c>
      <c r="J1326">
        <f>'Quick View_ Sample Data'!AJ1329</f>
        <v>10.1</v>
      </c>
      <c r="K1326">
        <f>'Quick View_ Sample Data'!AH1329</f>
        <v>452.10704859499202</v>
      </c>
      <c r="L1326">
        <f t="shared" si="20"/>
        <v>0</v>
      </c>
    </row>
    <row r="1327" spans="1:12" ht="12.75" customHeight="1">
      <c r="A1327" s="321"/>
      <c r="B1327" t="str">
        <f>'Quick View_ Sample Data'!P1330</f>
        <v>SiNx</v>
      </c>
      <c r="C1327">
        <f>'Quick View_ Sample Data'!O1330</f>
        <v>523</v>
      </c>
      <c r="D1327">
        <f>'Quick View_ Sample Data'!AN1330</f>
        <v>178.38834561498109</v>
      </c>
      <c r="E1327">
        <f>'Quick View_ Sample Data'!O1330</f>
        <v>523</v>
      </c>
      <c r="F1327">
        <f>'Quick View_ Sample Data'!AO1330</f>
        <v>18195.611252728071</v>
      </c>
      <c r="G1327">
        <f>'Quick View_ Sample Data'!O1330</f>
        <v>523</v>
      </c>
      <c r="H1327">
        <f>'Quick View_ Sample Data'!AP1330</f>
        <v>2.8785714285714286</v>
      </c>
      <c r="I1327">
        <f>'Quick View_ Sample Data'!AF1330</f>
        <v>0</v>
      </c>
      <c r="J1327">
        <f>'Quick View_ Sample Data'!AJ1330</f>
        <v>10.199999999999999</v>
      </c>
      <c r="K1327">
        <f>'Quick View_ Sample Data'!AH1330</f>
        <v>442.650981674891</v>
      </c>
      <c r="L1327">
        <f t="shared" si="20"/>
        <v>0</v>
      </c>
    </row>
    <row r="1328" spans="1:12" ht="12.75" customHeight="1">
      <c r="A1328" s="321"/>
      <c r="B1328" t="str">
        <f>'Quick View_ Sample Data'!P1331</f>
        <v>SiNx</v>
      </c>
      <c r="C1328">
        <f>'Quick View_ Sample Data'!O1331</f>
        <v>524</v>
      </c>
      <c r="D1328">
        <f>'Quick View_ Sample Data'!AN1331</f>
        <v>195.5635962199521</v>
      </c>
      <c r="E1328">
        <f>'Quick View_ Sample Data'!O1331</f>
        <v>524</v>
      </c>
      <c r="F1328">
        <f>'Quick View_ Sample Data'!AO1331</f>
        <v>0</v>
      </c>
      <c r="G1328">
        <f>'Quick View_ Sample Data'!O1331</f>
        <v>524</v>
      </c>
      <c r="H1328">
        <f>'Quick View_ Sample Data'!AP1331</f>
        <v>2.7172413793103445</v>
      </c>
      <c r="I1328">
        <f>'Quick View_ Sample Data'!AF1331</f>
        <v>0</v>
      </c>
      <c r="J1328">
        <f>'Quick View_ Sample Data'!AJ1331</f>
        <v>0</v>
      </c>
      <c r="K1328">
        <f>'Quick View_ Sample Data'!AH1331</f>
        <v>496.35430512678198</v>
      </c>
      <c r="L1328">
        <f t="shared" si="20"/>
        <v>0</v>
      </c>
    </row>
    <row r="1329" spans="1:12" ht="12.75" customHeight="1">
      <c r="A1329" s="321"/>
      <c r="B1329" t="str">
        <f>'Quick View_ Sample Data'!P1332</f>
        <v>SiNx</v>
      </c>
      <c r="C1329">
        <f>'Quick View_ Sample Data'!O1332</f>
        <v>524</v>
      </c>
      <c r="D1329">
        <f>'Quick View_ Sample Data'!AN1332</f>
        <v>179.01940426963026</v>
      </c>
      <c r="E1329">
        <f>'Quick View_ Sample Data'!O1332</f>
        <v>524</v>
      </c>
      <c r="F1329">
        <f>'Quick View_ Sample Data'!AO1332</f>
        <v>0</v>
      </c>
      <c r="G1329">
        <f>'Quick View_ Sample Data'!O1332</f>
        <v>524</v>
      </c>
      <c r="H1329">
        <f>'Quick View_ Sample Data'!AP1332</f>
        <v>2.896551724137931</v>
      </c>
      <c r="I1329">
        <f>'Quick View_ Sample Data'!AF1332</f>
        <v>0</v>
      </c>
      <c r="J1329">
        <f>'Quick View_ Sample Data'!AJ1332</f>
        <v>0</v>
      </c>
      <c r="K1329">
        <f>'Quick View_ Sample Data'!AH1332</f>
        <v>426.23667683245299</v>
      </c>
      <c r="L1329">
        <f t="shared" si="20"/>
        <v>0</v>
      </c>
    </row>
    <row r="1330" spans="1:12" ht="12.75" customHeight="1">
      <c r="A1330" s="321"/>
      <c r="B1330" t="str">
        <f>'Quick View_ Sample Data'!P1333</f>
        <v>SiNx</v>
      </c>
      <c r="C1330">
        <f>'Quick View_ Sample Data'!O1333</f>
        <v>524</v>
      </c>
      <c r="D1330">
        <f>'Quick View_ Sample Data'!AN1333</f>
        <v>175.04964032675784</v>
      </c>
      <c r="E1330">
        <f>'Quick View_ Sample Data'!O1333</f>
        <v>524</v>
      </c>
      <c r="F1330">
        <f>'Quick View_ Sample Data'!AO1333</f>
        <v>0</v>
      </c>
      <c r="G1330">
        <f>'Quick View_ Sample Data'!O1333</f>
        <v>524</v>
      </c>
      <c r="H1330">
        <f>'Quick View_ Sample Data'!AP1333</f>
        <v>2.8275862068965516</v>
      </c>
      <c r="I1330">
        <f>'Quick View_ Sample Data'!AF1333</f>
        <v>0</v>
      </c>
      <c r="J1330">
        <f>'Quick View_ Sample Data'!AJ1333</f>
        <v>0</v>
      </c>
      <c r="K1330">
        <f>'Quick View_ Sample Data'!AH1333</f>
        <v>426.95034226038501</v>
      </c>
      <c r="L1330">
        <f t="shared" si="20"/>
        <v>0</v>
      </c>
    </row>
    <row r="1331" spans="1:12" ht="12.75" customHeight="1">
      <c r="A1331" s="321"/>
      <c r="B1331">
        <f>'Quick View_ Sample Data'!P1334</f>
        <v>0</v>
      </c>
      <c r="C1331">
        <f>'Quick View_ Sample Data'!O1334</f>
        <v>0</v>
      </c>
      <c r="D1331">
        <f>'Quick View_ Sample Data'!AN1334</f>
        <v>0</v>
      </c>
      <c r="E1331">
        <f>'Quick View_ Sample Data'!O1334</f>
        <v>0</v>
      </c>
      <c r="F1331">
        <f>'Quick View_ Sample Data'!AO1334</f>
        <v>0</v>
      </c>
      <c r="G1331">
        <f>'Quick View_ Sample Data'!O1334</f>
        <v>0</v>
      </c>
      <c r="H1331" t="e">
        <f>'Quick View_ Sample Data'!AP1334</f>
        <v>#DIV/0!</v>
      </c>
      <c r="I1331">
        <f>'Quick View_ Sample Data'!AF1334</f>
        <v>0</v>
      </c>
      <c r="J1331">
        <f>'Quick View_ Sample Data'!AJ1334</f>
        <v>0</v>
      </c>
      <c r="K1331">
        <f>'Quick View_ Sample Data'!AH1334</f>
        <v>0</v>
      </c>
      <c r="L1331">
        <f t="shared" si="20"/>
        <v>0</v>
      </c>
    </row>
    <row r="1332" spans="1:12" ht="12.75" customHeight="1">
      <c r="A1332" s="321"/>
      <c r="B1332" t="str">
        <f>'Quick View_ Sample Data'!P1335</f>
        <v>SiO2</v>
      </c>
      <c r="C1332">
        <f>'Quick View_ Sample Data'!O1335</f>
        <v>526</v>
      </c>
      <c r="D1332">
        <f>'Quick View_ Sample Data'!AN1335</f>
        <v>0</v>
      </c>
      <c r="E1332">
        <f>'Quick View_ Sample Data'!O1335</f>
        <v>526</v>
      </c>
      <c r="F1332">
        <f>'Quick View_ Sample Data'!AO1335</f>
        <v>0</v>
      </c>
      <c r="G1332">
        <f>'Quick View_ Sample Data'!O1335</f>
        <v>526</v>
      </c>
      <c r="H1332">
        <f>'Quick View_ Sample Data'!AP1335</f>
        <v>0</v>
      </c>
      <c r="I1332">
        <f>'Quick View_ Sample Data'!AF1335</f>
        <v>0</v>
      </c>
      <c r="J1332">
        <f>'Quick View_ Sample Data'!AJ1335</f>
        <v>0</v>
      </c>
      <c r="K1332">
        <f>'Quick View_ Sample Data'!AH1335</f>
        <v>406.07562849337103</v>
      </c>
      <c r="L1332">
        <f t="shared" si="20"/>
        <v>0</v>
      </c>
    </row>
    <row r="1333" spans="1:12" ht="12.75" customHeight="1">
      <c r="A1333" s="321"/>
      <c r="B1333" t="str">
        <f>'Quick View_ Sample Data'!P1336</f>
        <v>SiO2</v>
      </c>
      <c r="C1333">
        <f>'Quick View_ Sample Data'!O1336</f>
        <v>526</v>
      </c>
      <c r="D1333">
        <f>'Quick View_ Sample Data'!AN1336</f>
        <v>0</v>
      </c>
      <c r="E1333">
        <f>'Quick View_ Sample Data'!O1336</f>
        <v>526</v>
      </c>
      <c r="F1333">
        <f>'Quick View_ Sample Data'!AO1336</f>
        <v>0</v>
      </c>
      <c r="G1333">
        <f>'Quick View_ Sample Data'!O1336</f>
        <v>526</v>
      </c>
      <c r="H1333">
        <f>'Quick View_ Sample Data'!AP1336</f>
        <v>0</v>
      </c>
      <c r="I1333">
        <f>'Quick View_ Sample Data'!AF1336</f>
        <v>0</v>
      </c>
      <c r="J1333">
        <f>'Quick View_ Sample Data'!AJ1336</f>
        <v>0</v>
      </c>
      <c r="K1333">
        <f>'Quick View_ Sample Data'!AH1336</f>
        <v>400.187888712931</v>
      </c>
      <c r="L1333">
        <f t="shared" si="20"/>
        <v>0</v>
      </c>
    </row>
    <row r="1334" spans="1:12" ht="12.75" customHeight="1">
      <c r="A1334" s="321"/>
      <c r="B1334" t="str">
        <f>'Quick View_ Sample Data'!P1337</f>
        <v>SiO2</v>
      </c>
      <c r="C1334">
        <f>'Quick View_ Sample Data'!O1337</f>
        <v>527</v>
      </c>
      <c r="D1334">
        <f>'Quick View_ Sample Data'!AN1337</f>
        <v>0</v>
      </c>
      <c r="E1334">
        <f>'Quick View_ Sample Data'!O1337</f>
        <v>527</v>
      </c>
      <c r="F1334">
        <f>'Quick View_ Sample Data'!AO1337</f>
        <v>0</v>
      </c>
      <c r="G1334">
        <f>'Quick View_ Sample Data'!O1337</f>
        <v>527</v>
      </c>
      <c r="H1334">
        <f>'Quick View_ Sample Data'!AP1337</f>
        <v>0</v>
      </c>
      <c r="I1334">
        <f>'Quick View_ Sample Data'!AF1337</f>
        <v>0</v>
      </c>
      <c r="J1334">
        <f>'Quick View_ Sample Data'!AJ1337</f>
        <v>0</v>
      </c>
      <c r="K1334">
        <f>'Quick View_ Sample Data'!AH1337</f>
        <v>0</v>
      </c>
      <c r="L1334">
        <f t="shared" si="20"/>
        <v>0</v>
      </c>
    </row>
    <row r="1335" spans="1:12" ht="12.75" customHeight="1">
      <c r="A1335" s="321"/>
      <c r="B1335" t="str">
        <f>'Quick View_ Sample Data'!P1338</f>
        <v>SiO2</v>
      </c>
      <c r="C1335">
        <f>'Quick View_ Sample Data'!O1338</f>
        <v>527</v>
      </c>
      <c r="D1335">
        <f>'Quick View_ Sample Data'!AN1338</f>
        <v>0</v>
      </c>
      <c r="E1335">
        <f>'Quick View_ Sample Data'!O1338</f>
        <v>527</v>
      </c>
      <c r="F1335">
        <f>'Quick View_ Sample Data'!AO1338</f>
        <v>0</v>
      </c>
      <c r="G1335">
        <f>'Quick View_ Sample Data'!O1338</f>
        <v>527</v>
      </c>
      <c r="H1335">
        <f>'Quick View_ Sample Data'!AP1338</f>
        <v>0</v>
      </c>
      <c r="I1335">
        <f>'Quick View_ Sample Data'!AF1338</f>
        <v>0</v>
      </c>
      <c r="J1335">
        <f>'Quick View_ Sample Data'!AJ1338</f>
        <v>0</v>
      </c>
      <c r="K1335">
        <f>'Quick View_ Sample Data'!AH1338</f>
        <v>0</v>
      </c>
      <c r="L1335">
        <f t="shared" si="20"/>
        <v>0</v>
      </c>
    </row>
    <row r="1336" spans="1:12" ht="12.75" customHeight="1">
      <c r="A1336" s="321"/>
      <c r="B1336" t="str">
        <f>'Quick View_ Sample Data'!P1339</f>
        <v>SiO2</v>
      </c>
      <c r="C1336">
        <f>'Quick View_ Sample Data'!O1339</f>
        <v>527</v>
      </c>
      <c r="D1336">
        <f>'Quick View_ Sample Data'!AN1339</f>
        <v>0</v>
      </c>
      <c r="E1336">
        <f>'Quick View_ Sample Data'!O1339</f>
        <v>527</v>
      </c>
      <c r="F1336">
        <f>'Quick View_ Sample Data'!AO1339</f>
        <v>0</v>
      </c>
      <c r="G1336">
        <f>'Quick View_ Sample Data'!O1339</f>
        <v>527</v>
      </c>
      <c r="H1336">
        <f>'Quick View_ Sample Data'!AP1339</f>
        <v>0</v>
      </c>
      <c r="I1336">
        <f>'Quick View_ Sample Data'!AF1339</f>
        <v>0</v>
      </c>
      <c r="J1336">
        <f>'Quick View_ Sample Data'!AJ1339</f>
        <v>0</v>
      </c>
      <c r="K1336">
        <f>'Quick View_ Sample Data'!AH1339</f>
        <v>0</v>
      </c>
      <c r="L1336">
        <f t="shared" si="20"/>
        <v>0</v>
      </c>
    </row>
    <row r="1337" spans="1:12" ht="12.75" customHeight="1">
      <c r="A1337" s="321"/>
      <c r="B1337" t="str">
        <f>'Quick View_ Sample Data'!P1340</f>
        <v>SiO2</v>
      </c>
      <c r="C1337">
        <f>'Quick View_ Sample Data'!O1340</f>
        <v>528</v>
      </c>
      <c r="D1337">
        <f>'Quick View_ Sample Data'!AN1340</f>
        <v>287.28869425942554</v>
      </c>
      <c r="E1337">
        <f>'Quick View_ Sample Data'!O1340</f>
        <v>528</v>
      </c>
      <c r="F1337">
        <f>'Quick View_ Sample Data'!AO1340</f>
        <v>14335.705843545335</v>
      </c>
      <c r="G1337">
        <f>'Quick View_ Sample Data'!O1340</f>
        <v>528</v>
      </c>
      <c r="H1337">
        <f>'Quick View_ Sample Data'!AP1340</f>
        <v>2.0466666666666664</v>
      </c>
      <c r="I1337">
        <f>'Quick View_ Sample Data'!AF1340</f>
        <v>0</v>
      </c>
      <c r="J1337">
        <f>'Quick View_ Sample Data'!AJ1340</f>
        <v>4.99</v>
      </c>
      <c r="K1337">
        <f>'Quick View_ Sample Data'!AH1340</f>
        <v>935.79379237597902</v>
      </c>
      <c r="L1337">
        <f t="shared" si="20"/>
        <v>0</v>
      </c>
    </row>
    <row r="1338" spans="1:12" ht="12.75" customHeight="1">
      <c r="A1338" s="321"/>
      <c r="B1338" t="str">
        <f>'Quick View_ Sample Data'!P1341</f>
        <v>SiO2</v>
      </c>
      <c r="C1338">
        <f>'Quick View_ Sample Data'!O1341</f>
        <v>528</v>
      </c>
      <c r="D1338">
        <f>'Quick View_ Sample Data'!AN1341</f>
        <v>284.00226496379838</v>
      </c>
      <c r="E1338">
        <f>'Quick View_ Sample Data'!O1341</f>
        <v>528</v>
      </c>
      <c r="F1338">
        <f>'Quick View_ Sample Data'!AO1341</f>
        <v>14171.713021693538</v>
      </c>
      <c r="G1338">
        <f>'Quick View_ Sample Data'!O1341</f>
        <v>528</v>
      </c>
      <c r="H1338">
        <f>'Quick View_ Sample Data'!AP1341</f>
        <v>2.0466666666666664</v>
      </c>
      <c r="I1338">
        <f>'Quick View_ Sample Data'!AF1341</f>
        <v>0</v>
      </c>
      <c r="J1338">
        <f>'Quick View_ Sample Data'!AJ1341</f>
        <v>4.99</v>
      </c>
      <c r="K1338">
        <f>'Quick View_ Sample Data'!AH1341</f>
        <v>925.08881095699803</v>
      </c>
      <c r="L1338">
        <f t="shared" si="20"/>
        <v>0</v>
      </c>
    </row>
    <row r="1339" spans="1:12" ht="12.75" customHeight="1">
      <c r="A1339" s="321"/>
      <c r="B1339" t="str">
        <f>'Quick View_ Sample Data'!P1342</f>
        <v>SiO2</v>
      </c>
      <c r="C1339">
        <f>'Quick View_ Sample Data'!O1342</f>
        <v>529</v>
      </c>
      <c r="D1339">
        <f>'Quick View_ Sample Data'!AN1342</f>
        <v>237.61454739728202</v>
      </c>
      <c r="E1339">
        <f>'Quick View_ Sample Data'!O1342</f>
        <v>529</v>
      </c>
      <c r="F1339">
        <f>'Quick View_ Sample Data'!AO1342</f>
        <v>18058.705602193433</v>
      </c>
      <c r="G1339">
        <f>'Quick View_ Sample Data'!O1342</f>
        <v>529</v>
      </c>
      <c r="H1339">
        <f>'Quick View_ Sample Data'!AP1342</f>
        <v>2.4133333333333331</v>
      </c>
      <c r="I1339">
        <f>'Quick View_ Sample Data'!AF1342</f>
        <v>0</v>
      </c>
      <c r="J1339">
        <f>'Quick View_ Sample Data'!AJ1342</f>
        <v>7.6</v>
      </c>
      <c r="K1339">
        <f>'Quick View_ Sample Data'!AH1342</f>
        <v>656.39377734055802</v>
      </c>
      <c r="L1339">
        <f t="shared" si="20"/>
        <v>0</v>
      </c>
    </row>
    <row r="1340" spans="1:12" ht="12.75" customHeight="1">
      <c r="A1340" s="321"/>
      <c r="B1340" t="str">
        <f>'Quick View_ Sample Data'!P1343</f>
        <v>SiO2</v>
      </c>
      <c r="C1340">
        <f>'Quick View_ Sample Data'!O1343</f>
        <v>529</v>
      </c>
      <c r="D1340">
        <f>'Quick View_ Sample Data'!AN1343</f>
        <v>236.41398373114308</v>
      </c>
      <c r="E1340">
        <f>'Quick View_ Sample Data'!O1343</f>
        <v>529</v>
      </c>
      <c r="F1340">
        <f>'Quick View_ Sample Data'!AO1343</f>
        <v>17849.255771701301</v>
      </c>
      <c r="G1340">
        <f>'Quick View_ Sample Data'!O1343</f>
        <v>529</v>
      </c>
      <c r="H1340">
        <f>'Quick View_ Sample Data'!AP1343</f>
        <v>2.3933333333333335</v>
      </c>
      <c r="I1340">
        <f>'Quick View_ Sample Data'!AF1343</f>
        <v>0</v>
      </c>
      <c r="J1340">
        <f>'Quick View_ Sample Data'!AJ1343</f>
        <v>7.55</v>
      </c>
      <c r="K1340">
        <f>'Quick View_ Sample Data'!AH1343</f>
        <v>658.53477362435399</v>
      </c>
      <c r="L1340">
        <f t="shared" si="20"/>
        <v>0</v>
      </c>
    </row>
    <row r="1341" spans="1:12" ht="12.75" customHeight="1">
      <c r="A1341" s="321"/>
      <c r="B1341" t="str">
        <f>'Quick View_ Sample Data'!P1344</f>
        <v>SiO2</v>
      </c>
      <c r="C1341">
        <f>'Quick View_ Sample Data'!O1344</f>
        <v>530</v>
      </c>
      <c r="D1341">
        <f>'Quick View_ Sample Data'!AN1344</f>
        <v>215.53837788234418</v>
      </c>
      <c r="E1341">
        <f>'Quick View_ Sample Data'!O1344</f>
        <v>530</v>
      </c>
      <c r="F1341">
        <f>'Quick View_ Sample Data'!AO1344</f>
        <v>17415.50093289341</v>
      </c>
      <c r="G1341">
        <f>'Quick View_ Sample Data'!O1344</f>
        <v>530</v>
      </c>
      <c r="H1341">
        <f>'Quick View_ Sample Data'!AP1344</f>
        <v>2.7733333333333334</v>
      </c>
      <c r="I1341">
        <f>'Quick View_ Sample Data'!AF1344</f>
        <v>0</v>
      </c>
      <c r="J1341">
        <f>'Quick View_ Sample Data'!AJ1344</f>
        <v>8.08</v>
      </c>
      <c r="K1341">
        <f>'Quick View_ Sample Data'!AH1344</f>
        <v>518.12110067871197</v>
      </c>
      <c r="L1341">
        <f t="shared" si="20"/>
        <v>0</v>
      </c>
    </row>
    <row r="1342" spans="1:12" ht="12.75" customHeight="1">
      <c r="A1342" s="321"/>
      <c r="B1342">
        <f>'Quick View_ Sample Data'!P1385</f>
        <v>0</v>
      </c>
      <c r="C1342">
        <f>'Quick View_ Sample Data'!O1385</f>
        <v>0</v>
      </c>
      <c r="D1342">
        <f>'Quick View_ Sample Data'!AN1385</f>
        <v>0</v>
      </c>
      <c r="E1342">
        <f>'Quick View_ Sample Data'!O1385</f>
        <v>0</v>
      </c>
      <c r="F1342">
        <f>'Quick View_ Sample Data'!AO1385</f>
        <v>0</v>
      </c>
      <c r="G1342">
        <f>'Quick View_ Sample Data'!O1385</f>
        <v>0</v>
      </c>
      <c r="H1342">
        <f>'Quick View_ Sample Data'!AP1385</f>
        <v>0</v>
      </c>
      <c r="I1342">
        <f>'Quick View_ Sample Data'!AF1385</f>
        <v>0</v>
      </c>
      <c r="J1342">
        <f>'Quick View_ Sample Data'!AJ1385</f>
        <v>0</v>
      </c>
      <c r="K1342">
        <f>'Quick View_ Sample Data'!AH1385</f>
        <v>0</v>
      </c>
      <c r="L1342">
        <f t="shared" si="20"/>
        <v>0</v>
      </c>
    </row>
    <row r="1343" spans="1:12" ht="12.75" customHeight="1">
      <c r="A1343" s="321"/>
      <c r="B1343">
        <f>'Quick View_ Sample Data'!P1386</f>
        <v>0</v>
      </c>
      <c r="C1343">
        <f>'Quick View_ Sample Data'!O1386</f>
        <v>0</v>
      </c>
      <c r="D1343">
        <f>'Quick View_ Sample Data'!AN1386</f>
        <v>0</v>
      </c>
      <c r="E1343">
        <f>'Quick View_ Sample Data'!O1386</f>
        <v>0</v>
      </c>
      <c r="F1343">
        <f>'Quick View_ Sample Data'!AO1386</f>
        <v>0</v>
      </c>
      <c r="G1343">
        <f>'Quick View_ Sample Data'!O1386</f>
        <v>0</v>
      </c>
      <c r="H1343">
        <f>'Quick View_ Sample Data'!AP1386</f>
        <v>0</v>
      </c>
      <c r="I1343">
        <f>'Quick View_ Sample Data'!AF1386</f>
        <v>0</v>
      </c>
      <c r="J1343">
        <f>'Quick View_ Sample Data'!AJ1386</f>
        <v>0</v>
      </c>
      <c r="K1343">
        <f>'Quick View_ Sample Data'!AH1386</f>
        <v>0</v>
      </c>
      <c r="L1343">
        <f t="shared" si="20"/>
        <v>0</v>
      </c>
    </row>
    <row r="1344" spans="1:12" ht="12.75" customHeight="1">
      <c r="A1344" s="321"/>
      <c r="B1344">
        <f>'Quick View_ Sample Data'!P1387</f>
        <v>0</v>
      </c>
      <c r="C1344">
        <f>'Quick View_ Sample Data'!O1387</f>
        <v>0</v>
      </c>
      <c r="D1344">
        <f>'Quick View_ Sample Data'!AN1387</f>
        <v>0</v>
      </c>
      <c r="E1344">
        <f>'Quick View_ Sample Data'!O1387</f>
        <v>0</v>
      </c>
      <c r="F1344">
        <f>'Quick View_ Sample Data'!AO1387</f>
        <v>0</v>
      </c>
      <c r="G1344">
        <f>'Quick View_ Sample Data'!O1387</f>
        <v>0</v>
      </c>
      <c r="H1344">
        <f>'Quick View_ Sample Data'!AP1387</f>
        <v>0</v>
      </c>
      <c r="I1344">
        <f>'Quick View_ Sample Data'!AF1387</f>
        <v>0</v>
      </c>
      <c r="J1344">
        <f>'Quick View_ Sample Data'!AJ1387</f>
        <v>0</v>
      </c>
      <c r="K1344">
        <f>'Quick View_ Sample Data'!AH1387</f>
        <v>0</v>
      </c>
      <c r="L1344">
        <f t="shared" si="20"/>
        <v>0</v>
      </c>
    </row>
    <row r="1345" spans="1:12" ht="12.75" customHeight="1">
      <c r="A1345" s="321"/>
      <c r="B1345">
        <f>'Quick View_ Sample Data'!P1388</f>
        <v>0</v>
      </c>
      <c r="C1345">
        <f>'Quick View_ Sample Data'!O1388</f>
        <v>0</v>
      </c>
      <c r="D1345">
        <f>'Quick View_ Sample Data'!AN1388</f>
        <v>0</v>
      </c>
      <c r="E1345">
        <f>'Quick View_ Sample Data'!O1388</f>
        <v>0</v>
      </c>
      <c r="F1345">
        <f>'Quick View_ Sample Data'!AO1388</f>
        <v>0</v>
      </c>
      <c r="G1345">
        <f>'Quick View_ Sample Data'!O1388</f>
        <v>0</v>
      </c>
      <c r="H1345">
        <f>'Quick View_ Sample Data'!AP1388</f>
        <v>0</v>
      </c>
      <c r="I1345">
        <f>'Quick View_ Sample Data'!AF1388</f>
        <v>0</v>
      </c>
      <c r="J1345">
        <f>'Quick View_ Sample Data'!AJ1388</f>
        <v>0</v>
      </c>
      <c r="K1345">
        <f>'Quick View_ Sample Data'!AH1388</f>
        <v>0</v>
      </c>
      <c r="L1345">
        <f t="shared" si="20"/>
        <v>0</v>
      </c>
    </row>
    <row r="1346" spans="1:12" ht="12.75" customHeight="1">
      <c r="A1346" s="321"/>
      <c r="B1346">
        <f>'Quick View_ Sample Data'!P1389</f>
        <v>0</v>
      </c>
      <c r="C1346">
        <f>'Quick View_ Sample Data'!O1389</f>
        <v>0</v>
      </c>
      <c r="D1346">
        <f>'Quick View_ Sample Data'!AN1389</f>
        <v>0</v>
      </c>
      <c r="E1346">
        <f>'Quick View_ Sample Data'!O1389</f>
        <v>0</v>
      </c>
      <c r="F1346">
        <f>'Quick View_ Sample Data'!AO1389</f>
        <v>0</v>
      </c>
      <c r="G1346">
        <f>'Quick View_ Sample Data'!O1389</f>
        <v>0</v>
      </c>
      <c r="H1346">
        <f>'Quick View_ Sample Data'!AP1389</f>
        <v>0</v>
      </c>
      <c r="I1346">
        <f>'Quick View_ Sample Data'!AF1389</f>
        <v>0</v>
      </c>
      <c r="J1346">
        <f>'Quick View_ Sample Data'!AJ1389</f>
        <v>0</v>
      </c>
      <c r="K1346">
        <f>'Quick View_ Sample Data'!AH1389</f>
        <v>0</v>
      </c>
      <c r="L1346">
        <f t="shared" ref="L1346:L1400" si="21">I1346*J1346</f>
        <v>0</v>
      </c>
    </row>
    <row r="1347" spans="1:12" ht="12.75" customHeight="1">
      <c r="A1347" s="321"/>
      <c r="B1347">
        <f>'Quick View_ Sample Data'!P1390</f>
        <v>0</v>
      </c>
      <c r="C1347">
        <f>'Quick View_ Sample Data'!O1390</f>
        <v>0</v>
      </c>
      <c r="D1347">
        <f>'Quick View_ Sample Data'!AN1390</f>
        <v>0</v>
      </c>
      <c r="E1347">
        <f>'Quick View_ Sample Data'!O1390</f>
        <v>0</v>
      </c>
      <c r="F1347">
        <f>'Quick View_ Sample Data'!AO1390</f>
        <v>0</v>
      </c>
      <c r="G1347">
        <f>'Quick View_ Sample Data'!O1390</f>
        <v>0</v>
      </c>
      <c r="H1347">
        <f>'Quick View_ Sample Data'!AP1390</f>
        <v>0</v>
      </c>
      <c r="I1347">
        <f>'Quick View_ Sample Data'!AF1390</f>
        <v>0</v>
      </c>
      <c r="J1347">
        <f>'Quick View_ Sample Data'!AJ1390</f>
        <v>0</v>
      </c>
      <c r="K1347">
        <f>'Quick View_ Sample Data'!AH1390</f>
        <v>0</v>
      </c>
      <c r="L1347">
        <f t="shared" si="21"/>
        <v>0</v>
      </c>
    </row>
    <row r="1348" spans="1:12" ht="12.75" customHeight="1">
      <c r="A1348" s="321"/>
      <c r="B1348">
        <f>'Quick View_ Sample Data'!P1391</f>
        <v>0</v>
      </c>
      <c r="C1348">
        <f>'Quick View_ Sample Data'!O1391</f>
        <v>0</v>
      </c>
      <c r="D1348">
        <f>'Quick View_ Sample Data'!AN1391</f>
        <v>0</v>
      </c>
      <c r="E1348">
        <f>'Quick View_ Sample Data'!O1391</f>
        <v>0</v>
      </c>
      <c r="F1348">
        <f>'Quick View_ Sample Data'!AO1391</f>
        <v>0</v>
      </c>
      <c r="G1348">
        <f>'Quick View_ Sample Data'!O1391</f>
        <v>0</v>
      </c>
      <c r="H1348">
        <f>'Quick View_ Sample Data'!AP1391</f>
        <v>0</v>
      </c>
      <c r="I1348">
        <f>'Quick View_ Sample Data'!AF1391</f>
        <v>0</v>
      </c>
      <c r="J1348">
        <f>'Quick View_ Sample Data'!AJ1391</f>
        <v>0</v>
      </c>
      <c r="K1348">
        <f>'Quick View_ Sample Data'!AH1391</f>
        <v>0</v>
      </c>
      <c r="L1348">
        <f t="shared" si="21"/>
        <v>0</v>
      </c>
    </row>
    <row r="1349" spans="1:12" ht="12.75" customHeight="1">
      <c r="A1349" s="321"/>
      <c r="B1349">
        <f>'Quick View_ Sample Data'!P1392</f>
        <v>0</v>
      </c>
      <c r="C1349">
        <f>'Quick View_ Sample Data'!O1392</f>
        <v>0</v>
      </c>
      <c r="D1349">
        <f>'Quick View_ Sample Data'!AN1392</f>
        <v>0</v>
      </c>
      <c r="E1349">
        <f>'Quick View_ Sample Data'!O1392</f>
        <v>0</v>
      </c>
      <c r="F1349">
        <f>'Quick View_ Sample Data'!AO1392</f>
        <v>0</v>
      </c>
      <c r="G1349">
        <f>'Quick View_ Sample Data'!O1392</f>
        <v>0</v>
      </c>
      <c r="H1349">
        <f>'Quick View_ Sample Data'!AP1392</f>
        <v>0</v>
      </c>
      <c r="I1349">
        <f>'Quick View_ Sample Data'!AF1392</f>
        <v>0</v>
      </c>
      <c r="J1349">
        <f>'Quick View_ Sample Data'!AJ1392</f>
        <v>0</v>
      </c>
      <c r="K1349">
        <f>'Quick View_ Sample Data'!AH1392</f>
        <v>0</v>
      </c>
      <c r="L1349">
        <f t="shared" si="21"/>
        <v>0</v>
      </c>
    </row>
    <row r="1350" spans="1:12" ht="12.75" customHeight="1">
      <c r="A1350" s="321"/>
      <c r="B1350">
        <f>'Quick View_ Sample Data'!P1393</f>
        <v>0</v>
      </c>
      <c r="C1350">
        <f>'Quick View_ Sample Data'!O1393</f>
        <v>0</v>
      </c>
      <c r="D1350">
        <f>'Quick View_ Sample Data'!AN1393</f>
        <v>0</v>
      </c>
      <c r="E1350">
        <f>'Quick View_ Sample Data'!O1393</f>
        <v>0</v>
      </c>
      <c r="F1350">
        <f>'Quick View_ Sample Data'!AO1393</f>
        <v>0</v>
      </c>
      <c r="G1350">
        <f>'Quick View_ Sample Data'!O1393</f>
        <v>0</v>
      </c>
      <c r="H1350">
        <f>'Quick View_ Sample Data'!AP1393</f>
        <v>0</v>
      </c>
      <c r="I1350">
        <f>'Quick View_ Sample Data'!AF1393</f>
        <v>0</v>
      </c>
      <c r="J1350">
        <f>'Quick View_ Sample Data'!AJ1393</f>
        <v>0</v>
      </c>
      <c r="K1350">
        <f>'Quick View_ Sample Data'!AH1393</f>
        <v>0</v>
      </c>
      <c r="L1350">
        <f t="shared" si="21"/>
        <v>0</v>
      </c>
    </row>
    <row r="1351" spans="1:12" ht="12.75" customHeight="1">
      <c r="A1351" s="321"/>
      <c r="B1351">
        <f>'Quick View_ Sample Data'!P1394</f>
        <v>0</v>
      </c>
      <c r="C1351">
        <f>'Quick View_ Sample Data'!O1394</f>
        <v>0</v>
      </c>
      <c r="D1351">
        <f>'Quick View_ Sample Data'!AN1394</f>
        <v>0</v>
      </c>
      <c r="E1351">
        <f>'Quick View_ Sample Data'!O1394</f>
        <v>0</v>
      </c>
      <c r="F1351">
        <f>'Quick View_ Sample Data'!AO1394</f>
        <v>0</v>
      </c>
      <c r="G1351">
        <f>'Quick View_ Sample Data'!O1394</f>
        <v>0</v>
      </c>
      <c r="H1351">
        <f>'Quick View_ Sample Data'!AP1394</f>
        <v>0</v>
      </c>
      <c r="I1351">
        <f>'Quick View_ Sample Data'!AF1394</f>
        <v>0</v>
      </c>
      <c r="J1351">
        <f>'Quick View_ Sample Data'!AJ1394</f>
        <v>0</v>
      </c>
      <c r="K1351">
        <f>'Quick View_ Sample Data'!AH1394</f>
        <v>0</v>
      </c>
      <c r="L1351">
        <f t="shared" si="21"/>
        <v>0</v>
      </c>
    </row>
    <row r="1352" spans="1:12" ht="12.75" customHeight="1">
      <c r="A1352" s="321"/>
      <c r="B1352">
        <f>'Quick View_ Sample Data'!P1395</f>
        <v>0</v>
      </c>
      <c r="C1352">
        <f>'Quick View_ Sample Data'!O1395</f>
        <v>0</v>
      </c>
      <c r="D1352">
        <f>'Quick View_ Sample Data'!AN1395</f>
        <v>0</v>
      </c>
      <c r="E1352">
        <f>'Quick View_ Sample Data'!O1395</f>
        <v>0</v>
      </c>
      <c r="F1352">
        <f>'Quick View_ Sample Data'!AO1395</f>
        <v>0</v>
      </c>
      <c r="G1352">
        <f>'Quick View_ Sample Data'!O1395</f>
        <v>0</v>
      </c>
      <c r="H1352">
        <f>'Quick View_ Sample Data'!AP1395</f>
        <v>0</v>
      </c>
      <c r="I1352">
        <f>'Quick View_ Sample Data'!AF1395</f>
        <v>0</v>
      </c>
      <c r="J1352">
        <f>'Quick View_ Sample Data'!AJ1395</f>
        <v>0</v>
      </c>
      <c r="K1352">
        <f>'Quick View_ Sample Data'!AH1395</f>
        <v>0</v>
      </c>
      <c r="L1352">
        <f t="shared" si="21"/>
        <v>0</v>
      </c>
    </row>
    <row r="1353" spans="1:12" ht="12.75" customHeight="1">
      <c r="A1353" s="321"/>
      <c r="B1353">
        <f>'Quick View_ Sample Data'!P1396</f>
        <v>0</v>
      </c>
      <c r="C1353">
        <f>'Quick View_ Sample Data'!O1396</f>
        <v>0</v>
      </c>
      <c r="D1353">
        <f>'Quick View_ Sample Data'!AN1396</f>
        <v>0</v>
      </c>
      <c r="E1353">
        <f>'Quick View_ Sample Data'!O1396</f>
        <v>0</v>
      </c>
      <c r="F1353">
        <f>'Quick View_ Sample Data'!AO1396</f>
        <v>0</v>
      </c>
      <c r="G1353">
        <f>'Quick View_ Sample Data'!O1396</f>
        <v>0</v>
      </c>
      <c r="H1353">
        <f>'Quick View_ Sample Data'!AP1396</f>
        <v>0</v>
      </c>
      <c r="I1353">
        <f>'Quick View_ Sample Data'!AF1396</f>
        <v>0</v>
      </c>
      <c r="J1353">
        <f>'Quick View_ Sample Data'!AJ1396</f>
        <v>0</v>
      </c>
      <c r="K1353">
        <f>'Quick View_ Sample Data'!AH1396</f>
        <v>0</v>
      </c>
      <c r="L1353">
        <f t="shared" si="21"/>
        <v>0</v>
      </c>
    </row>
    <row r="1354" spans="1:12" ht="12.75" customHeight="1">
      <c r="A1354" s="321"/>
      <c r="B1354">
        <f>'Quick View_ Sample Data'!P1397</f>
        <v>0</v>
      </c>
      <c r="C1354">
        <f>'Quick View_ Sample Data'!O1397</f>
        <v>0</v>
      </c>
      <c r="D1354">
        <f>'Quick View_ Sample Data'!AN1397</f>
        <v>0</v>
      </c>
      <c r="E1354">
        <f>'Quick View_ Sample Data'!O1397</f>
        <v>0</v>
      </c>
      <c r="F1354">
        <f>'Quick View_ Sample Data'!AO1397</f>
        <v>0</v>
      </c>
      <c r="G1354">
        <f>'Quick View_ Sample Data'!O1397</f>
        <v>0</v>
      </c>
      <c r="H1354">
        <f>'Quick View_ Sample Data'!AP1397</f>
        <v>0</v>
      </c>
      <c r="I1354">
        <f>'Quick View_ Sample Data'!AF1397</f>
        <v>0</v>
      </c>
      <c r="J1354">
        <f>'Quick View_ Sample Data'!AJ1397</f>
        <v>0</v>
      </c>
      <c r="K1354">
        <f>'Quick View_ Sample Data'!AH1397</f>
        <v>0</v>
      </c>
      <c r="L1354">
        <f t="shared" si="21"/>
        <v>0</v>
      </c>
    </row>
    <row r="1355" spans="1:12" ht="12.75" customHeight="1">
      <c r="A1355" s="321"/>
      <c r="B1355">
        <f>'Quick View_ Sample Data'!P1398</f>
        <v>0</v>
      </c>
      <c r="C1355">
        <f>'Quick View_ Sample Data'!O1398</f>
        <v>0</v>
      </c>
      <c r="D1355">
        <f>'Quick View_ Sample Data'!AN1398</f>
        <v>0</v>
      </c>
      <c r="E1355">
        <f>'Quick View_ Sample Data'!O1398</f>
        <v>0</v>
      </c>
      <c r="F1355">
        <f>'Quick View_ Sample Data'!AO1398</f>
        <v>0</v>
      </c>
      <c r="G1355">
        <f>'Quick View_ Sample Data'!O1398</f>
        <v>0</v>
      </c>
      <c r="H1355">
        <f>'Quick View_ Sample Data'!AP1398</f>
        <v>0</v>
      </c>
      <c r="I1355">
        <f>'Quick View_ Sample Data'!AF1398</f>
        <v>0</v>
      </c>
      <c r="J1355">
        <f>'Quick View_ Sample Data'!AJ1398</f>
        <v>0</v>
      </c>
      <c r="K1355">
        <f>'Quick View_ Sample Data'!AH1398</f>
        <v>0</v>
      </c>
      <c r="L1355">
        <f t="shared" si="21"/>
        <v>0</v>
      </c>
    </row>
    <row r="1356" spans="1:12" ht="12.75" customHeight="1">
      <c r="A1356" s="321"/>
      <c r="B1356">
        <f>'Quick View_ Sample Data'!P1399</f>
        <v>0</v>
      </c>
      <c r="C1356">
        <f>'Quick View_ Sample Data'!O1399</f>
        <v>0</v>
      </c>
      <c r="D1356">
        <f>'Quick View_ Sample Data'!AN1399</f>
        <v>0</v>
      </c>
      <c r="E1356">
        <f>'Quick View_ Sample Data'!O1399</f>
        <v>0</v>
      </c>
      <c r="F1356">
        <f>'Quick View_ Sample Data'!AO1399</f>
        <v>0</v>
      </c>
      <c r="G1356">
        <f>'Quick View_ Sample Data'!O1399</f>
        <v>0</v>
      </c>
      <c r="H1356">
        <f>'Quick View_ Sample Data'!AP1399</f>
        <v>0</v>
      </c>
      <c r="I1356">
        <f>'Quick View_ Sample Data'!AF1399</f>
        <v>0</v>
      </c>
      <c r="J1356">
        <f>'Quick View_ Sample Data'!AJ1399</f>
        <v>0</v>
      </c>
      <c r="K1356">
        <f>'Quick View_ Sample Data'!AH1399</f>
        <v>0</v>
      </c>
      <c r="L1356">
        <f t="shared" si="21"/>
        <v>0</v>
      </c>
    </row>
    <row r="1357" spans="1:12" ht="12.75" customHeight="1">
      <c r="A1357" s="321"/>
      <c r="B1357">
        <f>'Quick View_ Sample Data'!P1400</f>
        <v>0</v>
      </c>
      <c r="C1357">
        <f>'Quick View_ Sample Data'!O1400</f>
        <v>0</v>
      </c>
      <c r="D1357">
        <f>'Quick View_ Sample Data'!AN1400</f>
        <v>0</v>
      </c>
      <c r="E1357">
        <f>'Quick View_ Sample Data'!O1400</f>
        <v>0</v>
      </c>
      <c r="F1357">
        <f>'Quick View_ Sample Data'!AO1400</f>
        <v>0</v>
      </c>
      <c r="G1357">
        <f>'Quick View_ Sample Data'!O1400</f>
        <v>0</v>
      </c>
      <c r="H1357">
        <f>'Quick View_ Sample Data'!AP1400</f>
        <v>0</v>
      </c>
      <c r="I1357">
        <f>'Quick View_ Sample Data'!AF1400</f>
        <v>0</v>
      </c>
      <c r="J1357">
        <f>'Quick View_ Sample Data'!AJ1400</f>
        <v>0</v>
      </c>
      <c r="K1357">
        <f>'Quick View_ Sample Data'!AH1400</f>
        <v>0</v>
      </c>
      <c r="L1357">
        <f t="shared" si="21"/>
        <v>0</v>
      </c>
    </row>
    <row r="1358" spans="1:12" ht="12.75" customHeight="1">
      <c r="A1358" s="321"/>
      <c r="B1358">
        <f>'Quick View_ Sample Data'!P1401</f>
        <v>0</v>
      </c>
      <c r="C1358">
        <f>'Quick View_ Sample Data'!O1401</f>
        <v>0</v>
      </c>
      <c r="D1358">
        <f>'Quick View_ Sample Data'!AN1401</f>
        <v>0</v>
      </c>
      <c r="E1358">
        <f>'Quick View_ Sample Data'!O1401</f>
        <v>0</v>
      </c>
      <c r="F1358">
        <f>'Quick View_ Sample Data'!AO1401</f>
        <v>0</v>
      </c>
      <c r="G1358">
        <f>'Quick View_ Sample Data'!O1401</f>
        <v>0</v>
      </c>
      <c r="H1358">
        <f>'Quick View_ Sample Data'!AP1401</f>
        <v>0</v>
      </c>
      <c r="I1358">
        <f>'Quick View_ Sample Data'!AF1401</f>
        <v>0</v>
      </c>
      <c r="J1358">
        <f>'Quick View_ Sample Data'!AJ1401</f>
        <v>0</v>
      </c>
      <c r="K1358">
        <f>'Quick View_ Sample Data'!AH1401</f>
        <v>0</v>
      </c>
      <c r="L1358">
        <f t="shared" si="21"/>
        <v>0</v>
      </c>
    </row>
    <row r="1359" spans="1:12" ht="12.75" customHeight="1">
      <c r="A1359" s="321"/>
      <c r="B1359">
        <f>'Quick View_ Sample Data'!P1402</f>
        <v>0</v>
      </c>
      <c r="C1359">
        <f>'Quick View_ Sample Data'!O1402</f>
        <v>0</v>
      </c>
      <c r="D1359">
        <f>'Quick View_ Sample Data'!AN1402</f>
        <v>0</v>
      </c>
      <c r="E1359">
        <f>'Quick View_ Sample Data'!O1402</f>
        <v>0</v>
      </c>
      <c r="F1359">
        <f>'Quick View_ Sample Data'!AO1402</f>
        <v>0</v>
      </c>
      <c r="G1359">
        <f>'Quick View_ Sample Data'!O1402</f>
        <v>0</v>
      </c>
      <c r="H1359">
        <f>'Quick View_ Sample Data'!AP1402</f>
        <v>0</v>
      </c>
      <c r="I1359">
        <f>'Quick View_ Sample Data'!AF1402</f>
        <v>0</v>
      </c>
      <c r="J1359">
        <f>'Quick View_ Sample Data'!AJ1402</f>
        <v>0</v>
      </c>
      <c r="K1359">
        <f>'Quick View_ Sample Data'!AH1402</f>
        <v>0</v>
      </c>
      <c r="L1359">
        <f t="shared" si="21"/>
        <v>0</v>
      </c>
    </row>
    <row r="1360" spans="1:12" ht="12.75" customHeight="1">
      <c r="A1360" s="321"/>
      <c r="B1360">
        <f>'Quick View_ Sample Data'!P1403</f>
        <v>0</v>
      </c>
      <c r="C1360">
        <f>'Quick View_ Sample Data'!O1403</f>
        <v>0</v>
      </c>
      <c r="D1360">
        <f>'Quick View_ Sample Data'!AN1403</f>
        <v>0</v>
      </c>
      <c r="E1360">
        <f>'Quick View_ Sample Data'!O1403</f>
        <v>0</v>
      </c>
      <c r="F1360">
        <f>'Quick View_ Sample Data'!AO1403</f>
        <v>0</v>
      </c>
      <c r="G1360">
        <f>'Quick View_ Sample Data'!O1403</f>
        <v>0</v>
      </c>
      <c r="H1360">
        <f>'Quick View_ Sample Data'!AP1403</f>
        <v>0</v>
      </c>
      <c r="I1360">
        <f>'Quick View_ Sample Data'!AF1403</f>
        <v>0</v>
      </c>
      <c r="J1360">
        <f>'Quick View_ Sample Data'!AJ1403</f>
        <v>0</v>
      </c>
      <c r="K1360">
        <f>'Quick View_ Sample Data'!AH1403</f>
        <v>0</v>
      </c>
      <c r="L1360">
        <f t="shared" si="21"/>
        <v>0</v>
      </c>
    </row>
    <row r="1361" spans="1:12" ht="12.75" customHeight="1">
      <c r="A1361" s="321"/>
      <c r="B1361">
        <f>'Quick View_ Sample Data'!P1404</f>
        <v>0</v>
      </c>
      <c r="C1361">
        <f>'Quick View_ Sample Data'!O1404</f>
        <v>0</v>
      </c>
      <c r="D1361">
        <f>'Quick View_ Sample Data'!AN1404</f>
        <v>0</v>
      </c>
      <c r="E1361">
        <f>'Quick View_ Sample Data'!O1404</f>
        <v>0</v>
      </c>
      <c r="F1361">
        <f>'Quick View_ Sample Data'!AO1404</f>
        <v>0</v>
      </c>
      <c r="G1361">
        <f>'Quick View_ Sample Data'!O1404</f>
        <v>0</v>
      </c>
      <c r="H1361">
        <f>'Quick View_ Sample Data'!AP1404</f>
        <v>0</v>
      </c>
      <c r="I1361">
        <f>'Quick View_ Sample Data'!AF1404</f>
        <v>0</v>
      </c>
      <c r="J1361">
        <f>'Quick View_ Sample Data'!AJ1404</f>
        <v>0</v>
      </c>
      <c r="K1361">
        <f>'Quick View_ Sample Data'!AH1404</f>
        <v>0</v>
      </c>
      <c r="L1361">
        <f t="shared" si="21"/>
        <v>0</v>
      </c>
    </row>
    <row r="1362" spans="1:12" ht="12.75" customHeight="1">
      <c r="A1362" s="321"/>
      <c r="B1362">
        <f>'Quick View_ Sample Data'!P1405</f>
        <v>0</v>
      </c>
      <c r="C1362">
        <f>'Quick View_ Sample Data'!O1405</f>
        <v>0</v>
      </c>
      <c r="D1362">
        <f>'Quick View_ Sample Data'!AN1405</f>
        <v>0</v>
      </c>
      <c r="E1362">
        <f>'Quick View_ Sample Data'!O1405</f>
        <v>0</v>
      </c>
      <c r="F1362">
        <f>'Quick View_ Sample Data'!AO1405</f>
        <v>0</v>
      </c>
      <c r="G1362">
        <f>'Quick View_ Sample Data'!O1405</f>
        <v>0</v>
      </c>
      <c r="H1362">
        <f>'Quick View_ Sample Data'!AP1405</f>
        <v>0</v>
      </c>
      <c r="I1362">
        <f>'Quick View_ Sample Data'!AF1405</f>
        <v>0</v>
      </c>
      <c r="J1362">
        <f>'Quick View_ Sample Data'!AJ1405</f>
        <v>0</v>
      </c>
      <c r="K1362">
        <f>'Quick View_ Sample Data'!AH1405</f>
        <v>0</v>
      </c>
      <c r="L1362">
        <f t="shared" si="21"/>
        <v>0</v>
      </c>
    </row>
    <row r="1363" spans="1:12" ht="12.75" customHeight="1">
      <c r="A1363" s="321"/>
      <c r="B1363">
        <f>'Quick View_ Sample Data'!P1406</f>
        <v>0</v>
      </c>
      <c r="C1363">
        <f>'Quick View_ Sample Data'!O1406</f>
        <v>0</v>
      </c>
      <c r="D1363">
        <f>'Quick View_ Sample Data'!AN1406</f>
        <v>0</v>
      </c>
      <c r="E1363">
        <f>'Quick View_ Sample Data'!O1406</f>
        <v>0</v>
      </c>
      <c r="F1363">
        <f>'Quick View_ Sample Data'!AO1406</f>
        <v>0</v>
      </c>
      <c r="G1363">
        <f>'Quick View_ Sample Data'!O1406</f>
        <v>0</v>
      </c>
      <c r="H1363">
        <f>'Quick View_ Sample Data'!AP1406</f>
        <v>0</v>
      </c>
      <c r="I1363">
        <f>'Quick View_ Sample Data'!AF1406</f>
        <v>0</v>
      </c>
      <c r="J1363">
        <f>'Quick View_ Sample Data'!AJ1406</f>
        <v>0</v>
      </c>
      <c r="K1363">
        <f>'Quick View_ Sample Data'!AH1406</f>
        <v>0</v>
      </c>
      <c r="L1363">
        <f t="shared" si="21"/>
        <v>0</v>
      </c>
    </row>
    <row r="1364" spans="1:12" ht="12.75" customHeight="1">
      <c r="A1364" s="321"/>
      <c r="B1364">
        <f>'Quick View_ Sample Data'!P1407</f>
        <v>0</v>
      </c>
      <c r="C1364">
        <f>'Quick View_ Sample Data'!O1407</f>
        <v>0</v>
      </c>
      <c r="D1364">
        <f>'Quick View_ Sample Data'!AN1407</f>
        <v>0</v>
      </c>
      <c r="E1364">
        <f>'Quick View_ Sample Data'!O1407</f>
        <v>0</v>
      </c>
      <c r="F1364">
        <f>'Quick View_ Sample Data'!AO1407</f>
        <v>0</v>
      </c>
      <c r="G1364">
        <f>'Quick View_ Sample Data'!O1407</f>
        <v>0</v>
      </c>
      <c r="H1364">
        <f>'Quick View_ Sample Data'!AP1407</f>
        <v>0</v>
      </c>
      <c r="I1364">
        <f>'Quick View_ Sample Data'!AF1407</f>
        <v>0</v>
      </c>
      <c r="J1364">
        <f>'Quick View_ Sample Data'!AJ1407</f>
        <v>0</v>
      </c>
      <c r="K1364">
        <f>'Quick View_ Sample Data'!AH1407</f>
        <v>0</v>
      </c>
      <c r="L1364">
        <f t="shared" si="21"/>
        <v>0</v>
      </c>
    </row>
    <row r="1365" spans="1:12" ht="12.75" customHeight="1">
      <c r="A1365" s="321"/>
      <c r="B1365">
        <f>'Quick View_ Sample Data'!P1408</f>
        <v>0</v>
      </c>
      <c r="C1365">
        <f>'Quick View_ Sample Data'!O1408</f>
        <v>0</v>
      </c>
      <c r="D1365">
        <f>'Quick View_ Sample Data'!AN1408</f>
        <v>0</v>
      </c>
      <c r="E1365">
        <f>'Quick View_ Sample Data'!O1408</f>
        <v>0</v>
      </c>
      <c r="F1365">
        <f>'Quick View_ Sample Data'!AO1408</f>
        <v>0</v>
      </c>
      <c r="G1365">
        <f>'Quick View_ Sample Data'!O1408</f>
        <v>0</v>
      </c>
      <c r="H1365">
        <f>'Quick View_ Sample Data'!AP1408</f>
        <v>0</v>
      </c>
      <c r="I1365">
        <f>'Quick View_ Sample Data'!AF1408</f>
        <v>0</v>
      </c>
      <c r="J1365">
        <f>'Quick View_ Sample Data'!AJ1408</f>
        <v>0</v>
      </c>
      <c r="K1365">
        <f>'Quick View_ Sample Data'!AH1408</f>
        <v>0</v>
      </c>
      <c r="L1365">
        <f t="shared" si="21"/>
        <v>0</v>
      </c>
    </row>
    <row r="1366" spans="1:12" ht="12.75" customHeight="1">
      <c r="A1366" s="321"/>
      <c r="B1366">
        <f>'Quick View_ Sample Data'!P1409</f>
        <v>0</v>
      </c>
      <c r="C1366">
        <f>'Quick View_ Sample Data'!O1409</f>
        <v>0</v>
      </c>
      <c r="D1366">
        <f>'Quick View_ Sample Data'!AN1409</f>
        <v>0</v>
      </c>
      <c r="E1366">
        <f>'Quick View_ Sample Data'!O1409</f>
        <v>0</v>
      </c>
      <c r="F1366">
        <f>'Quick View_ Sample Data'!AO1409</f>
        <v>0</v>
      </c>
      <c r="G1366">
        <f>'Quick View_ Sample Data'!O1409</f>
        <v>0</v>
      </c>
      <c r="H1366">
        <f>'Quick View_ Sample Data'!AP1409</f>
        <v>0</v>
      </c>
      <c r="I1366">
        <f>'Quick View_ Sample Data'!AF1409</f>
        <v>0</v>
      </c>
      <c r="J1366">
        <f>'Quick View_ Sample Data'!AJ1409</f>
        <v>0</v>
      </c>
      <c r="K1366">
        <f>'Quick View_ Sample Data'!AH1409</f>
        <v>0</v>
      </c>
      <c r="L1366">
        <f t="shared" si="21"/>
        <v>0</v>
      </c>
    </row>
    <row r="1367" spans="1:12" ht="12.75" customHeight="1">
      <c r="A1367" s="321"/>
      <c r="B1367">
        <f>'Quick View_ Sample Data'!P1410</f>
        <v>0</v>
      </c>
      <c r="C1367">
        <f>'Quick View_ Sample Data'!O1410</f>
        <v>0</v>
      </c>
      <c r="D1367">
        <f>'Quick View_ Sample Data'!AN1410</f>
        <v>0</v>
      </c>
      <c r="E1367">
        <f>'Quick View_ Sample Data'!O1410</f>
        <v>0</v>
      </c>
      <c r="F1367">
        <f>'Quick View_ Sample Data'!AO1410</f>
        <v>0</v>
      </c>
      <c r="G1367">
        <f>'Quick View_ Sample Data'!O1410</f>
        <v>0</v>
      </c>
      <c r="H1367">
        <f>'Quick View_ Sample Data'!AP1410</f>
        <v>0</v>
      </c>
      <c r="I1367">
        <f>'Quick View_ Sample Data'!AF1410</f>
        <v>0</v>
      </c>
      <c r="J1367">
        <f>'Quick View_ Sample Data'!AJ1410</f>
        <v>0</v>
      </c>
      <c r="K1367">
        <f>'Quick View_ Sample Data'!AH1410</f>
        <v>0</v>
      </c>
      <c r="L1367">
        <f t="shared" si="21"/>
        <v>0</v>
      </c>
    </row>
    <row r="1368" spans="1:12" ht="12.75" customHeight="1">
      <c r="A1368" s="321"/>
      <c r="B1368">
        <f>'Quick View_ Sample Data'!P1411</f>
        <v>0</v>
      </c>
      <c r="C1368">
        <f>'Quick View_ Sample Data'!O1411</f>
        <v>0</v>
      </c>
      <c r="D1368">
        <f>'Quick View_ Sample Data'!AN1411</f>
        <v>0</v>
      </c>
      <c r="E1368">
        <f>'Quick View_ Sample Data'!O1411</f>
        <v>0</v>
      </c>
      <c r="F1368">
        <f>'Quick View_ Sample Data'!AO1411</f>
        <v>0</v>
      </c>
      <c r="G1368">
        <f>'Quick View_ Sample Data'!O1411</f>
        <v>0</v>
      </c>
      <c r="H1368">
        <f>'Quick View_ Sample Data'!AP1411</f>
        <v>0</v>
      </c>
      <c r="I1368">
        <f>'Quick View_ Sample Data'!AF1411</f>
        <v>0</v>
      </c>
      <c r="J1368">
        <f>'Quick View_ Sample Data'!AJ1411</f>
        <v>0</v>
      </c>
      <c r="K1368">
        <f>'Quick View_ Sample Data'!AH1411</f>
        <v>0</v>
      </c>
      <c r="L1368">
        <f t="shared" si="21"/>
        <v>0</v>
      </c>
    </row>
    <row r="1369" spans="1:12" ht="12.75" customHeight="1">
      <c r="A1369" s="321"/>
      <c r="B1369">
        <f>'Quick View_ Sample Data'!P1412</f>
        <v>0</v>
      </c>
      <c r="C1369">
        <f>'Quick View_ Sample Data'!O1412</f>
        <v>0</v>
      </c>
      <c r="D1369">
        <f>'Quick View_ Sample Data'!AN1412</f>
        <v>0</v>
      </c>
      <c r="E1369">
        <f>'Quick View_ Sample Data'!O1412</f>
        <v>0</v>
      </c>
      <c r="F1369">
        <f>'Quick View_ Sample Data'!AO1412</f>
        <v>0</v>
      </c>
      <c r="G1369">
        <f>'Quick View_ Sample Data'!O1412</f>
        <v>0</v>
      </c>
      <c r="H1369">
        <f>'Quick View_ Sample Data'!AP1412</f>
        <v>0</v>
      </c>
      <c r="I1369">
        <f>'Quick View_ Sample Data'!AF1412</f>
        <v>0</v>
      </c>
      <c r="J1369">
        <f>'Quick View_ Sample Data'!AJ1412</f>
        <v>0</v>
      </c>
      <c r="K1369">
        <f>'Quick View_ Sample Data'!AH1412</f>
        <v>0</v>
      </c>
      <c r="L1369">
        <f t="shared" si="21"/>
        <v>0</v>
      </c>
    </row>
    <row r="1370" spans="1:12" ht="12.75" customHeight="1">
      <c r="A1370" s="321"/>
      <c r="B1370">
        <f>'Quick View_ Sample Data'!P1413</f>
        <v>0</v>
      </c>
      <c r="C1370">
        <f>'Quick View_ Sample Data'!O1413</f>
        <v>0</v>
      </c>
      <c r="D1370">
        <f>'Quick View_ Sample Data'!AN1413</f>
        <v>0</v>
      </c>
      <c r="E1370">
        <f>'Quick View_ Sample Data'!O1413</f>
        <v>0</v>
      </c>
      <c r="F1370">
        <f>'Quick View_ Sample Data'!AO1413</f>
        <v>0</v>
      </c>
      <c r="G1370">
        <f>'Quick View_ Sample Data'!O1413</f>
        <v>0</v>
      </c>
      <c r="H1370">
        <f>'Quick View_ Sample Data'!AP1413</f>
        <v>0</v>
      </c>
      <c r="I1370">
        <f>'Quick View_ Sample Data'!AF1413</f>
        <v>0</v>
      </c>
      <c r="J1370">
        <f>'Quick View_ Sample Data'!AJ1413</f>
        <v>0</v>
      </c>
      <c r="K1370">
        <f>'Quick View_ Sample Data'!AH1413</f>
        <v>0</v>
      </c>
      <c r="L1370">
        <f t="shared" si="21"/>
        <v>0</v>
      </c>
    </row>
    <row r="1371" spans="1:12" ht="12.75" customHeight="1">
      <c r="A1371" s="321"/>
      <c r="B1371">
        <f>'Quick View_ Sample Data'!P1414</f>
        <v>0</v>
      </c>
      <c r="C1371">
        <f>'Quick View_ Sample Data'!O1414</f>
        <v>0</v>
      </c>
      <c r="D1371">
        <f>'Quick View_ Sample Data'!AN1414</f>
        <v>0</v>
      </c>
      <c r="E1371">
        <f>'Quick View_ Sample Data'!O1414</f>
        <v>0</v>
      </c>
      <c r="F1371">
        <f>'Quick View_ Sample Data'!AO1414</f>
        <v>0</v>
      </c>
      <c r="G1371">
        <f>'Quick View_ Sample Data'!O1414</f>
        <v>0</v>
      </c>
      <c r="H1371">
        <f>'Quick View_ Sample Data'!AP1414</f>
        <v>0</v>
      </c>
      <c r="I1371">
        <f>'Quick View_ Sample Data'!AF1414</f>
        <v>0</v>
      </c>
      <c r="J1371">
        <f>'Quick View_ Sample Data'!AJ1414</f>
        <v>0</v>
      </c>
      <c r="K1371">
        <f>'Quick View_ Sample Data'!AH1414</f>
        <v>0</v>
      </c>
      <c r="L1371">
        <f t="shared" si="21"/>
        <v>0</v>
      </c>
    </row>
    <row r="1372" spans="1:12" ht="12.75" customHeight="1">
      <c r="A1372" s="321"/>
      <c r="B1372">
        <f>'Quick View_ Sample Data'!P1415</f>
        <v>0</v>
      </c>
      <c r="C1372">
        <f>'Quick View_ Sample Data'!O1415</f>
        <v>0</v>
      </c>
      <c r="D1372">
        <f>'Quick View_ Sample Data'!AN1415</f>
        <v>0</v>
      </c>
      <c r="E1372">
        <f>'Quick View_ Sample Data'!O1415</f>
        <v>0</v>
      </c>
      <c r="F1372">
        <f>'Quick View_ Sample Data'!AO1415</f>
        <v>0</v>
      </c>
      <c r="G1372">
        <f>'Quick View_ Sample Data'!O1415</f>
        <v>0</v>
      </c>
      <c r="H1372">
        <f>'Quick View_ Sample Data'!AP1415</f>
        <v>0</v>
      </c>
      <c r="I1372">
        <f>'Quick View_ Sample Data'!AF1415</f>
        <v>0</v>
      </c>
      <c r="J1372">
        <f>'Quick View_ Sample Data'!AJ1415</f>
        <v>0</v>
      </c>
      <c r="K1372">
        <f>'Quick View_ Sample Data'!AH1415</f>
        <v>0</v>
      </c>
      <c r="L1372">
        <f t="shared" si="21"/>
        <v>0</v>
      </c>
    </row>
    <row r="1373" spans="1:12" ht="12.75" customHeight="1">
      <c r="A1373" s="321"/>
      <c r="B1373">
        <f>'Quick View_ Sample Data'!P1416</f>
        <v>0</v>
      </c>
      <c r="C1373">
        <f>'Quick View_ Sample Data'!O1416</f>
        <v>0</v>
      </c>
      <c r="D1373">
        <f>'Quick View_ Sample Data'!AN1416</f>
        <v>0</v>
      </c>
      <c r="E1373">
        <f>'Quick View_ Sample Data'!O1416</f>
        <v>0</v>
      </c>
      <c r="F1373">
        <f>'Quick View_ Sample Data'!AO1416</f>
        <v>0</v>
      </c>
      <c r="G1373">
        <f>'Quick View_ Sample Data'!O1416</f>
        <v>0</v>
      </c>
      <c r="H1373">
        <f>'Quick View_ Sample Data'!AP1416</f>
        <v>0</v>
      </c>
      <c r="I1373">
        <f>'Quick View_ Sample Data'!AF1416</f>
        <v>0</v>
      </c>
      <c r="J1373">
        <f>'Quick View_ Sample Data'!AJ1416</f>
        <v>0</v>
      </c>
      <c r="K1373">
        <f>'Quick View_ Sample Data'!AH1416</f>
        <v>0</v>
      </c>
      <c r="L1373">
        <f t="shared" si="21"/>
        <v>0</v>
      </c>
    </row>
    <row r="1374" spans="1:12" ht="12.75" customHeight="1">
      <c r="A1374" s="321"/>
      <c r="B1374">
        <f>'Quick View_ Sample Data'!P1417</f>
        <v>0</v>
      </c>
      <c r="C1374">
        <f>'Quick View_ Sample Data'!O1417</f>
        <v>0</v>
      </c>
      <c r="D1374">
        <f>'Quick View_ Sample Data'!AN1417</f>
        <v>0</v>
      </c>
      <c r="E1374">
        <f>'Quick View_ Sample Data'!O1417</f>
        <v>0</v>
      </c>
      <c r="F1374">
        <f>'Quick View_ Sample Data'!AO1417</f>
        <v>0</v>
      </c>
      <c r="G1374">
        <f>'Quick View_ Sample Data'!O1417</f>
        <v>0</v>
      </c>
      <c r="H1374">
        <f>'Quick View_ Sample Data'!AP1417</f>
        <v>0</v>
      </c>
      <c r="I1374">
        <f>'Quick View_ Sample Data'!AF1417</f>
        <v>0</v>
      </c>
      <c r="J1374">
        <f>'Quick View_ Sample Data'!AJ1417</f>
        <v>0</v>
      </c>
      <c r="K1374">
        <f>'Quick View_ Sample Data'!AH1417</f>
        <v>0</v>
      </c>
      <c r="L1374">
        <f t="shared" si="21"/>
        <v>0</v>
      </c>
    </row>
    <row r="1375" spans="1:12" ht="12.75" customHeight="1">
      <c r="A1375" s="321"/>
      <c r="B1375">
        <f>'Quick View_ Sample Data'!P1418</f>
        <v>0</v>
      </c>
      <c r="C1375">
        <f>'Quick View_ Sample Data'!O1418</f>
        <v>0</v>
      </c>
      <c r="D1375">
        <f>'Quick View_ Sample Data'!AN1418</f>
        <v>0</v>
      </c>
      <c r="E1375">
        <f>'Quick View_ Sample Data'!O1418</f>
        <v>0</v>
      </c>
      <c r="F1375">
        <f>'Quick View_ Sample Data'!AO1418</f>
        <v>0</v>
      </c>
      <c r="G1375">
        <f>'Quick View_ Sample Data'!O1418</f>
        <v>0</v>
      </c>
      <c r="H1375">
        <f>'Quick View_ Sample Data'!AP1418</f>
        <v>0</v>
      </c>
      <c r="I1375">
        <f>'Quick View_ Sample Data'!AF1418</f>
        <v>0</v>
      </c>
      <c r="J1375">
        <f>'Quick View_ Sample Data'!AJ1418</f>
        <v>0</v>
      </c>
      <c r="K1375">
        <f>'Quick View_ Sample Data'!AH1418</f>
        <v>0</v>
      </c>
      <c r="L1375">
        <f t="shared" si="21"/>
        <v>0</v>
      </c>
    </row>
    <row r="1376" spans="1:12" ht="12.75" customHeight="1">
      <c r="A1376" s="321"/>
      <c r="B1376">
        <f>'Quick View_ Sample Data'!P1419</f>
        <v>0</v>
      </c>
      <c r="C1376">
        <f>'Quick View_ Sample Data'!O1419</f>
        <v>0</v>
      </c>
      <c r="D1376">
        <f>'Quick View_ Sample Data'!AN1419</f>
        <v>0</v>
      </c>
      <c r="E1376">
        <f>'Quick View_ Sample Data'!O1419</f>
        <v>0</v>
      </c>
      <c r="F1376">
        <f>'Quick View_ Sample Data'!AO1419</f>
        <v>0</v>
      </c>
      <c r="G1376">
        <f>'Quick View_ Sample Data'!O1419</f>
        <v>0</v>
      </c>
      <c r="H1376">
        <f>'Quick View_ Sample Data'!AP1419</f>
        <v>0</v>
      </c>
      <c r="I1376">
        <f>'Quick View_ Sample Data'!AF1419</f>
        <v>0</v>
      </c>
      <c r="J1376">
        <f>'Quick View_ Sample Data'!AJ1419</f>
        <v>0</v>
      </c>
      <c r="K1376">
        <f>'Quick View_ Sample Data'!AH1419</f>
        <v>0</v>
      </c>
      <c r="L1376">
        <f t="shared" si="21"/>
        <v>0</v>
      </c>
    </row>
    <row r="1377" spans="1:12" ht="12.75" customHeight="1">
      <c r="A1377" s="321"/>
      <c r="B1377">
        <f>'Quick View_ Sample Data'!P1420</f>
        <v>0</v>
      </c>
      <c r="C1377">
        <f>'Quick View_ Sample Data'!O1420</f>
        <v>0</v>
      </c>
      <c r="D1377">
        <f>'Quick View_ Sample Data'!AN1420</f>
        <v>0</v>
      </c>
      <c r="E1377">
        <f>'Quick View_ Sample Data'!O1420</f>
        <v>0</v>
      </c>
      <c r="F1377">
        <f>'Quick View_ Sample Data'!AO1420</f>
        <v>0</v>
      </c>
      <c r="G1377">
        <f>'Quick View_ Sample Data'!O1420</f>
        <v>0</v>
      </c>
      <c r="H1377">
        <f>'Quick View_ Sample Data'!AP1420</f>
        <v>0</v>
      </c>
      <c r="I1377">
        <f>'Quick View_ Sample Data'!AF1420</f>
        <v>0</v>
      </c>
      <c r="J1377">
        <f>'Quick View_ Sample Data'!AJ1420</f>
        <v>0</v>
      </c>
      <c r="K1377">
        <f>'Quick View_ Sample Data'!AH1420</f>
        <v>0</v>
      </c>
      <c r="L1377">
        <f t="shared" si="21"/>
        <v>0</v>
      </c>
    </row>
    <row r="1378" spans="1:12" ht="12.75" customHeight="1">
      <c r="A1378" s="321"/>
      <c r="B1378">
        <f>'Quick View_ Sample Data'!P1421</f>
        <v>0</v>
      </c>
      <c r="C1378">
        <f>'Quick View_ Sample Data'!O1421</f>
        <v>0</v>
      </c>
      <c r="D1378">
        <f>'Quick View_ Sample Data'!AN1421</f>
        <v>0</v>
      </c>
      <c r="E1378">
        <f>'Quick View_ Sample Data'!O1421</f>
        <v>0</v>
      </c>
      <c r="F1378">
        <f>'Quick View_ Sample Data'!AO1421</f>
        <v>0</v>
      </c>
      <c r="G1378">
        <f>'Quick View_ Sample Data'!O1421</f>
        <v>0</v>
      </c>
      <c r="H1378">
        <f>'Quick View_ Sample Data'!AP1421</f>
        <v>0</v>
      </c>
      <c r="I1378">
        <f>'Quick View_ Sample Data'!AF1421</f>
        <v>0</v>
      </c>
      <c r="J1378">
        <f>'Quick View_ Sample Data'!AJ1421</f>
        <v>0</v>
      </c>
      <c r="K1378">
        <f>'Quick View_ Sample Data'!AH1421</f>
        <v>0</v>
      </c>
      <c r="L1378">
        <f t="shared" si="21"/>
        <v>0</v>
      </c>
    </row>
    <row r="1379" spans="1:12" ht="12.75" customHeight="1">
      <c r="A1379" s="321"/>
      <c r="B1379">
        <f>'Quick View_ Sample Data'!P1422</f>
        <v>0</v>
      </c>
      <c r="C1379">
        <f>'Quick View_ Sample Data'!O1422</f>
        <v>0</v>
      </c>
      <c r="D1379">
        <f>'Quick View_ Sample Data'!AN1422</f>
        <v>0</v>
      </c>
      <c r="E1379">
        <f>'Quick View_ Sample Data'!O1422</f>
        <v>0</v>
      </c>
      <c r="F1379">
        <f>'Quick View_ Sample Data'!AO1422</f>
        <v>0</v>
      </c>
      <c r="G1379">
        <f>'Quick View_ Sample Data'!O1422</f>
        <v>0</v>
      </c>
      <c r="H1379">
        <f>'Quick View_ Sample Data'!AP1422</f>
        <v>0</v>
      </c>
      <c r="I1379">
        <f>'Quick View_ Sample Data'!AF1422</f>
        <v>0</v>
      </c>
      <c r="J1379">
        <f>'Quick View_ Sample Data'!AJ1422</f>
        <v>0</v>
      </c>
      <c r="K1379">
        <f>'Quick View_ Sample Data'!AH1422</f>
        <v>0</v>
      </c>
      <c r="L1379">
        <f t="shared" si="21"/>
        <v>0</v>
      </c>
    </row>
    <row r="1380" spans="1:12" ht="12.75" customHeight="1">
      <c r="A1380" s="321"/>
      <c r="B1380">
        <f>'Quick View_ Sample Data'!P1423</f>
        <v>0</v>
      </c>
      <c r="C1380">
        <f>'Quick View_ Sample Data'!O1423</f>
        <v>0</v>
      </c>
      <c r="D1380">
        <f>'Quick View_ Sample Data'!AN1423</f>
        <v>0</v>
      </c>
      <c r="E1380">
        <f>'Quick View_ Sample Data'!O1423</f>
        <v>0</v>
      </c>
      <c r="F1380">
        <f>'Quick View_ Sample Data'!AO1423</f>
        <v>0</v>
      </c>
      <c r="G1380">
        <f>'Quick View_ Sample Data'!O1423</f>
        <v>0</v>
      </c>
      <c r="H1380">
        <f>'Quick View_ Sample Data'!AP1423</f>
        <v>0</v>
      </c>
      <c r="I1380">
        <f>'Quick View_ Sample Data'!AF1423</f>
        <v>0</v>
      </c>
      <c r="J1380">
        <f>'Quick View_ Sample Data'!AJ1423</f>
        <v>0</v>
      </c>
      <c r="K1380">
        <f>'Quick View_ Sample Data'!AH1423</f>
        <v>0</v>
      </c>
      <c r="L1380">
        <f t="shared" si="21"/>
        <v>0</v>
      </c>
    </row>
    <row r="1381" spans="1:12" ht="12.75" customHeight="1">
      <c r="A1381" s="321"/>
      <c r="B1381">
        <f>'Quick View_ Sample Data'!P1424</f>
        <v>0</v>
      </c>
      <c r="C1381">
        <f>'Quick View_ Sample Data'!O1424</f>
        <v>0</v>
      </c>
      <c r="D1381">
        <f>'Quick View_ Sample Data'!AN1424</f>
        <v>0</v>
      </c>
      <c r="E1381">
        <f>'Quick View_ Sample Data'!O1424</f>
        <v>0</v>
      </c>
      <c r="F1381">
        <f>'Quick View_ Sample Data'!AO1424</f>
        <v>0</v>
      </c>
      <c r="G1381">
        <f>'Quick View_ Sample Data'!O1424</f>
        <v>0</v>
      </c>
      <c r="H1381">
        <f>'Quick View_ Sample Data'!AP1424</f>
        <v>0</v>
      </c>
      <c r="I1381">
        <f>'Quick View_ Sample Data'!AF1424</f>
        <v>0</v>
      </c>
      <c r="J1381">
        <f>'Quick View_ Sample Data'!AJ1424</f>
        <v>0</v>
      </c>
      <c r="K1381">
        <f>'Quick View_ Sample Data'!AH1424</f>
        <v>0</v>
      </c>
      <c r="L1381">
        <f t="shared" si="21"/>
        <v>0</v>
      </c>
    </row>
    <row r="1382" spans="1:12" ht="12.75" customHeight="1">
      <c r="A1382" s="321"/>
      <c r="B1382">
        <f>'Quick View_ Sample Data'!P1425</f>
        <v>0</v>
      </c>
      <c r="C1382">
        <f>'Quick View_ Sample Data'!O1425</f>
        <v>0</v>
      </c>
      <c r="D1382">
        <f>'Quick View_ Sample Data'!AN1425</f>
        <v>0</v>
      </c>
      <c r="E1382">
        <f>'Quick View_ Sample Data'!O1425</f>
        <v>0</v>
      </c>
      <c r="F1382">
        <f>'Quick View_ Sample Data'!AO1425</f>
        <v>0</v>
      </c>
      <c r="G1382">
        <f>'Quick View_ Sample Data'!O1425</f>
        <v>0</v>
      </c>
      <c r="H1382">
        <f>'Quick View_ Sample Data'!AP1425</f>
        <v>0</v>
      </c>
      <c r="I1382">
        <f>'Quick View_ Sample Data'!AF1425</f>
        <v>0</v>
      </c>
      <c r="J1382">
        <f>'Quick View_ Sample Data'!AJ1425</f>
        <v>0</v>
      </c>
      <c r="K1382">
        <f>'Quick View_ Sample Data'!AH1425</f>
        <v>0</v>
      </c>
      <c r="L1382">
        <f t="shared" si="21"/>
        <v>0</v>
      </c>
    </row>
    <row r="1383" spans="1:12" ht="12.75" customHeight="1">
      <c r="A1383" s="321"/>
      <c r="B1383">
        <f>'Quick View_ Sample Data'!P1426</f>
        <v>0</v>
      </c>
      <c r="C1383">
        <f>'Quick View_ Sample Data'!O1426</f>
        <v>0</v>
      </c>
      <c r="D1383">
        <f>'Quick View_ Sample Data'!AN1426</f>
        <v>0</v>
      </c>
      <c r="E1383">
        <f>'Quick View_ Sample Data'!O1426</f>
        <v>0</v>
      </c>
      <c r="F1383">
        <f>'Quick View_ Sample Data'!AO1426</f>
        <v>0</v>
      </c>
      <c r="G1383">
        <f>'Quick View_ Sample Data'!O1426</f>
        <v>0</v>
      </c>
      <c r="H1383">
        <f>'Quick View_ Sample Data'!AP1426</f>
        <v>0</v>
      </c>
      <c r="I1383">
        <f>'Quick View_ Sample Data'!AF1426</f>
        <v>0</v>
      </c>
      <c r="J1383">
        <f>'Quick View_ Sample Data'!AJ1426</f>
        <v>0</v>
      </c>
      <c r="K1383">
        <f>'Quick View_ Sample Data'!AH1426</f>
        <v>0</v>
      </c>
      <c r="L1383">
        <f t="shared" si="21"/>
        <v>0</v>
      </c>
    </row>
    <row r="1384" spans="1:12" ht="12.75" customHeight="1">
      <c r="A1384" s="321"/>
      <c r="B1384">
        <f>'Quick View_ Sample Data'!P1427</f>
        <v>0</v>
      </c>
      <c r="C1384">
        <f>'Quick View_ Sample Data'!O1427</f>
        <v>0</v>
      </c>
      <c r="D1384">
        <f>'Quick View_ Sample Data'!AN1427</f>
        <v>0</v>
      </c>
      <c r="E1384">
        <f>'Quick View_ Sample Data'!O1427</f>
        <v>0</v>
      </c>
      <c r="F1384">
        <f>'Quick View_ Sample Data'!AO1427</f>
        <v>0</v>
      </c>
      <c r="G1384">
        <f>'Quick View_ Sample Data'!O1427</f>
        <v>0</v>
      </c>
      <c r="H1384">
        <f>'Quick View_ Sample Data'!AP1427</f>
        <v>0</v>
      </c>
      <c r="I1384">
        <f>'Quick View_ Sample Data'!AF1427</f>
        <v>0</v>
      </c>
      <c r="J1384">
        <f>'Quick View_ Sample Data'!AJ1427</f>
        <v>0</v>
      </c>
      <c r="K1384">
        <f>'Quick View_ Sample Data'!AH1427</f>
        <v>0</v>
      </c>
      <c r="L1384">
        <f t="shared" si="21"/>
        <v>0</v>
      </c>
    </row>
    <row r="1385" spans="1:12" ht="12.75" customHeight="1">
      <c r="A1385" s="321"/>
      <c r="B1385">
        <f>'Quick View_ Sample Data'!P1428</f>
        <v>0</v>
      </c>
      <c r="C1385">
        <f>'Quick View_ Sample Data'!O1428</f>
        <v>0</v>
      </c>
      <c r="D1385">
        <f>'Quick View_ Sample Data'!AN1428</f>
        <v>0</v>
      </c>
      <c r="E1385">
        <f>'Quick View_ Sample Data'!O1428</f>
        <v>0</v>
      </c>
      <c r="F1385">
        <f>'Quick View_ Sample Data'!AO1428</f>
        <v>0</v>
      </c>
      <c r="G1385">
        <f>'Quick View_ Sample Data'!O1428</f>
        <v>0</v>
      </c>
      <c r="H1385">
        <f>'Quick View_ Sample Data'!AP1428</f>
        <v>0</v>
      </c>
      <c r="I1385">
        <f>'Quick View_ Sample Data'!AF1428</f>
        <v>0</v>
      </c>
      <c r="J1385">
        <f>'Quick View_ Sample Data'!AJ1428</f>
        <v>0</v>
      </c>
      <c r="K1385">
        <f>'Quick View_ Sample Data'!AH1428</f>
        <v>0</v>
      </c>
      <c r="L1385">
        <f t="shared" si="21"/>
        <v>0</v>
      </c>
    </row>
    <row r="1386" spans="1:12" ht="12.75" customHeight="1">
      <c r="A1386" s="321"/>
      <c r="B1386">
        <f>'Quick View_ Sample Data'!P1429</f>
        <v>0</v>
      </c>
      <c r="C1386">
        <f>'Quick View_ Sample Data'!O1429</f>
        <v>0</v>
      </c>
      <c r="D1386">
        <f>'Quick View_ Sample Data'!AN1429</f>
        <v>0</v>
      </c>
      <c r="E1386">
        <f>'Quick View_ Sample Data'!O1429</f>
        <v>0</v>
      </c>
      <c r="F1386">
        <f>'Quick View_ Sample Data'!AO1429</f>
        <v>0</v>
      </c>
      <c r="G1386">
        <f>'Quick View_ Sample Data'!O1429</f>
        <v>0</v>
      </c>
      <c r="H1386">
        <f>'Quick View_ Sample Data'!AP1429</f>
        <v>0</v>
      </c>
      <c r="I1386">
        <f>'Quick View_ Sample Data'!AF1429</f>
        <v>0</v>
      </c>
      <c r="J1386">
        <f>'Quick View_ Sample Data'!AJ1429</f>
        <v>0</v>
      </c>
      <c r="K1386">
        <f>'Quick View_ Sample Data'!AH1429</f>
        <v>0</v>
      </c>
      <c r="L1386">
        <f t="shared" si="21"/>
        <v>0</v>
      </c>
    </row>
    <row r="1387" spans="1:12" ht="12.75" customHeight="1">
      <c r="A1387" s="321"/>
      <c r="B1387">
        <f>'Quick View_ Sample Data'!P1430</f>
        <v>0</v>
      </c>
      <c r="C1387">
        <f>'Quick View_ Sample Data'!O1430</f>
        <v>0</v>
      </c>
      <c r="D1387">
        <f>'Quick View_ Sample Data'!AN1430</f>
        <v>0</v>
      </c>
      <c r="E1387">
        <f>'Quick View_ Sample Data'!O1430</f>
        <v>0</v>
      </c>
      <c r="F1387">
        <f>'Quick View_ Sample Data'!AO1430</f>
        <v>0</v>
      </c>
      <c r="G1387">
        <f>'Quick View_ Sample Data'!O1430</f>
        <v>0</v>
      </c>
      <c r="H1387">
        <f>'Quick View_ Sample Data'!AP1430</f>
        <v>0</v>
      </c>
      <c r="I1387">
        <f>'Quick View_ Sample Data'!AF1430</f>
        <v>0</v>
      </c>
      <c r="J1387">
        <f>'Quick View_ Sample Data'!AJ1430</f>
        <v>0</v>
      </c>
      <c r="K1387">
        <f>'Quick View_ Sample Data'!AH1430</f>
        <v>0</v>
      </c>
      <c r="L1387">
        <f t="shared" si="21"/>
        <v>0</v>
      </c>
    </row>
    <row r="1388" spans="1:12" ht="12.75" customHeight="1">
      <c r="A1388" s="321"/>
      <c r="B1388">
        <f>'Quick View_ Sample Data'!P1431</f>
        <v>0</v>
      </c>
      <c r="C1388">
        <f>'Quick View_ Sample Data'!O1431</f>
        <v>0</v>
      </c>
      <c r="D1388">
        <f>'Quick View_ Sample Data'!AN1431</f>
        <v>0</v>
      </c>
      <c r="E1388">
        <f>'Quick View_ Sample Data'!O1431</f>
        <v>0</v>
      </c>
      <c r="F1388">
        <f>'Quick View_ Sample Data'!AO1431</f>
        <v>0</v>
      </c>
      <c r="G1388">
        <f>'Quick View_ Sample Data'!O1431</f>
        <v>0</v>
      </c>
      <c r="H1388">
        <f>'Quick View_ Sample Data'!AP1431</f>
        <v>0</v>
      </c>
      <c r="I1388">
        <f>'Quick View_ Sample Data'!AF1431</f>
        <v>0</v>
      </c>
      <c r="J1388">
        <f>'Quick View_ Sample Data'!AJ1431</f>
        <v>0</v>
      </c>
      <c r="K1388">
        <f>'Quick View_ Sample Data'!AH1431</f>
        <v>0</v>
      </c>
      <c r="L1388">
        <f t="shared" si="21"/>
        <v>0</v>
      </c>
    </row>
    <row r="1389" spans="1:12" ht="12.75" customHeight="1">
      <c r="A1389" s="321"/>
      <c r="B1389">
        <f>'Quick View_ Sample Data'!P1432</f>
        <v>0</v>
      </c>
      <c r="C1389">
        <f>'Quick View_ Sample Data'!O1432</f>
        <v>0</v>
      </c>
      <c r="D1389">
        <f>'Quick View_ Sample Data'!AN1432</f>
        <v>0</v>
      </c>
      <c r="E1389">
        <f>'Quick View_ Sample Data'!O1432</f>
        <v>0</v>
      </c>
      <c r="F1389">
        <f>'Quick View_ Sample Data'!AO1432</f>
        <v>0</v>
      </c>
      <c r="G1389">
        <f>'Quick View_ Sample Data'!O1432</f>
        <v>0</v>
      </c>
      <c r="H1389">
        <f>'Quick View_ Sample Data'!AP1432</f>
        <v>0</v>
      </c>
      <c r="I1389">
        <f>'Quick View_ Sample Data'!AF1432</f>
        <v>0</v>
      </c>
      <c r="J1389">
        <f>'Quick View_ Sample Data'!AJ1432</f>
        <v>0</v>
      </c>
      <c r="K1389">
        <f>'Quick View_ Sample Data'!AH1432</f>
        <v>0</v>
      </c>
      <c r="L1389">
        <f t="shared" si="21"/>
        <v>0</v>
      </c>
    </row>
    <row r="1390" spans="1:12" ht="12.75" customHeight="1">
      <c r="A1390" s="321"/>
      <c r="B1390">
        <f>'Quick View_ Sample Data'!P1433</f>
        <v>0</v>
      </c>
      <c r="C1390">
        <f>'Quick View_ Sample Data'!O1433</f>
        <v>0</v>
      </c>
      <c r="D1390">
        <f>'Quick View_ Sample Data'!AN1433</f>
        <v>0</v>
      </c>
      <c r="E1390">
        <f>'Quick View_ Sample Data'!O1433</f>
        <v>0</v>
      </c>
      <c r="F1390">
        <f>'Quick View_ Sample Data'!AO1433</f>
        <v>0</v>
      </c>
      <c r="G1390">
        <f>'Quick View_ Sample Data'!O1433</f>
        <v>0</v>
      </c>
      <c r="H1390">
        <f>'Quick View_ Sample Data'!AP1433</f>
        <v>0</v>
      </c>
      <c r="I1390">
        <f>'Quick View_ Sample Data'!AF1433</f>
        <v>0</v>
      </c>
      <c r="J1390">
        <f>'Quick View_ Sample Data'!AJ1433</f>
        <v>0</v>
      </c>
      <c r="K1390">
        <f>'Quick View_ Sample Data'!AH1433</f>
        <v>0</v>
      </c>
      <c r="L1390">
        <f t="shared" si="21"/>
        <v>0</v>
      </c>
    </row>
    <row r="1391" spans="1:12" ht="12.75" customHeight="1">
      <c r="A1391" s="321"/>
      <c r="B1391">
        <f>'Quick View_ Sample Data'!P1434</f>
        <v>0</v>
      </c>
      <c r="C1391">
        <f>'Quick View_ Sample Data'!O1434</f>
        <v>0</v>
      </c>
      <c r="D1391">
        <f>'Quick View_ Sample Data'!AN1434</f>
        <v>0</v>
      </c>
      <c r="E1391">
        <f>'Quick View_ Sample Data'!O1434</f>
        <v>0</v>
      </c>
      <c r="F1391">
        <f>'Quick View_ Sample Data'!AO1434</f>
        <v>0</v>
      </c>
      <c r="G1391">
        <f>'Quick View_ Sample Data'!O1434</f>
        <v>0</v>
      </c>
      <c r="H1391">
        <f>'Quick View_ Sample Data'!AP1434</f>
        <v>0</v>
      </c>
      <c r="I1391">
        <f>'Quick View_ Sample Data'!AF1434</f>
        <v>0</v>
      </c>
      <c r="J1391">
        <f>'Quick View_ Sample Data'!AJ1434</f>
        <v>0</v>
      </c>
      <c r="K1391">
        <f>'Quick View_ Sample Data'!AH1434</f>
        <v>0</v>
      </c>
      <c r="L1391">
        <f t="shared" si="21"/>
        <v>0</v>
      </c>
    </row>
    <row r="1392" spans="1:12" ht="12.75" customHeight="1">
      <c r="A1392" s="321"/>
      <c r="B1392">
        <f>'Quick View_ Sample Data'!P1435</f>
        <v>0</v>
      </c>
      <c r="C1392">
        <f>'Quick View_ Sample Data'!O1435</f>
        <v>0</v>
      </c>
      <c r="D1392">
        <f>'Quick View_ Sample Data'!AN1435</f>
        <v>0</v>
      </c>
      <c r="E1392">
        <f>'Quick View_ Sample Data'!O1435</f>
        <v>0</v>
      </c>
      <c r="F1392">
        <f>'Quick View_ Sample Data'!AO1435</f>
        <v>0</v>
      </c>
      <c r="G1392">
        <f>'Quick View_ Sample Data'!O1435</f>
        <v>0</v>
      </c>
      <c r="H1392">
        <f>'Quick View_ Sample Data'!AP1435</f>
        <v>0</v>
      </c>
      <c r="I1392">
        <f>'Quick View_ Sample Data'!AF1435</f>
        <v>0</v>
      </c>
      <c r="J1392">
        <f>'Quick View_ Sample Data'!AJ1435</f>
        <v>0</v>
      </c>
      <c r="K1392">
        <f>'Quick View_ Sample Data'!AH1435</f>
        <v>0</v>
      </c>
      <c r="L1392">
        <f t="shared" si="21"/>
        <v>0</v>
      </c>
    </row>
    <row r="1393" spans="1:12" ht="12.75" customHeight="1">
      <c r="A1393" s="321"/>
      <c r="B1393">
        <f>'Quick View_ Sample Data'!P1436</f>
        <v>0</v>
      </c>
      <c r="C1393">
        <f>'Quick View_ Sample Data'!O1436</f>
        <v>0</v>
      </c>
      <c r="D1393">
        <f>'Quick View_ Sample Data'!AN1436</f>
        <v>0</v>
      </c>
      <c r="E1393">
        <f>'Quick View_ Sample Data'!O1436</f>
        <v>0</v>
      </c>
      <c r="F1393">
        <f>'Quick View_ Sample Data'!AO1436</f>
        <v>0</v>
      </c>
      <c r="G1393">
        <f>'Quick View_ Sample Data'!O1436</f>
        <v>0</v>
      </c>
      <c r="H1393">
        <f>'Quick View_ Sample Data'!AP1436</f>
        <v>0</v>
      </c>
      <c r="I1393">
        <f>'Quick View_ Sample Data'!AF1436</f>
        <v>0</v>
      </c>
      <c r="J1393">
        <f>'Quick View_ Sample Data'!AJ1436</f>
        <v>0</v>
      </c>
      <c r="K1393">
        <f>'Quick View_ Sample Data'!AH1436</f>
        <v>0</v>
      </c>
      <c r="L1393">
        <f t="shared" si="21"/>
        <v>0</v>
      </c>
    </row>
    <row r="1394" spans="1:12" ht="12.75" customHeight="1">
      <c r="A1394" s="321"/>
      <c r="B1394">
        <f>'Quick View_ Sample Data'!P1437</f>
        <v>0</v>
      </c>
      <c r="C1394">
        <f>'Quick View_ Sample Data'!O1437</f>
        <v>0</v>
      </c>
      <c r="D1394">
        <f>'Quick View_ Sample Data'!AN1437</f>
        <v>0</v>
      </c>
      <c r="E1394">
        <f>'Quick View_ Sample Data'!O1437</f>
        <v>0</v>
      </c>
      <c r="F1394">
        <f>'Quick View_ Sample Data'!AO1437</f>
        <v>0</v>
      </c>
      <c r="G1394">
        <f>'Quick View_ Sample Data'!O1437</f>
        <v>0</v>
      </c>
      <c r="H1394">
        <f>'Quick View_ Sample Data'!AP1437</f>
        <v>0</v>
      </c>
      <c r="I1394">
        <f>'Quick View_ Sample Data'!AF1437</f>
        <v>0</v>
      </c>
      <c r="J1394">
        <f>'Quick View_ Sample Data'!AJ1437</f>
        <v>0</v>
      </c>
      <c r="K1394">
        <f>'Quick View_ Sample Data'!AH1437</f>
        <v>0</v>
      </c>
      <c r="L1394">
        <f t="shared" si="21"/>
        <v>0</v>
      </c>
    </row>
    <row r="1395" spans="1:12" ht="12.75" customHeight="1">
      <c r="A1395" s="321"/>
      <c r="B1395">
        <f>'Quick View_ Sample Data'!P1438</f>
        <v>0</v>
      </c>
      <c r="C1395">
        <f>'Quick View_ Sample Data'!O1438</f>
        <v>0</v>
      </c>
      <c r="D1395">
        <f>'Quick View_ Sample Data'!AN1438</f>
        <v>0</v>
      </c>
      <c r="E1395">
        <f>'Quick View_ Sample Data'!O1438</f>
        <v>0</v>
      </c>
      <c r="F1395">
        <f>'Quick View_ Sample Data'!AO1438</f>
        <v>0</v>
      </c>
      <c r="G1395">
        <f>'Quick View_ Sample Data'!O1438</f>
        <v>0</v>
      </c>
      <c r="H1395">
        <f>'Quick View_ Sample Data'!AP1438</f>
        <v>0</v>
      </c>
      <c r="I1395">
        <f>'Quick View_ Sample Data'!AF1438</f>
        <v>0</v>
      </c>
      <c r="J1395">
        <f>'Quick View_ Sample Data'!AJ1438</f>
        <v>0</v>
      </c>
      <c r="K1395">
        <f>'Quick View_ Sample Data'!AH1438</f>
        <v>0</v>
      </c>
      <c r="L1395">
        <f t="shared" si="21"/>
        <v>0</v>
      </c>
    </row>
    <row r="1396" spans="1:12" ht="12.75" customHeight="1">
      <c r="A1396" s="321"/>
      <c r="B1396">
        <f>'Quick View_ Sample Data'!P1439</f>
        <v>0</v>
      </c>
      <c r="C1396">
        <f>'Quick View_ Sample Data'!O1439</f>
        <v>0</v>
      </c>
      <c r="D1396">
        <f>'Quick View_ Sample Data'!AN1439</f>
        <v>0</v>
      </c>
      <c r="E1396">
        <f>'Quick View_ Sample Data'!O1439</f>
        <v>0</v>
      </c>
      <c r="F1396">
        <f>'Quick View_ Sample Data'!AO1439</f>
        <v>0</v>
      </c>
      <c r="G1396">
        <f>'Quick View_ Sample Data'!O1439</f>
        <v>0</v>
      </c>
      <c r="H1396">
        <f>'Quick View_ Sample Data'!AP1439</f>
        <v>0</v>
      </c>
      <c r="I1396">
        <f>'Quick View_ Sample Data'!AF1439</f>
        <v>0</v>
      </c>
      <c r="J1396">
        <f>'Quick View_ Sample Data'!AJ1439</f>
        <v>0</v>
      </c>
      <c r="K1396">
        <f>'Quick View_ Sample Data'!AH1439</f>
        <v>0</v>
      </c>
      <c r="L1396">
        <f t="shared" si="21"/>
        <v>0</v>
      </c>
    </row>
    <row r="1397" spans="1:12" ht="12.75" customHeight="1">
      <c r="A1397" s="321"/>
      <c r="B1397">
        <f>'Quick View_ Sample Data'!P1440</f>
        <v>0</v>
      </c>
      <c r="C1397">
        <f>'Quick View_ Sample Data'!O1440</f>
        <v>0</v>
      </c>
      <c r="D1397">
        <f>'Quick View_ Sample Data'!AN1440</f>
        <v>0</v>
      </c>
      <c r="E1397">
        <f>'Quick View_ Sample Data'!O1440</f>
        <v>0</v>
      </c>
      <c r="F1397">
        <f>'Quick View_ Sample Data'!AO1440</f>
        <v>0</v>
      </c>
      <c r="G1397">
        <f>'Quick View_ Sample Data'!O1440</f>
        <v>0</v>
      </c>
      <c r="H1397">
        <f>'Quick View_ Sample Data'!AP1440</f>
        <v>0</v>
      </c>
      <c r="I1397">
        <f>'Quick View_ Sample Data'!AF1440</f>
        <v>0</v>
      </c>
      <c r="J1397">
        <f>'Quick View_ Sample Data'!AJ1440</f>
        <v>0</v>
      </c>
      <c r="K1397">
        <f>'Quick View_ Sample Data'!AH1440</f>
        <v>0</v>
      </c>
      <c r="L1397">
        <f t="shared" si="21"/>
        <v>0</v>
      </c>
    </row>
    <row r="1398" spans="1:12" ht="12.75" customHeight="1">
      <c r="A1398" s="321"/>
      <c r="B1398">
        <f>'Quick View_ Sample Data'!P1441</f>
        <v>0</v>
      </c>
      <c r="C1398">
        <f>'Quick View_ Sample Data'!O1441</f>
        <v>0</v>
      </c>
      <c r="D1398">
        <f>'Quick View_ Sample Data'!AN1441</f>
        <v>0</v>
      </c>
      <c r="E1398">
        <f>'Quick View_ Sample Data'!O1441</f>
        <v>0</v>
      </c>
      <c r="F1398">
        <f>'Quick View_ Sample Data'!AO1441</f>
        <v>0</v>
      </c>
      <c r="G1398">
        <f>'Quick View_ Sample Data'!O1441</f>
        <v>0</v>
      </c>
      <c r="H1398">
        <f>'Quick View_ Sample Data'!AP1441</f>
        <v>0</v>
      </c>
      <c r="I1398">
        <f>'Quick View_ Sample Data'!AF1441</f>
        <v>0</v>
      </c>
      <c r="J1398">
        <f>'Quick View_ Sample Data'!AJ1441</f>
        <v>0</v>
      </c>
      <c r="K1398">
        <f>'Quick View_ Sample Data'!AH1441</f>
        <v>0</v>
      </c>
      <c r="L1398">
        <f t="shared" si="21"/>
        <v>0</v>
      </c>
    </row>
    <row r="1399" spans="1:12" ht="12.75" customHeight="1">
      <c r="A1399" s="321"/>
      <c r="B1399">
        <f>'Quick View_ Sample Data'!P1442</f>
        <v>0</v>
      </c>
      <c r="C1399">
        <f>'Quick View_ Sample Data'!O1442</f>
        <v>0</v>
      </c>
      <c r="D1399">
        <f>'Quick View_ Sample Data'!AN1442</f>
        <v>0</v>
      </c>
      <c r="E1399">
        <f>'Quick View_ Sample Data'!O1442</f>
        <v>0</v>
      </c>
      <c r="F1399">
        <f>'Quick View_ Sample Data'!AO1442</f>
        <v>0</v>
      </c>
      <c r="G1399">
        <f>'Quick View_ Sample Data'!O1442</f>
        <v>0</v>
      </c>
      <c r="H1399">
        <f>'Quick View_ Sample Data'!AP1442</f>
        <v>0</v>
      </c>
      <c r="I1399">
        <f>'Quick View_ Sample Data'!AF1442</f>
        <v>0</v>
      </c>
      <c r="J1399">
        <f>'Quick View_ Sample Data'!AJ1442</f>
        <v>0</v>
      </c>
      <c r="K1399">
        <f>'Quick View_ Sample Data'!AH1442</f>
        <v>0</v>
      </c>
      <c r="L1399">
        <f t="shared" si="21"/>
        <v>0</v>
      </c>
    </row>
    <row r="1400" spans="1:12" ht="12.75" customHeight="1">
      <c r="A1400" s="321"/>
      <c r="B1400">
        <f>'Quick View_ Sample Data'!P1443</f>
        <v>0</v>
      </c>
      <c r="C1400">
        <f>'Quick View_ Sample Data'!O1443</f>
        <v>0</v>
      </c>
      <c r="D1400">
        <f>'Quick View_ Sample Data'!AN1443</f>
        <v>0</v>
      </c>
      <c r="E1400">
        <f>'Quick View_ Sample Data'!O1443</f>
        <v>0</v>
      </c>
      <c r="F1400">
        <f>'Quick View_ Sample Data'!AO1443</f>
        <v>0</v>
      </c>
      <c r="G1400">
        <f>'Quick View_ Sample Data'!O1443</f>
        <v>0</v>
      </c>
      <c r="H1400">
        <f>'Quick View_ Sample Data'!AP1443</f>
        <v>0</v>
      </c>
      <c r="I1400">
        <f>'Quick View_ Sample Data'!AF1443</f>
        <v>0</v>
      </c>
      <c r="J1400">
        <f>'Quick View_ Sample Data'!AJ1443</f>
        <v>0</v>
      </c>
      <c r="K1400">
        <f>'Quick View_ Sample Data'!AH1443</f>
        <v>0</v>
      </c>
      <c r="L1400">
        <f t="shared" si="2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1640625" defaultRowHeight="12.75" customHeight="1" x14ac:dyDescent="0"/>
  <cols>
    <col min="1" max="1" width="13.5" customWidth="1"/>
    <col min="2" max="2" width="8.83203125" customWidth="1"/>
    <col min="3" max="5" width="11.33203125" customWidth="1"/>
    <col min="8" max="10" width="12.33203125" customWidth="1"/>
    <col min="12" max="12" width="13.5" customWidth="1"/>
    <col min="13" max="13" width="15.6640625" customWidth="1"/>
  </cols>
  <sheetData>
    <row r="1" spans="1:23" ht="21.75" customHeight="1">
      <c r="A1" s="340" t="s">
        <v>1775</v>
      </c>
      <c r="B1" s="340" t="s">
        <v>1776</v>
      </c>
      <c r="C1" s="310" t="s">
        <v>1777</v>
      </c>
      <c r="D1" s="310" t="s">
        <v>1778</v>
      </c>
      <c r="E1" s="310" t="s">
        <v>1779</v>
      </c>
      <c r="F1" s="310" t="s">
        <v>1780</v>
      </c>
      <c r="G1" s="340" t="s">
        <v>1781</v>
      </c>
      <c r="H1" s="227" t="s">
        <v>1782</v>
      </c>
      <c r="I1" s="227" t="s">
        <v>1783</v>
      </c>
      <c r="J1" s="227" t="s">
        <v>1784</v>
      </c>
      <c r="K1" s="227" t="s">
        <v>1785</v>
      </c>
      <c r="L1" s="227" t="s">
        <v>1786</v>
      </c>
      <c r="M1" s="227" t="s">
        <v>1787</v>
      </c>
      <c r="N1" s="21" t="s">
        <v>1788</v>
      </c>
      <c r="O1" s="340"/>
      <c r="P1" s="340"/>
      <c r="Q1" s="340"/>
      <c r="R1" s="340"/>
      <c r="S1" s="340"/>
      <c r="T1" s="340"/>
      <c r="U1" s="340"/>
      <c r="V1" s="340"/>
      <c r="W1" s="340"/>
    </row>
    <row r="2" spans="1:23" ht="21.75" customHeight="1">
      <c r="A2" t="s">
        <v>1789</v>
      </c>
      <c r="B2" s="245">
        <v>40975</v>
      </c>
      <c r="C2" s="126"/>
      <c r="D2" s="126"/>
      <c r="E2" s="126"/>
      <c r="G2">
        <v>0.82086000000000003</v>
      </c>
      <c r="H2" s="123">
        <f t="shared" ref="H2:H65" si="0">(C2*(PI()/LN(2)))*$G2</f>
        <v>0</v>
      </c>
      <c r="I2" s="123">
        <f t="shared" ref="I2:I65" si="1">(D2*(PI()/LN(2)))*$G2</f>
        <v>0</v>
      </c>
      <c r="J2" s="123">
        <f t="shared" ref="J2:J65" si="2">(E2*(PI()/LN(2)))*$G2</f>
        <v>0</v>
      </c>
      <c r="K2" s="123"/>
      <c r="L2" s="123">
        <f t="shared" ref="L2:L65" si="3">AVERAGE(H2:J2)</f>
        <v>0</v>
      </c>
      <c r="M2" s="227"/>
      <c r="N2" s="275"/>
    </row>
    <row r="3" spans="1:23" ht="21.75" customHeight="1">
      <c r="A3" t="s">
        <v>1790</v>
      </c>
      <c r="B3" s="245">
        <v>40975</v>
      </c>
      <c r="C3" s="126"/>
      <c r="D3" s="126"/>
      <c r="E3" s="126"/>
      <c r="G3">
        <v>0.82086000000000003</v>
      </c>
      <c r="H3" s="123">
        <f t="shared" si="0"/>
        <v>0</v>
      </c>
      <c r="I3" s="123">
        <f t="shared" si="1"/>
        <v>0</v>
      </c>
      <c r="J3" s="123">
        <f t="shared" si="2"/>
        <v>0</v>
      </c>
      <c r="K3" s="123"/>
      <c r="L3" s="123">
        <f t="shared" si="3"/>
        <v>0</v>
      </c>
      <c r="M3" s="227"/>
      <c r="N3" s="275"/>
    </row>
    <row r="4" spans="1:23" ht="21.75" customHeight="1">
      <c r="A4" t="s">
        <v>1791</v>
      </c>
      <c r="B4" s="245">
        <v>40975</v>
      </c>
      <c r="C4" s="126">
        <v>131.80000000000001</v>
      </c>
      <c r="D4" s="126">
        <v>130.1</v>
      </c>
      <c r="E4" s="126">
        <v>131.4</v>
      </c>
      <c r="G4">
        <v>0.82086000000000003</v>
      </c>
      <c r="H4" s="123">
        <f t="shared" si="0"/>
        <v>490.35308864547176</v>
      </c>
      <c r="I4" s="123">
        <f t="shared" si="1"/>
        <v>484.02835229723718</v>
      </c>
      <c r="J4" s="123">
        <f t="shared" si="2"/>
        <v>488.8649153870636</v>
      </c>
      <c r="K4" s="123"/>
      <c r="L4" s="123">
        <f t="shared" si="3"/>
        <v>487.74878544325747</v>
      </c>
      <c r="M4" s="227"/>
      <c r="N4" s="275"/>
    </row>
    <row r="5" spans="1:23" ht="21.75" customHeight="1">
      <c r="A5" t="s">
        <v>1792</v>
      </c>
      <c r="B5" s="245">
        <v>40975</v>
      </c>
      <c r="C5" s="126">
        <v>129.4</v>
      </c>
      <c r="D5" s="126">
        <v>129.6</v>
      </c>
      <c r="E5" s="126">
        <v>126.4</v>
      </c>
      <c r="G5">
        <v>0.82086000000000003</v>
      </c>
      <c r="H5" s="123">
        <f t="shared" si="0"/>
        <v>481.42404909502307</v>
      </c>
      <c r="I5" s="123">
        <f t="shared" si="1"/>
        <v>482.16813572422711</v>
      </c>
      <c r="J5" s="123">
        <f t="shared" si="2"/>
        <v>470.26274965696217</v>
      </c>
      <c r="K5" s="123"/>
      <c r="L5" s="123">
        <f t="shared" si="3"/>
        <v>477.95164482540412</v>
      </c>
      <c r="M5" s="227"/>
      <c r="N5" s="275"/>
    </row>
    <row r="6" spans="1:23" ht="21.75" customHeight="1">
      <c r="A6" t="s">
        <v>1793</v>
      </c>
      <c r="B6" s="245">
        <v>40975</v>
      </c>
      <c r="C6" s="126">
        <v>121.7</v>
      </c>
      <c r="D6" s="126">
        <v>122.3</v>
      </c>
      <c r="E6" s="126">
        <v>120.4</v>
      </c>
      <c r="G6">
        <v>0.82086000000000003</v>
      </c>
      <c r="H6" s="123">
        <f t="shared" si="0"/>
        <v>452.77671387066692</v>
      </c>
      <c r="I6" s="123">
        <f t="shared" si="1"/>
        <v>455.00897375827913</v>
      </c>
      <c r="J6" s="123">
        <f t="shared" si="2"/>
        <v>447.94015078084055</v>
      </c>
      <c r="K6" s="123"/>
      <c r="L6" s="123">
        <f t="shared" si="3"/>
        <v>451.90861280326226</v>
      </c>
      <c r="M6" s="227"/>
      <c r="N6" s="275"/>
    </row>
    <row r="7" spans="1:23" ht="21.75" customHeight="1">
      <c r="A7" t="s">
        <v>1794</v>
      </c>
      <c r="B7" s="245">
        <v>40975</v>
      </c>
      <c r="C7" s="126">
        <v>129.6</v>
      </c>
      <c r="D7" s="126">
        <v>129.4</v>
      </c>
      <c r="E7" s="126">
        <v>129.19999999999999</v>
      </c>
      <c r="G7">
        <v>0.82086000000000003</v>
      </c>
      <c r="H7" s="123">
        <f t="shared" si="0"/>
        <v>482.16813572422711</v>
      </c>
      <c r="I7" s="123">
        <f t="shared" si="1"/>
        <v>481.42404909502307</v>
      </c>
      <c r="J7" s="123">
        <f t="shared" si="2"/>
        <v>480.6799624658189</v>
      </c>
      <c r="K7" s="123"/>
      <c r="L7" s="123">
        <f t="shared" si="3"/>
        <v>481.42404909502301</v>
      </c>
      <c r="M7" s="227"/>
      <c r="N7" s="275"/>
    </row>
    <row r="8" spans="1:23" ht="21.75" customHeight="1">
      <c r="A8" t="s">
        <v>1795</v>
      </c>
      <c r="B8" s="245">
        <v>40975</v>
      </c>
      <c r="C8" s="126">
        <v>50.9</v>
      </c>
      <c r="D8" s="126">
        <v>51.2</v>
      </c>
      <c r="E8" s="126">
        <v>50.4</v>
      </c>
      <c r="G8">
        <v>0.82086000000000003</v>
      </c>
      <c r="H8" s="123">
        <f t="shared" si="0"/>
        <v>189.37004713243178</v>
      </c>
      <c r="I8" s="123">
        <f t="shared" si="1"/>
        <v>190.48617707623785</v>
      </c>
      <c r="J8" s="123">
        <f t="shared" si="2"/>
        <v>187.50983055942163</v>
      </c>
      <c r="K8" s="123"/>
      <c r="L8" s="123">
        <f t="shared" si="3"/>
        <v>189.12201825603043</v>
      </c>
      <c r="M8" s="227"/>
      <c r="N8" s="275"/>
    </row>
    <row r="9" spans="1:23" ht="21.75" customHeight="1">
      <c r="A9" t="s">
        <v>1796</v>
      </c>
      <c r="B9" s="245">
        <v>40975</v>
      </c>
      <c r="C9" s="126">
        <v>69</v>
      </c>
      <c r="D9" s="126">
        <v>69</v>
      </c>
      <c r="E9" s="126">
        <v>67.900000000000006</v>
      </c>
      <c r="G9">
        <v>0.82086000000000003</v>
      </c>
      <c r="H9" s="123">
        <f t="shared" si="0"/>
        <v>256.70988707539868</v>
      </c>
      <c r="I9" s="123">
        <f t="shared" si="1"/>
        <v>256.70988707539868</v>
      </c>
      <c r="J9" s="123">
        <f t="shared" si="2"/>
        <v>252.61741061477639</v>
      </c>
      <c r="K9" s="123"/>
      <c r="L9" s="123">
        <f t="shared" si="3"/>
        <v>255.34572825519126</v>
      </c>
      <c r="M9" s="227"/>
      <c r="N9" s="275"/>
    </row>
    <row r="10" spans="1:23" ht="21.75" customHeight="1">
      <c r="A10" t="s">
        <v>1797</v>
      </c>
      <c r="B10" s="245">
        <v>40975</v>
      </c>
      <c r="C10" s="126">
        <v>66</v>
      </c>
      <c r="D10" s="126">
        <v>64.8</v>
      </c>
      <c r="E10" s="126">
        <v>65.2</v>
      </c>
      <c r="G10">
        <v>0.82086000000000003</v>
      </c>
      <c r="H10" s="123">
        <f t="shared" si="0"/>
        <v>245.54858763733785</v>
      </c>
      <c r="I10" s="123">
        <f t="shared" si="1"/>
        <v>241.08406786211356</v>
      </c>
      <c r="J10" s="123">
        <f t="shared" si="2"/>
        <v>242.57224112052168</v>
      </c>
      <c r="K10" s="123"/>
      <c r="L10" s="123">
        <f t="shared" si="3"/>
        <v>243.06829887332435</v>
      </c>
      <c r="M10" s="227"/>
      <c r="N10" s="275"/>
    </row>
    <row r="11" spans="1:23" ht="21.75" customHeight="1">
      <c r="A11" t="s">
        <v>1798</v>
      </c>
      <c r="B11" s="245">
        <v>40975</v>
      </c>
      <c r="C11" s="126">
        <v>63.8</v>
      </c>
      <c r="D11" s="126">
        <v>65.2</v>
      </c>
      <c r="E11" s="126">
        <v>64.3</v>
      </c>
      <c r="G11">
        <v>0.82086000000000003</v>
      </c>
      <c r="H11" s="123">
        <f t="shared" si="0"/>
        <v>237.36363471609326</v>
      </c>
      <c r="I11" s="123">
        <f t="shared" si="1"/>
        <v>242.57224112052168</v>
      </c>
      <c r="J11" s="123">
        <f t="shared" si="2"/>
        <v>239.22385128910341</v>
      </c>
      <c r="K11" s="123"/>
      <c r="L11" s="123">
        <f t="shared" si="3"/>
        <v>239.71990904190613</v>
      </c>
      <c r="M11" s="227"/>
      <c r="N11" s="275"/>
    </row>
    <row r="12" spans="1:23" ht="21.75" customHeight="1">
      <c r="A12" t="s">
        <v>1799</v>
      </c>
      <c r="B12" s="245">
        <v>40975</v>
      </c>
      <c r="C12" s="126"/>
      <c r="D12" s="126"/>
      <c r="E12" s="126"/>
      <c r="G12">
        <v>0.82086000000000003</v>
      </c>
      <c r="H12" s="123">
        <f t="shared" si="0"/>
        <v>0</v>
      </c>
      <c r="I12" s="123">
        <f t="shared" si="1"/>
        <v>0</v>
      </c>
      <c r="J12" s="123">
        <f t="shared" si="2"/>
        <v>0</v>
      </c>
      <c r="K12" s="123"/>
      <c r="L12" s="123">
        <f t="shared" si="3"/>
        <v>0</v>
      </c>
      <c r="M12" s="227"/>
      <c r="N12" s="275"/>
    </row>
    <row r="13" spans="1:23" ht="21.75" customHeight="1">
      <c r="A13" t="s">
        <v>1800</v>
      </c>
      <c r="B13" s="245">
        <v>40975</v>
      </c>
      <c r="C13" s="126">
        <v>85.8</v>
      </c>
      <c r="D13" s="126">
        <v>85.6</v>
      </c>
      <c r="E13" s="126">
        <v>85.6</v>
      </c>
      <c r="G13">
        <v>0.82086000000000003</v>
      </c>
      <c r="H13" s="123">
        <f t="shared" si="0"/>
        <v>319.21316392853925</v>
      </c>
      <c r="I13" s="123">
        <f t="shared" si="1"/>
        <v>318.46907729933514</v>
      </c>
      <c r="J13" s="123">
        <f t="shared" si="2"/>
        <v>318.46907729933514</v>
      </c>
      <c r="K13" s="123"/>
      <c r="L13" s="123">
        <f t="shared" si="3"/>
        <v>318.71710617573649</v>
      </c>
      <c r="M13" s="227"/>
      <c r="N13" s="275"/>
    </row>
    <row r="14" spans="1:23" ht="21.75" customHeight="1">
      <c r="A14" t="s">
        <v>1801</v>
      </c>
      <c r="B14" s="245">
        <v>40975</v>
      </c>
      <c r="C14" s="126">
        <v>79.900000000000006</v>
      </c>
      <c r="D14" s="126">
        <v>80.3</v>
      </c>
      <c r="E14" s="126">
        <v>80</v>
      </c>
      <c r="G14">
        <v>0.82086000000000003</v>
      </c>
      <c r="H14" s="123">
        <f t="shared" si="0"/>
        <v>297.26260836701965</v>
      </c>
      <c r="I14" s="123">
        <f t="shared" si="1"/>
        <v>298.75078162542775</v>
      </c>
      <c r="J14" s="123">
        <f t="shared" si="2"/>
        <v>297.63465168162168</v>
      </c>
      <c r="K14" s="123"/>
      <c r="L14" s="123">
        <f t="shared" si="3"/>
        <v>297.88268055802303</v>
      </c>
      <c r="M14" s="227"/>
      <c r="N14" s="275"/>
    </row>
    <row r="15" spans="1:23" ht="21.75" customHeight="1">
      <c r="A15" t="s">
        <v>1802</v>
      </c>
      <c r="B15" s="245">
        <v>40975</v>
      </c>
      <c r="C15" s="126">
        <v>87.8</v>
      </c>
      <c r="D15" s="126">
        <v>86.5</v>
      </c>
      <c r="E15" s="126">
        <v>89.2</v>
      </c>
      <c r="G15">
        <v>0.82086000000000003</v>
      </c>
      <c r="H15" s="123">
        <f t="shared" si="0"/>
        <v>326.65403022057973</v>
      </c>
      <c r="I15" s="123">
        <f t="shared" si="1"/>
        <v>321.81746713075341</v>
      </c>
      <c r="J15" s="123">
        <f t="shared" si="2"/>
        <v>331.86263662500812</v>
      </c>
      <c r="K15" s="123"/>
      <c r="L15" s="123">
        <f t="shared" si="3"/>
        <v>326.7780446587804</v>
      </c>
      <c r="M15" s="227"/>
      <c r="N15" s="275"/>
    </row>
    <row r="16" spans="1:23" ht="21.75" customHeight="1">
      <c r="A16" t="s">
        <v>1803</v>
      </c>
      <c r="B16" s="245">
        <v>40975</v>
      </c>
      <c r="C16" s="126"/>
      <c r="D16" s="126"/>
      <c r="E16" s="126"/>
      <c r="G16">
        <v>0.82086000000000003</v>
      </c>
      <c r="H16" s="123">
        <f t="shared" si="0"/>
        <v>0</v>
      </c>
      <c r="I16" s="123">
        <f t="shared" si="1"/>
        <v>0</v>
      </c>
      <c r="J16" s="123">
        <f t="shared" si="2"/>
        <v>0</v>
      </c>
      <c r="K16" s="123"/>
      <c r="L16" s="123">
        <f t="shared" si="3"/>
        <v>0</v>
      </c>
      <c r="M16" s="227"/>
      <c r="N16" s="275"/>
    </row>
    <row r="17" spans="1:14" ht="21.75" customHeight="1">
      <c r="A17" t="s">
        <v>1804</v>
      </c>
      <c r="B17" s="245">
        <v>40975</v>
      </c>
      <c r="C17" s="126"/>
      <c r="D17" s="126"/>
      <c r="E17" s="126"/>
      <c r="G17">
        <v>0.82086000000000003</v>
      </c>
      <c r="H17" s="123">
        <f t="shared" si="0"/>
        <v>0</v>
      </c>
      <c r="I17" s="123">
        <f t="shared" si="1"/>
        <v>0</v>
      </c>
      <c r="J17" s="123">
        <f t="shared" si="2"/>
        <v>0</v>
      </c>
      <c r="K17" s="123"/>
      <c r="L17" s="123">
        <f t="shared" si="3"/>
        <v>0</v>
      </c>
      <c r="M17" s="227"/>
      <c r="N17" s="275"/>
    </row>
    <row r="18" spans="1:14" ht="21.75" customHeight="1">
      <c r="A18" t="s">
        <v>1805</v>
      </c>
      <c r="B18" s="245">
        <v>40975</v>
      </c>
      <c r="C18" s="126"/>
      <c r="D18" s="126"/>
      <c r="E18" s="126"/>
      <c r="G18">
        <v>0.82086000000000003</v>
      </c>
      <c r="H18" s="123">
        <f t="shared" si="0"/>
        <v>0</v>
      </c>
      <c r="I18" s="123">
        <f t="shared" si="1"/>
        <v>0</v>
      </c>
      <c r="J18" s="123">
        <f t="shared" si="2"/>
        <v>0</v>
      </c>
      <c r="K18" s="123"/>
      <c r="L18" s="123">
        <f t="shared" si="3"/>
        <v>0</v>
      </c>
      <c r="M18" s="227"/>
      <c r="N18" s="275"/>
    </row>
    <row r="19" spans="1:14" ht="21.75" customHeight="1">
      <c r="A19" t="s">
        <v>1806</v>
      </c>
      <c r="B19" s="245">
        <v>40975</v>
      </c>
      <c r="C19" s="126"/>
      <c r="D19" s="126"/>
      <c r="E19" s="126"/>
      <c r="G19">
        <v>0.82086000000000003</v>
      </c>
      <c r="H19" s="123">
        <f t="shared" si="0"/>
        <v>0</v>
      </c>
      <c r="I19" s="123">
        <f t="shared" si="1"/>
        <v>0</v>
      </c>
      <c r="J19" s="123">
        <f t="shared" si="2"/>
        <v>0</v>
      </c>
      <c r="K19" s="123"/>
      <c r="L19" s="123">
        <f t="shared" si="3"/>
        <v>0</v>
      </c>
      <c r="M19" s="227"/>
      <c r="N19" s="275"/>
    </row>
    <row r="20" spans="1:14" ht="21.75" customHeight="1">
      <c r="A20" t="s">
        <v>1807</v>
      </c>
      <c r="B20" s="245">
        <v>40975</v>
      </c>
      <c r="C20" s="126"/>
      <c r="D20" s="126"/>
      <c r="E20" s="126"/>
      <c r="G20">
        <v>0.82086000000000003</v>
      </c>
      <c r="H20" s="123">
        <f t="shared" si="0"/>
        <v>0</v>
      </c>
      <c r="I20" s="123">
        <f t="shared" si="1"/>
        <v>0</v>
      </c>
      <c r="J20" s="123">
        <f t="shared" si="2"/>
        <v>0</v>
      </c>
      <c r="K20" s="123"/>
      <c r="L20" s="123">
        <f t="shared" si="3"/>
        <v>0</v>
      </c>
      <c r="M20" s="227"/>
      <c r="N20" s="275"/>
    </row>
    <row r="21" spans="1:14" ht="21.75" customHeight="1">
      <c r="A21" t="s">
        <v>1808</v>
      </c>
      <c r="B21" s="245">
        <v>40975</v>
      </c>
      <c r="C21" s="126">
        <v>204.4</v>
      </c>
      <c r="D21" s="126">
        <v>206.6</v>
      </c>
      <c r="E21" s="126">
        <v>203.8</v>
      </c>
      <c r="G21">
        <v>0.82086000000000003</v>
      </c>
      <c r="H21" s="123">
        <f t="shared" si="0"/>
        <v>760.45653504654331</v>
      </c>
      <c r="I21" s="123">
        <f t="shared" si="1"/>
        <v>768.64148796778784</v>
      </c>
      <c r="J21" s="123">
        <f t="shared" si="2"/>
        <v>758.22427515893128</v>
      </c>
      <c r="K21" s="123"/>
      <c r="L21" s="123">
        <f t="shared" si="3"/>
        <v>762.4407660577541</v>
      </c>
      <c r="M21" s="227"/>
      <c r="N21" s="275"/>
    </row>
    <row r="22" spans="1:14" ht="21.75" customHeight="1">
      <c r="A22" t="s">
        <v>1809</v>
      </c>
      <c r="B22" s="245">
        <v>40975</v>
      </c>
      <c r="C22" s="126">
        <v>203.7</v>
      </c>
      <c r="D22" s="126">
        <v>200.9</v>
      </c>
      <c r="E22" s="126">
        <v>199.9</v>
      </c>
      <c r="G22">
        <v>0.82086000000000003</v>
      </c>
      <c r="H22" s="123">
        <f t="shared" si="0"/>
        <v>757.85223184432914</v>
      </c>
      <c r="I22" s="123">
        <f t="shared" si="1"/>
        <v>747.43501903547246</v>
      </c>
      <c r="J22" s="123">
        <f t="shared" si="2"/>
        <v>743.71458588945211</v>
      </c>
      <c r="K22" s="123"/>
      <c r="L22" s="123">
        <f t="shared" si="3"/>
        <v>749.66727892308461</v>
      </c>
      <c r="M22" s="227"/>
      <c r="N22" s="275"/>
    </row>
    <row r="23" spans="1:14" ht="21.75" customHeight="1">
      <c r="A23" t="s">
        <v>1810</v>
      </c>
      <c r="B23" s="245">
        <v>40975</v>
      </c>
      <c r="C23" s="126">
        <v>194.1</v>
      </c>
      <c r="D23" s="126">
        <v>196.5</v>
      </c>
      <c r="E23" s="126">
        <v>195.5</v>
      </c>
      <c r="G23">
        <v>0.82086000000000003</v>
      </c>
      <c r="H23" s="123">
        <f t="shared" si="0"/>
        <v>722.13607364253448</v>
      </c>
      <c r="I23" s="123">
        <f t="shared" si="1"/>
        <v>731.06511319298318</v>
      </c>
      <c r="J23" s="123">
        <f t="shared" si="2"/>
        <v>727.34468004696294</v>
      </c>
      <c r="K23" s="123"/>
      <c r="L23" s="123">
        <f t="shared" si="3"/>
        <v>726.84862229416012</v>
      </c>
      <c r="M23" s="227"/>
      <c r="N23" s="275"/>
    </row>
    <row r="24" spans="1:14" ht="21.75" customHeight="1">
      <c r="A24" t="s">
        <v>1811</v>
      </c>
      <c r="B24" s="245">
        <v>40975</v>
      </c>
      <c r="C24" s="126">
        <v>193.4</v>
      </c>
      <c r="D24" s="126">
        <v>193.8</v>
      </c>
      <c r="E24" s="126">
        <v>192.9</v>
      </c>
      <c r="G24">
        <v>0.82086000000000003</v>
      </c>
      <c r="H24" s="123">
        <f t="shared" si="0"/>
        <v>719.53177044032043</v>
      </c>
      <c r="I24" s="123">
        <f t="shared" si="1"/>
        <v>721.01994369872853</v>
      </c>
      <c r="J24" s="123">
        <f t="shared" si="2"/>
        <v>717.67155386731019</v>
      </c>
      <c r="K24" s="123"/>
      <c r="L24" s="123">
        <f t="shared" si="3"/>
        <v>719.40775600211964</v>
      </c>
      <c r="M24" s="227"/>
      <c r="N24" s="275"/>
    </row>
    <row r="25" spans="1:14" ht="21.75" customHeight="1">
      <c r="A25" t="s">
        <v>1812</v>
      </c>
      <c r="B25" s="245">
        <v>40975</v>
      </c>
      <c r="C25" s="126"/>
      <c r="D25" s="126"/>
      <c r="E25" s="126"/>
      <c r="G25">
        <v>0.82086000000000003</v>
      </c>
      <c r="H25" s="123">
        <f t="shared" si="0"/>
        <v>0</v>
      </c>
      <c r="I25" s="123">
        <f t="shared" si="1"/>
        <v>0</v>
      </c>
      <c r="J25" s="123">
        <f t="shared" si="2"/>
        <v>0</v>
      </c>
      <c r="K25" s="123"/>
      <c r="L25" s="123">
        <f t="shared" si="3"/>
        <v>0</v>
      </c>
      <c r="M25" s="227"/>
      <c r="N25" s="275"/>
    </row>
    <row r="26" spans="1:14" ht="21.75" customHeight="1">
      <c r="A26" t="s">
        <v>1813</v>
      </c>
      <c r="B26" s="245">
        <v>40975</v>
      </c>
      <c r="C26" s="126"/>
      <c r="D26" s="126"/>
      <c r="E26" s="126"/>
      <c r="G26">
        <v>0.82086000000000003</v>
      </c>
      <c r="H26" s="123">
        <f t="shared" si="0"/>
        <v>0</v>
      </c>
      <c r="I26" s="123">
        <f t="shared" si="1"/>
        <v>0</v>
      </c>
      <c r="J26" s="123">
        <f t="shared" si="2"/>
        <v>0</v>
      </c>
      <c r="K26" s="123"/>
      <c r="L26" s="123">
        <f t="shared" si="3"/>
        <v>0</v>
      </c>
      <c r="M26" s="227"/>
      <c r="N26" s="275"/>
    </row>
    <row r="27" spans="1:14" ht="21.75" customHeight="1">
      <c r="A27" t="s">
        <v>1814</v>
      </c>
      <c r="B27" s="245">
        <v>40975</v>
      </c>
      <c r="C27" s="126"/>
      <c r="D27" s="126"/>
      <c r="E27" s="126"/>
      <c r="G27">
        <v>0.82086000000000003</v>
      </c>
      <c r="H27" s="123">
        <f t="shared" si="0"/>
        <v>0</v>
      </c>
      <c r="I27" s="123">
        <f t="shared" si="1"/>
        <v>0</v>
      </c>
      <c r="J27" s="123">
        <f t="shared" si="2"/>
        <v>0</v>
      </c>
      <c r="K27" s="123"/>
      <c r="L27" s="123">
        <f t="shared" si="3"/>
        <v>0</v>
      </c>
      <c r="M27" s="227"/>
      <c r="N27" s="275"/>
    </row>
    <row r="28" spans="1:14" ht="21.75" customHeight="1">
      <c r="A28" t="s">
        <v>1815</v>
      </c>
      <c r="B28" s="245">
        <v>40975</v>
      </c>
      <c r="C28" s="126">
        <v>35000000</v>
      </c>
      <c r="D28" s="126">
        <v>35000000</v>
      </c>
      <c r="E28" s="126">
        <v>35000000</v>
      </c>
      <c r="G28">
        <v>0.82086000000000003</v>
      </c>
      <c r="H28" s="123">
        <f t="shared" si="0"/>
        <v>130215160.11070947</v>
      </c>
      <c r="I28" s="123">
        <f t="shared" si="1"/>
        <v>130215160.11070947</v>
      </c>
      <c r="J28" s="123">
        <f t="shared" si="2"/>
        <v>130215160.11070947</v>
      </c>
      <c r="K28" s="123"/>
      <c r="L28" s="123">
        <f t="shared" si="3"/>
        <v>130215160.11070947</v>
      </c>
      <c r="M28" s="227"/>
      <c r="N28" s="275"/>
    </row>
    <row r="29" spans="1:14" ht="21.75" customHeight="1">
      <c r="A29" t="s">
        <v>1816</v>
      </c>
      <c r="B29" s="245">
        <v>40975</v>
      </c>
      <c r="C29" s="126">
        <v>654.6</v>
      </c>
      <c r="D29" s="126">
        <v>666.7</v>
      </c>
      <c r="E29" s="126">
        <v>658.8</v>
      </c>
      <c r="G29">
        <v>0.82086000000000003</v>
      </c>
      <c r="H29" s="123">
        <f t="shared" si="0"/>
        <v>2435.3955373848694</v>
      </c>
      <c r="I29" s="123">
        <f t="shared" si="1"/>
        <v>2480.4127784517145</v>
      </c>
      <c r="J29" s="123">
        <f t="shared" si="2"/>
        <v>2451.0213565981544</v>
      </c>
      <c r="K29" s="123"/>
      <c r="L29" s="123">
        <f t="shared" si="3"/>
        <v>2455.6098908115796</v>
      </c>
      <c r="M29" s="227"/>
      <c r="N29" s="275"/>
    </row>
    <row r="30" spans="1:14" ht="21.75" customHeight="1">
      <c r="A30" t="s">
        <v>1817</v>
      </c>
      <c r="B30" s="245">
        <v>40975</v>
      </c>
      <c r="C30" s="126">
        <v>413.6</v>
      </c>
      <c r="D30" s="126">
        <v>413.6</v>
      </c>
      <c r="E30" s="126">
        <v>418.9</v>
      </c>
      <c r="G30">
        <v>0.82086000000000003</v>
      </c>
      <c r="H30" s="123">
        <f t="shared" si="0"/>
        <v>1538.771149193984</v>
      </c>
      <c r="I30" s="123">
        <f t="shared" si="1"/>
        <v>1538.771149193984</v>
      </c>
      <c r="J30" s="123">
        <f t="shared" si="2"/>
        <v>1558.4894448678913</v>
      </c>
      <c r="K30" s="123"/>
      <c r="L30" s="123">
        <f t="shared" si="3"/>
        <v>1545.3439144186198</v>
      </c>
      <c r="M30" s="227"/>
      <c r="N30" s="275"/>
    </row>
    <row r="31" spans="1:14" ht="21.75" customHeight="1">
      <c r="A31" t="s">
        <v>1818</v>
      </c>
      <c r="B31" s="245">
        <v>40975</v>
      </c>
      <c r="C31" s="126">
        <v>166.8</v>
      </c>
      <c r="D31" s="126">
        <v>167.6</v>
      </c>
      <c r="E31" s="126">
        <v>168.4</v>
      </c>
      <c r="G31">
        <v>0.82086000000000003</v>
      </c>
      <c r="H31" s="123">
        <f t="shared" si="0"/>
        <v>620.56824875618122</v>
      </c>
      <c r="I31" s="123">
        <f t="shared" si="1"/>
        <v>623.54459527299741</v>
      </c>
      <c r="J31" s="123">
        <f t="shared" si="2"/>
        <v>626.52094178981361</v>
      </c>
      <c r="K31" s="123"/>
      <c r="L31" s="123">
        <f t="shared" si="3"/>
        <v>623.54459527299741</v>
      </c>
      <c r="M31" s="227"/>
      <c r="N31" s="275"/>
    </row>
    <row r="32" spans="1:14" ht="21.75" customHeight="1">
      <c r="A32" t="s">
        <v>1819</v>
      </c>
      <c r="B32" s="245">
        <v>40975</v>
      </c>
      <c r="C32" s="126">
        <v>348.6</v>
      </c>
      <c r="D32" s="126">
        <v>349.2</v>
      </c>
      <c r="E32" s="126">
        <v>345.6</v>
      </c>
      <c r="G32">
        <v>0.82086000000000003</v>
      </c>
      <c r="H32" s="123">
        <f t="shared" si="0"/>
        <v>1296.9429947026665</v>
      </c>
      <c r="I32" s="123">
        <f t="shared" si="1"/>
        <v>1299.1752545902784</v>
      </c>
      <c r="J32" s="123">
        <f t="shared" si="2"/>
        <v>1285.7816952646056</v>
      </c>
      <c r="K32" s="123"/>
      <c r="L32" s="123">
        <f t="shared" si="3"/>
        <v>1293.9666481858501</v>
      </c>
      <c r="M32" s="227"/>
      <c r="N32" s="275"/>
    </row>
    <row r="33" spans="1:14" ht="21.75" customHeight="1">
      <c r="A33" t="s">
        <v>1820</v>
      </c>
      <c r="B33" s="245">
        <v>40975</v>
      </c>
      <c r="C33" s="126">
        <v>235.5</v>
      </c>
      <c r="D33" s="126">
        <v>228.5</v>
      </c>
      <c r="E33" s="126">
        <v>230.7</v>
      </c>
      <c r="G33">
        <v>0.82086000000000003</v>
      </c>
      <c r="H33" s="123">
        <f t="shared" si="0"/>
        <v>876.16200588777383</v>
      </c>
      <c r="I33" s="123">
        <f t="shared" si="1"/>
        <v>850.1189738656318</v>
      </c>
      <c r="J33" s="123">
        <f t="shared" si="2"/>
        <v>858.30392678687645</v>
      </c>
      <c r="K33" s="123"/>
      <c r="L33" s="123">
        <f t="shared" si="3"/>
        <v>861.52830218009387</v>
      </c>
      <c r="M33" s="227"/>
      <c r="N33" s="275"/>
    </row>
    <row r="34" spans="1:14" ht="21.75" customHeight="1">
      <c r="A34" t="s">
        <v>1821</v>
      </c>
      <c r="B34" s="245">
        <v>40975</v>
      </c>
      <c r="C34" s="126">
        <v>346.5</v>
      </c>
      <c r="D34" s="126">
        <v>343.5</v>
      </c>
      <c r="E34" s="126">
        <v>342.8</v>
      </c>
      <c r="G34">
        <v>0.82086000000000003</v>
      </c>
      <c r="H34" s="123">
        <f t="shared" si="0"/>
        <v>1289.1300850960238</v>
      </c>
      <c r="I34" s="123">
        <f t="shared" si="1"/>
        <v>1277.9687856579631</v>
      </c>
      <c r="J34" s="123">
        <f t="shared" si="2"/>
        <v>1275.3644824557489</v>
      </c>
      <c r="K34" s="123"/>
      <c r="L34" s="123">
        <f t="shared" si="3"/>
        <v>1280.8211177365786</v>
      </c>
      <c r="M34" s="227"/>
      <c r="N34" s="275"/>
    </row>
    <row r="35" spans="1:14" ht="21.75" customHeight="1">
      <c r="A35" t="s">
        <v>1822</v>
      </c>
      <c r="B35" s="245">
        <v>40975</v>
      </c>
      <c r="C35" s="126">
        <v>158.69999999999999</v>
      </c>
      <c r="D35" s="126">
        <v>159.4</v>
      </c>
      <c r="E35" s="126">
        <v>161.5</v>
      </c>
      <c r="G35">
        <v>0.82086000000000003</v>
      </c>
      <c r="H35" s="123">
        <f t="shared" si="0"/>
        <v>590.43274027341693</v>
      </c>
      <c r="I35" s="123">
        <f t="shared" si="1"/>
        <v>593.03704347563109</v>
      </c>
      <c r="J35" s="123">
        <f t="shared" si="2"/>
        <v>600.84995308227371</v>
      </c>
      <c r="K35" s="123"/>
      <c r="L35" s="123">
        <f t="shared" si="3"/>
        <v>594.77324561044054</v>
      </c>
      <c r="M35" s="227"/>
      <c r="N35" s="275"/>
    </row>
    <row r="36" spans="1:14" ht="21.75" customHeight="1">
      <c r="A36" t="s">
        <v>1823</v>
      </c>
      <c r="B36" s="245">
        <v>40975</v>
      </c>
      <c r="C36" s="126">
        <v>123.3</v>
      </c>
      <c r="D36" s="126">
        <v>125</v>
      </c>
      <c r="E36" s="126">
        <v>126.2</v>
      </c>
      <c r="G36">
        <v>0.82086000000000003</v>
      </c>
      <c r="H36" s="123">
        <f t="shared" si="0"/>
        <v>458.72940690429942</v>
      </c>
      <c r="I36" s="123">
        <f t="shared" si="1"/>
        <v>465.05414325253378</v>
      </c>
      <c r="J36" s="123">
        <f t="shared" si="2"/>
        <v>469.51866302775812</v>
      </c>
      <c r="K36" s="123"/>
      <c r="L36" s="123">
        <f t="shared" si="3"/>
        <v>464.4340710615304</v>
      </c>
      <c r="M36" s="227"/>
      <c r="N36" s="275"/>
    </row>
    <row r="37" spans="1:14" ht="21.75" customHeight="1">
      <c r="A37" t="s">
        <v>1824</v>
      </c>
      <c r="B37" s="245">
        <v>40975</v>
      </c>
      <c r="C37" s="126">
        <v>102.3</v>
      </c>
      <c r="D37" s="126">
        <v>101.4</v>
      </c>
      <c r="E37" s="126">
        <v>103.5</v>
      </c>
      <c r="G37">
        <v>0.82086000000000003</v>
      </c>
      <c r="H37" s="123">
        <f t="shared" si="0"/>
        <v>380.60031083787368</v>
      </c>
      <c r="I37" s="123">
        <f t="shared" si="1"/>
        <v>377.25192100645546</v>
      </c>
      <c r="J37" s="123">
        <f t="shared" si="2"/>
        <v>385.06483061309802</v>
      </c>
      <c r="K37" s="123"/>
      <c r="L37" s="123">
        <f t="shared" si="3"/>
        <v>380.9723541524757</v>
      </c>
      <c r="M37" s="227"/>
      <c r="N37" s="275"/>
    </row>
    <row r="38" spans="1:14" ht="21.75" customHeight="1">
      <c r="A38" t="s">
        <v>1825</v>
      </c>
      <c r="B38" s="245">
        <v>40975</v>
      </c>
      <c r="C38" s="126">
        <v>81.400000000000006</v>
      </c>
      <c r="D38" s="126">
        <v>87.3</v>
      </c>
      <c r="E38" s="126">
        <v>78</v>
      </c>
      <c r="G38">
        <v>0.82086000000000003</v>
      </c>
      <c r="H38" s="123">
        <f t="shared" si="0"/>
        <v>302.84325808605007</v>
      </c>
      <c r="I38" s="123">
        <f t="shared" si="1"/>
        <v>324.79381364756961</v>
      </c>
      <c r="J38" s="123">
        <f t="shared" si="2"/>
        <v>290.19378538958114</v>
      </c>
      <c r="K38" s="123"/>
      <c r="L38" s="123">
        <f t="shared" si="3"/>
        <v>305.94361904106694</v>
      </c>
      <c r="M38" s="227"/>
      <c r="N38" s="275"/>
    </row>
    <row r="39" spans="1:14" ht="21.75" customHeight="1">
      <c r="A39" t="s">
        <v>1826</v>
      </c>
      <c r="B39" s="245">
        <v>40975</v>
      </c>
      <c r="C39" s="126">
        <v>103.8</v>
      </c>
      <c r="D39" s="126">
        <v>103.9</v>
      </c>
      <c r="E39" s="126">
        <v>104.6</v>
      </c>
      <c r="G39">
        <v>0.82086000000000003</v>
      </c>
      <c r="H39" s="123">
        <f t="shared" si="0"/>
        <v>386.1809605569041</v>
      </c>
      <c r="I39" s="123">
        <f t="shared" si="1"/>
        <v>386.55300387150618</v>
      </c>
      <c r="J39" s="123">
        <f t="shared" si="2"/>
        <v>389.15730707372029</v>
      </c>
      <c r="K39" s="123"/>
      <c r="L39" s="123">
        <f t="shared" si="3"/>
        <v>387.29709050071023</v>
      </c>
      <c r="M39" s="227"/>
      <c r="N39" s="275"/>
    </row>
    <row r="40" spans="1:14" ht="21.75" customHeight="1">
      <c r="A40" t="s">
        <v>1827</v>
      </c>
      <c r="B40" s="245">
        <v>40975</v>
      </c>
      <c r="C40" s="126"/>
      <c r="D40" s="126"/>
      <c r="E40" s="126"/>
      <c r="G40">
        <v>0.82086000000000003</v>
      </c>
      <c r="H40" s="123">
        <f t="shared" si="0"/>
        <v>0</v>
      </c>
      <c r="I40" s="123">
        <f t="shared" si="1"/>
        <v>0</v>
      </c>
      <c r="J40" s="123">
        <f t="shared" si="2"/>
        <v>0</v>
      </c>
      <c r="K40" s="123"/>
      <c r="L40" s="123">
        <f t="shared" si="3"/>
        <v>0</v>
      </c>
      <c r="M40" s="227"/>
      <c r="N40" s="275"/>
    </row>
    <row r="41" spans="1:14" ht="21.75" customHeight="1">
      <c r="A41" t="s">
        <v>1828</v>
      </c>
      <c r="B41" s="245">
        <v>40975</v>
      </c>
      <c r="C41" s="126">
        <v>106.8</v>
      </c>
      <c r="D41" s="126">
        <v>107.8</v>
      </c>
      <c r="E41" s="126">
        <v>109.3</v>
      </c>
      <c r="G41">
        <v>0.82086000000000003</v>
      </c>
      <c r="H41" s="123">
        <f t="shared" si="0"/>
        <v>397.34225999496488</v>
      </c>
      <c r="I41" s="123">
        <f t="shared" si="1"/>
        <v>401.06269314098517</v>
      </c>
      <c r="J41" s="123">
        <f t="shared" si="2"/>
        <v>406.64334286001559</v>
      </c>
      <c r="K41" s="123"/>
      <c r="L41" s="123">
        <f t="shared" si="3"/>
        <v>401.68276533198855</v>
      </c>
      <c r="M41" s="227"/>
      <c r="N41" s="275"/>
    </row>
    <row r="42" spans="1:14" ht="21.75" customHeight="1">
      <c r="A42" t="s">
        <v>1829</v>
      </c>
      <c r="B42" s="245">
        <v>40975</v>
      </c>
      <c r="C42" s="126">
        <v>51.9</v>
      </c>
      <c r="D42" s="126">
        <v>52.1</v>
      </c>
      <c r="E42" s="126">
        <v>51.8</v>
      </c>
      <c r="G42">
        <v>0.82086000000000003</v>
      </c>
      <c r="H42" s="123">
        <f t="shared" si="0"/>
        <v>193.09048027845205</v>
      </c>
      <c r="I42" s="123">
        <f t="shared" si="1"/>
        <v>193.83456690765613</v>
      </c>
      <c r="J42" s="123">
        <f t="shared" si="2"/>
        <v>192.71843696385002</v>
      </c>
      <c r="K42" s="123"/>
      <c r="L42" s="123">
        <f t="shared" si="3"/>
        <v>193.21449471665269</v>
      </c>
      <c r="M42" s="227"/>
      <c r="N42" s="275"/>
    </row>
    <row r="43" spans="1:14" ht="21.75" customHeight="1">
      <c r="A43" t="s">
        <v>1830</v>
      </c>
      <c r="B43" s="245">
        <v>40975</v>
      </c>
      <c r="C43" s="126">
        <v>27.5</v>
      </c>
      <c r="D43" s="126">
        <v>28.2</v>
      </c>
      <c r="E43" s="126">
        <v>28.3</v>
      </c>
      <c r="G43">
        <v>0.82086000000000003</v>
      </c>
      <c r="H43" s="123">
        <f t="shared" si="0"/>
        <v>102.31191151555745</v>
      </c>
      <c r="I43" s="123">
        <f t="shared" si="1"/>
        <v>104.91621471777164</v>
      </c>
      <c r="J43" s="123">
        <f t="shared" si="2"/>
        <v>105.28825803237366</v>
      </c>
      <c r="K43" s="123"/>
      <c r="L43" s="123">
        <f t="shared" si="3"/>
        <v>104.17212808856759</v>
      </c>
      <c r="M43" s="227"/>
      <c r="N43" s="275"/>
    </row>
    <row r="44" spans="1:14" ht="21.75" customHeight="1">
      <c r="A44" t="s">
        <v>1831</v>
      </c>
      <c r="B44" s="245">
        <v>40975</v>
      </c>
      <c r="C44" s="126"/>
      <c r="D44" s="126"/>
      <c r="E44" s="126"/>
      <c r="G44">
        <v>0.82086000000000003</v>
      </c>
      <c r="H44" s="123">
        <f t="shared" si="0"/>
        <v>0</v>
      </c>
      <c r="I44" s="123">
        <f t="shared" si="1"/>
        <v>0</v>
      </c>
      <c r="J44" s="123">
        <f t="shared" si="2"/>
        <v>0</v>
      </c>
      <c r="K44" s="123"/>
      <c r="L44" s="123">
        <f t="shared" si="3"/>
        <v>0</v>
      </c>
      <c r="M44" s="227"/>
      <c r="N44" s="275"/>
    </row>
    <row r="45" spans="1:14" ht="21.75" customHeight="1">
      <c r="A45" t="s">
        <v>1832</v>
      </c>
      <c r="B45" s="245">
        <v>40975</v>
      </c>
      <c r="C45" s="126">
        <v>18.399999999999999</v>
      </c>
      <c r="D45" s="126">
        <v>18.7</v>
      </c>
      <c r="E45" s="126">
        <v>19</v>
      </c>
      <c r="G45">
        <v>0.82086000000000003</v>
      </c>
      <c r="H45" s="123">
        <f t="shared" si="0"/>
        <v>68.455969886772976</v>
      </c>
      <c r="I45" s="123">
        <f t="shared" si="1"/>
        <v>69.572099830579049</v>
      </c>
      <c r="J45" s="123">
        <f t="shared" si="2"/>
        <v>70.688229774385135</v>
      </c>
      <c r="K45" s="123"/>
      <c r="L45" s="123">
        <f t="shared" si="3"/>
        <v>69.572099830579063</v>
      </c>
      <c r="M45" s="227"/>
      <c r="N45" s="275"/>
    </row>
    <row r="46" spans="1:14" ht="21.75" customHeight="1">
      <c r="A46" t="s">
        <v>1833</v>
      </c>
      <c r="B46" s="245">
        <v>40975</v>
      </c>
      <c r="C46" s="126"/>
      <c r="D46" s="126"/>
      <c r="E46" s="126"/>
      <c r="G46">
        <v>0.82086000000000003</v>
      </c>
      <c r="H46" s="123">
        <f t="shared" si="0"/>
        <v>0</v>
      </c>
      <c r="I46" s="123">
        <f t="shared" si="1"/>
        <v>0</v>
      </c>
      <c r="J46" s="123">
        <f t="shared" si="2"/>
        <v>0</v>
      </c>
      <c r="K46" s="123"/>
      <c r="L46" s="123">
        <f t="shared" si="3"/>
        <v>0</v>
      </c>
      <c r="M46" s="227"/>
      <c r="N46" s="275"/>
    </row>
    <row r="47" spans="1:14" ht="21.75" customHeight="1">
      <c r="A47" t="s">
        <v>1834</v>
      </c>
      <c r="B47" s="245">
        <v>40975</v>
      </c>
      <c r="C47" s="126">
        <v>5.3</v>
      </c>
      <c r="D47" s="126">
        <v>5.7</v>
      </c>
      <c r="E47" s="126">
        <v>5.6</v>
      </c>
      <c r="G47">
        <v>0.82086000000000003</v>
      </c>
      <c r="H47" s="123">
        <f t="shared" si="0"/>
        <v>19.718295673907434</v>
      </c>
      <c r="I47" s="123">
        <f t="shared" si="1"/>
        <v>21.206468932315545</v>
      </c>
      <c r="J47" s="123">
        <f t="shared" si="2"/>
        <v>20.834425617713517</v>
      </c>
      <c r="K47" s="123"/>
      <c r="L47" s="123">
        <f t="shared" si="3"/>
        <v>20.586396741312168</v>
      </c>
      <c r="M47" s="227"/>
      <c r="N47" s="275"/>
    </row>
    <row r="48" spans="1:14" ht="21.75" customHeight="1">
      <c r="A48" t="s">
        <v>1835</v>
      </c>
      <c r="B48" s="245">
        <v>40975</v>
      </c>
      <c r="C48" s="126"/>
      <c r="D48" s="126"/>
      <c r="E48" s="126"/>
      <c r="G48">
        <v>0.82086000000000003</v>
      </c>
      <c r="H48" s="123">
        <f t="shared" si="0"/>
        <v>0</v>
      </c>
      <c r="I48" s="123">
        <f t="shared" si="1"/>
        <v>0</v>
      </c>
      <c r="J48" s="123">
        <f t="shared" si="2"/>
        <v>0</v>
      </c>
      <c r="K48" s="123"/>
      <c r="L48" s="123">
        <f t="shared" si="3"/>
        <v>0</v>
      </c>
      <c r="M48" s="227"/>
      <c r="N48" s="275"/>
    </row>
    <row r="49" spans="1:23" ht="21.75" customHeight="1">
      <c r="A49" t="s">
        <v>1836</v>
      </c>
      <c r="B49" s="245">
        <v>40975</v>
      </c>
      <c r="C49" s="126"/>
      <c r="D49" s="126"/>
      <c r="E49" s="126"/>
      <c r="G49">
        <v>0.82086000000000003</v>
      </c>
      <c r="H49" s="123">
        <f t="shared" si="0"/>
        <v>0</v>
      </c>
      <c r="I49" s="123">
        <f t="shared" si="1"/>
        <v>0</v>
      </c>
      <c r="J49" s="123">
        <f t="shared" si="2"/>
        <v>0</v>
      </c>
      <c r="K49" s="123"/>
      <c r="L49" s="123">
        <f t="shared" si="3"/>
        <v>0</v>
      </c>
      <c r="M49" s="227"/>
      <c r="N49" s="275"/>
    </row>
    <row r="50" spans="1:23" ht="21.75" customHeight="1">
      <c r="A50" t="s">
        <v>1837</v>
      </c>
      <c r="B50" s="245">
        <v>40975</v>
      </c>
      <c r="C50" s="126"/>
      <c r="D50" s="126"/>
      <c r="E50" s="126"/>
      <c r="G50">
        <v>0.82086000000000003</v>
      </c>
      <c r="H50" s="123">
        <f t="shared" si="0"/>
        <v>0</v>
      </c>
      <c r="I50" s="123">
        <f t="shared" si="1"/>
        <v>0</v>
      </c>
      <c r="J50" s="123">
        <f t="shared" si="2"/>
        <v>0</v>
      </c>
      <c r="K50" s="123"/>
      <c r="L50" s="123">
        <f t="shared" si="3"/>
        <v>0</v>
      </c>
      <c r="M50" s="227"/>
      <c r="N50" s="275"/>
    </row>
    <row r="51" spans="1:23" ht="21.75" customHeight="1">
      <c r="A51" t="s">
        <v>44</v>
      </c>
      <c r="B51" s="245">
        <v>40976</v>
      </c>
      <c r="C51" s="126"/>
      <c r="D51" s="126"/>
      <c r="E51" s="126"/>
      <c r="G51">
        <v>0.82086000000000003</v>
      </c>
      <c r="H51" s="123">
        <f t="shared" si="0"/>
        <v>0</v>
      </c>
      <c r="I51" s="123">
        <f t="shared" si="1"/>
        <v>0</v>
      </c>
      <c r="J51" s="123">
        <f t="shared" si="2"/>
        <v>0</v>
      </c>
      <c r="K51" s="123"/>
      <c r="L51" s="123">
        <f t="shared" si="3"/>
        <v>0</v>
      </c>
      <c r="M51" s="227"/>
      <c r="N51" s="275"/>
    </row>
    <row r="52" spans="1:23" ht="21.75" customHeight="1">
      <c r="A52" t="s">
        <v>49</v>
      </c>
      <c r="B52" s="245">
        <v>40976</v>
      </c>
      <c r="C52" s="126">
        <v>207.9</v>
      </c>
      <c r="D52" s="126">
        <v>210.3</v>
      </c>
      <c r="E52" s="126">
        <v>207.9</v>
      </c>
      <c r="G52">
        <v>0.82086000000000003</v>
      </c>
      <c r="H52" s="123">
        <f t="shared" si="0"/>
        <v>773.47805105761438</v>
      </c>
      <c r="I52" s="123">
        <f t="shared" si="1"/>
        <v>782.40709060806307</v>
      </c>
      <c r="J52" s="123">
        <f t="shared" si="2"/>
        <v>773.47805105761438</v>
      </c>
      <c r="K52" s="123"/>
      <c r="L52" s="123">
        <f t="shared" si="3"/>
        <v>776.45439757443057</v>
      </c>
      <c r="M52" s="227"/>
      <c r="N52" s="275"/>
    </row>
    <row r="53" spans="1:23" ht="21.75" customHeight="1">
      <c r="A53" t="s">
        <v>50</v>
      </c>
      <c r="B53" s="245">
        <v>40976</v>
      </c>
      <c r="C53" s="126"/>
      <c r="D53" s="126"/>
      <c r="E53" s="126"/>
      <c r="G53">
        <v>0.82086000000000003</v>
      </c>
      <c r="H53" s="123">
        <f t="shared" si="0"/>
        <v>0</v>
      </c>
      <c r="I53" s="123">
        <f t="shared" si="1"/>
        <v>0</v>
      </c>
      <c r="J53" s="123">
        <f t="shared" si="2"/>
        <v>0</v>
      </c>
      <c r="K53" s="123"/>
      <c r="L53" s="123">
        <f t="shared" si="3"/>
        <v>0</v>
      </c>
      <c r="M53" s="227"/>
      <c r="N53" s="275"/>
    </row>
    <row r="54" spans="1:23" ht="21.75" customHeight="1">
      <c r="A54" s="321" t="s">
        <v>51</v>
      </c>
      <c r="B54" s="196">
        <v>40976</v>
      </c>
      <c r="C54" s="342">
        <v>96.6</v>
      </c>
      <c r="D54" s="342">
        <v>98.8</v>
      </c>
      <c r="E54" s="342">
        <v>97.1</v>
      </c>
      <c r="F54" s="321"/>
      <c r="G54" s="321">
        <v>0.82086000000000003</v>
      </c>
      <c r="H54" s="123">
        <f t="shared" si="0"/>
        <v>359.39384190555813</v>
      </c>
      <c r="I54" s="123">
        <f t="shared" si="1"/>
        <v>367.57879482680272</v>
      </c>
      <c r="J54" s="123">
        <f t="shared" si="2"/>
        <v>361.25405847856825</v>
      </c>
      <c r="K54" s="123"/>
      <c r="L54" s="238">
        <f t="shared" si="3"/>
        <v>362.74223173697629</v>
      </c>
      <c r="M54" s="176"/>
      <c r="N54" s="276"/>
      <c r="O54" s="321"/>
      <c r="P54" s="321"/>
      <c r="Q54" s="321"/>
      <c r="R54" s="321"/>
      <c r="S54" s="321"/>
      <c r="T54" s="321"/>
      <c r="U54" s="321"/>
      <c r="V54" s="321"/>
      <c r="W54" s="321"/>
    </row>
    <row r="55" spans="1:23" ht="21.75" customHeight="1">
      <c r="A55" t="s">
        <v>55</v>
      </c>
      <c r="B55" s="245">
        <v>40976</v>
      </c>
      <c r="C55" s="126"/>
      <c r="D55" s="126"/>
      <c r="E55" s="126"/>
      <c r="G55">
        <v>0.82086000000000003</v>
      </c>
      <c r="H55" s="123">
        <f t="shared" si="0"/>
        <v>0</v>
      </c>
      <c r="I55" s="123">
        <f t="shared" si="1"/>
        <v>0</v>
      </c>
      <c r="J55" s="123">
        <f t="shared" si="2"/>
        <v>0</v>
      </c>
      <c r="K55" s="123"/>
      <c r="L55" s="123">
        <f t="shared" si="3"/>
        <v>0</v>
      </c>
      <c r="M55" s="227"/>
      <c r="N55" s="275"/>
    </row>
    <row r="56" spans="1:23" ht="21.75" customHeight="1">
      <c r="A56" t="s">
        <v>57</v>
      </c>
      <c r="B56" s="245">
        <v>40976</v>
      </c>
      <c r="C56" s="126"/>
      <c r="D56" s="126"/>
      <c r="E56" s="126"/>
      <c r="G56">
        <v>0.82086000000000003</v>
      </c>
      <c r="H56" s="123">
        <f t="shared" si="0"/>
        <v>0</v>
      </c>
      <c r="I56" s="123">
        <f t="shared" si="1"/>
        <v>0</v>
      </c>
      <c r="J56" s="123">
        <f t="shared" si="2"/>
        <v>0</v>
      </c>
      <c r="K56" s="123"/>
      <c r="L56" s="123">
        <f t="shared" si="3"/>
        <v>0</v>
      </c>
      <c r="M56" s="227"/>
      <c r="N56" s="275"/>
    </row>
    <row r="57" spans="1:23" ht="21.75" customHeight="1">
      <c r="A57" t="s">
        <v>58</v>
      </c>
      <c r="B57" s="245">
        <v>40976</v>
      </c>
      <c r="C57" s="126"/>
      <c r="D57" s="126"/>
      <c r="E57" s="126"/>
      <c r="G57">
        <v>0.82086000000000003</v>
      </c>
      <c r="H57" s="123">
        <f t="shared" si="0"/>
        <v>0</v>
      </c>
      <c r="I57" s="123">
        <f t="shared" si="1"/>
        <v>0</v>
      </c>
      <c r="J57" s="123">
        <f t="shared" si="2"/>
        <v>0</v>
      </c>
      <c r="K57" s="123"/>
      <c r="L57" s="123">
        <f t="shared" si="3"/>
        <v>0</v>
      </c>
      <c r="M57" s="227"/>
      <c r="N57" s="275"/>
    </row>
    <row r="58" spans="1:23" ht="21.75" customHeight="1">
      <c r="A58" s="321" t="s">
        <v>59</v>
      </c>
      <c r="B58" s="196">
        <v>40976</v>
      </c>
      <c r="C58" s="342">
        <v>82.4</v>
      </c>
      <c r="D58" s="342">
        <v>82.8</v>
      </c>
      <c r="E58" s="342">
        <v>82.3</v>
      </c>
      <c r="F58" s="321"/>
      <c r="G58" s="321">
        <v>0.82086000000000003</v>
      </c>
      <c r="H58" s="123">
        <f t="shared" si="0"/>
        <v>306.56369123207037</v>
      </c>
      <c r="I58" s="123">
        <f t="shared" si="1"/>
        <v>308.05186449047841</v>
      </c>
      <c r="J58" s="123">
        <f t="shared" si="2"/>
        <v>306.19164791746829</v>
      </c>
      <c r="K58" s="123"/>
      <c r="L58" s="238">
        <f t="shared" si="3"/>
        <v>306.93573454667239</v>
      </c>
      <c r="M58" s="176"/>
      <c r="N58" s="276"/>
      <c r="O58" s="321"/>
      <c r="P58" s="321"/>
      <c r="Q58" s="321"/>
      <c r="R58" s="321"/>
      <c r="S58" s="321"/>
      <c r="T58" s="321"/>
      <c r="U58" s="321"/>
      <c r="V58" s="321"/>
      <c r="W58" s="321"/>
    </row>
    <row r="59" spans="1:23" ht="21.75" customHeight="1">
      <c r="A59" t="s">
        <v>60</v>
      </c>
      <c r="B59" s="245">
        <v>40976</v>
      </c>
      <c r="C59" s="126">
        <v>80.2</v>
      </c>
      <c r="D59" s="126">
        <v>78.8</v>
      </c>
      <c r="E59" s="126">
        <v>80</v>
      </c>
      <c r="G59">
        <v>0.82086000000000003</v>
      </c>
      <c r="H59" s="123">
        <f t="shared" si="0"/>
        <v>298.37873831082572</v>
      </c>
      <c r="I59" s="123">
        <f t="shared" si="1"/>
        <v>293.17013190639733</v>
      </c>
      <c r="J59" s="123">
        <f t="shared" si="2"/>
        <v>297.63465168162168</v>
      </c>
      <c r="K59" s="123"/>
      <c r="L59" s="123">
        <f t="shared" si="3"/>
        <v>296.39450729961493</v>
      </c>
      <c r="M59" s="227"/>
      <c r="N59" s="275"/>
    </row>
    <row r="60" spans="1:23" ht="21.75" customHeight="1">
      <c r="A60" t="s">
        <v>61</v>
      </c>
      <c r="B60" s="245">
        <v>40976</v>
      </c>
      <c r="C60" s="126">
        <v>81.2</v>
      </c>
      <c r="D60" s="126">
        <v>81.099999999999994</v>
      </c>
      <c r="E60" s="126">
        <v>81.8</v>
      </c>
      <c r="G60">
        <v>0.82086000000000003</v>
      </c>
      <c r="H60" s="123">
        <f t="shared" si="0"/>
        <v>302.09917145684602</v>
      </c>
      <c r="I60" s="123">
        <f t="shared" si="1"/>
        <v>301.72712814224394</v>
      </c>
      <c r="J60" s="123">
        <f t="shared" si="2"/>
        <v>304.33143134445811</v>
      </c>
      <c r="K60" s="123"/>
      <c r="L60" s="123">
        <f t="shared" si="3"/>
        <v>302.71924364784934</v>
      </c>
      <c r="M60" s="227"/>
      <c r="N60" s="275"/>
    </row>
    <row r="61" spans="1:23" ht="21.75" customHeight="1">
      <c r="A61" t="s">
        <v>62</v>
      </c>
      <c r="B61" s="245">
        <v>40976</v>
      </c>
      <c r="C61" s="126"/>
      <c r="D61" s="126"/>
      <c r="E61" s="126"/>
      <c r="G61">
        <v>0.82086000000000003</v>
      </c>
      <c r="H61" s="123">
        <f t="shared" si="0"/>
        <v>0</v>
      </c>
      <c r="I61" s="123">
        <f t="shared" si="1"/>
        <v>0</v>
      </c>
      <c r="J61" s="123">
        <f t="shared" si="2"/>
        <v>0</v>
      </c>
      <c r="K61" s="123"/>
      <c r="L61" s="123">
        <f t="shared" si="3"/>
        <v>0</v>
      </c>
      <c r="M61" s="227"/>
      <c r="N61" s="275"/>
    </row>
    <row r="62" spans="1:23" ht="21.75" customHeight="1">
      <c r="A62" s="321" t="s">
        <v>63</v>
      </c>
      <c r="B62" s="196">
        <v>40976</v>
      </c>
      <c r="C62" s="342">
        <v>88.3</v>
      </c>
      <c r="D62" s="342">
        <v>87.5</v>
      </c>
      <c r="E62" s="342">
        <v>87.1</v>
      </c>
      <c r="F62" s="321"/>
      <c r="G62" s="321">
        <v>0.82086000000000003</v>
      </c>
      <c r="H62" s="123">
        <f t="shared" si="0"/>
        <v>328.5142467935899</v>
      </c>
      <c r="I62" s="123">
        <f t="shared" si="1"/>
        <v>325.53790027677371</v>
      </c>
      <c r="J62" s="123">
        <f t="shared" si="2"/>
        <v>324.04972701836556</v>
      </c>
      <c r="K62" s="123"/>
      <c r="L62" s="238">
        <f t="shared" si="3"/>
        <v>326.03395802957635</v>
      </c>
      <c r="M62" s="176"/>
      <c r="N62" s="276"/>
      <c r="O62" s="321"/>
      <c r="P62" s="321"/>
      <c r="Q62" s="321"/>
      <c r="R62" s="321"/>
      <c r="S62" s="321"/>
      <c r="T62" s="321"/>
      <c r="U62" s="321"/>
      <c r="V62" s="321"/>
      <c r="W62" s="321"/>
    </row>
    <row r="63" spans="1:23" ht="21.75" customHeight="1">
      <c r="A63" t="s">
        <v>64</v>
      </c>
      <c r="B63" s="245">
        <v>40976</v>
      </c>
      <c r="C63" s="126">
        <v>73.2</v>
      </c>
      <c r="D63" s="126">
        <v>72.5</v>
      </c>
      <c r="E63" s="126">
        <v>73.2</v>
      </c>
      <c r="G63">
        <v>0.82086000000000003</v>
      </c>
      <c r="H63" s="123">
        <f t="shared" si="0"/>
        <v>272.33570628868381</v>
      </c>
      <c r="I63" s="123">
        <f t="shared" si="1"/>
        <v>269.73140308646964</v>
      </c>
      <c r="J63" s="123">
        <f t="shared" si="2"/>
        <v>272.33570628868381</v>
      </c>
      <c r="K63" s="123"/>
      <c r="L63" s="123">
        <f t="shared" si="3"/>
        <v>271.46760522127909</v>
      </c>
      <c r="M63" s="227"/>
      <c r="N63" s="275"/>
    </row>
    <row r="64" spans="1:23" ht="21.75" customHeight="1">
      <c r="A64" t="s">
        <v>65</v>
      </c>
      <c r="B64" s="245">
        <v>40976</v>
      </c>
      <c r="C64" s="126">
        <v>77.900000000000006</v>
      </c>
      <c r="D64" s="126">
        <v>75.3</v>
      </c>
      <c r="E64" s="126">
        <v>76.599999999999994</v>
      </c>
      <c r="G64">
        <v>0.82086000000000003</v>
      </c>
      <c r="H64" s="123">
        <f t="shared" si="0"/>
        <v>289.82174207497911</v>
      </c>
      <c r="I64" s="123">
        <f t="shared" si="1"/>
        <v>280.14861589532637</v>
      </c>
      <c r="J64" s="123">
        <f t="shared" si="2"/>
        <v>284.98517898515274</v>
      </c>
      <c r="K64" s="123"/>
      <c r="L64" s="123">
        <f t="shared" si="3"/>
        <v>284.98517898515274</v>
      </c>
      <c r="M64" s="227"/>
      <c r="N64" s="275"/>
    </row>
    <row r="65" spans="1:14" ht="21.75" customHeight="1">
      <c r="A65" t="s">
        <v>66</v>
      </c>
      <c r="B65" s="245">
        <v>40977</v>
      </c>
      <c r="C65" s="126">
        <v>109.9</v>
      </c>
      <c r="D65" s="126">
        <v>109.8</v>
      </c>
      <c r="E65" s="126">
        <v>110</v>
      </c>
      <c r="G65">
        <v>0.82086000000000003</v>
      </c>
      <c r="H65" s="123">
        <f t="shared" si="0"/>
        <v>408.87560274762779</v>
      </c>
      <c r="I65" s="123">
        <f t="shared" si="1"/>
        <v>408.50355943302571</v>
      </c>
      <c r="J65" s="123">
        <f t="shared" si="2"/>
        <v>409.24764606222982</v>
      </c>
      <c r="K65" s="123"/>
      <c r="L65" s="227">
        <f t="shared" si="3"/>
        <v>408.87560274762774</v>
      </c>
      <c r="M65" s="227"/>
      <c r="N65" s="275"/>
    </row>
    <row r="66" spans="1:14" ht="21.75" customHeight="1">
      <c r="A66" t="s">
        <v>68</v>
      </c>
      <c r="B66" s="245">
        <v>40977</v>
      </c>
      <c r="C66" s="126">
        <v>113.4</v>
      </c>
      <c r="D66" s="126">
        <v>114.3</v>
      </c>
      <c r="E66" s="126">
        <v>114</v>
      </c>
      <c r="G66">
        <v>0.82086000000000003</v>
      </c>
      <c r="H66" s="123">
        <f t="shared" ref="H66:H129" si="4">(C66*(PI()/LN(2)))*$G66</f>
        <v>421.89711875869875</v>
      </c>
      <c r="I66" s="123">
        <f t="shared" ref="I66:I129" si="5">(D66*(PI()/LN(2)))*$G66</f>
        <v>425.24550859011691</v>
      </c>
      <c r="J66" s="123">
        <f t="shared" ref="J66:J129" si="6">(E66*(PI()/LN(2)))*$G66</f>
        <v>424.12937864631084</v>
      </c>
      <c r="K66" s="123"/>
      <c r="L66" s="227">
        <f t="shared" ref="L66:L129" si="7">AVERAGE(H66:J66)</f>
        <v>423.75733533170887</v>
      </c>
      <c r="M66" s="227"/>
      <c r="N66" s="275"/>
    </row>
    <row r="67" spans="1:14" ht="21.75" customHeight="1">
      <c r="A67" t="s">
        <v>69</v>
      </c>
      <c r="B67" s="245">
        <v>40977</v>
      </c>
      <c r="C67" s="126">
        <v>176.5</v>
      </c>
      <c r="D67" s="126">
        <v>176.4</v>
      </c>
      <c r="E67" s="126">
        <v>175.7</v>
      </c>
      <c r="G67">
        <v>0.82086000000000003</v>
      </c>
      <c r="H67" s="123">
        <f t="shared" si="4"/>
        <v>656.65645027257779</v>
      </c>
      <c r="I67" s="123">
        <f t="shared" si="5"/>
        <v>656.28440695797576</v>
      </c>
      <c r="J67" s="123">
        <f t="shared" si="6"/>
        <v>653.68010375576148</v>
      </c>
      <c r="K67" s="123"/>
      <c r="L67" s="227">
        <f t="shared" si="7"/>
        <v>655.5403203287716</v>
      </c>
      <c r="M67" s="227"/>
      <c r="N67" s="275"/>
    </row>
    <row r="68" spans="1:14" ht="21.75" customHeight="1">
      <c r="A68" t="s">
        <v>70</v>
      </c>
      <c r="B68" s="245">
        <v>40977</v>
      </c>
      <c r="C68" s="126">
        <v>181</v>
      </c>
      <c r="D68" s="126">
        <v>180.5</v>
      </c>
      <c r="E68" s="126">
        <v>178.2</v>
      </c>
      <c r="G68">
        <v>0.82086000000000003</v>
      </c>
      <c r="H68" s="123">
        <f t="shared" si="4"/>
        <v>673.39839942966898</v>
      </c>
      <c r="I68" s="123">
        <f t="shared" si="5"/>
        <v>671.53818285665886</v>
      </c>
      <c r="J68" s="123">
        <f t="shared" si="6"/>
        <v>662.9811866208122</v>
      </c>
      <c r="K68" s="123"/>
      <c r="L68" s="227">
        <f t="shared" si="7"/>
        <v>669.30592296904672</v>
      </c>
      <c r="M68" s="227"/>
      <c r="N68" s="275"/>
    </row>
    <row r="69" spans="1:14" ht="21.75" customHeight="1">
      <c r="A69" t="s">
        <v>71</v>
      </c>
      <c r="B69" s="245">
        <v>40980</v>
      </c>
      <c r="C69" s="126">
        <v>484.6</v>
      </c>
      <c r="D69" s="126">
        <v>485.2</v>
      </c>
      <c r="E69" s="126">
        <v>473.6</v>
      </c>
      <c r="G69">
        <v>0.82086000000000003</v>
      </c>
      <c r="H69" s="123">
        <f t="shared" si="4"/>
        <v>1802.9219025614232</v>
      </c>
      <c r="I69" s="123">
        <f t="shared" si="5"/>
        <v>1805.1541624490353</v>
      </c>
      <c r="J69" s="123">
        <f t="shared" si="6"/>
        <v>1761.9971379552005</v>
      </c>
      <c r="K69" s="123"/>
      <c r="L69" s="227">
        <f t="shared" si="7"/>
        <v>1790.024400988553</v>
      </c>
      <c r="M69" s="227"/>
      <c r="N69" s="275"/>
    </row>
    <row r="70" spans="1:14" ht="21.75" customHeight="1">
      <c r="A70" t="s">
        <v>72</v>
      </c>
      <c r="B70" s="245">
        <v>40980</v>
      </c>
      <c r="C70" s="126">
        <v>138.6</v>
      </c>
      <c r="D70" s="126">
        <v>136.19999999999999</v>
      </c>
      <c r="E70" s="126">
        <v>136.19999999999999</v>
      </c>
      <c r="G70">
        <v>0.82086000000000003</v>
      </c>
      <c r="H70" s="123">
        <f t="shared" si="4"/>
        <v>515.65203403840951</v>
      </c>
      <c r="I70" s="123">
        <f t="shared" si="5"/>
        <v>506.72299448796082</v>
      </c>
      <c r="J70" s="123">
        <f t="shared" si="6"/>
        <v>506.72299448796082</v>
      </c>
      <c r="K70" s="123"/>
      <c r="L70" s="227">
        <f t="shared" si="7"/>
        <v>509.69934100477707</v>
      </c>
      <c r="M70" s="227"/>
      <c r="N70" s="275"/>
    </row>
    <row r="71" spans="1:14" ht="21.75" customHeight="1">
      <c r="A71" t="s">
        <v>73</v>
      </c>
      <c r="B71" s="245">
        <v>40980</v>
      </c>
      <c r="C71" s="126">
        <v>96.7</v>
      </c>
      <c r="D71" s="126">
        <v>97.5</v>
      </c>
      <c r="E71" s="126">
        <v>96.8</v>
      </c>
      <c r="G71">
        <v>0.82086000000000003</v>
      </c>
      <c r="H71" s="123">
        <f t="shared" si="4"/>
        <v>359.76588522016021</v>
      </c>
      <c r="I71" s="123">
        <f t="shared" si="5"/>
        <v>362.74223173697641</v>
      </c>
      <c r="J71" s="123">
        <f t="shared" si="6"/>
        <v>360.13792853476224</v>
      </c>
      <c r="K71" s="123"/>
      <c r="L71" s="227">
        <f t="shared" si="7"/>
        <v>360.88201516396629</v>
      </c>
      <c r="M71" s="227"/>
      <c r="N71" s="275"/>
    </row>
    <row r="72" spans="1:14" ht="21.75" customHeight="1">
      <c r="A72" t="s">
        <v>74</v>
      </c>
      <c r="B72" s="245">
        <v>40980</v>
      </c>
      <c r="C72" s="126">
        <v>281.39999999999998</v>
      </c>
      <c r="D72" s="126">
        <v>276.89999999999998</v>
      </c>
      <c r="E72" s="126">
        <v>277.7</v>
      </c>
      <c r="G72">
        <v>0.82086000000000003</v>
      </c>
      <c r="H72" s="123">
        <f t="shared" si="4"/>
        <v>1046.9298872901043</v>
      </c>
      <c r="I72" s="123">
        <f t="shared" si="5"/>
        <v>1030.1879381330129</v>
      </c>
      <c r="J72" s="123">
        <f t="shared" si="6"/>
        <v>1033.1642846498291</v>
      </c>
      <c r="K72" s="123"/>
      <c r="L72" s="227">
        <f t="shared" si="7"/>
        <v>1036.7607033576487</v>
      </c>
      <c r="M72" s="227"/>
      <c r="N72" s="275"/>
    </row>
    <row r="73" spans="1:14" ht="21.75" customHeight="1">
      <c r="A73" t="s">
        <v>80</v>
      </c>
      <c r="B73" s="245">
        <v>40981</v>
      </c>
      <c r="C73" s="126">
        <v>105.4</v>
      </c>
      <c r="D73" s="126">
        <v>100.2</v>
      </c>
      <c r="E73" s="126">
        <v>105.9</v>
      </c>
      <c r="G73">
        <v>0.82086000000000003</v>
      </c>
      <c r="H73" s="123">
        <f t="shared" si="4"/>
        <v>392.1336535905366</v>
      </c>
      <c r="I73" s="123">
        <f t="shared" si="5"/>
        <v>372.78740123123117</v>
      </c>
      <c r="J73" s="123">
        <f t="shared" si="6"/>
        <v>393.99387016354666</v>
      </c>
      <c r="K73" s="123"/>
      <c r="L73" s="227">
        <f t="shared" si="7"/>
        <v>386.30497499510483</v>
      </c>
      <c r="M73" s="227"/>
      <c r="N73" s="275"/>
    </row>
    <row r="74" spans="1:14" ht="21.75" customHeight="1">
      <c r="A74" t="s">
        <v>85</v>
      </c>
      <c r="B74" s="245">
        <v>40981</v>
      </c>
      <c r="C74" s="126">
        <v>68.8</v>
      </c>
      <c r="D74" s="126">
        <v>68.900000000000006</v>
      </c>
      <c r="E74" s="126">
        <v>69.3</v>
      </c>
      <c r="G74">
        <v>0.82086000000000003</v>
      </c>
      <c r="H74" s="123">
        <f t="shared" si="4"/>
        <v>255.96580044619461</v>
      </c>
      <c r="I74" s="123">
        <f t="shared" si="5"/>
        <v>256.33784376079666</v>
      </c>
      <c r="J74" s="123">
        <f t="shared" si="6"/>
        <v>257.82601701920476</v>
      </c>
      <c r="K74" s="123"/>
      <c r="L74" s="227">
        <f t="shared" si="7"/>
        <v>256.70988707539868</v>
      </c>
      <c r="M74" s="227"/>
      <c r="N74" s="275"/>
    </row>
    <row r="75" spans="1:14" ht="21.75" customHeight="1">
      <c r="A75" t="s">
        <v>75</v>
      </c>
      <c r="B75" s="245">
        <v>40980</v>
      </c>
      <c r="C75" s="126">
        <v>13</v>
      </c>
      <c r="D75" s="126">
        <v>12.9</v>
      </c>
      <c r="E75" s="126">
        <v>13</v>
      </c>
      <c r="G75">
        <v>0.82086000000000003</v>
      </c>
      <c r="H75" s="123">
        <f t="shared" si="4"/>
        <v>48.365630898263525</v>
      </c>
      <c r="I75" s="123">
        <f t="shared" si="5"/>
        <v>47.993587583661494</v>
      </c>
      <c r="J75" s="123">
        <f t="shared" si="6"/>
        <v>48.365630898263525</v>
      </c>
      <c r="K75" s="123"/>
      <c r="L75" s="227">
        <f t="shared" si="7"/>
        <v>48.241616460062851</v>
      </c>
      <c r="M75" s="227"/>
      <c r="N75" s="275"/>
    </row>
    <row r="76" spans="1:14" ht="21.75" customHeight="1">
      <c r="A76" t="s">
        <v>77</v>
      </c>
      <c r="B76" s="245">
        <v>40980</v>
      </c>
      <c r="C76" s="126">
        <v>12.3</v>
      </c>
      <c r="D76" s="126">
        <v>12.1</v>
      </c>
      <c r="E76" s="126">
        <v>12.2</v>
      </c>
      <c r="G76">
        <v>0.82086000000000003</v>
      </c>
      <c r="H76" s="123">
        <f t="shared" si="4"/>
        <v>45.761327696049335</v>
      </c>
      <c r="I76" s="123">
        <f t="shared" si="5"/>
        <v>45.01724106684528</v>
      </c>
      <c r="J76" s="123">
        <f t="shared" si="6"/>
        <v>45.389284381447297</v>
      </c>
      <c r="K76" s="123"/>
      <c r="L76" s="227">
        <f t="shared" si="7"/>
        <v>45.389284381447304</v>
      </c>
      <c r="M76" s="227"/>
      <c r="N76" s="275"/>
    </row>
    <row r="77" spans="1:14" ht="21.75" customHeight="1">
      <c r="A77" t="s">
        <v>86</v>
      </c>
      <c r="B77" s="245">
        <v>40981</v>
      </c>
      <c r="C77" s="126">
        <v>104.2</v>
      </c>
      <c r="D77" s="126">
        <v>104.2</v>
      </c>
      <c r="E77" s="126">
        <v>104.3</v>
      </c>
      <c r="G77">
        <v>0.82086000000000003</v>
      </c>
      <c r="H77" s="123">
        <f t="shared" si="4"/>
        <v>387.66913381531225</v>
      </c>
      <c r="I77" s="123">
        <f t="shared" si="5"/>
        <v>387.66913381531225</v>
      </c>
      <c r="J77" s="123">
        <f t="shared" si="6"/>
        <v>388.04117712991422</v>
      </c>
      <c r="K77" s="123"/>
      <c r="L77" s="227">
        <f t="shared" si="7"/>
        <v>387.79314825351292</v>
      </c>
      <c r="M77" s="227"/>
      <c r="N77" s="275"/>
    </row>
    <row r="78" spans="1:14" ht="21.75" customHeight="1">
      <c r="A78" t="s">
        <v>89</v>
      </c>
      <c r="B78" s="245">
        <v>40981</v>
      </c>
      <c r="C78" s="126">
        <v>107.1</v>
      </c>
      <c r="D78" s="126">
        <v>106.6</v>
      </c>
      <c r="E78" s="126">
        <v>106.9</v>
      </c>
      <c r="G78">
        <v>0.82086000000000003</v>
      </c>
      <c r="H78" s="123">
        <f t="shared" si="4"/>
        <v>398.45838993877095</v>
      </c>
      <c r="I78" s="123">
        <f t="shared" si="5"/>
        <v>396.59817336576083</v>
      </c>
      <c r="J78" s="123">
        <f t="shared" si="6"/>
        <v>397.71430330956696</v>
      </c>
      <c r="K78" s="123"/>
      <c r="L78" s="227">
        <f t="shared" si="7"/>
        <v>397.59028887136628</v>
      </c>
      <c r="M78" s="227"/>
      <c r="N78" s="275"/>
    </row>
    <row r="79" spans="1:14" ht="21.75" customHeight="1">
      <c r="A79" t="s">
        <v>91</v>
      </c>
      <c r="B79" s="245">
        <v>40981</v>
      </c>
      <c r="C79" s="126">
        <v>130.30000000000001</v>
      </c>
      <c r="D79" s="126">
        <v>130.4</v>
      </c>
      <c r="E79" s="126">
        <v>130.6</v>
      </c>
      <c r="G79">
        <v>0.82086000000000003</v>
      </c>
      <c r="H79" s="123">
        <f t="shared" si="4"/>
        <v>484.77243892644134</v>
      </c>
      <c r="I79" s="123">
        <f t="shared" si="5"/>
        <v>485.14448224104336</v>
      </c>
      <c r="J79" s="123">
        <f t="shared" si="6"/>
        <v>485.8885688702473</v>
      </c>
      <c r="K79" s="123"/>
      <c r="L79" s="227">
        <f t="shared" si="7"/>
        <v>485.26849667924398</v>
      </c>
      <c r="M79" s="227"/>
      <c r="N79" s="275"/>
    </row>
    <row r="80" spans="1:14" ht="21.75" customHeight="1">
      <c r="A80" t="s">
        <v>92</v>
      </c>
      <c r="B80" s="245">
        <v>40981</v>
      </c>
      <c r="C80" s="126">
        <v>108</v>
      </c>
      <c r="D80" s="126">
        <v>108.3</v>
      </c>
      <c r="E80" s="126">
        <v>108.2</v>
      </c>
      <c r="G80">
        <v>0.82086000000000003</v>
      </c>
      <c r="H80" s="123">
        <f t="shared" si="4"/>
        <v>401.80677977018922</v>
      </c>
      <c r="I80" s="123">
        <f t="shared" si="5"/>
        <v>402.9229097139953</v>
      </c>
      <c r="J80" s="123">
        <f t="shared" si="6"/>
        <v>402.55086639939327</v>
      </c>
      <c r="K80" s="123"/>
      <c r="L80" s="227">
        <f t="shared" si="7"/>
        <v>402.4268519611926</v>
      </c>
      <c r="M80" s="227"/>
      <c r="N80" s="275"/>
    </row>
    <row r="81" spans="1:14" ht="21.75" customHeight="1">
      <c r="A81" t="s">
        <v>93</v>
      </c>
      <c r="B81" s="245">
        <v>40982</v>
      </c>
      <c r="C81" s="126">
        <v>38.200000000000003</v>
      </c>
      <c r="D81" s="126">
        <v>38</v>
      </c>
      <c r="E81" s="126">
        <v>37.799999999999997</v>
      </c>
      <c r="G81">
        <v>0.82086000000000003</v>
      </c>
      <c r="H81" s="123">
        <f t="shared" si="4"/>
        <v>142.12054617797438</v>
      </c>
      <c r="I81" s="123">
        <f t="shared" si="5"/>
        <v>141.37645954877027</v>
      </c>
      <c r="J81" s="123">
        <f t="shared" si="6"/>
        <v>140.63237291956622</v>
      </c>
      <c r="K81" s="123"/>
      <c r="L81" s="227">
        <f t="shared" si="7"/>
        <v>141.3764595487703</v>
      </c>
      <c r="M81" s="227"/>
      <c r="N81" s="275"/>
    </row>
    <row r="82" spans="1:14" ht="21.75" customHeight="1">
      <c r="A82" t="s">
        <v>96</v>
      </c>
      <c r="B82" s="245">
        <v>40982</v>
      </c>
      <c r="C82" s="126">
        <v>37.4</v>
      </c>
      <c r="D82" s="126">
        <v>37.299999999999997</v>
      </c>
      <c r="E82" s="126">
        <v>37.5</v>
      </c>
      <c r="G82">
        <v>0.82086000000000003</v>
      </c>
      <c r="H82" s="123">
        <f t="shared" si="4"/>
        <v>139.1441996611581</v>
      </c>
      <c r="I82" s="123">
        <f t="shared" si="5"/>
        <v>138.77215634655607</v>
      </c>
      <c r="J82" s="123">
        <f t="shared" si="6"/>
        <v>139.51624297576015</v>
      </c>
      <c r="K82" s="123"/>
      <c r="L82" s="227">
        <f t="shared" si="7"/>
        <v>139.14419966115813</v>
      </c>
      <c r="M82" s="227"/>
      <c r="N82" s="275"/>
    </row>
    <row r="83" spans="1:14" ht="21.75" customHeight="1">
      <c r="A83" t="s">
        <v>97</v>
      </c>
      <c r="B83" s="245">
        <v>40982</v>
      </c>
      <c r="C83" s="126">
        <v>31.6</v>
      </c>
      <c r="D83" s="126">
        <v>31.3</v>
      </c>
      <c r="E83" s="126">
        <v>31.2</v>
      </c>
      <c r="G83">
        <v>0.82086000000000003</v>
      </c>
      <c r="H83" s="123">
        <f t="shared" si="4"/>
        <v>117.56568741424054</v>
      </c>
      <c r="I83" s="123">
        <f t="shared" si="5"/>
        <v>116.44955747043448</v>
      </c>
      <c r="J83" s="123">
        <f t="shared" si="6"/>
        <v>116.07751415583243</v>
      </c>
      <c r="K83" s="123"/>
      <c r="L83" s="227">
        <f t="shared" si="7"/>
        <v>116.69758634683582</v>
      </c>
      <c r="M83" s="227"/>
      <c r="N83" s="275"/>
    </row>
    <row r="84" spans="1:14" ht="21.75" customHeight="1">
      <c r="A84" t="s">
        <v>98</v>
      </c>
      <c r="B84" s="245">
        <v>40982</v>
      </c>
      <c r="C84" s="126">
        <v>36.6</v>
      </c>
      <c r="D84" s="126">
        <v>36</v>
      </c>
      <c r="E84" s="126">
        <v>36.4</v>
      </c>
      <c r="G84">
        <v>0.82086000000000003</v>
      </c>
      <c r="H84" s="123">
        <f t="shared" si="4"/>
        <v>136.1678531443419</v>
      </c>
      <c r="I84" s="123">
        <f t="shared" si="5"/>
        <v>133.93559325672976</v>
      </c>
      <c r="J84" s="123">
        <f t="shared" si="6"/>
        <v>135.42376651513786</v>
      </c>
      <c r="K84" s="123"/>
      <c r="L84" s="227">
        <f t="shared" si="7"/>
        <v>135.17573763873651</v>
      </c>
      <c r="M84" s="227"/>
      <c r="N84" s="275"/>
    </row>
    <row r="85" spans="1:14" ht="21.75" customHeight="1">
      <c r="A85" t="s">
        <v>109</v>
      </c>
      <c r="B85" s="245">
        <v>40983</v>
      </c>
      <c r="C85" s="126">
        <v>224.9</v>
      </c>
      <c r="D85" s="126">
        <v>224.7</v>
      </c>
      <c r="E85" s="126">
        <v>225.1</v>
      </c>
      <c r="G85">
        <v>0.82086000000000003</v>
      </c>
      <c r="H85" s="123">
        <f t="shared" si="4"/>
        <v>836.72541453995893</v>
      </c>
      <c r="I85" s="123">
        <f t="shared" si="5"/>
        <v>835.98132791075477</v>
      </c>
      <c r="J85" s="123">
        <f t="shared" si="6"/>
        <v>837.46950116916298</v>
      </c>
      <c r="K85" s="123"/>
      <c r="L85" s="227">
        <f t="shared" si="7"/>
        <v>836.72541453995882</v>
      </c>
      <c r="M85" s="227"/>
      <c r="N85" s="275"/>
    </row>
    <row r="86" spans="1:14" ht="21.75" customHeight="1">
      <c r="A86" t="s">
        <v>111</v>
      </c>
      <c r="B86" s="245">
        <v>40983</v>
      </c>
      <c r="C86" s="126">
        <v>225</v>
      </c>
      <c r="D86" s="126">
        <v>225.4</v>
      </c>
      <c r="E86" s="126">
        <v>224.9</v>
      </c>
      <c r="G86">
        <v>0.82086000000000003</v>
      </c>
      <c r="H86" s="123">
        <f t="shared" si="4"/>
        <v>837.09745785456096</v>
      </c>
      <c r="I86" s="123">
        <f t="shared" si="5"/>
        <v>838.58563111296905</v>
      </c>
      <c r="J86" s="123">
        <f t="shared" si="6"/>
        <v>836.72541453995893</v>
      </c>
      <c r="K86" s="123"/>
      <c r="L86" s="227">
        <f t="shared" si="7"/>
        <v>837.46950116916298</v>
      </c>
      <c r="M86" s="227"/>
      <c r="N86" s="275"/>
    </row>
    <row r="87" spans="1:14" ht="21.75" customHeight="1">
      <c r="A87" t="s">
        <v>112</v>
      </c>
      <c r="B87" s="245">
        <v>40983</v>
      </c>
      <c r="C87" s="126">
        <v>207</v>
      </c>
      <c r="D87" s="126">
        <v>208.2</v>
      </c>
      <c r="E87" s="126">
        <v>208.2</v>
      </c>
      <c r="G87">
        <v>0.82086000000000003</v>
      </c>
      <c r="H87" s="123">
        <f t="shared" si="4"/>
        <v>770.12966122619605</v>
      </c>
      <c r="I87" s="123">
        <f t="shared" si="5"/>
        <v>774.59418100142034</v>
      </c>
      <c r="J87" s="123">
        <f t="shared" si="6"/>
        <v>774.59418100142034</v>
      </c>
      <c r="K87" s="123"/>
      <c r="L87" s="227">
        <f t="shared" si="7"/>
        <v>773.10600774301236</v>
      </c>
      <c r="M87" s="227"/>
      <c r="N87" s="275"/>
    </row>
    <row r="88" spans="1:14" ht="21.75" customHeight="1">
      <c r="A88" t="s">
        <v>113</v>
      </c>
      <c r="B88" s="245">
        <v>40983</v>
      </c>
      <c r="C88" s="126">
        <v>202.1</v>
      </c>
      <c r="D88" s="126">
        <v>202.7</v>
      </c>
      <c r="E88" s="126">
        <v>202</v>
      </c>
      <c r="G88">
        <v>0.82086000000000003</v>
      </c>
      <c r="H88" s="123">
        <f t="shared" si="4"/>
        <v>751.89953881069664</v>
      </c>
      <c r="I88" s="123">
        <f t="shared" si="5"/>
        <v>754.1317986983089</v>
      </c>
      <c r="J88" s="123">
        <f t="shared" si="6"/>
        <v>751.52749549609462</v>
      </c>
      <c r="K88" s="123"/>
      <c r="L88" s="227">
        <f t="shared" si="7"/>
        <v>752.51961100170001</v>
      </c>
      <c r="M88" s="227"/>
      <c r="N88" s="275"/>
    </row>
    <row r="89" spans="1:14" ht="21.75" customHeight="1">
      <c r="A89" t="s">
        <v>114</v>
      </c>
      <c r="B89" s="245">
        <v>40984</v>
      </c>
      <c r="C89" s="126">
        <v>197.2</v>
      </c>
      <c r="D89" s="126">
        <v>196.2</v>
      </c>
      <c r="E89" s="126">
        <v>196.6</v>
      </c>
      <c r="G89">
        <v>0.82086000000000003</v>
      </c>
      <c r="H89" s="123">
        <f t="shared" si="4"/>
        <v>733.66941639519735</v>
      </c>
      <c r="I89" s="123">
        <f t="shared" si="5"/>
        <v>729.9489832491771</v>
      </c>
      <c r="J89" s="123">
        <f t="shared" si="6"/>
        <v>731.4371565075852</v>
      </c>
      <c r="K89" s="123"/>
      <c r="L89" s="227">
        <f t="shared" si="7"/>
        <v>731.68518538398655</v>
      </c>
      <c r="M89" s="227"/>
      <c r="N89" s="275"/>
    </row>
    <row r="90" spans="1:14" ht="21.75" customHeight="1">
      <c r="A90" t="s">
        <v>115</v>
      </c>
      <c r="B90" s="245">
        <v>40984</v>
      </c>
      <c r="C90" s="126">
        <v>197.4</v>
      </c>
      <c r="D90" s="126">
        <v>197.3</v>
      </c>
      <c r="E90" s="126">
        <v>197.7</v>
      </c>
      <c r="G90">
        <v>0.82086000000000003</v>
      </c>
      <c r="H90" s="123">
        <f t="shared" si="4"/>
        <v>734.41350302440139</v>
      </c>
      <c r="I90" s="123">
        <f t="shared" si="5"/>
        <v>734.04145970979948</v>
      </c>
      <c r="J90" s="123">
        <f t="shared" si="6"/>
        <v>735.52963296820747</v>
      </c>
      <c r="K90" s="123"/>
      <c r="L90" s="227">
        <f t="shared" si="7"/>
        <v>734.66153190080274</v>
      </c>
      <c r="M90" s="227"/>
      <c r="N90" s="275"/>
    </row>
    <row r="91" spans="1:14" ht="21.75" customHeight="1">
      <c r="A91" t="s">
        <v>116</v>
      </c>
      <c r="B91" s="245">
        <v>40984</v>
      </c>
      <c r="C91" s="126">
        <v>198.9</v>
      </c>
      <c r="D91" s="126">
        <v>199.4</v>
      </c>
      <c r="E91" s="126">
        <v>1199.4000000000001</v>
      </c>
      <c r="G91">
        <v>0.82086000000000003</v>
      </c>
      <c r="H91" s="123">
        <f t="shared" si="4"/>
        <v>739.99415274343187</v>
      </c>
      <c r="I91" s="123">
        <f t="shared" si="5"/>
        <v>741.85436931644199</v>
      </c>
      <c r="J91" s="123">
        <f t="shared" si="6"/>
        <v>4462.2875153367131</v>
      </c>
      <c r="K91" s="123"/>
      <c r="L91" s="227">
        <f t="shared" si="7"/>
        <v>1981.3786791321957</v>
      </c>
      <c r="M91" s="227"/>
      <c r="N91" s="275"/>
    </row>
    <row r="92" spans="1:14" ht="21.75" customHeight="1">
      <c r="A92" t="s">
        <v>117</v>
      </c>
      <c r="B92" s="245">
        <v>40984</v>
      </c>
      <c r="C92" s="126">
        <v>201.9</v>
      </c>
      <c r="D92" s="126">
        <v>202.2</v>
      </c>
      <c r="E92" s="126">
        <v>201.7</v>
      </c>
      <c r="G92">
        <v>0.82086000000000003</v>
      </c>
      <c r="H92" s="123">
        <f t="shared" si="4"/>
        <v>751.15545218149271</v>
      </c>
      <c r="I92" s="123">
        <f t="shared" si="5"/>
        <v>752.27158212529866</v>
      </c>
      <c r="J92" s="123">
        <f t="shared" si="6"/>
        <v>750.41136555228854</v>
      </c>
      <c r="K92" s="123"/>
      <c r="L92" s="227">
        <f t="shared" si="7"/>
        <v>751.27946661969327</v>
      </c>
      <c r="M92" s="227"/>
      <c r="N92" s="275"/>
    </row>
    <row r="93" spans="1:14" ht="21.75" customHeight="1">
      <c r="A93" t="s">
        <v>118</v>
      </c>
      <c r="B93" s="245">
        <v>40984</v>
      </c>
      <c r="C93" s="126">
        <v>193.9</v>
      </c>
      <c r="D93" s="126">
        <v>194.4</v>
      </c>
      <c r="E93" s="126">
        <v>194.9</v>
      </c>
      <c r="G93">
        <v>0.82086000000000003</v>
      </c>
      <c r="H93" s="123">
        <f t="shared" si="4"/>
        <v>721.39198701333055</v>
      </c>
      <c r="I93" s="123">
        <f t="shared" si="5"/>
        <v>723.25220358634067</v>
      </c>
      <c r="J93" s="123">
        <f t="shared" si="6"/>
        <v>725.11242015935079</v>
      </c>
      <c r="K93" s="123"/>
      <c r="L93" s="227">
        <f t="shared" si="7"/>
        <v>723.25220358634067</v>
      </c>
      <c r="M93" s="227"/>
      <c r="N93" s="275"/>
    </row>
    <row r="94" spans="1:14" ht="21.75" customHeight="1">
      <c r="A94" t="s">
        <v>120</v>
      </c>
      <c r="B94" s="245">
        <v>40984</v>
      </c>
      <c r="C94" s="126">
        <v>198.7</v>
      </c>
      <c r="D94" s="126">
        <v>199.2</v>
      </c>
      <c r="E94" s="126">
        <v>199.2</v>
      </c>
      <c r="G94">
        <v>0.82086000000000003</v>
      </c>
      <c r="H94" s="123">
        <f t="shared" si="4"/>
        <v>739.25006611422771</v>
      </c>
      <c r="I94" s="123">
        <f t="shared" si="5"/>
        <v>741.11028268723783</v>
      </c>
      <c r="J94" s="123">
        <f t="shared" si="6"/>
        <v>741.11028268723783</v>
      </c>
      <c r="K94" s="123"/>
      <c r="L94" s="227">
        <f t="shared" si="7"/>
        <v>740.49021049623445</v>
      </c>
      <c r="M94" s="227"/>
      <c r="N94" s="275"/>
    </row>
    <row r="95" spans="1:14" ht="21.75" customHeight="1">
      <c r="A95" t="s">
        <v>121</v>
      </c>
      <c r="B95" s="245">
        <v>40984</v>
      </c>
      <c r="C95" s="126">
        <v>198</v>
      </c>
      <c r="D95" s="126">
        <v>199</v>
      </c>
      <c r="E95" s="126">
        <v>198.6</v>
      </c>
      <c r="G95">
        <v>0.82086000000000003</v>
      </c>
      <c r="H95" s="123">
        <f t="shared" si="4"/>
        <v>736.64576291201365</v>
      </c>
      <c r="I95" s="123">
        <f t="shared" si="5"/>
        <v>740.36619605803389</v>
      </c>
      <c r="J95" s="123">
        <f t="shared" si="6"/>
        <v>738.8780227996258</v>
      </c>
      <c r="K95" s="123"/>
      <c r="L95" s="227">
        <f t="shared" si="7"/>
        <v>738.62999392322445</v>
      </c>
      <c r="M95" s="227"/>
      <c r="N95" s="275"/>
    </row>
    <row r="96" spans="1:14" ht="21.75" customHeight="1">
      <c r="A96" t="s">
        <v>122</v>
      </c>
      <c r="B96" s="245">
        <v>40984</v>
      </c>
      <c r="C96" s="126">
        <v>179.9</v>
      </c>
      <c r="D96" s="126">
        <v>180.9</v>
      </c>
      <c r="E96" s="126">
        <v>180.3</v>
      </c>
      <c r="G96">
        <v>0.82086000000000003</v>
      </c>
      <c r="H96" s="123">
        <f t="shared" si="4"/>
        <v>669.30592296904672</v>
      </c>
      <c r="I96" s="123">
        <f t="shared" si="5"/>
        <v>673.02635611506696</v>
      </c>
      <c r="J96" s="123">
        <f t="shared" si="6"/>
        <v>670.79409622745482</v>
      </c>
      <c r="K96" s="123"/>
      <c r="L96" s="227">
        <f t="shared" si="7"/>
        <v>671.04212510385616</v>
      </c>
      <c r="M96" s="227"/>
      <c r="N96" s="275"/>
    </row>
    <row r="97" spans="1:23" ht="21.75" customHeight="1">
      <c r="A97" t="s">
        <v>123</v>
      </c>
      <c r="B97" s="245">
        <v>40984</v>
      </c>
      <c r="C97" s="126">
        <v>198.6</v>
      </c>
      <c r="D97" s="126">
        <v>200</v>
      </c>
      <c r="E97" s="126">
        <v>200</v>
      </c>
      <c r="G97">
        <v>0.82086000000000003</v>
      </c>
      <c r="H97" s="123">
        <f t="shared" si="4"/>
        <v>738.8780227996258</v>
      </c>
      <c r="I97" s="123">
        <f t="shared" si="5"/>
        <v>744.08662920405413</v>
      </c>
      <c r="J97" s="123">
        <f t="shared" si="6"/>
        <v>744.08662920405413</v>
      </c>
      <c r="K97" s="123"/>
      <c r="L97" s="227">
        <f t="shared" si="7"/>
        <v>742.35042706924469</v>
      </c>
      <c r="M97" s="227"/>
      <c r="N97" s="275"/>
    </row>
    <row r="98" spans="1:23" ht="21.75" customHeight="1">
      <c r="A98" t="s">
        <v>124</v>
      </c>
      <c r="B98" s="245">
        <v>40984</v>
      </c>
      <c r="C98" s="126">
        <v>204.7</v>
      </c>
      <c r="D98" s="126">
        <v>204.9</v>
      </c>
      <c r="E98" s="126">
        <v>204.5</v>
      </c>
      <c r="G98">
        <v>0.82086000000000003</v>
      </c>
      <c r="H98" s="123">
        <f t="shared" si="4"/>
        <v>761.57266499034938</v>
      </c>
      <c r="I98" s="123">
        <f t="shared" si="5"/>
        <v>762.31675161955343</v>
      </c>
      <c r="J98" s="123">
        <f t="shared" si="6"/>
        <v>760.82857836114533</v>
      </c>
      <c r="K98" s="123"/>
      <c r="L98" s="227">
        <f t="shared" si="7"/>
        <v>761.57266499034938</v>
      </c>
      <c r="M98" s="227"/>
      <c r="N98" s="275"/>
    </row>
    <row r="99" spans="1:23" ht="21.75" customHeight="1">
      <c r="A99" t="s">
        <v>125</v>
      </c>
      <c r="B99" s="245">
        <v>40984</v>
      </c>
      <c r="C99" s="126">
        <v>195.5</v>
      </c>
      <c r="D99" s="126">
        <v>196.3</v>
      </c>
      <c r="E99" s="126">
        <v>196.4</v>
      </c>
      <c r="G99">
        <v>0.82086000000000003</v>
      </c>
      <c r="H99" s="123">
        <f t="shared" si="4"/>
        <v>727.34468004696294</v>
      </c>
      <c r="I99" s="123">
        <f t="shared" si="5"/>
        <v>730.32102656377924</v>
      </c>
      <c r="J99" s="123">
        <f t="shared" si="6"/>
        <v>730.69306987838127</v>
      </c>
      <c r="K99" s="123"/>
      <c r="L99" s="227">
        <f t="shared" si="7"/>
        <v>729.45292549637452</v>
      </c>
      <c r="M99" s="227"/>
      <c r="N99" s="275"/>
    </row>
    <row r="100" spans="1:23" ht="21.75" customHeight="1">
      <c r="A100" t="s">
        <v>126</v>
      </c>
      <c r="B100" s="245">
        <v>40984</v>
      </c>
      <c r="C100" s="126">
        <v>181</v>
      </c>
      <c r="D100" s="126">
        <v>181.4</v>
      </c>
      <c r="E100" s="126">
        <v>181.2</v>
      </c>
      <c r="G100">
        <v>0.82086000000000003</v>
      </c>
      <c r="H100" s="123">
        <f t="shared" si="4"/>
        <v>673.39839942966898</v>
      </c>
      <c r="I100" s="123">
        <f t="shared" si="5"/>
        <v>674.88657268807719</v>
      </c>
      <c r="J100" s="123">
        <f t="shared" si="6"/>
        <v>674.14248605887303</v>
      </c>
      <c r="K100" s="123"/>
      <c r="L100" s="227">
        <f t="shared" si="7"/>
        <v>674.14248605887315</v>
      </c>
      <c r="M100" s="227"/>
      <c r="N100" s="275"/>
    </row>
    <row r="101" spans="1:23" ht="21.75" customHeight="1">
      <c r="A101" t="s">
        <v>127</v>
      </c>
      <c r="B101" s="245">
        <v>40984</v>
      </c>
      <c r="C101" s="126">
        <v>368.4</v>
      </c>
      <c r="D101" s="126">
        <v>367</v>
      </c>
      <c r="E101" s="126">
        <v>367.3</v>
      </c>
      <c r="G101">
        <v>0.82086000000000003</v>
      </c>
      <c r="H101" s="123">
        <f t="shared" si="4"/>
        <v>1370.6075709938677</v>
      </c>
      <c r="I101" s="123">
        <f t="shared" si="5"/>
        <v>1365.3989645894394</v>
      </c>
      <c r="J101" s="123">
        <f t="shared" si="6"/>
        <v>1366.5150945332455</v>
      </c>
      <c r="K101" s="123"/>
      <c r="L101" s="227">
        <f t="shared" si="7"/>
        <v>1367.5072100388509</v>
      </c>
      <c r="M101" s="227"/>
      <c r="N101" s="275"/>
    </row>
    <row r="102" spans="1:23" ht="21.75" customHeight="1">
      <c r="A102" t="s">
        <v>128</v>
      </c>
      <c r="B102" s="245">
        <v>40984</v>
      </c>
      <c r="C102" s="126">
        <v>343</v>
      </c>
      <c r="D102" s="126">
        <v>351.9</v>
      </c>
      <c r="E102" s="126">
        <v>338.1</v>
      </c>
      <c r="G102">
        <v>0.82086000000000003</v>
      </c>
      <c r="H102" s="123">
        <f t="shared" si="4"/>
        <v>1276.1085690849529</v>
      </c>
      <c r="I102" s="123">
        <f t="shared" si="5"/>
        <v>1309.2204240845331</v>
      </c>
      <c r="J102" s="123">
        <f t="shared" si="6"/>
        <v>1257.8784466694535</v>
      </c>
      <c r="K102" s="123"/>
      <c r="L102" s="227">
        <f t="shared" si="7"/>
        <v>1281.0691466129799</v>
      </c>
      <c r="M102" s="227"/>
      <c r="N102" s="275"/>
    </row>
    <row r="103" spans="1:23" ht="21.75" customHeight="1">
      <c r="A103" t="s">
        <v>129</v>
      </c>
      <c r="B103" s="245">
        <v>40984</v>
      </c>
      <c r="C103" s="126">
        <v>140</v>
      </c>
      <c r="D103" s="126">
        <v>128.5</v>
      </c>
      <c r="E103" s="126">
        <v>129.19999999999999</v>
      </c>
      <c r="G103">
        <v>0.82086000000000003</v>
      </c>
      <c r="H103" s="123">
        <f t="shared" si="4"/>
        <v>520.86064044283785</v>
      </c>
      <c r="I103" s="123">
        <f t="shared" si="5"/>
        <v>478.07565926360479</v>
      </c>
      <c r="J103" s="123">
        <f t="shared" si="6"/>
        <v>480.6799624658189</v>
      </c>
      <c r="K103" s="123"/>
      <c r="L103" s="227">
        <f t="shared" si="7"/>
        <v>493.20542072408716</v>
      </c>
      <c r="M103" s="227"/>
      <c r="N103" s="275"/>
    </row>
    <row r="104" spans="1:23" ht="21.75" customHeight="1">
      <c r="A104" t="s">
        <v>130</v>
      </c>
      <c r="B104" s="245">
        <v>40984</v>
      </c>
      <c r="C104" s="126">
        <v>151</v>
      </c>
      <c r="D104" s="126">
        <v>151.9</v>
      </c>
      <c r="E104" s="126">
        <v>148</v>
      </c>
      <c r="G104">
        <v>0.82086000000000003</v>
      </c>
      <c r="H104" s="123">
        <f t="shared" si="4"/>
        <v>561.78540504906084</v>
      </c>
      <c r="I104" s="123">
        <f t="shared" si="5"/>
        <v>565.13379488047906</v>
      </c>
      <c r="J104" s="123">
        <f t="shared" si="6"/>
        <v>550.62410561100012</v>
      </c>
      <c r="K104" s="123"/>
      <c r="L104" s="227">
        <f t="shared" si="7"/>
        <v>559.18110184684667</v>
      </c>
      <c r="M104" s="227"/>
      <c r="N104" s="275"/>
    </row>
    <row r="105" spans="1:23" ht="21.75" customHeight="1">
      <c r="A105" s="321" t="s">
        <v>51</v>
      </c>
      <c r="B105" s="196">
        <v>40984</v>
      </c>
      <c r="C105" s="342">
        <v>100.4</v>
      </c>
      <c r="D105" s="342">
        <v>100.9</v>
      </c>
      <c r="E105" s="342">
        <v>100</v>
      </c>
      <c r="F105" s="321"/>
      <c r="G105" s="321">
        <v>0.82086000000000003</v>
      </c>
      <c r="H105" s="123">
        <f t="shared" si="4"/>
        <v>373.53148786043522</v>
      </c>
      <c r="I105" s="123">
        <f t="shared" si="5"/>
        <v>375.39170443344534</v>
      </c>
      <c r="J105" s="123">
        <f t="shared" si="6"/>
        <v>372.04331460202707</v>
      </c>
      <c r="K105" s="123"/>
      <c r="L105" s="176">
        <f t="shared" si="7"/>
        <v>373.65550229863584</v>
      </c>
      <c r="M105" s="176"/>
      <c r="N105" s="276"/>
      <c r="O105" s="321"/>
      <c r="P105" s="321"/>
      <c r="Q105" s="321"/>
      <c r="R105" s="321"/>
      <c r="S105" s="321"/>
      <c r="T105" s="321"/>
      <c r="U105" s="321"/>
      <c r="V105" s="321"/>
      <c r="W105" s="321"/>
    </row>
    <row r="106" spans="1:23" ht="21.75" customHeight="1">
      <c r="A106" s="321" t="s">
        <v>59</v>
      </c>
      <c r="B106" s="196">
        <v>40984</v>
      </c>
      <c r="C106" s="342">
        <v>86.8</v>
      </c>
      <c r="D106" s="342">
        <v>87.1</v>
      </c>
      <c r="E106" s="342">
        <v>87</v>
      </c>
      <c r="F106" s="321"/>
      <c r="G106" s="321">
        <v>0.82086000000000003</v>
      </c>
      <c r="H106" s="123">
        <f t="shared" si="4"/>
        <v>322.93359707455949</v>
      </c>
      <c r="I106" s="123">
        <f t="shared" si="5"/>
        <v>324.04972701836556</v>
      </c>
      <c r="J106" s="123">
        <f t="shared" si="6"/>
        <v>323.67768370376359</v>
      </c>
      <c r="K106" s="123"/>
      <c r="L106" s="176">
        <f t="shared" si="7"/>
        <v>323.55366926556286</v>
      </c>
      <c r="M106" s="176"/>
      <c r="N106" s="276"/>
      <c r="O106" s="321"/>
      <c r="P106" s="321"/>
      <c r="Q106" s="321"/>
      <c r="R106" s="321"/>
      <c r="S106" s="321"/>
      <c r="T106" s="321"/>
      <c r="U106" s="321"/>
      <c r="V106" s="321"/>
      <c r="W106" s="321"/>
    </row>
    <row r="107" spans="1:23" ht="21.75" customHeight="1">
      <c r="A107" s="321" t="s">
        <v>63</v>
      </c>
      <c r="B107" s="196">
        <v>40984</v>
      </c>
      <c r="C107" s="342">
        <v>92.4</v>
      </c>
      <c r="D107" s="342">
        <v>92.4</v>
      </c>
      <c r="E107" s="342">
        <v>92.4</v>
      </c>
      <c r="F107" s="321"/>
      <c r="G107" s="321">
        <v>0.82086000000000003</v>
      </c>
      <c r="H107" s="123">
        <f t="shared" si="4"/>
        <v>343.76802269227306</v>
      </c>
      <c r="I107" s="123">
        <f t="shared" si="5"/>
        <v>343.76802269227306</v>
      </c>
      <c r="J107" s="123">
        <f t="shared" si="6"/>
        <v>343.76802269227306</v>
      </c>
      <c r="K107" s="123"/>
      <c r="L107" s="176">
        <f t="shared" si="7"/>
        <v>343.76802269227306</v>
      </c>
      <c r="M107" s="176"/>
      <c r="N107" s="276"/>
      <c r="O107" s="321"/>
      <c r="P107" s="321"/>
      <c r="Q107" s="321"/>
      <c r="R107" s="321"/>
      <c r="S107" s="321"/>
      <c r="T107" s="321"/>
      <c r="U107" s="321"/>
      <c r="V107" s="321"/>
      <c r="W107" s="321"/>
    </row>
    <row r="108" spans="1:23" ht="21.75" customHeight="1">
      <c r="A108" s="321" t="s">
        <v>1838</v>
      </c>
      <c r="B108" s="196">
        <v>40984</v>
      </c>
      <c r="C108" s="342">
        <v>1.988</v>
      </c>
      <c r="D108" s="342">
        <v>1.99</v>
      </c>
      <c r="E108" s="342">
        <v>1.99</v>
      </c>
      <c r="F108" s="321"/>
      <c r="G108" s="321">
        <v>0.82086000000000003</v>
      </c>
      <c r="H108" s="123">
        <f t="shared" si="4"/>
        <v>7.3962210942882978</v>
      </c>
      <c r="I108" s="123">
        <f t="shared" si="5"/>
        <v>7.4036619605803393</v>
      </c>
      <c r="J108" s="123">
        <f t="shared" si="6"/>
        <v>7.4036619605803393</v>
      </c>
      <c r="K108" s="123"/>
      <c r="L108" s="176">
        <f t="shared" si="7"/>
        <v>7.4011816718163255</v>
      </c>
      <c r="M108" s="176"/>
      <c r="N108" s="276"/>
      <c r="O108" s="321"/>
      <c r="P108" s="321"/>
      <c r="Q108" s="321"/>
      <c r="R108" s="321"/>
      <c r="S108" s="321"/>
      <c r="T108" s="321"/>
      <c r="U108" s="321"/>
      <c r="V108" s="321"/>
      <c r="W108" s="321"/>
    </row>
    <row r="109" spans="1:23" ht="21.75" customHeight="1">
      <c r="A109" t="s">
        <v>132</v>
      </c>
      <c r="B109" s="196">
        <v>40988</v>
      </c>
      <c r="C109" s="126">
        <v>78.5</v>
      </c>
      <c r="D109" s="126">
        <v>78.5</v>
      </c>
      <c r="E109" s="126">
        <v>78.5</v>
      </c>
      <c r="G109" s="321">
        <v>0.82086000000000003</v>
      </c>
      <c r="H109" s="123">
        <f t="shared" si="4"/>
        <v>292.05400196259126</v>
      </c>
      <c r="I109" s="123">
        <f t="shared" si="5"/>
        <v>292.05400196259126</v>
      </c>
      <c r="J109" s="123">
        <f t="shared" si="6"/>
        <v>292.05400196259126</v>
      </c>
      <c r="K109" s="123"/>
      <c r="L109" s="176">
        <f t="shared" si="7"/>
        <v>292.05400196259126</v>
      </c>
      <c r="M109" s="227"/>
      <c r="N109" s="275"/>
    </row>
    <row r="110" spans="1:23" ht="21.75" customHeight="1">
      <c r="A110" t="s">
        <v>136</v>
      </c>
      <c r="B110" s="196">
        <v>40988</v>
      </c>
      <c r="C110" s="126">
        <v>79.7</v>
      </c>
      <c r="D110" s="126">
        <v>78.8</v>
      </c>
      <c r="E110" s="126">
        <v>79.099999999999994</v>
      </c>
      <c r="G110" s="321">
        <v>0.82086000000000003</v>
      </c>
      <c r="H110" s="123">
        <f t="shared" si="4"/>
        <v>296.51852173781555</v>
      </c>
      <c r="I110" s="123">
        <f t="shared" si="5"/>
        <v>293.17013190639733</v>
      </c>
      <c r="J110" s="123">
        <f t="shared" si="6"/>
        <v>294.2862618502034</v>
      </c>
      <c r="K110" s="123"/>
      <c r="L110" s="176">
        <f t="shared" si="7"/>
        <v>294.65830516480543</v>
      </c>
      <c r="M110" s="227"/>
      <c r="N110" s="275"/>
    </row>
    <row r="111" spans="1:23" ht="21.75" customHeight="1">
      <c r="A111" t="s">
        <v>139</v>
      </c>
      <c r="B111" s="196">
        <v>40988</v>
      </c>
      <c r="C111" s="126">
        <v>85.8</v>
      </c>
      <c r="D111" s="126">
        <v>85.9</v>
      </c>
      <c r="E111" s="126">
        <v>85.7</v>
      </c>
      <c r="G111" s="321">
        <v>0.82086000000000003</v>
      </c>
      <c r="H111" s="123">
        <f t="shared" si="4"/>
        <v>319.21316392853925</v>
      </c>
      <c r="I111" s="123">
        <f t="shared" si="5"/>
        <v>319.58520724314127</v>
      </c>
      <c r="J111" s="123">
        <f t="shared" si="6"/>
        <v>318.84112061393722</v>
      </c>
      <c r="K111" s="123"/>
      <c r="L111" s="176">
        <f t="shared" si="7"/>
        <v>319.21316392853925</v>
      </c>
      <c r="M111" s="227"/>
      <c r="N111" s="275"/>
    </row>
    <row r="112" spans="1:23" ht="21.75" customHeight="1">
      <c r="A112" t="s">
        <v>142</v>
      </c>
      <c r="B112" s="196">
        <v>40988</v>
      </c>
      <c r="C112" s="126">
        <v>81.900000000000006</v>
      </c>
      <c r="D112" s="126">
        <v>82.1</v>
      </c>
      <c r="E112" s="126">
        <v>82.1</v>
      </c>
      <c r="G112" s="321">
        <v>0.82086000000000003</v>
      </c>
      <c r="H112" s="123">
        <f t="shared" si="4"/>
        <v>304.70347465906019</v>
      </c>
      <c r="I112" s="123">
        <f t="shared" si="5"/>
        <v>305.44756128826424</v>
      </c>
      <c r="J112" s="123">
        <f t="shared" si="6"/>
        <v>305.44756128826424</v>
      </c>
      <c r="K112" s="123"/>
      <c r="L112" s="176">
        <f t="shared" si="7"/>
        <v>305.19953241186289</v>
      </c>
      <c r="M112" s="227"/>
      <c r="N112" s="275"/>
    </row>
    <row r="113" spans="1:22" ht="21.75" customHeight="1">
      <c r="A113" t="s">
        <v>145</v>
      </c>
      <c r="B113" s="196">
        <v>40988</v>
      </c>
      <c r="C113" s="126">
        <v>111.4</v>
      </c>
      <c r="D113" s="126">
        <v>111</v>
      </c>
      <c r="E113" s="126">
        <v>112.1</v>
      </c>
      <c r="G113" s="321">
        <v>0.82086000000000003</v>
      </c>
      <c r="H113" s="123">
        <f t="shared" si="4"/>
        <v>414.45625246665821</v>
      </c>
      <c r="I113" s="123">
        <f t="shared" si="5"/>
        <v>412.96807920825006</v>
      </c>
      <c r="J113" s="123">
        <f t="shared" si="6"/>
        <v>417.06055566887233</v>
      </c>
      <c r="K113" s="123"/>
      <c r="L113" s="176">
        <f t="shared" si="7"/>
        <v>414.82829578126012</v>
      </c>
      <c r="M113" s="227"/>
      <c r="N113" s="275"/>
    </row>
    <row r="114" spans="1:22" ht="21.75" customHeight="1">
      <c r="A114" t="s">
        <v>146</v>
      </c>
      <c r="B114" s="196">
        <v>40988</v>
      </c>
      <c r="C114" s="126">
        <v>72.099999999999994</v>
      </c>
      <c r="D114" s="126">
        <v>73.099999999999994</v>
      </c>
      <c r="E114" s="126">
        <v>72.8</v>
      </c>
      <c r="G114" s="321">
        <v>0.82086000000000003</v>
      </c>
      <c r="H114" s="123">
        <f t="shared" si="4"/>
        <v>268.24322982806149</v>
      </c>
      <c r="I114" s="123">
        <f t="shared" si="5"/>
        <v>271.96366297408179</v>
      </c>
      <c r="J114" s="123">
        <f t="shared" si="6"/>
        <v>270.84753303027571</v>
      </c>
      <c r="K114" s="123"/>
      <c r="L114" s="176">
        <f t="shared" si="7"/>
        <v>270.35147527747301</v>
      </c>
      <c r="M114" s="227"/>
      <c r="N114" s="275"/>
    </row>
    <row r="115" spans="1:22" ht="21.75" customHeight="1">
      <c r="A115" t="s">
        <v>147</v>
      </c>
      <c r="B115" s="196">
        <v>40988</v>
      </c>
      <c r="C115" s="126">
        <v>72.3</v>
      </c>
      <c r="D115" s="126">
        <v>72.599999999999994</v>
      </c>
      <c r="E115" s="126">
        <v>72.3</v>
      </c>
      <c r="G115" s="321">
        <v>0.82086000000000003</v>
      </c>
      <c r="H115" s="123">
        <f t="shared" si="4"/>
        <v>268.98731645726554</v>
      </c>
      <c r="I115" s="123">
        <f t="shared" si="5"/>
        <v>270.10344640107166</v>
      </c>
      <c r="J115" s="123">
        <f t="shared" si="6"/>
        <v>268.98731645726554</v>
      </c>
      <c r="K115" s="123"/>
      <c r="L115" s="176">
        <f t="shared" si="7"/>
        <v>269.35935977186756</v>
      </c>
      <c r="M115" s="227"/>
      <c r="N115" s="275"/>
    </row>
    <row r="116" spans="1:22" ht="21.75" customHeight="1">
      <c r="A116" t="s">
        <v>148</v>
      </c>
      <c r="B116" s="196">
        <v>40988</v>
      </c>
      <c r="C116" s="126">
        <v>69.400000000000006</v>
      </c>
      <c r="D116" s="126">
        <v>70</v>
      </c>
      <c r="E116" s="126">
        <v>69.400000000000006</v>
      </c>
      <c r="G116" s="321">
        <v>0.82086000000000003</v>
      </c>
      <c r="H116" s="123">
        <f t="shared" si="4"/>
        <v>258.19806033380684</v>
      </c>
      <c r="I116" s="123">
        <f t="shared" si="5"/>
        <v>260.43032022141892</v>
      </c>
      <c r="J116" s="123">
        <f t="shared" si="6"/>
        <v>258.19806033380684</v>
      </c>
      <c r="K116" s="123"/>
      <c r="L116" s="176">
        <f t="shared" si="7"/>
        <v>258.94214696301083</v>
      </c>
      <c r="M116" s="227"/>
      <c r="N116" s="275"/>
    </row>
    <row r="117" spans="1:22" ht="21.75" customHeight="1">
      <c r="A117" t="s">
        <v>1839</v>
      </c>
      <c r="B117" s="196">
        <v>40988</v>
      </c>
      <c r="C117" s="126">
        <v>129</v>
      </c>
      <c r="D117" s="126">
        <v>133</v>
      </c>
      <c r="E117" s="126">
        <v>128.19999999999999</v>
      </c>
      <c r="G117" s="321">
        <v>0.82086000000000003</v>
      </c>
      <c r="H117" s="123">
        <f t="shared" si="4"/>
        <v>479.93587583661497</v>
      </c>
      <c r="I117" s="123">
        <f t="shared" si="5"/>
        <v>494.81760842069599</v>
      </c>
      <c r="J117" s="123">
        <f t="shared" si="6"/>
        <v>476.95952931979872</v>
      </c>
      <c r="K117" s="123"/>
      <c r="L117" s="176">
        <f t="shared" si="7"/>
        <v>483.90433785903656</v>
      </c>
      <c r="M117" s="227"/>
      <c r="N117" s="275"/>
    </row>
    <row r="118" spans="1:22" ht="21.75" customHeight="1">
      <c r="A118" t="s">
        <v>1840</v>
      </c>
      <c r="B118" s="196">
        <v>40988</v>
      </c>
      <c r="C118" s="126">
        <v>128.9</v>
      </c>
      <c r="D118" s="126">
        <v>127.8</v>
      </c>
      <c r="E118" s="126">
        <v>128.5</v>
      </c>
      <c r="G118" s="321">
        <v>0.82086000000000003</v>
      </c>
      <c r="H118" s="123">
        <f t="shared" si="4"/>
        <v>479.56383252201289</v>
      </c>
      <c r="I118" s="123">
        <f t="shared" si="5"/>
        <v>475.47135606139062</v>
      </c>
      <c r="J118" s="123">
        <f t="shared" si="6"/>
        <v>478.07565926360479</v>
      </c>
      <c r="K118" s="123"/>
      <c r="L118" s="176">
        <f t="shared" si="7"/>
        <v>477.70361594900277</v>
      </c>
      <c r="M118" s="227"/>
      <c r="N118" s="275"/>
    </row>
    <row r="119" spans="1:22" ht="21.75" customHeight="1">
      <c r="A119" t="s">
        <v>150</v>
      </c>
      <c r="B119" s="196">
        <v>40989</v>
      </c>
      <c r="C119" s="126">
        <v>112.7</v>
      </c>
      <c r="D119" s="126">
        <v>115.5</v>
      </c>
      <c r="E119" s="126">
        <v>112.9</v>
      </c>
      <c r="G119" s="321">
        <v>0.82086000000000003</v>
      </c>
      <c r="H119" s="123">
        <f t="shared" si="4"/>
        <v>419.29281555648453</v>
      </c>
      <c r="I119" s="123">
        <f t="shared" si="5"/>
        <v>429.71002836534126</v>
      </c>
      <c r="J119" s="123">
        <f t="shared" si="6"/>
        <v>420.03690218568858</v>
      </c>
      <c r="K119" s="123"/>
      <c r="L119" s="176">
        <f t="shared" si="7"/>
        <v>423.01324870250482</v>
      </c>
      <c r="M119" s="227"/>
      <c r="N119" s="275"/>
    </row>
    <row r="120" spans="1:22" ht="21.75" customHeight="1">
      <c r="A120" t="s">
        <v>151</v>
      </c>
      <c r="B120" s="196">
        <v>40989</v>
      </c>
      <c r="C120" s="126">
        <v>84</v>
      </c>
      <c r="D120" s="126">
        <v>83.7</v>
      </c>
      <c r="E120" s="126">
        <v>83.8</v>
      </c>
      <c r="G120" s="321">
        <v>0.82086000000000003</v>
      </c>
      <c r="H120" s="123">
        <f t="shared" si="4"/>
        <v>312.51638426570275</v>
      </c>
      <c r="I120" s="123">
        <f t="shared" si="5"/>
        <v>311.40025432189668</v>
      </c>
      <c r="J120" s="123">
        <f t="shared" si="6"/>
        <v>311.77229763649871</v>
      </c>
      <c r="K120" s="123"/>
      <c r="L120" s="176">
        <f t="shared" si="7"/>
        <v>311.89631207469938</v>
      </c>
      <c r="M120" s="227"/>
      <c r="N120" s="275"/>
    </row>
    <row r="121" spans="1:22" ht="21.75" customHeight="1">
      <c r="A121" t="s">
        <v>152</v>
      </c>
      <c r="B121" s="196">
        <v>40989</v>
      </c>
      <c r="C121" s="126">
        <v>67.3</v>
      </c>
      <c r="D121" s="126">
        <v>67.900000000000006</v>
      </c>
      <c r="E121" s="126">
        <v>67.5</v>
      </c>
      <c r="G121" s="321">
        <v>0.82086000000000003</v>
      </c>
      <c r="H121" s="123">
        <f t="shared" si="4"/>
        <v>250.38515072716422</v>
      </c>
      <c r="I121" s="123">
        <f t="shared" si="5"/>
        <v>252.61741061477639</v>
      </c>
      <c r="J121" s="123">
        <f t="shared" si="6"/>
        <v>251.12923735636829</v>
      </c>
      <c r="K121" s="123"/>
      <c r="L121" s="176">
        <f t="shared" si="7"/>
        <v>251.37726623276964</v>
      </c>
      <c r="M121" s="227"/>
      <c r="N121" s="275"/>
    </row>
    <row r="122" spans="1:22" ht="21.75" customHeight="1">
      <c r="A122" t="s">
        <v>153</v>
      </c>
      <c r="B122" s="196">
        <v>40989</v>
      </c>
      <c r="C122" s="126">
        <v>70.3</v>
      </c>
      <c r="D122" s="126">
        <v>70.599999999999994</v>
      </c>
      <c r="E122" s="126">
        <v>70.099999999999994</v>
      </c>
      <c r="G122" s="321">
        <v>0.82086000000000003</v>
      </c>
      <c r="H122" s="123">
        <f t="shared" si="4"/>
        <v>261.54645016522505</v>
      </c>
      <c r="I122" s="123">
        <f t="shared" si="5"/>
        <v>262.66258010903107</v>
      </c>
      <c r="J122" s="123">
        <f t="shared" si="6"/>
        <v>260.80236353602095</v>
      </c>
      <c r="K122" s="123"/>
      <c r="L122" s="176">
        <f t="shared" si="7"/>
        <v>261.67046460342567</v>
      </c>
      <c r="M122" s="227"/>
      <c r="N122" s="275"/>
    </row>
    <row r="123" spans="1:22" ht="21.75" customHeight="1">
      <c r="A123" t="s">
        <v>154</v>
      </c>
      <c r="B123" s="196">
        <v>40990</v>
      </c>
      <c r="C123" s="126">
        <v>79.099999999999994</v>
      </c>
      <c r="D123" s="126">
        <v>79.400000000000006</v>
      </c>
      <c r="E123" s="126">
        <v>79</v>
      </c>
      <c r="G123" s="321">
        <v>0.82086000000000003</v>
      </c>
      <c r="H123" s="123">
        <f t="shared" si="4"/>
        <v>294.2862618502034</v>
      </c>
      <c r="I123" s="123">
        <f t="shared" si="5"/>
        <v>295.40239179400953</v>
      </c>
      <c r="J123" s="123">
        <f t="shared" si="6"/>
        <v>293.91421853560138</v>
      </c>
      <c r="K123" s="123"/>
      <c r="L123" s="176">
        <f t="shared" si="7"/>
        <v>294.53429072660475</v>
      </c>
      <c r="M123" s="227"/>
      <c r="N123" s="275"/>
    </row>
    <row r="124" spans="1:22" ht="21.75" customHeight="1">
      <c r="A124" t="s">
        <v>157</v>
      </c>
      <c r="B124" s="196">
        <v>40990</v>
      </c>
      <c r="C124" s="126">
        <v>82.2</v>
      </c>
      <c r="D124" s="126">
        <v>81.400000000000006</v>
      </c>
      <c r="E124" s="126">
        <v>81.5</v>
      </c>
      <c r="G124" s="321">
        <v>0.82086000000000003</v>
      </c>
      <c r="H124" s="123">
        <f t="shared" si="4"/>
        <v>305.81960460286626</v>
      </c>
      <c r="I124" s="123">
        <f t="shared" si="5"/>
        <v>302.84325808605007</v>
      </c>
      <c r="J124" s="123">
        <f t="shared" si="6"/>
        <v>303.21530140065209</v>
      </c>
      <c r="K124" s="123"/>
      <c r="L124" s="176">
        <f t="shared" si="7"/>
        <v>303.95938802985614</v>
      </c>
      <c r="M124" s="227"/>
      <c r="N124" s="275"/>
    </row>
    <row r="125" spans="1:22" ht="21.75" customHeight="1">
      <c r="A125" t="s">
        <v>158</v>
      </c>
      <c r="B125" s="196">
        <v>40990</v>
      </c>
      <c r="C125" s="126">
        <v>81.3</v>
      </c>
      <c r="D125" s="126">
        <v>81.099999999999994</v>
      </c>
      <c r="E125" s="126">
        <v>80.8</v>
      </c>
      <c r="G125" s="321">
        <v>0.82086000000000003</v>
      </c>
      <c r="H125" s="123">
        <f t="shared" si="4"/>
        <v>302.47121477144799</v>
      </c>
      <c r="I125" s="123">
        <f t="shared" si="5"/>
        <v>301.72712814224394</v>
      </c>
      <c r="J125" s="123">
        <f t="shared" si="6"/>
        <v>300.61099819843787</v>
      </c>
      <c r="K125" s="123"/>
      <c r="L125" s="176">
        <f t="shared" si="7"/>
        <v>301.60311370404327</v>
      </c>
      <c r="M125" s="227"/>
      <c r="N125" s="275"/>
    </row>
    <row r="126" spans="1:22" ht="21.75" customHeight="1">
      <c r="A126" t="s">
        <v>159</v>
      </c>
      <c r="B126" s="196">
        <v>40990</v>
      </c>
      <c r="C126" s="126">
        <v>80.099999999999994</v>
      </c>
      <c r="D126" s="126">
        <v>79.8</v>
      </c>
      <c r="E126" s="126">
        <v>79.900000000000006</v>
      </c>
      <c r="G126" s="321">
        <v>0.82086000000000003</v>
      </c>
      <c r="H126" s="123">
        <f t="shared" si="4"/>
        <v>298.0066949962237</v>
      </c>
      <c r="I126" s="123">
        <f t="shared" si="5"/>
        <v>296.89056505241763</v>
      </c>
      <c r="J126" s="123">
        <f t="shared" si="6"/>
        <v>297.26260836701965</v>
      </c>
      <c r="K126" s="123"/>
      <c r="L126" s="176">
        <f t="shared" si="7"/>
        <v>297.38662280522033</v>
      </c>
      <c r="M126" s="227"/>
      <c r="N126" s="275"/>
    </row>
    <row r="127" spans="1:22" ht="21.75" customHeight="1">
      <c r="A127" t="s">
        <v>160</v>
      </c>
      <c r="B127" s="196">
        <v>40991</v>
      </c>
      <c r="C127" s="126">
        <v>74</v>
      </c>
      <c r="D127" s="126">
        <v>74</v>
      </c>
      <c r="E127" s="126">
        <v>74</v>
      </c>
      <c r="G127" s="321">
        <v>0.82086000000000003</v>
      </c>
      <c r="H127" s="123">
        <f t="shared" si="4"/>
        <v>275.31205280550006</v>
      </c>
      <c r="I127" s="123">
        <f t="shared" si="5"/>
        <v>275.31205280550006</v>
      </c>
      <c r="J127" s="123">
        <f t="shared" si="6"/>
        <v>275.31205280550006</v>
      </c>
      <c r="K127" s="123"/>
      <c r="L127" s="176">
        <f t="shared" si="7"/>
        <v>275.31205280550006</v>
      </c>
      <c r="M127" s="227"/>
      <c r="N127" s="275"/>
    </row>
    <row r="128" spans="1:22" ht="21.75" customHeight="1">
      <c r="A128" t="s">
        <v>161</v>
      </c>
      <c r="B128" s="196">
        <v>40991</v>
      </c>
      <c r="C128" s="126">
        <v>72.8</v>
      </c>
      <c r="D128" s="126">
        <v>72.900000000000006</v>
      </c>
      <c r="E128" s="126">
        <v>72.900000000000006</v>
      </c>
      <c r="G128" s="321">
        <v>0.82086000000000003</v>
      </c>
      <c r="H128" s="123">
        <f t="shared" si="4"/>
        <v>270.84753303027571</v>
      </c>
      <c r="I128" s="123">
        <f t="shared" si="5"/>
        <v>271.21957634487779</v>
      </c>
      <c r="J128" s="123">
        <f t="shared" si="6"/>
        <v>271.21957634487779</v>
      </c>
      <c r="K128" s="123"/>
      <c r="L128" s="176">
        <f t="shared" si="7"/>
        <v>271.09556190667712</v>
      </c>
      <c r="M128" s="227"/>
      <c r="N128" s="275"/>
    </row>
    <row r="129" spans="1:14" ht="21.75" customHeight="1">
      <c r="A129" t="s">
        <v>162</v>
      </c>
      <c r="B129" s="196">
        <v>40991</v>
      </c>
      <c r="C129" s="126">
        <v>67.8</v>
      </c>
      <c r="D129" s="126">
        <v>68.2</v>
      </c>
      <c r="E129" s="126">
        <v>68</v>
      </c>
      <c r="G129" s="321">
        <v>0.82086000000000003</v>
      </c>
      <c r="H129" s="123">
        <f t="shared" si="4"/>
        <v>252.24536730017437</v>
      </c>
      <c r="I129" s="123">
        <f t="shared" si="5"/>
        <v>253.73354055858249</v>
      </c>
      <c r="J129" s="123">
        <f t="shared" si="6"/>
        <v>252.98945392937841</v>
      </c>
      <c r="K129" s="123"/>
      <c r="L129" s="176">
        <f t="shared" si="7"/>
        <v>252.98945392937844</v>
      </c>
      <c r="M129" s="227"/>
      <c r="N129" s="275"/>
    </row>
    <row r="130" spans="1:14" ht="21.75" customHeight="1">
      <c r="A130" t="s">
        <v>163</v>
      </c>
      <c r="B130" s="196">
        <v>40991</v>
      </c>
      <c r="C130" s="126">
        <v>69.7</v>
      </c>
      <c r="D130" s="126">
        <v>69.5</v>
      </c>
      <c r="E130" s="126">
        <v>69.7</v>
      </c>
      <c r="G130" s="321">
        <v>0.82086000000000003</v>
      </c>
      <c r="H130" s="123">
        <f t="shared" ref="H130:H193" si="8">(C130*(PI()/LN(2)))*$G130</f>
        <v>259.31419027761285</v>
      </c>
      <c r="I130" s="123">
        <f t="shared" ref="I130:I193" si="9">(D130*(PI()/LN(2)))*$G130</f>
        <v>258.5701036484088</v>
      </c>
      <c r="J130" s="123">
        <f t="shared" ref="J130:J193" si="10">(E130*(PI()/LN(2)))*$G130</f>
        <v>259.31419027761285</v>
      </c>
      <c r="K130" s="123"/>
      <c r="L130" s="176">
        <f t="shared" ref="L130:L193" si="11">AVERAGE(H130:J130)</f>
        <v>259.0661614012115</v>
      </c>
      <c r="M130" s="227"/>
      <c r="N130" s="275"/>
    </row>
    <row r="131" spans="1:14" ht="21.75" customHeight="1">
      <c r="A131" t="s">
        <v>154</v>
      </c>
      <c r="B131" s="245">
        <v>40991</v>
      </c>
      <c r="C131" s="126">
        <v>78.5</v>
      </c>
      <c r="D131" s="126">
        <v>78.599999999999994</v>
      </c>
      <c r="E131" s="126">
        <v>78.400000000000006</v>
      </c>
      <c r="G131" s="321">
        <v>0.82086000000000003</v>
      </c>
      <c r="H131" s="123">
        <f t="shared" si="8"/>
        <v>292.05400196259126</v>
      </c>
      <c r="I131" s="123">
        <f t="shared" si="9"/>
        <v>292.42604527719328</v>
      </c>
      <c r="J131" s="123">
        <f t="shared" si="10"/>
        <v>291.68195864798923</v>
      </c>
      <c r="K131" s="123"/>
      <c r="L131" s="176">
        <f t="shared" si="11"/>
        <v>292.05400196259126</v>
      </c>
      <c r="M131" s="227"/>
      <c r="N131" s="275"/>
    </row>
    <row r="132" spans="1:14" ht="21.75" customHeight="1">
      <c r="A132" t="s">
        <v>157</v>
      </c>
      <c r="B132" s="245">
        <v>40991</v>
      </c>
      <c r="C132" s="126">
        <v>81.3</v>
      </c>
      <c r="D132" s="126">
        <v>81.5</v>
      </c>
      <c r="E132" s="126">
        <v>81.2</v>
      </c>
      <c r="G132" s="321">
        <v>0.82086000000000003</v>
      </c>
      <c r="H132" s="123">
        <f t="shared" si="8"/>
        <v>302.47121477144799</v>
      </c>
      <c r="I132" s="123">
        <f t="shared" si="9"/>
        <v>303.21530140065209</v>
      </c>
      <c r="J132" s="123">
        <f t="shared" si="10"/>
        <v>302.09917145684602</v>
      </c>
      <c r="K132" s="123"/>
      <c r="L132" s="176">
        <f t="shared" si="11"/>
        <v>302.59522920964872</v>
      </c>
      <c r="M132" s="227"/>
      <c r="N132" s="275"/>
    </row>
    <row r="133" spans="1:14" ht="21.75" customHeight="1">
      <c r="A133" t="s">
        <v>158</v>
      </c>
      <c r="B133" s="245">
        <v>40991</v>
      </c>
      <c r="C133" s="126">
        <v>81.5</v>
      </c>
      <c r="D133" s="126">
        <v>81.099999999999994</v>
      </c>
      <c r="E133" s="126">
        <v>81.400000000000006</v>
      </c>
      <c r="G133" s="321">
        <v>0.82086000000000003</v>
      </c>
      <c r="H133" s="123">
        <f t="shared" si="8"/>
        <v>303.21530140065209</v>
      </c>
      <c r="I133" s="123">
        <f t="shared" si="9"/>
        <v>301.72712814224394</v>
      </c>
      <c r="J133" s="123">
        <f t="shared" si="10"/>
        <v>302.84325808605007</v>
      </c>
      <c r="K133" s="123"/>
      <c r="L133" s="176">
        <f t="shared" si="11"/>
        <v>302.59522920964872</v>
      </c>
      <c r="M133" s="227"/>
      <c r="N133" s="275"/>
    </row>
    <row r="134" spans="1:14" ht="21.75" customHeight="1">
      <c r="A134" t="s">
        <v>159</v>
      </c>
      <c r="B134" s="245">
        <v>40991</v>
      </c>
      <c r="C134" s="126">
        <v>79.900000000000006</v>
      </c>
      <c r="D134" s="126">
        <v>80.400000000000006</v>
      </c>
      <c r="E134" s="126">
        <v>79.8</v>
      </c>
      <c r="G134" s="321">
        <v>0.82086000000000003</v>
      </c>
      <c r="H134" s="123">
        <f t="shared" si="8"/>
        <v>297.26260836701965</v>
      </c>
      <c r="I134" s="123">
        <f t="shared" si="9"/>
        <v>299.12282494002977</v>
      </c>
      <c r="J134" s="123">
        <f t="shared" si="10"/>
        <v>296.89056505241763</v>
      </c>
      <c r="K134" s="123"/>
      <c r="L134" s="176">
        <f t="shared" si="11"/>
        <v>297.75866611982235</v>
      </c>
      <c r="M134" s="227"/>
      <c r="N134" s="275"/>
    </row>
    <row r="135" spans="1:14" ht="21.75" customHeight="1">
      <c r="A135" t="s">
        <v>160</v>
      </c>
      <c r="B135" s="245">
        <v>40995</v>
      </c>
      <c r="C135" s="126">
        <v>77.7</v>
      </c>
      <c r="D135" s="126">
        <v>77.400000000000006</v>
      </c>
      <c r="E135" s="126">
        <v>77</v>
      </c>
      <c r="G135" s="321">
        <v>0.82086000000000003</v>
      </c>
      <c r="H135" s="123">
        <f t="shared" si="8"/>
        <v>289.07765544577506</v>
      </c>
      <c r="I135" s="123">
        <f t="shared" si="9"/>
        <v>287.96152550196899</v>
      </c>
      <c r="J135" s="123">
        <f t="shared" si="10"/>
        <v>286.47335224356084</v>
      </c>
      <c r="K135" s="123"/>
      <c r="L135" s="176">
        <f t="shared" si="11"/>
        <v>287.83751106376832</v>
      </c>
      <c r="M135" s="227"/>
      <c r="N135" s="275"/>
    </row>
    <row r="136" spans="1:14" ht="21.75" customHeight="1">
      <c r="A136" t="s">
        <v>161</v>
      </c>
      <c r="B136" s="245">
        <v>40995</v>
      </c>
      <c r="C136" s="126">
        <v>75.7</v>
      </c>
      <c r="D136" s="126">
        <v>75.599999999999994</v>
      </c>
      <c r="E136" s="126">
        <v>75.8</v>
      </c>
      <c r="G136" s="321">
        <v>0.82086000000000003</v>
      </c>
      <c r="H136" s="123">
        <f t="shared" si="8"/>
        <v>281.63678915373453</v>
      </c>
      <c r="I136" s="123">
        <f t="shared" si="9"/>
        <v>281.26474583913244</v>
      </c>
      <c r="J136" s="123">
        <f t="shared" si="10"/>
        <v>282.00883246833649</v>
      </c>
      <c r="K136" s="123"/>
      <c r="L136" s="176">
        <f t="shared" si="11"/>
        <v>281.63678915373453</v>
      </c>
      <c r="M136" s="227"/>
      <c r="N136" s="275"/>
    </row>
    <row r="137" spans="1:14" ht="21.75" customHeight="1">
      <c r="A137" t="s">
        <v>162</v>
      </c>
      <c r="B137" s="245">
        <v>40996</v>
      </c>
      <c r="C137" s="126">
        <v>71.599999999999994</v>
      </c>
      <c r="D137" s="126">
        <v>71.7</v>
      </c>
      <c r="E137" s="126">
        <v>71.099999999999994</v>
      </c>
      <c r="G137" s="321">
        <v>0.82086000000000003</v>
      </c>
      <c r="H137" s="123">
        <f t="shared" si="8"/>
        <v>266.38301325505137</v>
      </c>
      <c r="I137" s="123">
        <f t="shared" si="9"/>
        <v>266.75505656965345</v>
      </c>
      <c r="J137" s="123">
        <f t="shared" si="10"/>
        <v>264.52279668204119</v>
      </c>
      <c r="K137" s="123"/>
      <c r="L137" s="176">
        <f t="shared" si="11"/>
        <v>265.88695550224867</v>
      </c>
      <c r="M137" s="227"/>
      <c r="N137" s="275"/>
    </row>
    <row r="138" spans="1:14" ht="21.75" customHeight="1">
      <c r="A138" t="s">
        <v>163</v>
      </c>
      <c r="B138" s="245">
        <v>40996</v>
      </c>
      <c r="C138" s="126">
        <v>73.3</v>
      </c>
      <c r="D138" s="126">
        <v>73.8</v>
      </c>
      <c r="E138" s="126">
        <v>73.400000000000006</v>
      </c>
      <c r="G138" s="321">
        <v>0.82086000000000003</v>
      </c>
      <c r="H138" s="123">
        <f t="shared" si="8"/>
        <v>272.70774960328583</v>
      </c>
      <c r="I138" s="123">
        <f t="shared" si="9"/>
        <v>274.56796617629601</v>
      </c>
      <c r="J138" s="123">
        <f t="shared" si="10"/>
        <v>273.07979291788791</v>
      </c>
      <c r="K138" s="123"/>
      <c r="L138" s="176">
        <f t="shared" si="11"/>
        <v>273.45183623248994</v>
      </c>
      <c r="M138" s="227"/>
      <c r="N138" s="275"/>
    </row>
    <row r="139" spans="1:14" ht="21.75" customHeight="1">
      <c r="A139" t="s">
        <v>164</v>
      </c>
      <c r="B139" s="245">
        <v>40997</v>
      </c>
      <c r="C139" s="126">
        <v>147.9</v>
      </c>
      <c r="D139" s="126">
        <v>148</v>
      </c>
      <c r="E139" s="126">
        <v>148.1</v>
      </c>
      <c r="G139" s="321">
        <v>0.82086000000000003</v>
      </c>
      <c r="H139" s="123">
        <f t="shared" si="8"/>
        <v>550.25206229639809</v>
      </c>
      <c r="I139" s="123">
        <f t="shared" si="9"/>
        <v>550.62410561100012</v>
      </c>
      <c r="J139" s="123">
        <f t="shared" si="10"/>
        <v>550.99614892560214</v>
      </c>
      <c r="K139" s="123"/>
      <c r="L139" s="176">
        <f t="shared" si="11"/>
        <v>550.62410561100012</v>
      </c>
      <c r="M139" s="227"/>
      <c r="N139" s="275"/>
    </row>
    <row r="140" spans="1:14" ht="21.75" customHeight="1">
      <c r="A140" t="s">
        <v>170</v>
      </c>
      <c r="B140" s="245">
        <v>40997</v>
      </c>
      <c r="C140" s="126">
        <v>158.9</v>
      </c>
      <c r="D140" s="126">
        <v>158.5</v>
      </c>
      <c r="E140" s="126">
        <v>158.1</v>
      </c>
      <c r="G140" s="321">
        <v>0.82086000000000003</v>
      </c>
      <c r="H140" s="123">
        <f t="shared" si="8"/>
        <v>591.17682690262097</v>
      </c>
      <c r="I140" s="123">
        <f t="shared" si="9"/>
        <v>589.68865364421288</v>
      </c>
      <c r="J140" s="123">
        <f t="shared" si="10"/>
        <v>588.20048038580478</v>
      </c>
      <c r="K140" s="123"/>
      <c r="L140" s="176">
        <f t="shared" si="11"/>
        <v>589.68865364421288</v>
      </c>
      <c r="M140" s="227"/>
      <c r="N140" s="275"/>
    </row>
    <row r="141" spans="1:14" ht="21.75" customHeight="1">
      <c r="A141" t="s">
        <v>172</v>
      </c>
      <c r="B141" s="245">
        <v>40997</v>
      </c>
      <c r="C141" s="126">
        <v>137.4</v>
      </c>
      <c r="D141" s="126">
        <v>138.30000000000001</v>
      </c>
      <c r="E141" s="126">
        <v>138</v>
      </c>
      <c r="G141" s="321">
        <v>0.82086000000000003</v>
      </c>
      <c r="H141" s="123">
        <f t="shared" si="8"/>
        <v>511.18751426318522</v>
      </c>
      <c r="I141" s="123">
        <f t="shared" si="9"/>
        <v>514.53590409460355</v>
      </c>
      <c r="J141" s="123">
        <f t="shared" si="10"/>
        <v>513.41977415079737</v>
      </c>
      <c r="K141" s="123"/>
      <c r="L141" s="176">
        <f t="shared" si="11"/>
        <v>513.04773083619546</v>
      </c>
      <c r="M141" s="227"/>
      <c r="N141" s="275"/>
    </row>
    <row r="142" spans="1:14" ht="21.75" customHeight="1">
      <c r="A142" t="s">
        <v>174</v>
      </c>
      <c r="B142" s="245">
        <v>40997</v>
      </c>
      <c r="C142" s="126">
        <v>140.69999999999999</v>
      </c>
      <c r="D142" s="126">
        <v>141.30000000000001</v>
      </c>
      <c r="E142" s="126">
        <v>140.69999999999999</v>
      </c>
      <c r="G142" s="321">
        <v>0.82086000000000003</v>
      </c>
      <c r="H142" s="123">
        <f t="shared" si="8"/>
        <v>523.46494364505213</v>
      </c>
      <c r="I142" s="123">
        <f t="shared" si="9"/>
        <v>525.69720353266428</v>
      </c>
      <c r="J142" s="123">
        <f t="shared" si="10"/>
        <v>523.46494364505213</v>
      </c>
      <c r="K142" s="123"/>
      <c r="L142" s="176">
        <f t="shared" si="11"/>
        <v>524.20903027425618</v>
      </c>
      <c r="M142" s="227"/>
      <c r="N142" s="275"/>
    </row>
    <row r="143" spans="1:14" ht="21.75" customHeight="1">
      <c r="A143" t="s">
        <v>175</v>
      </c>
      <c r="B143" s="245">
        <v>40998</v>
      </c>
      <c r="C143" s="126">
        <v>92</v>
      </c>
      <c r="D143" s="126">
        <v>92.2</v>
      </c>
      <c r="E143" s="126">
        <v>92.4</v>
      </c>
      <c r="G143" s="321">
        <v>0.82086000000000003</v>
      </c>
      <c r="H143" s="123">
        <f t="shared" si="8"/>
        <v>342.27984943386491</v>
      </c>
      <c r="I143" s="123">
        <f t="shared" si="9"/>
        <v>343.02393606306896</v>
      </c>
      <c r="J143" s="123">
        <f t="shared" si="10"/>
        <v>343.76802269227306</v>
      </c>
      <c r="K143" s="123"/>
      <c r="L143" s="176">
        <f t="shared" si="11"/>
        <v>343.02393606306896</v>
      </c>
      <c r="M143" s="227"/>
      <c r="N143" s="275"/>
    </row>
    <row r="144" spans="1:14" ht="21.75" customHeight="1">
      <c r="A144" t="s">
        <v>177</v>
      </c>
      <c r="B144" s="245">
        <v>40998</v>
      </c>
      <c r="C144" s="126">
        <v>85.5</v>
      </c>
      <c r="D144" s="126">
        <v>85.9</v>
      </c>
      <c r="E144" s="126">
        <v>86.2</v>
      </c>
      <c r="G144" s="321">
        <v>0.82086000000000003</v>
      </c>
      <c r="H144" s="123">
        <f t="shared" si="8"/>
        <v>318.09703398473312</v>
      </c>
      <c r="I144" s="123">
        <f t="shared" si="9"/>
        <v>319.58520724314127</v>
      </c>
      <c r="J144" s="123">
        <f t="shared" si="10"/>
        <v>320.70133718694734</v>
      </c>
      <c r="K144" s="123"/>
      <c r="L144" s="176">
        <f t="shared" si="11"/>
        <v>319.46119280494054</v>
      </c>
      <c r="M144" s="227"/>
      <c r="N144" s="275"/>
    </row>
    <row r="145" spans="1:14" ht="21.75" customHeight="1">
      <c r="A145" t="s">
        <v>178</v>
      </c>
      <c r="B145" s="245">
        <v>40998</v>
      </c>
      <c r="C145" s="126">
        <v>94.6</v>
      </c>
      <c r="D145" s="126">
        <v>95</v>
      </c>
      <c r="E145" s="126">
        <v>94.5</v>
      </c>
      <c r="G145" s="321">
        <v>0.82086000000000003</v>
      </c>
      <c r="H145" s="123">
        <f t="shared" si="8"/>
        <v>351.95297561351759</v>
      </c>
      <c r="I145" s="123">
        <f t="shared" si="9"/>
        <v>353.44114887192569</v>
      </c>
      <c r="J145" s="123">
        <f t="shared" si="10"/>
        <v>351.58093229891557</v>
      </c>
      <c r="K145" s="123"/>
      <c r="L145" s="176">
        <f t="shared" si="11"/>
        <v>352.32501892811962</v>
      </c>
      <c r="M145" s="227"/>
      <c r="N145" s="275"/>
    </row>
    <row r="146" spans="1:14" ht="21.75" customHeight="1">
      <c r="A146" t="s">
        <v>179</v>
      </c>
      <c r="B146" s="245">
        <v>40998</v>
      </c>
      <c r="C146" s="126">
        <v>100.1</v>
      </c>
      <c r="D146" s="126">
        <v>100.4</v>
      </c>
      <c r="E146" s="126">
        <v>100.1</v>
      </c>
      <c r="G146" s="321">
        <v>0.82086000000000003</v>
      </c>
      <c r="H146" s="123">
        <f t="shared" si="8"/>
        <v>372.41535791662909</v>
      </c>
      <c r="I146" s="123">
        <f t="shared" si="9"/>
        <v>373.53148786043522</v>
      </c>
      <c r="J146" s="123">
        <f t="shared" si="10"/>
        <v>372.41535791662909</v>
      </c>
      <c r="K146" s="123"/>
      <c r="L146" s="176">
        <f t="shared" si="11"/>
        <v>372.78740123123112</v>
      </c>
      <c r="M146" s="227"/>
      <c r="N146" s="275"/>
    </row>
    <row r="147" spans="1:14" ht="21.75" customHeight="1">
      <c r="A147" t="s">
        <v>180</v>
      </c>
      <c r="B147" s="245">
        <v>40998</v>
      </c>
      <c r="C147" s="126">
        <v>88.8</v>
      </c>
      <c r="D147" s="126">
        <v>88.8</v>
      </c>
      <c r="E147" s="126">
        <v>88.5</v>
      </c>
      <c r="G147" s="321">
        <v>0.82086000000000003</v>
      </c>
      <c r="H147" s="123">
        <f t="shared" si="8"/>
        <v>330.37446336660003</v>
      </c>
      <c r="I147" s="123">
        <f t="shared" si="9"/>
        <v>330.37446336660003</v>
      </c>
      <c r="J147" s="123">
        <f t="shared" si="10"/>
        <v>329.25833342279395</v>
      </c>
      <c r="K147" s="123"/>
      <c r="L147" s="176">
        <f t="shared" si="11"/>
        <v>330.002420051998</v>
      </c>
      <c r="M147" s="227"/>
      <c r="N147" s="275"/>
    </row>
    <row r="148" spans="1:14" ht="21.75" customHeight="1">
      <c r="A148" t="s">
        <v>182</v>
      </c>
      <c r="B148" s="245">
        <v>40998</v>
      </c>
      <c r="C148" s="126">
        <v>87.7</v>
      </c>
      <c r="D148" s="126">
        <v>87.8</v>
      </c>
      <c r="E148" s="126">
        <v>87.6</v>
      </c>
      <c r="G148" s="321">
        <v>0.82086000000000003</v>
      </c>
      <c r="H148" s="123">
        <f t="shared" si="8"/>
        <v>326.28198690597776</v>
      </c>
      <c r="I148" s="123">
        <f t="shared" si="9"/>
        <v>326.65403022057973</v>
      </c>
      <c r="J148" s="123">
        <f t="shared" si="10"/>
        <v>325.90994359137568</v>
      </c>
      <c r="K148" s="123"/>
      <c r="L148" s="176">
        <f t="shared" si="11"/>
        <v>326.2819869059777</v>
      </c>
      <c r="M148" s="227"/>
      <c r="N148" s="275"/>
    </row>
    <row r="149" spans="1:14" ht="21.75" customHeight="1">
      <c r="A149" t="s">
        <v>183</v>
      </c>
      <c r="B149" s="245">
        <v>40998</v>
      </c>
      <c r="C149" s="126">
        <v>98.4</v>
      </c>
      <c r="D149" s="126">
        <v>98.4</v>
      </c>
      <c r="E149" s="126">
        <v>98.4</v>
      </c>
      <c r="G149" s="321">
        <v>0.82086000000000003</v>
      </c>
      <c r="H149" s="123">
        <f t="shared" si="8"/>
        <v>366.09062156839468</v>
      </c>
      <c r="I149" s="123">
        <f t="shared" si="9"/>
        <v>366.09062156839468</v>
      </c>
      <c r="J149" s="123">
        <f t="shared" si="10"/>
        <v>366.09062156839468</v>
      </c>
      <c r="K149" s="123"/>
      <c r="L149" s="176">
        <f t="shared" si="11"/>
        <v>366.09062156839468</v>
      </c>
      <c r="M149" s="227"/>
      <c r="N149" s="275"/>
    </row>
    <row r="150" spans="1:14" ht="21.75" customHeight="1">
      <c r="A150" t="s">
        <v>184</v>
      </c>
      <c r="B150" s="245">
        <v>40998</v>
      </c>
      <c r="C150" s="126">
        <v>98</v>
      </c>
      <c r="D150" s="126">
        <v>98.4</v>
      </c>
      <c r="E150" s="126">
        <v>98.9</v>
      </c>
      <c r="G150" s="321">
        <v>0.82086000000000003</v>
      </c>
      <c r="H150" s="123">
        <f t="shared" si="8"/>
        <v>364.60244830998653</v>
      </c>
      <c r="I150" s="123">
        <f t="shared" si="9"/>
        <v>366.09062156839468</v>
      </c>
      <c r="J150" s="123">
        <f t="shared" si="10"/>
        <v>367.9508381414048</v>
      </c>
      <c r="K150" s="123"/>
      <c r="L150" s="176">
        <f t="shared" si="11"/>
        <v>366.21463600659536</v>
      </c>
      <c r="M150" s="227"/>
      <c r="N150" s="275"/>
    </row>
    <row r="151" spans="1:14" ht="21.75" customHeight="1">
      <c r="A151" t="s">
        <v>185</v>
      </c>
      <c r="B151" s="245">
        <v>40998</v>
      </c>
      <c r="C151" s="126">
        <v>173.5</v>
      </c>
      <c r="D151" s="126">
        <v>174.1</v>
      </c>
      <c r="E151" s="126">
        <v>173.5</v>
      </c>
      <c r="G151" s="321">
        <v>0.82086000000000003</v>
      </c>
      <c r="H151" s="123">
        <f t="shared" si="8"/>
        <v>645.49515083451695</v>
      </c>
      <c r="I151" s="123">
        <f t="shared" si="9"/>
        <v>647.72741072212921</v>
      </c>
      <c r="J151" s="123">
        <f t="shared" si="10"/>
        <v>645.49515083451695</v>
      </c>
      <c r="K151" s="123"/>
      <c r="L151" s="176">
        <f t="shared" si="11"/>
        <v>646.23923746372111</v>
      </c>
      <c r="M151" s="227"/>
      <c r="N151" s="275"/>
    </row>
    <row r="152" spans="1:14" ht="21.75" customHeight="1">
      <c r="A152" t="s">
        <v>188</v>
      </c>
      <c r="B152" s="245">
        <v>40998</v>
      </c>
      <c r="C152" s="126">
        <v>174.6</v>
      </c>
      <c r="D152" s="126">
        <v>174.9</v>
      </c>
      <c r="E152" s="126">
        <v>174.7</v>
      </c>
      <c r="G152" s="321">
        <v>0.82086000000000003</v>
      </c>
      <c r="H152" s="123">
        <f t="shared" si="8"/>
        <v>649.58762729513921</v>
      </c>
      <c r="I152" s="123">
        <f t="shared" si="9"/>
        <v>650.7037572389454</v>
      </c>
      <c r="J152" s="123">
        <f t="shared" si="10"/>
        <v>649.95967060974124</v>
      </c>
      <c r="K152" s="123"/>
      <c r="L152" s="176">
        <f t="shared" si="11"/>
        <v>650.08368504794191</v>
      </c>
      <c r="M152" s="227"/>
      <c r="N152" s="275"/>
    </row>
    <row r="153" spans="1:14" ht="21.75" customHeight="1">
      <c r="A153" t="s">
        <v>189</v>
      </c>
      <c r="B153" s="245">
        <v>40998</v>
      </c>
      <c r="C153" s="126">
        <v>178.1</v>
      </c>
      <c r="D153" s="126">
        <v>176.9</v>
      </c>
      <c r="E153" s="126">
        <v>177.8</v>
      </c>
      <c r="G153" s="321">
        <v>0.82086000000000003</v>
      </c>
      <c r="H153" s="123">
        <f t="shared" si="8"/>
        <v>662.60914330621017</v>
      </c>
      <c r="I153" s="123">
        <f t="shared" si="9"/>
        <v>658.144623530986</v>
      </c>
      <c r="J153" s="123">
        <f t="shared" si="10"/>
        <v>661.49301336240421</v>
      </c>
      <c r="K153" s="123"/>
      <c r="L153" s="176">
        <f t="shared" si="11"/>
        <v>660.74892673320016</v>
      </c>
      <c r="M153" s="227"/>
      <c r="N153" s="275"/>
    </row>
    <row r="154" spans="1:14" ht="21.75" customHeight="1">
      <c r="A154" t="s">
        <v>190</v>
      </c>
      <c r="B154" s="245">
        <v>40998</v>
      </c>
      <c r="C154" s="126">
        <v>176.8</v>
      </c>
      <c r="D154" s="126">
        <v>176.7</v>
      </c>
      <c r="E154" s="126">
        <v>176.1</v>
      </c>
      <c r="G154" s="321">
        <v>0.82086000000000003</v>
      </c>
      <c r="H154" s="123">
        <f t="shared" si="8"/>
        <v>657.77258021638397</v>
      </c>
      <c r="I154" s="123">
        <f t="shared" si="9"/>
        <v>657.40053690178183</v>
      </c>
      <c r="J154" s="123">
        <f t="shared" si="10"/>
        <v>655.16827701416969</v>
      </c>
      <c r="K154" s="123"/>
      <c r="L154" s="176">
        <f t="shared" si="11"/>
        <v>656.78046471077857</v>
      </c>
      <c r="M154" s="227"/>
      <c r="N154" s="275"/>
    </row>
    <row r="155" spans="1:14" ht="21.75" customHeight="1">
      <c r="A155" t="s">
        <v>203</v>
      </c>
      <c r="B155" s="245">
        <v>41004</v>
      </c>
      <c r="C155" s="126">
        <v>242.9</v>
      </c>
      <c r="D155" s="126">
        <v>243.7</v>
      </c>
      <c r="E155" s="126">
        <v>242.3</v>
      </c>
      <c r="G155" s="321">
        <v>0.82086000000000003</v>
      </c>
      <c r="H155" s="123">
        <f t="shared" si="8"/>
        <v>903.69321116832373</v>
      </c>
      <c r="I155" s="123">
        <f t="shared" si="9"/>
        <v>906.66955768514003</v>
      </c>
      <c r="J155" s="123">
        <f t="shared" si="10"/>
        <v>901.46095128071158</v>
      </c>
      <c r="K155" s="123"/>
      <c r="L155" s="176">
        <f t="shared" si="11"/>
        <v>903.94124004472508</v>
      </c>
      <c r="M155" s="227"/>
      <c r="N155" s="275"/>
    </row>
    <row r="156" spans="1:14" ht="21.75" customHeight="1">
      <c r="A156" t="s">
        <v>207</v>
      </c>
      <c r="B156" s="245">
        <v>41004</v>
      </c>
      <c r="C156" s="126">
        <v>245.2</v>
      </c>
      <c r="D156" s="126">
        <v>247</v>
      </c>
      <c r="E156" s="126">
        <v>246.9</v>
      </c>
      <c r="G156" s="321">
        <v>0.82086000000000003</v>
      </c>
      <c r="H156" s="123">
        <f t="shared" si="8"/>
        <v>912.2502074041704</v>
      </c>
      <c r="I156" s="123">
        <f t="shared" si="9"/>
        <v>918.94698706700694</v>
      </c>
      <c r="J156" s="123">
        <f t="shared" si="10"/>
        <v>918.57494375240492</v>
      </c>
      <c r="K156" s="123"/>
      <c r="L156" s="176">
        <f t="shared" si="11"/>
        <v>916.59071274119412</v>
      </c>
      <c r="M156" s="227"/>
      <c r="N156" s="275"/>
    </row>
    <row r="157" spans="1:14" ht="21.75" customHeight="1">
      <c r="A157" t="s">
        <v>209</v>
      </c>
      <c r="B157" s="245">
        <v>41004</v>
      </c>
      <c r="C157" s="126">
        <v>242.8</v>
      </c>
      <c r="D157" s="126">
        <v>242.8</v>
      </c>
      <c r="E157" s="126">
        <v>243.7</v>
      </c>
      <c r="G157" s="321">
        <v>0.82086000000000003</v>
      </c>
      <c r="H157" s="123">
        <f t="shared" si="8"/>
        <v>903.3211678537217</v>
      </c>
      <c r="I157" s="123">
        <f t="shared" si="9"/>
        <v>903.3211678537217</v>
      </c>
      <c r="J157" s="123">
        <f t="shared" si="10"/>
        <v>906.66955768514003</v>
      </c>
      <c r="K157" s="123"/>
      <c r="L157" s="176">
        <f t="shared" si="11"/>
        <v>904.43729779752778</v>
      </c>
      <c r="M157" s="227"/>
      <c r="N157" s="275"/>
    </row>
    <row r="158" spans="1:14" ht="21.75" customHeight="1">
      <c r="A158" t="s">
        <v>211</v>
      </c>
      <c r="B158" s="245">
        <v>41004</v>
      </c>
      <c r="C158" s="126">
        <v>241.6</v>
      </c>
      <c r="D158" s="126">
        <v>242.7</v>
      </c>
      <c r="E158" s="126">
        <v>242.2</v>
      </c>
      <c r="G158" s="321">
        <v>0.82086000000000003</v>
      </c>
      <c r="H158" s="123">
        <f t="shared" si="8"/>
        <v>898.85664807849741</v>
      </c>
      <c r="I158" s="123">
        <f t="shared" si="9"/>
        <v>902.94912453911968</v>
      </c>
      <c r="J158" s="123">
        <f t="shared" si="10"/>
        <v>901.08890796610956</v>
      </c>
      <c r="K158" s="123"/>
      <c r="L158" s="176">
        <f t="shared" si="11"/>
        <v>900.96489352790888</v>
      </c>
      <c r="M158" s="227"/>
      <c r="N158" s="275"/>
    </row>
    <row r="159" spans="1:14" ht="21.75" customHeight="1">
      <c r="A159" t="s">
        <v>212</v>
      </c>
      <c r="B159" s="245">
        <v>41004</v>
      </c>
      <c r="C159" s="126">
        <v>136.4</v>
      </c>
      <c r="D159" s="126">
        <v>137.4</v>
      </c>
      <c r="E159" s="126">
        <v>136.4</v>
      </c>
      <c r="G159" s="321">
        <v>0.82086000000000003</v>
      </c>
      <c r="H159" s="123">
        <f t="shared" si="8"/>
        <v>507.46708111716498</v>
      </c>
      <c r="I159" s="123">
        <f t="shared" si="9"/>
        <v>511.18751426318522</v>
      </c>
      <c r="J159" s="123">
        <f t="shared" si="10"/>
        <v>507.46708111716498</v>
      </c>
      <c r="K159" s="123"/>
      <c r="L159" s="176">
        <f t="shared" si="11"/>
        <v>508.70722549917173</v>
      </c>
      <c r="M159" s="227"/>
      <c r="N159" s="275"/>
    </row>
    <row r="160" spans="1:14" ht="21.75" customHeight="1">
      <c r="A160" t="s">
        <v>214</v>
      </c>
      <c r="B160" s="245">
        <v>41004</v>
      </c>
      <c r="C160" s="126">
        <v>133.1</v>
      </c>
      <c r="D160" s="126">
        <v>133.19999999999999</v>
      </c>
      <c r="E160" s="126">
        <v>133.4</v>
      </c>
      <c r="G160" s="321">
        <v>0.82086000000000003</v>
      </c>
      <c r="H160" s="123">
        <f t="shared" si="8"/>
        <v>495.18965173529801</v>
      </c>
      <c r="I160" s="123">
        <f t="shared" si="9"/>
        <v>495.56169504990004</v>
      </c>
      <c r="J160" s="123">
        <f t="shared" si="10"/>
        <v>496.30578167910409</v>
      </c>
      <c r="K160" s="123"/>
      <c r="L160" s="176">
        <f t="shared" si="11"/>
        <v>495.68570948810071</v>
      </c>
      <c r="M160" s="227"/>
      <c r="N160" s="275"/>
    </row>
    <row r="161" spans="1:14" ht="21.75" customHeight="1">
      <c r="A161" t="s">
        <v>216</v>
      </c>
      <c r="B161" s="245">
        <v>41004</v>
      </c>
      <c r="C161" s="126">
        <v>141.9</v>
      </c>
      <c r="D161" s="126">
        <v>142.69999999999999</v>
      </c>
      <c r="E161" s="126">
        <v>142.6</v>
      </c>
      <c r="G161" s="321">
        <v>0.82086000000000003</v>
      </c>
      <c r="H161" s="123">
        <f t="shared" si="8"/>
        <v>527.92946342027642</v>
      </c>
      <c r="I161" s="123">
        <f t="shared" si="9"/>
        <v>530.90580993709261</v>
      </c>
      <c r="J161" s="123">
        <f t="shared" si="10"/>
        <v>530.53376662249059</v>
      </c>
      <c r="K161" s="123"/>
      <c r="L161" s="176">
        <f t="shared" si="11"/>
        <v>529.78967999328654</v>
      </c>
      <c r="M161" s="227"/>
      <c r="N161" s="275"/>
    </row>
    <row r="162" spans="1:14" ht="21.75" customHeight="1">
      <c r="A162" t="s">
        <v>218</v>
      </c>
      <c r="B162" s="245">
        <v>41004</v>
      </c>
      <c r="C162" s="126">
        <v>132.69999999999999</v>
      </c>
      <c r="D162" s="126">
        <v>134</v>
      </c>
      <c r="E162" s="126">
        <v>132.9</v>
      </c>
      <c r="G162" s="321">
        <v>0.82086000000000003</v>
      </c>
      <c r="H162" s="123">
        <f t="shared" si="8"/>
        <v>493.70147847688992</v>
      </c>
      <c r="I162" s="123">
        <f t="shared" si="9"/>
        <v>498.53804156671629</v>
      </c>
      <c r="J162" s="123">
        <f t="shared" si="10"/>
        <v>494.44556510609397</v>
      </c>
      <c r="K162" s="123"/>
      <c r="L162" s="176">
        <f t="shared" si="11"/>
        <v>495.56169504990004</v>
      </c>
      <c r="M162" s="227"/>
      <c r="N162" s="275"/>
    </row>
    <row r="163" spans="1:14" ht="21.75" customHeight="1">
      <c r="A163" t="s">
        <v>191</v>
      </c>
      <c r="B163" s="245">
        <v>41001</v>
      </c>
      <c r="C163" s="126">
        <v>81.7</v>
      </c>
      <c r="D163" s="126">
        <v>81.599999999999994</v>
      </c>
      <c r="E163" s="126">
        <v>82</v>
      </c>
      <c r="G163" s="321">
        <v>0.82086000000000003</v>
      </c>
      <c r="H163" s="123">
        <f t="shared" si="8"/>
        <v>303.95938802985614</v>
      </c>
      <c r="I163" s="123">
        <f t="shared" si="9"/>
        <v>303.58734471525406</v>
      </c>
      <c r="J163" s="123">
        <f t="shared" si="10"/>
        <v>305.07551797366216</v>
      </c>
      <c r="K163" s="123"/>
      <c r="L163" s="176">
        <f t="shared" si="11"/>
        <v>304.20741690625744</v>
      </c>
      <c r="M163" s="227"/>
      <c r="N163" s="275"/>
    </row>
    <row r="164" spans="1:14" ht="21.75" customHeight="1">
      <c r="A164" t="s">
        <v>195</v>
      </c>
      <c r="B164" s="245">
        <v>41001</v>
      </c>
      <c r="C164" s="126">
        <v>70.959999999999994</v>
      </c>
      <c r="D164" s="126">
        <v>71.099999999999994</v>
      </c>
      <c r="E164" s="126">
        <v>71.17</v>
      </c>
      <c r="G164" s="321">
        <v>0.82086000000000003</v>
      </c>
      <c r="H164" s="123">
        <f t="shared" si="8"/>
        <v>264.00193604159841</v>
      </c>
      <c r="I164" s="123">
        <f t="shared" si="9"/>
        <v>264.52279668204119</v>
      </c>
      <c r="J164" s="123">
        <f t="shared" si="10"/>
        <v>264.78322700226266</v>
      </c>
      <c r="K164" s="123"/>
      <c r="L164" s="176">
        <f t="shared" si="11"/>
        <v>264.43598657530077</v>
      </c>
      <c r="M164" s="227"/>
      <c r="N164" s="275"/>
    </row>
    <row r="165" spans="1:14" ht="21.75" customHeight="1">
      <c r="A165" t="s">
        <v>196</v>
      </c>
      <c r="B165" s="245">
        <v>41001</v>
      </c>
      <c r="C165" s="126">
        <v>81</v>
      </c>
      <c r="D165" s="126">
        <v>79.5</v>
      </c>
      <c r="E165" s="126">
        <v>80.459999999999994</v>
      </c>
      <c r="G165" s="321">
        <v>0.82086000000000003</v>
      </c>
      <c r="H165" s="123">
        <f t="shared" si="8"/>
        <v>301.35508482764192</v>
      </c>
      <c r="I165" s="123">
        <f t="shared" si="9"/>
        <v>295.7744351086115</v>
      </c>
      <c r="J165" s="123">
        <f t="shared" si="10"/>
        <v>299.34605092879099</v>
      </c>
      <c r="K165" s="123"/>
      <c r="L165" s="176">
        <f t="shared" si="11"/>
        <v>298.82519028834815</v>
      </c>
      <c r="M165" s="227"/>
      <c r="N165" s="275"/>
    </row>
    <row r="166" spans="1:14" ht="21.75" customHeight="1">
      <c r="A166" t="s">
        <v>197</v>
      </c>
      <c r="B166" s="245">
        <v>41001</v>
      </c>
      <c r="C166" s="126">
        <v>82</v>
      </c>
      <c r="D166" s="126">
        <v>81.55</v>
      </c>
      <c r="E166" s="126">
        <v>81.98</v>
      </c>
      <c r="G166" s="321">
        <v>0.82086000000000003</v>
      </c>
      <c r="H166" s="123">
        <f t="shared" si="8"/>
        <v>305.07551797366216</v>
      </c>
      <c r="I166" s="123">
        <f t="shared" si="9"/>
        <v>303.40132305795305</v>
      </c>
      <c r="J166" s="123">
        <f t="shared" si="10"/>
        <v>305.00110931074181</v>
      </c>
      <c r="K166" s="123"/>
      <c r="L166" s="176">
        <f t="shared" si="11"/>
        <v>304.49265011411899</v>
      </c>
      <c r="M166" s="227"/>
      <c r="N166" s="275"/>
    </row>
    <row r="167" spans="1:14" ht="21.75" customHeight="1">
      <c r="A167" t="s">
        <v>191</v>
      </c>
      <c r="B167" s="245">
        <v>41003</v>
      </c>
      <c r="C167" s="126">
        <v>86.86</v>
      </c>
      <c r="D167" s="126">
        <v>87.06</v>
      </c>
      <c r="E167" s="126">
        <v>86.83</v>
      </c>
      <c r="G167" s="321">
        <v>0.82086000000000003</v>
      </c>
      <c r="H167" s="123">
        <f t="shared" si="8"/>
        <v>323.1568230633207</v>
      </c>
      <c r="I167" s="123">
        <f t="shared" si="9"/>
        <v>323.90090969252475</v>
      </c>
      <c r="J167" s="123">
        <f t="shared" si="10"/>
        <v>323.04521006894009</v>
      </c>
      <c r="K167" s="123"/>
      <c r="L167" s="176">
        <f t="shared" si="11"/>
        <v>323.36764760826185</v>
      </c>
      <c r="M167" s="227"/>
      <c r="N167" s="275"/>
    </row>
    <row r="168" spans="1:14" ht="21.75" customHeight="1">
      <c r="A168" t="s">
        <v>195</v>
      </c>
      <c r="B168" s="245">
        <v>41003</v>
      </c>
      <c r="C168" s="126">
        <v>78.8</v>
      </c>
      <c r="D168" s="126">
        <v>78.7</v>
      </c>
      <c r="E168" s="126">
        <v>79.2</v>
      </c>
      <c r="G168" s="321">
        <v>0.82086000000000003</v>
      </c>
      <c r="H168" s="123">
        <f t="shared" si="8"/>
        <v>293.17013190639733</v>
      </c>
      <c r="I168" s="123">
        <f t="shared" si="9"/>
        <v>292.79808859179536</v>
      </c>
      <c r="J168" s="123">
        <f t="shared" si="10"/>
        <v>294.65830516480543</v>
      </c>
      <c r="K168" s="123"/>
      <c r="L168" s="176">
        <f t="shared" si="11"/>
        <v>293.54217522099935</v>
      </c>
      <c r="M168" s="227"/>
      <c r="N168" s="275"/>
    </row>
    <row r="169" spans="1:14" ht="21.75" customHeight="1">
      <c r="A169" t="s">
        <v>196</v>
      </c>
      <c r="B169" s="245">
        <v>41003</v>
      </c>
      <c r="C169" s="126">
        <v>83.86</v>
      </c>
      <c r="D169" s="126">
        <v>84.89</v>
      </c>
      <c r="E169" s="126">
        <v>84.11</v>
      </c>
      <c r="G169" s="321">
        <v>0.82086000000000003</v>
      </c>
      <c r="H169" s="123">
        <f t="shared" si="8"/>
        <v>311.99552362525992</v>
      </c>
      <c r="I169" s="123">
        <f t="shared" si="9"/>
        <v>315.82756976566077</v>
      </c>
      <c r="J169" s="123">
        <f t="shared" si="10"/>
        <v>312.92563191176498</v>
      </c>
      <c r="K169" s="123"/>
      <c r="L169" s="176">
        <f t="shared" si="11"/>
        <v>313.58290843422856</v>
      </c>
      <c r="M169" s="227"/>
      <c r="N169" s="275"/>
    </row>
    <row r="170" spans="1:14" ht="21.75" customHeight="1">
      <c r="A170" t="s">
        <v>197</v>
      </c>
      <c r="B170" s="245">
        <v>41003</v>
      </c>
      <c r="C170" s="126">
        <v>83.38</v>
      </c>
      <c r="D170" s="126">
        <v>83.58</v>
      </c>
      <c r="E170" s="126">
        <v>83.56</v>
      </c>
      <c r="G170" s="321">
        <v>0.82086000000000003</v>
      </c>
      <c r="H170" s="123">
        <f t="shared" si="8"/>
        <v>310.20971571517015</v>
      </c>
      <c r="I170" s="123">
        <f t="shared" si="9"/>
        <v>310.9538023443742</v>
      </c>
      <c r="J170" s="123">
        <f t="shared" si="10"/>
        <v>310.87939368145379</v>
      </c>
      <c r="K170" s="123"/>
      <c r="L170" s="176">
        <f t="shared" si="11"/>
        <v>310.68097058033271</v>
      </c>
      <c r="M170" s="227"/>
      <c r="N170" s="275"/>
    </row>
    <row r="171" spans="1:14" ht="21.75" customHeight="1">
      <c r="A171" t="s">
        <v>191</v>
      </c>
      <c r="B171" s="245">
        <v>41010</v>
      </c>
      <c r="C171" s="126">
        <v>93.96</v>
      </c>
      <c r="D171" s="126">
        <v>94.5</v>
      </c>
      <c r="E171" s="126">
        <v>94.15</v>
      </c>
      <c r="G171" s="321">
        <v>0.82086000000000003</v>
      </c>
      <c r="H171" s="123">
        <f t="shared" si="8"/>
        <v>349.57189840006458</v>
      </c>
      <c r="I171" s="123">
        <f t="shared" si="9"/>
        <v>351.58093229891557</v>
      </c>
      <c r="J171" s="123">
        <f t="shared" si="10"/>
        <v>350.27878069780849</v>
      </c>
      <c r="K171" s="123"/>
      <c r="L171" s="176">
        <f t="shared" si="11"/>
        <v>350.47720379892957</v>
      </c>
      <c r="M171" s="227"/>
      <c r="N171" s="275"/>
    </row>
    <row r="172" spans="1:14" ht="21.75" customHeight="1">
      <c r="A172" t="s">
        <v>195</v>
      </c>
      <c r="B172" s="245">
        <v>41010</v>
      </c>
      <c r="C172" s="126">
        <v>80.400000000000006</v>
      </c>
      <c r="D172" s="126">
        <v>81.400000000000006</v>
      </c>
      <c r="E172" s="126">
        <v>81.3</v>
      </c>
      <c r="G172" s="321">
        <v>0.82086000000000003</v>
      </c>
      <c r="H172" s="123">
        <f t="shared" si="8"/>
        <v>299.12282494002977</v>
      </c>
      <c r="I172" s="123">
        <f t="shared" si="9"/>
        <v>302.84325808605007</v>
      </c>
      <c r="J172" s="123">
        <f t="shared" si="10"/>
        <v>302.47121477144799</v>
      </c>
      <c r="K172" s="123"/>
      <c r="L172" s="176">
        <f t="shared" si="11"/>
        <v>301.47909926584259</v>
      </c>
      <c r="M172" s="227"/>
      <c r="N172" s="275"/>
    </row>
    <row r="173" spans="1:14" ht="21.75" customHeight="1">
      <c r="A173" t="s">
        <v>196</v>
      </c>
      <c r="B173" s="245">
        <v>41010</v>
      </c>
      <c r="C173" s="126">
        <v>90.2</v>
      </c>
      <c r="D173" s="126">
        <v>90.7</v>
      </c>
      <c r="E173" s="126">
        <v>91.2</v>
      </c>
      <c r="G173" s="321">
        <v>0.82086000000000003</v>
      </c>
      <c r="H173" s="123">
        <f t="shared" si="8"/>
        <v>335.58306977102842</v>
      </c>
      <c r="I173" s="123">
        <f t="shared" si="9"/>
        <v>337.4432863440386</v>
      </c>
      <c r="J173" s="123">
        <f t="shared" si="10"/>
        <v>339.30350291704872</v>
      </c>
      <c r="K173" s="123"/>
      <c r="L173" s="176">
        <f t="shared" si="11"/>
        <v>337.4432863440386</v>
      </c>
      <c r="M173" s="227"/>
      <c r="N173" s="275"/>
    </row>
    <row r="174" spans="1:14" ht="21.75" customHeight="1">
      <c r="A174" t="s">
        <v>197</v>
      </c>
      <c r="B174" s="245">
        <v>41010</v>
      </c>
      <c r="C174" s="126">
        <v>84.3</v>
      </c>
      <c r="D174" s="126">
        <v>84.7</v>
      </c>
      <c r="E174" s="126">
        <v>84.5</v>
      </c>
      <c r="G174" s="321">
        <v>0.82086000000000003</v>
      </c>
      <c r="H174" s="123">
        <f t="shared" si="8"/>
        <v>313.63251420950877</v>
      </c>
      <c r="I174" s="123">
        <f t="shared" si="9"/>
        <v>315.12068746791698</v>
      </c>
      <c r="J174" s="123">
        <f t="shared" si="10"/>
        <v>314.37660083871287</v>
      </c>
      <c r="K174" s="123"/>
      <c r="L174" s="176">
        <f t="shared" si="11"/>
        <v>314.37660083871287</v>
      </c>
      <c r="M174" s="227"/>
      <c r="N174" s="275"/>
    </row>
    <row r="175" spans="1:14" ht="21.75" customHeight="1">
      <c r="A175" t="s">
        <v>51</v>
      </c>
      <c r="B175" s="245">
        <v>41010</v>
      </c>
      <c r="C175" s="126">
        <v>110.2</v>
      </c>
      <c r="D175" s="126">
        <v>103.7</v>
      </c>
      <c r="E175" s="126">
        <v>109.8</v>
      </c>
      <c r="G175" s="321">
        <v>0.82086000000000003</v>
      </c>
      <c r="H175" s="123">
        <f t="shared" si="8"/>
        <v>409.99173269143387</v>
      </c>
      <c r="I175" s="123">
        <f t="shared" si="9"/>
        <v>385.80891724230207</v>
      </c>
      <c r="J175" s="123">
        <f t="shared" si="10"/>
        <v>408.50355943302571</v>
      </c>
      <c r="K175" s="123"/>
      <c r="L175" s="176">
        <f t="shared" si="11"/>
        <v>401.4347364555872</v>
      </c>
      <c r="M175" s="227"/>
      <c r="N175" s="275"/>
    </row>
    <row r="176" spans="1:14" ht="21.75" customHeight="1">
      <c r="A176" t="s">
        <v>59</v>
      </c>
      <c r="B176" s="245">
        <v>41010</v>
      </c>
      <c r="C176" s="126">
        <v>93.9</v>
      </c>
      <c r="D176" s="126">
        <v>90.1</v>
      </c>
      <c r="E176" s="126">
        <v>88.8</v>
      </c>
      <c r="G176" s="321">
        <v>0.82086000000000003</v>
      </c>
      <c r="H176" s="123">
        <f t="shared" si="8"/>
        <v>349.34867241130343</v>
      </c>
      <c r="I176" s="123">
        <f t="shared" si="9"/>
        <v>335.21102645642634</v>
      </c>
      <c r="J176" s="123">
        <f t="shared" si="10"/>
        <v>330.37446336660003</v>
      </c>
      <c r="K176" s="123"/>
      <c r="L176" s="176">
        <f t="shared" si="11"/>
        <v>338.31138741144326</v>
      </c>
      <c r="M176" s="227"/>
      <c r="N176" s="275"/>
    </row>
    <row r="177" spans="1:14" ht="21.75" customHeight="1">
      <c r="A177" t="s">
        <v>63</v>
      </c>
      <c r="B177" s="245">
        <v>41010</v>
      </c>
      <c r="C177" s="126">
        <v>94.1</v>
      </c>
      <c r="D177" s="126">
        <v>97.5</v>
      </c>
      <c r="E177" s="126">
        <v>99.1</v>
      </c>
      <c r="G177" s="321">
        <v>0.82086000000000003</v>
      </c>
      <c r="H177" s="123">
        <f t="shared" si="8"/>
        <v>350.09275904050747</v>
      </c>
      <c r="I177" s="123">
        <f t="shared" si="9"/>
        <v>362.74223173697641</v>
      </c>
      <c r="J177" s="123">
        <f t="shared" si="10"/>
        <v>368.69492477060885</v>
      </c>
      <c r="K177" s="123"/>
      <c r="L177" s="176">
        <f t="shared" si="11"/>
        <v>360.50997184936426</v>
      </c>
      <c r="M177" s="227"/>
      <c r="N177" s="275"/>
    </row>
    <row r="178" spans="1:14" ht="21.75" customHeight="1">
      <c r="A178" t="s">
        <v>221</v>
      </c>
      <c r="B178" s="245">
        <v>41016</v>
      </c>
      <c r="C178" s="126">
        <v>190</v>
      </c>
      <c r="D178" s="126">
        <v>189.2</v>
      </c>
      <c r="E178" s="126">
        <v>189.5</v>
      </c>
      <c r="G178" s="321">
        <v>0.82086000000000003</v>
      </c>
      <c r="H178" s="123">
        <f t="shared" si="8"/>
        <v>706.88229774385138</v>
      </c>
      <c r="I178" s="123">
        <f t="shared" si="9"/>
        <v>703.90595122703519</v>
      </c>
      <c r="J178" s="123">
        <f t="shared" si="10"/>
        <v>705.02208117084126</v>
      </c>
      <c r="K178" s="123"/>
      <c r="L178" s="176">
        <f t="shared" si="11"/>
        <v>705.27011004724261</v>
      </c>
      <c r="M178" s="227"/>
      <c r="N178" s="275"/>
    </row>
    <row r="179" spans="1:14" ht="21.75" customHeight="1">
      <c r="A179" t="s">
        <v>222</v>
      </c>
      <c r="B179" s="245">
        <v>41016</v>
      </c>
      <c r="C179" s="126">
        <v>191.5</v>
      </c>
      <c r="D179" s="126">
        <v>192</v>
      </c>
      <c r="E179" s="126">
        <v>191.8</v>
      </c>
      <c r="G179" s="321">
        <v>0.82086000000000003</v>
      </c>
      <c r="H179" s="123">
        <f t="shared" si="8"/>
        <v>712.46294746288186</v>
      </c>
      <c r="I179" s="123">
        <f t="shared" si="9"/>
        <v>714.32316403589198</v>
      </c>
      <c r="J179" s="123">
        <f t="shared" si="10"/>
        <v>713.57907740668793</v>
      </c>
      <c r="K179" s="123"/>
      <c r="L179" s="176">
        <f t="shared" si="11"/>
        <v>713.45506296848725</v>
      </c>
      <c r="M179" s="227"/>
      <c r="N179" s="275"/>
    </row>
    <row r="180" spans="1:14" ht="21.75" customHeight="1">
      <c r="A180" t="s">
        <v>223</v>
      </c>
      <c r="B180" s="245">
        <v>41016</v>
      </c>
      <c r="C180" s="126">
        <v>192.3</v>
      </c>
      <c r="D180" s="126">
        <v>191.3</v>
      </c>
      <c r="E180" s="126">
        <v>191.4</v>
      </c>
      <c r="G180" s="321">
        <v>0.82086000000000003</v>
      </c>
      <c r="H180" s="123">
        <f t="shared" si="8"/>
        <v>715.43929397969805</v>
      </c>
      <c r="I180" s="123">
        <f t="shared" si="9"/>
        <v>711.71886083367792</v>
      </c>
      <c r="J180" s="123">
        <f t="shared" si="10"/>
        <v>712.09090414827983</v>
      </c>
      <c r="K180" s="123"/>
      <c r="L180" s="176">
        <f t="shared" si="11"/>
        <v>713.08301965388512</v>
      </c>
      <c r="M180" s="227"/>
      <c r="N180" s="275"/>
    </row>
    <row r="181" spans="1:14" ht="21.75" customHeight="1">
      <c r="A181" t="s">
        <v>224</v>
      </c>
      <c r="B181" s="245">
        <v>41016</v>
      </c>
      <c r="C181" s="126">
        <v>189.9</v>
      </c>
      <c r="D181" s="126">
        <v>189.5</v>
      </c>
      <c r="E181" s="126">
        <v>188.5</v>
      </c>
      <c r="G181" s="321">
        <v>0.82086000000000003</v>
      </c>
      <c r="H181" s="123">
        <f t="shared" si="8"/>
        <v>706.51025442924947</v>
      </c>
      <c r="I181" s="123">
        <f t="shared" si="9"/>
        <v>705.02208117084126</v>
      </c>
      <c r="J181" s="123">
        <f t="shared" si="10"/>
        <v>701.30164802482113</v>
      </c>
      <c r="K181" s="123"/>
      <c r="L181" s="176">
        <f t="shared" si="11"/>
        <v>704.27799454163733</v>
      </c>
      <c r="M181" s="227"/>
      <c r="N181" s="275"/>
    </row>
    <row r="182" spans="1:14" ht="21.75" customHeight="1">
      <c r="A182" t="s">
        <v>225</v>
      </c>
      <c r="B182" s="245">
        <v>41018</v>
      </c>
      <c r="C182" s="126">
        <v>90.4</v>
      </c>
      <c r="D182" s="126">
        <v>90.5</v>
      </c>
      <c r="E182" s="126">
        <v>91</v>
      </c>
      <c r="G182" s="321">
        <v>0.82086000000000003</v>
      </c>
      <c r="H182" s="123">
        <f t="shared" si="8"/>
        <v>336.32715640023247</v>
      </c>
      <c r="I182" s="123">
        <f t="shared" si="9"/>
        <v>336.69919971483449</v>
      </c>
      <c r="J182" s="123">
        <f t="shared" si="10"/>
        <v>338.55941628784467</v>
      </c>
      <c r="K182" s="123"/>
      <c r="L182" s="176">
        <f t="shared" si="11"/>
        <v>337.19525746763719</v>
      </c>
      <c r="M182" s="227"/>
      <c r="N182" s="275"/>
    </row>
    <row r="183" spans="1:14" ht="21.75" customHeight="1">
      <c r="A183" t="s">
        <v>228</v>
      </c>
      <c r="B183" s="245">
        <v>41018</v>
      </c>
      <c r="C183" s="126">
        <v>103.7</v>
      </c>
      <c r="D183" s="126">
        <v>103.6</v>
      </c>
      <c r="E183" s="126">
        <v>104</v>
      </c>
      <c r="G183" s="321">
        <v>0.82086000000000003</v>
      </c>
      <c r="H183" s="123">
        <f t="shared" si="8"/>
        <v>385.80891724230207</v>
      </c>
      <c r="I183" s="123">
        <f t="shared" si="9"/>
        <v>385.43687392770005</v>
      </c>
      <c r="J183" s="123">
        <f t="shared" si="10"/>
        <v>386.9250471861082</v>
      </c>
      <c r="K183" s="123"/>
      <c r="L183" s="176">
        <f t="shared" si="11"/>
        <v>386.05694611870348</v>
      </c>
      <c r="M183" s="227"/>
      <c r="N183" s="275"/>
    </row>
    <row r="184" spans="1:14" ht="21.75" customHeight="1">
      <c r="A184" t="s">
        <v>230</v>
      </c>
      <c r="B184" s="245">
        <v>41018</v>
      </c>
      <c r="C184" s="126">
        <v>95.4</v>
      </c>
      <c r="D184" s="126">
        <v>95.2</v>
      </c>
      <c r="E184" s="126">
        <v>95.4</v>
      </c>
      <c r="G184" s="321">
        <v>0.82086000000000003</v>
      </c>
      <c r="H184" s="123">
        <f t="shared" si="8"/>
        <v>354.92932213033384</v>
      </c>
      <c r="I184" s="123">
        <f t="shared" si="9"/>
        <v>354.18523550112974</v>
      </c>
      <c r="J184" s="123">
        <f t="shared" si="10"/>
        <v>354.92932213033384</v>
      </c>
      <c r="K184" s="123"/>
      <c r="L184" s="176">
        <f t="shared" si="11"/>
        <v>354.68129325393255</v>
      </c>
      <c r="M184" s="227"/>
      <c r="N184" s="275"/>
    </row>
    <row r="185" spans="1:14" ht="21.75" customHeight="1">
      <c r="A185" t="s">
        <v>231</v>
      </c>
      <c r="B185" s="245">
        <v>41018</v>
      </c>
      <c r="C185" s="126">
        <v>88.5</v>
      </c>
      <c r="D185" s="126">
        <v>88.4</v>
      </c>
      <c r="E185" s="126">
        <v>88.9</v>
      </c>
      <c r="G185" s="321">
        <v>0.82086000000000003</v>
      </c>
      <c r="H185" s="123">
        <f t="shared" si="8"/>
        <v>329.25833342279395</v>
      </c>
      <c r="I185" s="123">
        <f t="shared" si="9"/>
        <v>328.88629010819199</v>
      </c>
      <c r="J185" s="123">
        <f t="shared" si="10"/>
        <v>330.74650668120211</v>
      </c>
      <c r="K185" s="123"/>
      <c r="L185" s="176">
        <f t="shared" si="11"/>
        <v>329.63037673739603</v>
      </c>
      <c r="M185" s="227"/>
      <c r="N185" s="275"/>
    </row>
    <row r="186" spans="1:14" ht="21.75" customHeight="1">
      <c r="A186" t="s">
        <v>232</v>
      </c>
      <c r="B186" s="245">
        <v>41018</v>
      </c>
      <c r="C186" s="126">
        <v>31.1</v>
      </c>
      <c r="D186" s="126">
        <v>31.2</v>
      </c>
      <c r="E186" s="126">
        <v>31.5</v>
      </c>
      <c r="G186" s="321">
        <v>0.7873</v>
      </c>
      <c r="H186" s="123">
        <f t="shared" si="8"/>
        <v>110.97497404344311</v>
      </c>
      <c r="I186" s="123">
        <f t="shared" si="9"/>
        <v>111.33180675740915</v>
      </c>
      <c r="J186" s="123">
        <f t="shared" si="10"/>
        <v>112.40230489930731</v>
      </c>
      <c r="K186" s="123"/>
      <c r="L186" s="176">
        <f t="shared" si="11"/>
        <v>111.56969523338653</v>
      </c>
      <c r="M186" s="432">
        <f>AVERAGE(L186:L189)</f>
        <v>111.51022311439218</v>
      </c>
      <c r="N186" s="433">
        <f>(MAX(L186:L189)-MIN(L186:L189))/(2*M186)</f>
        <v>1.5466666666666554E-2</v>
      </c>
    </row>
    <row r="187" spans="1:14" ht="21.75" customHeight="1">
      <c r="A187" t="s">
        <v>233</v>
      </c>
      <c r="B187" s="245">
        <v>41018</v>
      </c>
      <c r="C187" s="126">
        <v>30.8</v>
      </c>
      <c r="D187" s="126">
        <v>30.8</v>
      </c>
      <c r="E187" s="126">
        <v>30.9</v>
      </c>
      <c r="G187" s="321">
        <v>0.7873</v>
      </c>
      <c r="H187" s="123">
        <f t="shared" si="8"/>
        <v>109.90447590154494</v>
      </c>
      <c r="I187" s="123">
        <f t="shared" si="9"/>
        <v>109.90447590154494</v>
      </c>
      <c r="J187" s="123">
        <f t="shared" si="10"/>
        <v>110.26130861551098</v>
      </c>
      <c r="K187" s="123"/>
      <c r="L187" s="176">
        <f t="shared" si="11"/>
        <v>110.02342013953363</v>
      </c>
      <c r="M187" s="432"/>
      <c r="N187" s="433"/>
    </row>
    <row r="188" spans="1:14" ht="21.75" customHeight="1">
      <c r="A188" t="s">
        <v>234</v>
      </c>
      <c r="B188" s="245">
        <v>41018</v>
      </c>
      <c r="C188" s="126">
        <v>31</v>
      </c>
      <c r="D188" s="126">
        <v>31.3</v>
      </c>
      <c r="E188" s="126">
        <v>31</v>
      </c>
      <c r="G188" s="321">
        <v>0.7873</v>
      </c>
      <c r="H188" s="123">
        <f t="shared" si="8"/>
        <v>110.61814132947706</v>
      </c>
      <c r="I188" s="123">
        <f t="shared" si="9"/>
        <v>111.68863947137523</v>
      </c>
      <c r="J188" s="123">
        <f t="shared" si="10"/>
        <v>110.61814132947706</v>
      </c>
      <c r="K188" s="123"/>
      <c r="L188" s="176">
        <f t="shared" si="11"/>
        <v>110.97497404344311</v>
      </c>
      <c r="M188" s="432"/>
      <c r="N188" s="433"/>
    </row>
    <row r="189" spans="1:14" ht="21.75" customHeight="1">
      <c r="A189" t="s">
        <v>235</v>
      </c>
      <c r="B189" s="245">
        <v>41018</v>
      </c>
      <c r="C189" s="126">
        <v>31.7</v>
      </c>
      <c r="D189" s="126">
        <v>31.8</v>
      </c>
      <c r="E189" s="126">
        <v>31.9</v>
      </c>
      <c r="G189" s="321">
        <v>0.7873</v>
      </c>
      <c r="H189" s="123">
        <f t="shared" si="8"/>
        <v>113.11597032723942</v>
      </c>
      <c r="I189" s="123">
        <f t="shared" si="9"/>
        <v>113.47280304120548</v>
      </c>
      <c r="J189" s="123">
        <f t="shared" si="10"/>
        <v>113.82963575517154</v>
      </c>
      <c r="K189" s="123"/>
      <c r="L189" s="176">
        <f t="shared" si="11"/>
        <v>113.47280304120547</v>
      </c>
      <c r="M189" s="432"/>
      <c r="N189" s="433"/>
    </row>
    <row r="190" spans="1:14" ht="21.75" customHeight="1">
      <c r="A190" t="s">
        <v>236</v>
      </c>
      <c r="B190" s="245">
        <v>41019</v>
      </c>
      <c r="C190" s="126">
        <v>18.399999999999999</v>
      </c>
      <c r="D190" s="126">
        <v>18.600000000000001</v>
      </c>
      <c r="E190" s="126">
        <v>18.5</v>
      </c>
      <c r="G190" s="321">
        <v>0.7873</v>
      </c>
      <c r="H190" s="123">
        <f t="shared" si="8"/>
        <v>65.657219369754117</v>
      </c>
      <c r="I190" s="123">
        <f t="shared" si="9"/>
        <v>66.37088479768623</v>
      </c>
      <c r="J190" s="123">
        <f t="shared" si="10"/>
        <v>66.014052083720173</v>
      </c>
      <c r="K190" s="123"/>
      <c r="L190" s="176">
        <f t="shared" si="11"/>
        <v>66.014052083720173</v>
      </c>
      <c r="M190" s="432">
        <f>AVERAGE(L190:L193)</f>
        <v>66.132996321708845</v>
      </c>
      <c r="N190" s="433">
        <f>(MAX(L190:L193)-MIN(L190:L193))/(2*M190)</f>
        <v>1.7985611510791459E-3</v>
      </c>
    </row>
    <row r="191" spans="1:14" ht="21.75" customHeight="1">
      <c r="A191" t="s">
        <v>237</v>
      </c>
      <c r="B191" s="245">
        <v>41019</v>
      </c>
      <c r="C191" s="126">
        <v>18.600000000000001</v>
      </c>
      <c r="D191" s="126">
        <v>18.399999999999999</v>
      </c>
      <c r="E191" s="126">
        <v>18.600000000000001</v>
      </c>
      <c r="G191" s="321">
        <v>0.7873</v>
      </c>
      <c r="H191" s="123">
        <f t="shared" si="8"/>
        <v>66.37088479768623</v>
      </c>
      <c r="I191" s="123">
        <f t="shared" si="9"/>
        <v>65.657219369754117</v>
      </c>
      <c r="J191" s="123">
        <f t="shared" si="10"/>
        <v>66.37088479768623</v>
      </c>
      <c r="K191" s="123"/>
      <c r="L191" s="176">
        <f t="shared" si="11"/>
        <v>66.132996321708859</v>
      </c>
      <c r="M191" s="432"/>
      <c r="N191" s="433"/>
    </row>
    <row r="192" spans="1:14" ht="21.75" customHeight="1">
      <c r="A192" t="s">
        <v>238</v>
      </c>
      <c r="B192" s="245">
        <v>41019</v>
      </c>
      <c r="C192" s="126">
        <v>18.399999999999999</v>
      </c>
      <c r="D192" s="126">
        <v>18.5</v>
      </c>
      <c r="E192" s="126">
        <v>18.7</v>
      </c>
      <c r="G192" s="321">
        <v>0.7873</v>
      </c>
      <c r="H192" s="123">
        <f t="shared" si="8"/>
        <v>65.657219369754117</v>
      </c>
      <c r="I192" s="123">
        <f t="shared" si="9"/>
        <v>66.014052083720173</v>
      </c>
      <c r="J192" s="123">
        <f t="shared" si="10"/>
        <v>66.727717511652273</v>
      </c>
      <c r="K192" s="123"/>
      <c r="L192" s="176">
        <f t="shared" si="11"/>
        <v>66.132996321708845</v>
      </c>
      <c r="M192" s="432"/>
      <c r="N192" s="433"/>
    </row>
    <row r="193" spans="1:14" ht="21.75" customHeight="1">
      <c r="A193" t="s">
        <v>239</v>
      </c>
      <c r="B193" s="245">
        <v>41019</v>
      </c>
      <c r="C193" s="126">
        <v>18.600000000000001</v>
      </c>
      <c r="D193" s="126">
        <v>18.600000000000001</v>
      </c>
      <c r="E193" s="126">
        <v>18.5</v>
      </c>
      <c r="G193" s="321">
        <v>0.7873</v>
      </c>
      <c r="H193" s="123">
        <f t="shared" si="8"/>
        <v>66.37088479768623</v>
      </c>
      <c r="I193" s="123">
        <f t="shared" si="9"/>
        <v>66.37088479768623</v>
      </c>
      <c r="J193" s="123">
        <f t="shared" si="10"/>
        <v>66.014052083720173</v>
      </c>
      <c r="K193" s="123"/>
      <c r="L193" s="176">
        <f t="shared" si="11"/>
        <v>66.251940559697545</v>
      </c>
      <c r="M193" s="432"/>
      <c r="N193" s="433"/>
    </row>
    <row r="194" spans="1:14" ht="21.75" customHeight="1">
      <c r="A194" t="s">
        <v>240</v>
      </c>
      <c r="B194" s="245">
        <v>41019</v>
      </c>
      <c r="C194" s="126">
        <v>20</v>
      </c>
      <c r="D194" s="126">
        <v>20.3</v>
      </c>
      <c r="E194" s="126">
        <v>20.3</v>
      </c>
      <c r="G194" s="321">
        <v>0.7873</v>
      </c>
      <c r="H194" s="123">
        <f t="shared" ref="H194:H257" si="12">(C194*(PI()/LN(2)))*$G194</f>
        <v>71.366542793210996</v>
      </c>
      <c r="I194" s="123">
        <f t="shared" ref="I194:I257" si="13">(D194*(PI()/LN(2)))*$G194</f>
        <v>72.437040935109167</v>
      </c>
      <c r="J194" s="123">
        <f t="shared" ref="J194:J257" si="14">(E194*(PI()/LN(2)))*$G194</f>
        <v>72.437040935109167</v>
      </c>
      <c r="K194" s="123"/>
      <c r="L194" s="176">
        <f t="shared" ref="L194:L257" si="15">AVERAGE(H194:J194)</f>
        <v>72.08020822114311</v>
      </c>
      <c r="M194" s="432">
        <f>AVERAGE(L194:L197)</f>
        <v>70.771821603267568</v>
      </c>
      <c r="N194" s="433">
        <f>(MAX(L194:L197)-MIN(L194:L197))/(2*M194)</f>
        <v>2.8571428571428616E-2</v>
      </c>
    </row>
    <row r="195" spans="1:14" ht="21.75" customHeight="1">
      <c r="A195" t="s">
        <v>241</v>
      </c>
      <c r="B195" s="245">
        <v>41019</v>
      </c>
      <c r="C195" s="126">
        <v>19.600000000000001</v>
      </c>
      <c r="D195" s="126">
        <v>19.600000000000001</v>
      </c>
      <c r="E195" s="126">
        <v>19.600000000000001</v>
      </c>
      <c r="G195" s="321">
        <v>0.7873</v>
      </c>
      <c r="H195" s="123">
        <f t="shared" si="12"/>
        <v>69.939211937346784</v>
      </c>
      <c r="I195" s="123">
        <f t="shared" si="13"/>
        <v>69.939211937346784</v>
      </c>
      <c r="J195" s="123">
        <f t="shared" si="14"/>
        <v>69.939211937346784</v>
      </c>
      <c r="K195" s="123"/>
      <c r="L195" s="176">
        <f t="shared" si="15"/>
        <v>69.939211937346784</v>
      </c>
      <c r="M195" s="432"/>
      <c r="N195" s="433"/>
    </row>
    <row r="196" spans="1:14" ht="21.75" customHeight="1">
      <c r="A196" t="s">
        <v>242</v>
      </c>
      <c r="B196" s="245">
        <v>41019</v>
      </c>
      <c r="C196" s="126">
        <v>19.2</v>
      </c>
      <c r="D196" s="126">
        <v>19.2</v>
      </c>
      <c r="E196" s="126">
        <v>19.2</v>
      </c>
      <c r="G196" s="321">
        <v>0.7873</v>
      </c>
      <c r="H196" s="123">
        <f t="shared" si="12"/>
        <v>68.511881081482557</v>
      </c>
      <c r="I196" s="123">
        <f t="shared" si="13"/>
        <v>68.511881081482557</v>
      </c>
      <c r="J196" s="123">
        <f t="shared" si="14"/>
        <v>68.511881081482557</v>
      </c>
      <c r="K196" s="123"/>
      <c r="L196" s="176">
        <f t="shared" si="15"/>
        <v>68.511881081482557</v>
      </c>
      <c r="M196" s="432"/>
      <c r="N196" s="433"/>
    </row>
    <row r="197" spans="1:14" ht="21.75" customHeight="1">
      <c r="A197" t="s">
        <v>243</v>
      </c>
      <c r="B197" s="245">
        <v>41019</v>
      </c>
      <c r="C197" s="126">
        <v>20.399999999999999</v>
      </c>
      <c r="D197" s="126">
        <v>20.3</v>
      </c>
      <c r="E197" s="126">
        <v>20.3</v>
      </c>
      <c r="G197" s="321">
        <v>0.7873</v>
      </c>
      <c r="H197" s="123">
        <f t="shared" si="12"/>
        <v>72.793873649075209</v>
      </c>
      <c r="I197" s="123">
        <f t="shared" si="13"/>
        <v>72.437040935109167</v>
      </c>
      <c r="J197" s="123">
        <f t="shared" si="14"/>
        <v>72.437040935109167</v>
      </c>
      <c r="K197" s="123"/>
      <c r="L197" s="176">
        <f t="shared" si="15"/>
        <v>72.555985173097852</v>
      </c>
      <c r="M197" s="432"/>
      <c r="N197" s="433"/>
    </row>
    <row r="198" spans="1:14" ht="21.75" customHeight="1">
      <c r="A198" t="s">
        <v>245</v>
      </c>
      <c r="B198" s="245">
        <v>41022</v>
      </c>
      <c r="C198" s="126">
        <v>17.5</v>
      </c>
      <c r="D198" s="126">
        <v>17.600000000000001</v>
      </c>
      <c r="E198" s="126">
        <v>17.7</v>
      </c>
      <c r="G198" s="321">
        <v>0.7873</v>
      </c>
      <c r="H198" s="123">
        <f t="shared" si="12"/>
        <v>62.44572494405962</v>
      </c>
      <c r="I198" s="123">
        <f t="shared" si="13"/>
        <v>62.802557658025677</v>
      </c>
      <c r="J198" s="123">
        <f t="shared" si="14"/>
        <v>63.159390371991734</v>
      </c>
      <c r="K198" s="123"/>
      <c r="L198" s="176">
        <f t="shared" si="15"/>
        <v>62.802557658025677</v>
      </c>
      <c r="M198" s="432">
        <f>AVERAGE(L198:L201)</f>
        <v>64.675929406347464</v>
      </c>
      <c r="N198" s="433">
        <f>(MAX(L198:L201)-MIN(L198:L201))/(2*M198)</f>
        <v>2.9425287356321876E-2</v>
      </c>
    </row>
    <row r="199" spans="1:14" ht="21.75" customHeight="1">
      <c r="A199" t="s">
        <v>246</v>
      </c>
      <c r="B199" s="245">
        <v>41022</v>
      </c>
      <c r="C199" s="126">
        <v>17.899999999999999</v>
      </c>
      <c r="D199" s="126">
        <v>17.899999999999999</v>
      </c>
      <c r="E199" s="126">
        <v>17.899999999999999</v>
      </c>
      <c r="G199" s="321">
        <v>0.7873</v>
      </c>
      <c r="H199" s="123">
        <f t="shared" si="12"/>
        <v>63.87305579992384</v>
      </c>
      <c r="I199" s="123">
        <f t="shared" si="13"/>
        <v>63.87305579992384</v>
      </c>
      <c r="J199" s="123">
        <f t="shared" si="14"/>
        <v>63.87305579992384</v>
      </c>
      <c r="K199" s="123"/>
      <c r="L199" s="176">
        <f t="shared" si="15"/>
        <v>63.87305579992384</v>
      </c>
      <c r="M199" s="432"/>
      <c r="N199" s="433"/>
    </row>
    <row r="200" spans="1:14" ht="21.75" customHeight="1">
      <c r="A200" t="s">
        <v>247</v>
      </c>
      <c r="B200" s="245">
        <v>41022</v>
      </c>
      <c r="C200" s="126">
        <v>18.3</v>
      </c>
      <c r="D200" s="126">
        <v>18.399999999999999</v>
      </c>
      <c r="E200" s="126">
        <v>18.3</v>
      </c>
      <c r="G200" s="321">
        <v>0.7873</v>
      </c>
      <c r="H200" s="123">
        <f t="shared" si="12"/>
        <v>65.30038665578806</v>
      </c>
      <c r="I200" s="123">
        <f t="shared" si="13"/>
        <v>65.657219369754117</v>
      </c>
      <c r="J200" s="123">
        <f t="shared" si="14"/>
        <v>65.30038665578806</v>
      </c>
      <c r="K200" s="123"/>
      <c r="L200" s="176">
        <f t="shared" si="15"/>
        <v>65.419330893776745</v>
      </c>
      <c r="M200" s="432"/>
      <c r="N200" s="433"/>
    </row>
    <row r="201" spans="1:14" ht="21.75" customHeight="1">
      <c r="A201" t="s">
        <v>249</v>
      </c>
      <c r="B201" s="245">
        <v>41022</v>
      </c>
      <c r="C201" s="126">
        <v>18.5</v>
      </c>
      <c r="D201" s="126">
        <v>18.5</v>
      </c>
      <c r="E201" s="126">
        <v>19</v>
      </c>
      <c r="G201" s="321">
        <v>0.7873</v>
      </c>
      <c r="H201" s="123">
        <f t="shared" si="12"/>
        <v>66.014052083720173</v>
      </c>
      <c r="I201" s="123">
        <f t="shared" si="13"/>
        <v>66.014052083720173</v>
      </c>
      <c r="J201" s="123">
        <f t="shared" si="14"/>
        <v>67.798215653550443</v>
      </c>
      <c r="K201" s="123"/>
      <c r="L201" s="176">
        <f t="shared" si="15"/>
        <v>66.608773273663601</v>
      </c>
      <c r="M201" s="432"/>
      <c r="N201" s="433"/>
    </row>
    <row r="202" spans="1:14" ht="21.75" customHeight="1">
      <c r="A202" t="s">
        <v>250</v>
      </c>
      <c r="B202" s="245">
        <v>41024</v>
      </c>
      <c r="C202" s="126">
        <v>13.8</v>
      </c>
      <c r="D202" s="126">
        <v>13.3</v>
      </c>
      <c r="E202" s="126">
        <v>13.6</v>
      </c>
      <c r="G202" s="321">
        <v>0.7873</v>
      </c>
      <c r="H202" s="123">
        <f t="shared" si="12"/>
        <v>49.242914527315591</v>
      </c>
      <c r="I202" s="123">
        <f t="shared" si="13"/>
        <v>47.458750957485314</v>
      </c>
      <c r="J202" s="123">
        <f t="shared" si="14"/>
        <v>48.529249099383478</v>
      </c>
      <c r="K202" s="123"/>
      <c r="L202" s="176">
        <f t="shared" si="15"/>
        <v>48.410304861394799</v>
      </c>
      <c r="M202" s="432">
        <f>AVERAGE(L202:L205)</f>
        <v>47.904791849942882</v>
      </c>
      <c r="N202" s="433">
        <f>(MAX(L202:L205)-MIN(L202:L205))/(2*M202)</f>
        <v>7.4487895716947106E-3</v>
      </c>
    </row>
    <row r="203" spans="1:14" ht="21.75" customHeight="1">
      <c r="A203" t="s">
        <v>251</v>
      </c>
      <c r="B203" s="245">
        <v>41024</v>
      </c>
      <c r="C203" s="126">
        <v>13.4</v>
      </c>
      <c r="D203" s="126">
        <v>13.3</v>
      </c>
      <c r="E203" s="126">
        <v>13.4</v>
      </c>
      <c r="G203" s="321">
        <v>0.7873</v>
      </c>
      <c r="H203" s="123">
        <f t="shared" si="12"/>
        <v>47.815583671451371</v>
      </c>
      <c r="I203" s="123">
        <f t="shared" si="13"/>
        <v>47.458750957485314</v>
      </c>
      <c r="J203" s="123">
        <f t="shared" si="14"/>
        <v>47.815583671451371</v>
      </c>
      <c r="K203" s="123"/>
      <c r="L203" s="176">
        <f t="shared" si="15"/>
        <v>47.696639433462686</v>
      </c>
      <c r="M203" s="432"/>
      <c r="N203" s="433"/>
    </row>
    <row r="204" spans="1:14" ht="21.75" customHeight="1">
      <c r="A204" t="s">
        <v>252</v>
      </c>
      <c r="B204" s="245">
        <v>41024</v>
      </c>
      <c r="C204" s="126">
        <v>13.4</v>
      </c>
      <c r="D204" s="126">
        <v>13.4</v>
      </c>
      <c r="E204" s="126">
        <v>13.4</v>
      </c>
      <c r="G204" s="321">
        <v>0.7873</v>
      </c>
      <c r="H204" s="123">
        <f t="shared" si="12"/>
        <v>47.815583671451371</v>
      </c>
      <c r="I204" s="123">
        <f t="shared" si="13"/>
        <v>47.815583671451371</v>
      </c>
      <c r="J204" s="123">
        <f t="shared" si="14"/>
        <v>47.815583671451371</v>
      </c>
      <c r="K204" s="123"/>
      <c r="L204" s="176">
        <f t="shared" si="15"/>
        <v>47.815583671451371</v>
      </c>
      <c r="M204" s="432"/>
      <c r="N204" s="433"/>
    </row>
    <row r="205" spans="1:14" ht="21.75" customHeight="1">
      <c r="A205" t="s">
        <v>253</v>
      </c>
      <c r="B205" s="245">
        <v>41024</v>
      </c>
      <c r="C205" s="126">
        <v>13.4</v>
      </c>
      <c r="D205" s="126">
        <v>13.2</v>
      </c>
      <c r="E205" s="126">
        <v>13.5</v>
      </c>
      <c r="G205" s="321">
        <v>0.7873</v>
      </c>
      <c r="H205" s="123">
        <f t="shared" si="12"/>
        <v>47.815583671451371</v>
      </c>
      <c r="I205" s="123">
        <f t="shared" si="13"/>
        <v>47.101918243519258</v>
      </c>
      <c r="J205" s="123">
        <f t="shared" si="14"/>
        <v>48.172416385417421</v>
      </c>
      <c r="K205" s="123"/>
      <c r="L205" s="176">
        <f t="shared" si="15"/>
        <v>47.696639433462678</v>
      </c>
      <c r="M205" s="432"/>
      <c r="N205" s="433"/>
    </row>
    <row r="206" spans="1:14" ht="21.75" customHeight="1">
      <c r="A206" t="s">
        <v>254</v>
      </c>
      <c r="B206" s="245">
        <v>41024</v>
      </c>
      <c r="C206" s="126">
        <v>44.7</v>
      </c>
      <c r="D206" s="126">
        <v>45.1</v>
      </c>
      <c r="E206" s="126">
        <v>45</v>
      </c>
      <c r="G206" s="321">
        <v>0.7873</v>
      </c>
      <c r="H206" s="123">
        <f t="shared" si="12"/>
        <v>159.50422314282662</v>
      </c>
      <c r="I206" s="123">
        <f t="shared" si="13"/>
        <v>160.93155399869082</v>
      </c>
      <c r="J206" s="123">
        <f t="shared" si="14"/>
        <v>160.57472128472475</v>
      </c>
      <c r="K206" s="123"/>
      <c r="L206" s="176">
        <f t="shared" si="15"/>
        <v>160.3368328087474</v>
      </c>
      <c r="M206" s="432">
        <f>AVERAGE(L206:L209)</f>
        <v>164.1906261195808</v>
      </c>
      <c r="N206" s="433">
        <f>(MAX(L206:L209)-MIN(L206:L209))/(2*M206)</f>
        <v>3.4410315850478074E-2</v>
      </c>
    </row>
    <row r="207" spans="1:14" ht="21.75" customHeight="1">
      <c r="A207" t="s">
        <v>255</v>
      </c>
      <c r="B207" s="245">
        <v>41024</v>
      </c>
      <c r="C207" s="126">
        <v>45.7</v>
      </c>
      <c r="D207" s="126">
        <v>45.1</v>
      </c>
      <c r="E207" s="126">
        <v>45.5</v>
      </c>
      <c r="G207" s="321">
        <v>0.7873</v>
      </c>
      <c r="H207" s="123">
        <f t="shared" si="12"/>
        <v>163.07255028248716</v>
      </c>
      <c r="I207" s="123">
        <f t="shared" si="13"/>
        <v>160.93155399869082</v>
      </c>
      <c r="J207" s="123">
        <f t="shared" si="14"/>
        <v>162.35888485455504</v>
      </c>
      <c r="K207" s="123"/>
      <c r="L207" s="176">
        <f t="shared" si="15"/>
        <v>162.1209963785777</v>
      </c>
      <c r="M207" s="432"/>
      <c r="N207" s="433"/>
    </row>
    <row r="208" spans="1:14" ht="21.75" customHeight="1">
      <c r="A208" t="s">
        <v>256</v>
      </c>
      <c r="B208" s="245">
        <v>41024</v>
      </c>
      <c r="C208" s="126">
        <v>48.7</v>
      </c>
      <c r="D208" s="126">
        <v>48</v>
      </c>
      <c r="E208" s="126">
        <v>47.6</v>
      </c>
      <c r="G208" s="321">
        <v>0.7873</v>
      </c>
      <c r="H208" s="123">
        <f t="shared" si="12"/>
        <v>173.7775317014688</v>
      </c>
      <c r="I208" s="123">
        <f t="shared" si="13"/>
        <v>171.27970270370639</v>
      </c>
      <c r="J208" s="123">
        <f t="shared" si="14"/>
        <v>169.85237184784216</v>
      </c>
      <c r="K208" s="123"/>
      <c r="L208" s="176">
        <f t="shared" si="15"/>
        <v>171.63653541767246</v>
      </c>
      <c r="M208" s="432"/>
      <c r="N208" s="433"/>
    </row>
    <row r="209" spans="1:14" ht="21.75" customHeight="1">
      <c r="A209" t="s">
        <v>257</v>
      </c>
      <c r="B209" s="245">
        <v>41024</v>
      </c>
      <c r="C209" s="126">
        <v>45.7</v>
      </c>
      <c r="D209" s="126">
        <v>46</v>
      </c>
      <c r="E209" s="126">
        <v>45.06</v>
      </c>
      <c r="G209" s="321">
        <v>0.7873</v>
      </c>
      <c r="H209" s="123">
        <f t="shared" si="12"/>
        <v>163.07255028248716</v>
      </c>
      <c r="I209" s="123">
        <f t="shared" si="13"/>
        <v>164.14304842438528</v>
      </c>
      <c r="J209" s="123">
        <f t="shared" si="14"/>
        <v>160.78882091310439</v>
      </c>
      <c r="K209" s="123"/>
      <c r="L209" s="176">
        <f t="shared" si="15"/>
        <v>162.6681398733256</v>
      </c>
      <c r="M209" s="432"/>
      <c r="N209" s="433"/>
    </row>
    <row r="210" spans="1:14" ht="21.75" customHeight="1">
      <c r="A210" t="s">
        <v>259</v>
      </c>
      <c r="B210" s="245">
        <v>41025</v>
      </c>
      <c r="C210" s="126">
        <v>488.1</v>
      </c>
      <c r="D210" s="126">
        <v>490</v>
      </c>
      <c r="E210" s="126">
        <v>492.7</v>
      </c>
      <c r="G210" s="321">
        <v>0.7873</v>
      </c>
      <c r="H210" s="123">
        <f t="shared" si="12"/>
        <v>1741.7004768683146</v>
      </c>
      <c r="I210" s="123">
        <f t="shared" si="13"/>
        <v>1748.4802984336695</v>
      </c>
      <c r="J210" s="123">
        <f t="shared" si="14"/>
        <v>1758.1147817107528</v>
      </c>
      <c r="K210" s="123"/>
      <c r="L210" s="176">
        <f t="shared" si="15"/>
        <v>1749.4318523375789</v>
      </c>
      <c r="M210" s="432">
        <f>AVERAGE(L210:L213)</f>
        <v>1540.2089377154821</v>
      </c>
      <c r="N210" s="433">
        <f>(MAX(L210:L213)-MIN(L210:L213))/(2*M210)</f>
        <v>9.4988029963703799E-2</v>
      </c>
    </row>
    <row r="211" spans="1:14" ht="21.75" customHeight="1">
      <c r="A211" t="s">
        <v>260</v>
      </c>
      <c r="B211" s="245">
        <v>41025</v>
      </c>
      <c r="C211" s="126">
        <v>403.7</v>
      </c>
      <c r="D211" s="126">
        <v>410</v>
      </c>
      <c r="E211" s="126">
        <v>411.1</v>
      </c>
      <c r="G211" s="321">
        <v>0.7873</v>
      </c>
      <c r="H211" s="123">
        <f t="shared" si="12"/>
        <v>1440.5336662809639</v>
      </c>
      <c r="I211" s="123">
        <f t="shared" si="13"/>
        <v>1463.0141272608255</v>
      </c>
      <c r="J211" s="123">
        <f t="shared" si="14"/>
        <v>1466.9392871144521</v>
      </c>
      <c r="K211" s="123"/>
      <c r="L211" s="176">
        <f t="shared" si="15"/>
        <v>1456.8290268854137</v>
      </c>
      <c r="M211" s="432"/>
      <c r="N211" s="433"/>
    </row>
    <row r="212" spans="1:14" ht="21.75" customHeight="1">
      <c r="A212" t="s">
        <v>261</v>
      </c>
      <c r="B212" s="245">
        <v>41025</v>
      </c>
      <c r="C212" s="126">
        <v>415.5</v>
      </c>
      <c r="D212" s="126">
        <v>421.3</v>
      </c>
      <c r="E212" s="126">
        <v>413.2</v>
      </c>
      <c r="G212" s="321">
        <v>0.7873</v>
      </c>
      <c r="H212" s="123">
        <f t="shared" si="12"/>
        <v>1482.6399265289585</v>
      </c>
      <c r="I212" s="123">
        <f t="shared" si="13"/>
        <v>1503.3362239389896</v>
      </c>
      <c r="J212" s="123">
        <f t="shared" si="14"/>
        <v>1474.4327741077391</v>
      </c>
      <c r="K212" s="123"/>
      <c r="L212" s="176">
        <f t="shared" si="15"/>
        <v>1486.8029748585625</v>
      </c>
      <c r="M212" s="432"/>
      <c r="N212" s="433"/>
    </row>
    <row r="213" spans="1:14" ht="21.75" customHeight="1">
      <c r="A213" t="s">
        <v>262</v>
      </c>
      <c r="B213" s="245">
        <v>41025</v>
      </c>
      <c r="C213" s="126">
        <v>413</v>
      </c>
      <c r="D213" s="126">
        <v>411</v>
      </c>
      <c r="E213" s="126">
        <v>410</v>
      </c>
      <c r="G213" s="321">
        <v>0.7873</v>
      </c>
      <c r="H213" s="123">
        <f t="shared" si="12"/>
        <v>1473.7191086798073</v>
      </c>
      <c r="I213" s="123">
        <f t="shared" si="13"/>
        <v>1466.5824544004861</v>
      </c>
      <c r="J213" s="123">
        <f t="shared" si="14"/>
        <v>1463.0141272608255</v>
      </c>
      <c r="K213" s="123"/>
      <c r="L213" s="176">
        <f t="shared" si="15"/>
        <v>1467.771896780373</v>
      </c>
      <c r="M213" s="432"/>
      <c r="N213" s="433"/>
    </row>
    <row r="214" spans="1:14" ht="21.75" customHeight="1">
      <c r="A214" t="s">
        <v>263</v>
      </c>
      <c r="B214" s="245">
        <v>41026</v>
      </c>
      <c r="C214" s="126">
        <v>206.9</v>
      </c>
      <c r="D214" s="126">
        <v>207.3</v>
      </c>
      <c r="E214" s="126">
        <v>206.6</v>
      </c>
      <c r="G214" s="321">
        <v>0.7873</v>
      </c>
      <c r="H214" s="123">
        <f t="shared" si="12"/>
        <v>738.28688519576781</v>
      </c>
      <c r="I214" s="123">
        <f t="shared" si="13"/>
        <v>739.71421605163209</v>
      </c>
      <c r="J214" s="123">
        <f t="shared" si="14"/>
        <v>737.21638705386954</v>
      </c>
      <c r="K214" s="123"/>
      <c r="L214" s="176">
        <f t="shared" si="15"/>
        <v>738.40582943375648</v>
      </c>
      <c r="M214" s="432">
        <f>AVERAGE(L214:L217)</f>
        <v>637.8682122738204</v>
      </c>
      <c r="N214" s="433">
        <f>(MAX(L214:L217)-MIN(L214:L217))/(2*M214)</f>
        <v>0.13603095426786632</v>
      </c>
    </row>
    <row r="215" spans="1:14" ht="21.75" customHeight="1">
      <c r="A215" t="s">
        <v>264</v>
      </c>
      <c r="B215" s="245">
        <v>41026</v>
      </c>
      <c r="C215" s="126">
        <v>159.30000000000001</v>
      </c>
      <c r="D215" s="126">
        <v>157.6</v>
      </c>
      <c r="E215" s="126">
        <v>158</v>
      </c>
      <c r="G215" s="321">
        <v>0.7873</v>
      </c>
      <c r="H215" s="123">
        <f t="shared" si="12"/>
        <v>568.43451334792564</v>
      </c>
      <c r="I215" s="123">
        <f t="shared" si="13"/>
        <v>562.36835721050261</v>
      </c>
      <c r="J215" s="123">
        <f t="shared" si="14"/>
        <v>563.79568806636689</v>
      </c>
      <c r="K215" s="123"/>
      <c r="L215" s="176">
        <f t="shared" si="15"/>
        <v>564.86618620826505</v>
      </c>
      <c r="M215" s="432"/>
      <c r="N215" s="433"/>
    </row>
    <row r="216" spans="1:14" ht="21.75" customHeight="1">
      <c r="A216" t="s">
        <v>265</v>
      </c>
      <c r="B216" s="245">
        <v>41026</v>
      </c>
      <c r="C216" s="126">
        <v>168.6</v>
      </c>
      <c r="D216" s="126">
        <v>168.5</v>
      </c>
      <c r="E216" s="126">
        <v>168</v>
      </c>
      <c r="G216" s="321">
        <v>0.7873</v>
      </c>
      <c r="H216" s="123">
        <f t="shared" si="12"/>
        <v>601.61995574676871</v>
      </c>
      <c r="I216" s="123">
        <f t="shared" si="13"/>
        <v>601.2631230328027</v>
      </c>
      <c r="J216" s="123">
        <f t="shared" si="14"/>
        <v>599.4789594629724</v>
      </c>
      <c r="K216" s="123"/>
      <c r="L216" s="176">
        <f t="shared" si="15"/>
        <v>600.7873460808479</v>
      </c>
      <c r="M216" s="432"/>
      <c r="N216" s="433"/>
    </row>
    <row r="217" spans="1:14" ht="21.75" customHeight="1">
      <c r="A217" t="s">
        <v>266</v>
      </c>
      <c r="B217" s="245">
        <v>41026</v>
      </c>
      <c r="C217" s="126">
        <v>180</v>
      </c>
      <c r="D217" s="126">
        <v>182.7</v>
      </c>
      <c r="E217" s="126">
        <v>181.6</v>
      </c>
      <c r="G217" s="321">
        <v>0.7873</v>
      </c>
      <c r="H217" s="123">
        <f t="shared" si="12"/>
        <v>642.29888513889898</v>
      </c>
      <c r="I217" s="123">
        <f t="shared" si="13"/>
        <v>651.93336841598239</v>
      </c>
      <c r="J217" s="123">
        <f t="shared" si="14"/>
        <v>648.00820856235578</v>
      </c>
      <c r="K217" s="123"/>
      <c r="L217" s="176">
        <f t="shared" si="15"/>
        <v>647.41348737241242</v>
      </c>
      <c r="M217" s="432"/>
      <c r="N217" s="433"/>
    </row>
    <row r="218" spans="1:14" ht="21.75" customHeight="1">
      <c r="A218" t="s">
        <v>267</v>
      </c>
      <c r="B218" s="245">
        <v>41026</v>
      </c>
      <c r="C218" s="126">
        <v>19</v>
      </c>
      <c r="D218" s="126">
        <v>18.899999999999999</v>
      </c>
      <c r="E218" s="126">
        <v>19</v>
      </c>
      <c r="G218" s="321">
        <v>0.7873</v>
      </c>
      <c r="H218" s="123">
        <f t="shared" si="12"/>
        <v>67.798215653550443</v>
      </c>
      <c r="I218" s="123">
        <f t="shared" si="13"/>
        <v>67.441382939584386</v>
      </c>
      <c r="J218" s="123">
        <f t="shared" si="14"/>
        <v>67.798215653550443</v>
      </c>
      <c r="K218" s="123"/>
      <c r="L218" s="176">
        <f t="shared" si="15"/>
        <v>67.679271415561757</v>
      </c>
      <c r="M218" s="432">
        <f>AVERAGE(L218:L221)</f>
        <v>68.1550483675165</v>
      </c>
      <c r="N218" s="433">
        <f>(MAX(L218:L221)-MIN(L218:L221))/(2*M218)</f>
        <v>7.8534031413614001E-3</v>
      </c>
    </row>
    <row r="219" spans="1:14" ht="21.75" customHeight="1">
      <c r="A219" t="s">
        <v>268</v>
      </c>
      <c r="B219" s="245">
        <v>41026</v>
      </c>
      <c r="C219" s="126">
        <v>19.100000000000001</v>
      </c>
      <c r="D219" s="126">
        <v>19</v>
      </c>
      <c r="E219" s="126">
        <v>18.8</v>
      </c>
      <c r="G219" s="321">
        <v>0.7873</v>
      </c>
      <c r="H219" s="123">
        <f t="shared" si="12"/>
        <v>68.155048367516514</v>
      </c>
      <c r="I219" s="123">
        <f t="shared" si="13"/>
        <v>67.798215653550443</v>
      </c>
      <c r="J219" s="123">
        <f t="shared" si="14"/>
        <v>67.084550225618344</v>
      </c>
      <c r="K219" s="123"/>
      <c r="L219" s="176">
        <f t="shared" si="15"/>
        <v>67.679271415561757</v>
      </c>
      <c r="M219" s="432"/>
      <c r="N219" s="433"/>
    </row>
    <row r="220" spans="1:14" ht="21.75" customHeight="1">
      <c r="A220" t="s">
        <v>269</v>
      </c>
      <c r="B220" s="245">
        <v>41026</v>
      </c>
      <c r="C220" s="126">
        <v>19.3</v>
      </c>
      <c r="D220" s="126">
        <v>19.2</v>
      </c>
      <c r="E220" s="126">
        <v>19.3</v>
      </c>
      <c r="G220" s="321">
        <v>0.7873</v>
      </c>
      <c r="H220" s="123">
        <f t="shared" si="12"/>
        <v>68.868713795448613</v>
      </c>
      <c r="I220" s="123">
        <f t="shared" si="13"/>
        <v>68.511881081482557</v>
      </c>
      <c r="J220" s="123">
        <f t="shared" si="14"/>
        <v>68.868713795448613</v>
      </c>
      <c r="K220" s="123"/>
      <c r="L220" s="176">
        <f t="shared" si="15"/>
        <v>68.749769557459942</v>
      </c>
      <c r="M220" s="432"/>
      <c r="N220" s="433"/>
    </row>
    <row r="221" spans="1:14" ht="21.75" customHeight="1">
      <c r="A221" t="s">
        <v>270</v>
      </c>
      <c r="B221" s="245">
        <v>41026</v>
      </c>
      <c r="C221" s="126">
        <v>19.2</v>
      </c>
      <c r="D221" s="126">
        <v>19.2</v>
      </c>
      <c r="E221" s="126">
        <v>19.2</v>
      </c>
      <c r="G221" s="321">
        <v>0.7873</v>
      </c>
      <c r="H221" s="123">
        <f t="shared" si="12"/>
        <v>68.511881081482557</v>
      </c>
      <c r="I221" s="123">
        <f t="shared" si="13"/>
        <v>68.511881081482557</v>
      </c>
      <c r="J221" s="123">
        <f t="shared" si="14"/>
        <v>68.511881081482557</v>
      </c>
      <c r="K221" s="123"/>
      <c r="L221" s="176">
        <f t="shared" si="15"/>
        <v>68.511881081482557</v>
      </c>
      <c r="M221" s="432"/>
      <c r="N221" s="433"/>
    </row>
    <row r="222" spans="1:14" ht="21.75" customHeight="1">
      <c r="A222" t="s">
        <v>271</v>
      </c>
      <c r="B222" s="245">
        <v>41027</v>
      </c>
      <c r="C222" s="126">
        <v>14.1</v>
      </c>
      <c r="D222" s="126">
        <v>14.2</v>
      </c>
      <c r="E222" s="126">
        <v>14.2</v>
      </c>
      <c r="G222" s="321">
        <v>0.7873</v>
      </c>
      <c r="H222" s="123">
        <f t="shared" si="12"/>
        <v>50.313412669213754</v>
      </c>
      <c r="I222" s="123">
        <f t="shared" si="13"/>
        <v>50.670245383179804</v>
      </c>
      <c r="J222" s="123">
        <f t="shared" si="14"/>
        <v>50.670245383179804</v>
      </c>
      <c r="K222" s="123"/>
      <c r="L222" s="176">
        <f t="shared" si="15"/>
        <v>50.551301145191125</v>
      </c>
      <c r="M222" s="432">
        <f>AVERAGE(L222:L225)</f>
        <v>51.324438692117575</v>
      </c>
      <c r="N222" s="433">
        <f>(MAX(L222:L225)-MIN(L222:L225))/(2*M222)</f>
        <v>2.2016222479721941E-2</v>
      </c>
    </row>
    <row r="223" spans="1:14" ht="21.75" customHeight="1">
      <c r="A223" t="s">
        <v>272</v>
      </c>
      <c r="B223" s="245">
        <v>41027</v>
      </c>
      <c r="C223" s="126">
        <v>14.3</v>
      </c>
      <c r="D223" s="126">
        <v>14.2</v>
      </c>
      <c r="E223" s="126">
        <v>14.2</v>
      </c>
      <c r="G223" s="321">
        <v>0.7873</v>
      </c>
      <c r="H223" s="123">
        <f t="shared" si="12"/>
        <v>51.027078097145861</v>
      </c>
      <c r="I223" s="123">
        <f t="shared" si="13"/>
        <v>50.670245383179804</v>
      </c>
      <c r="J223" s="123">
        <f t="shared" si="14"/>
        <v>50.670245383179804</v>
      </c>
      <c r="K223" s="123"/>
      <c r="L223" s="176">
        <f t="shared" si="15"/>
        <v>50.789189621168497</v>
      </c>
      <c r="M223" s="432"/>
      <c r="N223" s="433"/>
    </row>
    <row r="224" spans="1:14" ht="21.75" customHeight="1">
      <c r="A224" t="s">
        <v>273</v>
      </c>
      <c r="B224" s="245">
        <v>41027</v>
      </c>
      <c r="C224" s="126">
        <v>14.3</v>
      </c>
      <c r="D224" s="126">
        <v>14.4</v>
      </c>
      <c r="E224" s="126">
        <v>14.3</v>
      </c>
      <c r="G224" s="321">
        <v>0.7873</v>
      </c>
      <c r="H224" s="123">
        <f t="shared" si="12"/>
        <v>51.027078097145861</v>
      </c>
      <c r="I224" s="123">
        <f t="shared" si="13"/>
        <v>51.383910811111917</v>
      </c>
      <c r="J224" s="123">
        <f t="shared" si="14"/>
        <v>51.027078097145861</v>
      </c>
      <c r="K224" s="123"/>
      <c r="L224" s="176">
        <f t="shared" si="15"/>
        <v>51.146022335134546</v>
      </c>
      <c r="M224" s="432"/>
      <c r="N224" s="433"/>
    </row>
    <row r="225" spans="1:14" ht="21.75" customHeight="1">
      <c r="A225" t="s">
        <v>274</v>
      </c>
      <c r="B225" s="245">
        <v>41027</v>
      </c>
      <c r="C225" s="126">
        <v>14.8</v>
      </c>
      <c r="D225" s="126">
        <v>14.8</v>
      </c>
      <c r="E225" s="126">
        <v>14.8</v>
      </c>
      <c r="G225" s="321">
        <v>0.7873</v>
      </c>
      <c r="H225" s="123">
        <f t="shared" si="12"/>
        <v>52.811241666976144</v>
      </c>
      <c r="I225" s="123">
        <f t="shared" si="13"/>
        <v>52.811241666976144</v>
      </c>
      <c r="J225" s="123">
        <f t="shared" si="14"/>
        <v>52.811241666976144</v>
      </c>
      <c r="K225" s="123"/>
      <c r="L225" s="176">
        <f t="shared" si="15"/>
        <v>52.811241666976144</v>
      </c>
      <c r="M225" s="432"/>
      <c r="N225" s="433"/>
    </row>
    <row r="226" spans="1:14" ht="21.75" customHeight="1">
      <c r="A226" t="s">
        <v>275</v>
      </c>
      <c r="B226" s="245">
        <v>41027</v>
      </c>
      <c r="C226" s="126">
        <v>110.6</v>
      </c>
      <c r="D226" s="126">
        <v>111.7</v>
      </c>
      <c r="E226" s="126">
        <v>110.7</v>
      </c>
      <c r="G226" s="321">
        <v>0.7873</v>
      </c>
      <c r="H226" s="123">
        <f t="shared" si="12"/>
        <v>394.65698164645681</v>
      </c>
      <c r="I226" s="123">
        <f t="shared" si="13"/>
        <v>398.58214150008342</v>
      </c>
      <c r="J226" s="123">
        <f t="shared" si="14"/>
        <v>395.01381436042288</v>
      </c>
      <c r="K226" s="123"/>
      <c r="L226" s="176">
        <f t="shared" si="15"/>
        <v>396.08431250232098</v>
      </c>
      <c r="M226" s="432">
        <f>AVERAGE(L226:L229)</f>
        <v>417.43480322129</v>
      </c>
      <c r="N226" s="433">
        <f>(MAX(L226:L229)-MIN(L226:L229))/(2*M226)</f>
        <v>8.1493090183786865E-2</v>
      </c>
    </row>
    <row r="227" spans="1:14" ht="21.75" customHeight="1">
      <c r="A227" t="s">
        <v>276</v>
      </c>
      <c r="B227" s="245">
        <v>41027</v>
      </c>
      <c r="C227" s="126">
        <v>110</v>
      </c>
      <c r="D227" s="126">
        <v>110.9</v>
      </c>
      <c r="E227" s="126">
        <v>110.5</v>
      </c>
      <c r="G227" s="321">
        <v>0.7873</v>
      </c>
      <c r="H227" s="123">
        <f t="shared" si="12"/>
        <v>392.5159853626605</v>
      </c>
      <c r="I227" s="123">
        <f t="shared" si="13"/>
        <v>395.72747978835503</v>
      </c>
      <c r="J227" s="123">
        <f t="shared" si="14"/>
        <v>394.30014893249074</v>
      </c>
      <c r="K227" s="123"/>
      <c r="L227" s="176">
        <f t="shared" si="15"/>
        <v>394.18120469450213</v>
      </c>
      <c r="M227" s="432"/>
      <c r="N227" s="433"/>
    </row>
    <row r="228" spans="1:14" ht="21.75" customHeight="1">
      <c r="A228" t="s">
        <v>277</v>
      </c>
      <c r="B228" s="245">
        <v>41027</v>
      </c>
      <c r="C228" s="126">
        <v>129</v>
      </c>
      <c r="D228" s="126">
        <v>130</v>
      </c>
      <c r="E228" s="126">
        <v>129.6</v>
      </c>
      <c r="G228" s="321">
        <v>0.7873</v>
      </c>
      <c r="H228" s="123">
        <f t="shared" si="12"/>
        <v>460.31420101621097</v>
      </c>
      <c r="I228" s="123">
        <f t="shared" si="13"/>
        <v>463.88252815587151</v>
      </c>
      <c r="J228" s="123">
        <f t="shared" si="14"/>
        <v>462.45519730000728</v>
      </c>
      <c r="K228" s="123"/>
      <c r="L228" s="176">
        <f t="shared" si="15"/>
        <v>462.21730882402994</v>
      </c>
      <c r="M228" s="432"/>
      <c r="N228" s="433"/>
    </row>
    <row r="229" spans="1:14" ht="21.75" customHeight="1">
      <c r="A229" t="s">
        <v>278</v>
      </c>
      <c r="B229" s="245">
        <v>41027</v>
      </c>
      <c r="C229" s="126">
        <v>116.4</v>
      </c>
      <c r="D229" s="126">
        <v>117</v>
      </c>
      <c r="E229" s="126">
        <v>117.4</v>
      </c>
      <c r="G229" s="321">
        <v>0.7873</v>
      </c>
      <c r="H229" s="123">
        <f t="shared" si="12"/>
        <v>415.35327905648802</v>
      </c>
      <c r="I229" s="123">
        <f t="shared" si="13"/>
        <v>417.49427534028439</v>
      </c>
      <c r="J229" s="123">
        <f t="shared" si="14"/>
        <v>418.92160619614862</v>
      </c>
      <c r="K229" s="123"/>
      <c r="L229" s="176">
        <f t="shared" si="15"/>
        <v>417.25638686430699</v>
      </c>
      <c r="M229" s="432"/>
      <c r="N229" s="433"/>
    </row>
    <row r="230" spans="1:14" ht="21.75" customHeight="1">
      <c r="A230" t="s">
        <v>288</v>
      </c>
      <c r="B230" s="245">
        <v>41033</v>
      </c>
      <c r="C230" s="126">
        <v>991.6</v>
      </c>
      <c r="D230" s="126">
        <v>991.2</v>
      </c>
      <c r="E230" s="126">
        <v>990.9</v>
      </c>
      <c r="G230" s="321">
        <v>0.7873</v>
      </c>
      <c r="H230" s="123">
        <f t="shared" si="12"/>
        <v>3538.3531916874017</v>
      </c>
      <c r="I230" s="123">
        <f t="shared" si="13"/>
        <v>3536.9258608315372</v>
      </c>
      <c r="J230" s="123">
        <f t="shared" si="14"/>
        <v>3535.8553626896387</v>
      </c>
      <c r="K230" s="123"/>
      <c r="L230" s="176">
        <f t="shared" si="15"/>
        <v>3537.0448050695263</v>
      </c>
      <c r="M230" s="432">
        <f>AVERAGE(L230:L233)</f>
        <v>3993.0770135181438</v>
      </c>
      <c r="N230" s="433">
        <f>(MAX(L230:L233)-MIN(L230:L233))/(2*M230)</f>
        <v>8.4820231747639308E-2</v>
      </c>
    </row>
    <row r="231" spans="1:14" ht="21.75" customHeight="1">
      <c r="A231" t="s">
        <v>291</v>
      </c>
      <c r="B231" s="245">
        <v>41033</v>
      </c>
      <c r="C231" s="126">
        <v>1169.0999999999999</v>
      </c>
      <c r="D231" s="126">
        <v>1117.5</v>
      </c>
      <c r="E231" s="126">
        <v>1181.5</v>
      </c>
      <c r="G231" s="321">
        <v>0.7873</v>
      </c>
      <c r="H231" s="123">
        <f t="shared" si="12"/>
        <v>4171.7312589771491</v>
      </c>
      <c r="I231" s="123">
        <f t="shared" si="13"/>
        <v>3987.6055785706644</v>
      </c>
      <c r="J231" s="123">
        <f t="shared" si="14"/>
        <v>4215.9785155089394</v>
      </c>
      <c r="K231" s="123"/>
      <c r="L231" s="176">
        <f t="shared" si="15"/>
        <v>4125.1051176855844</v>
      </c>
      <c r="M231" s="432"/>
      <c r="N231" s="433"/>
    </row>
    <row r="232" spans="1:14" ht="21.75" customHeight="1">
      <c r="A232" t="s">
        <v>292</v>
      </c>
      <c r="B232" s="245">
        <v>41033</v>
      </c>
      <c r="C232" s="126">
        <v>1145.3</v>
      </c>
      <c r="D232" s="126">
        <v>1143.2</v>
      </c>
      <c r="E232" s="126">
        <v>1154.9000000000001</v>
      </c>
      <c r="G232" s="321">
        <v>0.7873</v>
      </c>
      <c r="H232" s="123">
        <f t="shared" si="12"/>
        <v>4086.8050730532277</v>
      </c>
      <c r="I232" s="123">
        <f t="shared" si="13"/>
        <v>4079.311586059941</v>
      </c>
      <c r="J232" s="123">
        <f t="shared" si="14"/>
        <v>4121.0610135939696</v>
      </c>
      <c r="K232" s="123"/>
      <c r="L232" s="176">
        <f t="shared" si="15"/>
        <v>4095.725890902379</v>
      </c>
      <c r="M232" s="432"/>
      <c r="N232" s="433"/>
    </row>
    <row r="233" spans="1:14" ht="21.75" customHeight="1">
      <c r="A233" t="s">
        <v>293</v>
      </c>
      <c r="B233" s="245">
        <v>41033</v>
      </c>
      <c r="C233" s="126">
        <v>1181.4000000000001</v>
      </c>
      <c r="D233" s="126">
        <v>1167</v>
      </c>
      <c r="E233" s="126">
        <v>1194.8</v>
      </c>
      <c r="G233" s="321">
        <v>0.7873</v>
      </c>
      <c r="H233" s="123">
        <f t="shared" si="12"/>
        <v>4215.6216827949738</v>
      </c>
      <c r="I233" s="123">
        <f t="shared" si="13"/>
        <v>4164.2377719838623</v>
      </c>
      <c r="J233" s="123">
        <f t="shared" si="14"/>
        <v>4263.4372664664243</v>
      </c>
      <c r="K233" s="123"/>
      <c r="L233" s="176">
        <f t="shared" si="15"/>
        <v>4214.4322404150871</v>
      </c>
      <c r="M233" s="432"/>
      <c r="N233" s="433"/>
    </row>
    <row r="234" spans="1:14" ht="21.75" customHeight="1">
      <c r="A234" t="s">
        <v>294</v>
      </c>
      <c r="B234" s="245">
        <v>41033</v>
      </c>
      <c r="C234" s="126">
        <v>232.5</v>
      </c>
      <c r="D234" s="126">
        <v>234.6</v>
      </c>
      <c r="E234" s="126">
        <v>233.8</v>
      </c>
      <c r="G234" s="321">
        <v>0.7873</v>
      </c>
      <c r="H234" s="123">
        <f t="shared" si="12"/>
        <v>829.63605997107788</v>
      </c>
      <c r="I234" s="123">
        <f t="shared" si="13"/>
        <v>837.12954696436509</v>
      </c>
      <c r="J234" s="123">
        <f t="shared" si="14"/>
        <v>834.27488525263664</v>
      </c>
      <c r="K234" s="123"/>
      <c r="L234" s="176">
        <f t="shared" si="15"/>
        <v>833.68016406269317</v>
      </c>
      <c r="M234" s="432">
        <f>AVERAGE(L234:L237)</f>
        <v>820.00157669399437</v>
      </c>
      <c r="N234" s="433">
        <f>(MAX(L234:L237)-MIN(L234:L237))/(2*M234)</f>
        <v>2.0162460110240837E-2</v>
      </c>
    </row>
    <row r="235" spans="1:14" ht="21.75" customHeight="1">
      <c r="A235" t="s">
        <v>295</v>
      </c>
      <c r="B235" s="245">
        <v>41033</v>
      </c>
      <c r="C235" s="126">
        <v>224.7</v>
      </c>
      <c r="D235" s="126">
        <v>226</v>
      </c>
      <c r="E235" s="126">
        <v>224.7</v>
      </c>
      <c r="G235" s="321">
        <v>0.7873</v>
      </c>
      <c r="H235" s="123">
        <f t="shared" si="12"/>
        <v>801.80310828172549</v>
      </c>
      <c r="I235" s="123">
        <f t="shared" si="13"/>
        <v>806.44193356328424</v>
      </c>
      <c r="J235" s="123">
        <f t="shared" si="14"/>
        <v>801.80310828172549</v>
      </c>
      <c r="K235" s="123"/>
      <c r="L235" s="176">
        <f t="shared" si="15"/>
        <v>803.34938337557844</v>
      </c>
      <c r="M235" s="432"/>
      <c r="N235" s="433"/>
    </row>
    <row r="236" spans="1:14" ht="21.75" customHeight="1">
      <c r="A236" t="s">
        <v>296</v>
      </c>
      <c r="B236" s="245">
        <v>41033</v>
      </c>
      <c r="C236" s="126">
        <v>226.1</v>
      </c>
      <c r="D236" s="126">
        <v>226</v>
      </c>
      <c r="E236" s="126">
        <v>226</v>
      </c>
      <c r="G236" s="321">
        <v>0.7873</v>
      </c>
      <c r="H236" s="123">
        <f t="shared" si="12"/>
        <v>806.79876627725025</v>
      </c>
      <c r="I236" s="123">
        <f t="shared" si="13"/>
        <v>806.44193356328424</v>
      </c>
      <c r="J236" s="123">
        <f t="shared" si="14"/>
        <v>806.44193356328424</v>
      </c>
      <c r="K236" s="123"/>
      <c r="L236" s="176">
        <f t="shared" si="15"/>
        <v>806.56087780127291</v>
      </c>
      <c r="M236" s="432"/>
      <c r="N236" s="433"/>
    </row>
    <row r="237" spans="1:14" ht="21.75" customHeight="1">
      <c r="A237" t="s">
        <v>297</v>
      </c>
      <c r="B237" s="245">
        <v>41033</v>
      </c>
      <c r="C237" s="126">
        <v>235.2</v>
      </c>
      <c r="D237" s="126">
        <v>233.9</v>
      </c>
      <c r="E237" s="126">
        <v>234.1</v>
      </c>
      <c r="G237" s="321">
        <v>0.7873</v>
      </c>
      <c r="H237" s="123">
        <f t="shared" si="12"/>
        <v>839.27054324816129</v>
      </c>
      <c r="I237" s="123">
        <f t="shared" si="13"/>
        <v>834.63171796660265</v>
      </c>
      <c r="J237" s="123">
        <f t="shared" si="14"/>
        <v>835.34538339453479</v>
      </c>
      <c r="K237" s="123"/>
      <c r="L237" s="176">
        <f t="shared" si="15"/>
        <v>836.41588153643295</v>
      </c>
      <c r="M237" s="432"/>
      <c r="N237" s="433"/>
    </row>
    <row r="238" spans="1:14" ht="21.75" customHeight="1">
      <c r="A238" t="s">
        <v>298</v>
      </c>
      <c r="B238" s="245">
        <v>41033</v>
      </c>
      <c r="C238" s="126">
        <v>127</v>
      </c>
      <c r="D238" s="126">
        <v>127.1</v>
      </c>
      <c r="E238" s="126">
        <v>127.2</v>
      </c>
      <c r="G238" s="321">
        <v>0.7873</v>
      </c>
      <c r="H238" s="123">
        <f t="shared" si="12"/>
        <v>453.17754673688984</v>
      </c>
      <c r="I238" s="123">
        <f t="shared" si="13"/>
        <v>453.53437945085591</v>
      </c>
      <c r="J238" s="123">
        <f t="shared" si="14"/>
        <v>453.89121216482192</v>
      </c>
      <c r="K238" s="123"/>
      <c r="L238" s="176">
        <f t="shared" si="15"/>
        <v>453.53437945085597</v>
      </c>
      <c r="M238" s="432">
        <f>AVERAGE(L238:L241)</f>
        <v>456.35930510308719</v>
      </c>
      <c r="N238" s="433">
        <f>(MAX(L238:L241)-MIN(L238:L241))/(2*M238)</f>
        <v>6.7765687104971361E-3</v>
      </c>
    </row>
    <row r="239" spans="1:14" ht="21.75" customHeight="1">
      <c r="A239" t="s">
        <v>299</v>
      </c>
      <c r="B239" s="245">
        <v>41033</v>
      </c>
      <c r="C239" s="126">
        <v>129.1</v>
      </c>
      <c r="D239" s="126">
        <v>128.5</v>
      </c>
      <c r="E239" s="126">
        <v>128.9</v>
      </c>
      <c r="G239" s="321">
        <v>0.7873</v>
      </c>
      <c r="H239" s="123">
        <f t="shared" si="12"/>
        <v>460.67103373017699</v>
      </c>
      <c r="I239" s="123">
        <f t="shared" si="13"/>
        <v>458.53003744638067</v>
      </c>
      <c r="J239" s="123">
        <f t="shared" si="14"/>
        <v>459.9573683022449</v>
      </c>
      <c r="K239" s="123"/>
      <c r="L239" s="176">
        <f t="shared" si="15"/>
        <v>459.71947982626756</v>
      </c>
      <c r="M239" s="432"/>
      <c r="N239" s="433"/>
    </row>
    <row r="240" spans="1:14" ht="21.75" customHeight="1">
      <c r="A240" t="s">
        <v>300</v>
      </c>
      <c r="B240" s="245">
        <v>41033</v>
      </c>
      <c r="C240" s="126">
        <v>127.7</v>
      </c>
      <c r="D240" s="126">
        <v>127.3</v>
      </c>
      <c r="E240" s="126">
        <v>126.7</v>
      </c>
      <c r="G240" s="321">
        <v>0.7873</v>
      </c>
      <c r="H240" s="123">
        <f t="shared" si="12"/>
        <v>455.67537573465222</v>
      </c>
      <c r="I240" s="123">
        <f t="shared" si="13"/>
        <v>454.24804487878799</v>
      </c>
      <c r="J240" s="123">
        <f t="shared" si="14"/>
        <v>452.10704859499168</v>
      </c>
      <c r="K240" s="123"/>
      <c r="L240" s="176">
        <f t="shared" si="15"/>
        <v>454.01015640281065</v>
      </c>
      <c r="M240" s="432"/>
      <c r="N240" s="433"/>
    </row>
    <row r="241" spans="1:14" ht="21.75" customHeight="1">
      <c r="A241" t="s">
        <v>301</v>
      </c>
      <c r="B241" s="245">
        <v>41033</v>
      </c>
      <c r="C241" s="126">
        <v>127.9</v>
      </c>
      <c r="D241" s="126">
        <v>128.5</v>
      </c>
      <c r="E241" s="126">
        <v>128.80000000000001</v>
      </c>
      <c r="G241" s="321">
        <v>0.7873</v>
      </c>
      <c r="H241" s="123">
        <f t="shared" si="12"/>
        <v>456.38904116258436</v>
      </c>
      <c r="I241" s="123">
        <f t="shared" si="13"/>
        <v>458.53003744638067</v>
      </c>
      <c r="J241" s="123">
        <f t="shared" si="14"/>
        <v>459.60053558827883</v>
      </c>
      <c r="K241" s="123"/>
      <c r="L241" s="176">
        <f t="shared" si="15"/>
        <v>458.1732047324146</v>
      </c>
      <c r="M241" s="432"/>
      <c r="N241" s="433"/>
    </row>
    <row r="242" spans="1:14" ht="21.75" customHeight="1">
      <c r="A242" t="s">
        <v>302</v>
      </c>
      <c r="B242" s="245">
        <v>41033</v>
      </c>
      <c r="C242" s="126">
        <v>414.2</v>
      </c>
      <c r="D242" s="126">
        <v>408.7</v>
      </c>
      <c r="E242" s="126">
        <v>428</v>
      </c>
      <c r="G242" s="321">
        <v>0.7873</v>
      </c>
      <c r="H242" s="123">
        <f t="shared" si="12"/>
        <v>1478.0011012473997</v>
      </c>
      <c r="I242" s="123">
        <f t="shared" si="13"/>
        <v>1458.3753019792669</v>
      </c>
      <c r="J242" s="123">
        <f t="shared" si="14"/>
        <v>1527.2440157747155</v>
      </c>
      <c r="K242" s="123"/>
      <c r="L242" s="176">
        <f t="shared" si="15"/>
        <v>1487.8734730004605</v>
      </c>
      <c r="M242" s="432">
        <f>AVERAGE(L242:L245)</f>
        <v>1397.1487554745911</v>
      </c>
      <c r="N242" s="433">
        <f>(MAX(L242:L245)-MIN(L242:L245))/(2*M242)</f>
        <v>5.4826008300521353E-2</v>
      </c>
    </row>
    <row r="243" spans="1:14" ht="21.75" customHeight="1">
      <c r="A243" t="s">
        <v>303</v>
      </c>
      <c r="B243" s="245">
        <v>41033</v>
      </c>
      <c r="C243" s="126">
        <v>376.7</v>
      </c>
      <c r="D243" s="126">
        <v>376.3</v>
      </c>
      <c r="E243" s="126">
        <v>374.7</v>
      </c>
      <c r="G243" s="321">
        <v>0.7873</v>
      </c>
      <c r="H243" s="123">
        <f t="shared" si="12"/>
        <v>1344.1888335101291</v>
      </c>
      <c r="I243" s="123">
        <f t="shared" si="13"/>
        <v>1342.7615026542651</v>
      </c>
      <c r="J243" s="123">
        <f t="shared" si="14"/>
        <v>1337.052179230808</v>
      </c>
      <c r="K243" s="123"/>
      <c r="L243" s="176">
        <f t="shared" si="15"/>
        <v>1341.3341717984006</v>
      </c>
      <c r="M243" s="432"/>
      <c r="N243" s="433"/>
    </row>
    <row r="244" spans="1:14" ht="21.75" customHeight="1">
      <c r="A244" t="s">
        <v>304</v>
      </c>
      <c r="B244" s="245">
        <v>41033</v>
      </c>
      <c r="C244" s="126">
        <v>398.1</v>
      </c>
      <c r="D244" s="126">
        <v>402.8</v>
      </c>
      <c r="E244" s="126">
        <v>396.9</v>
      </c>
      <c r="G244" s="321">
        <v>0.7873</v>
      </c>
      <c r="H244" s="123">
        <f t="shared" si="12"/>
        <v>1420.551034298865</v>
      </c>
      <c r="I244" s="123">
        <f t="shared" si="13"/>
        <v>1437.3221718552695</v>
      </c>
      <c r="J244" s="123">
        <f t="shared" si="14"/>
        <v>1416.2690417312722</v>
      </c>
      <c r="K244" s="123"/>
      <c r="L244" s="176">
        <f t="shared" si="15"/>
        <v>1424.7140826284688</v>
      </c>
      <c r="M244" s="432"/>
      <c r="N244" s="433"/>
    </row>
    <row r="245" spans="1:14" ht="21.75" customHeight="1">
      <c r="A245" t="s">
        <v>305</v>
      </c>
      <c r="B245" s="245">
        <v>41033</v>
      </c>
      <c r="C245" s="126">
        <v>373.3</v>
      </c>
      <c r="D245" s="126">
        <v>375</v>
      </c>
      <c r="E245" s="126">
        <v>373.8</v>
      </c>
      <c r="G245" s="321">
        <v>0.7873</v>
      </c>
      <c r="H245" s="123">
        <f t="shared" si="12"/>
        <v>1332.0565212352833</v>
      </c>
      <c r="I245" s="123">
        <f t="shared" si="13"/>
        <v>1338.1226773727062</v>
      </c>
      <c r="J245" s="123">
        <f t="shared" si="14"/>
        <v>1333.8406848051136</v>
      </c>
      <c r="K245" s="123"/>
      <c r="L245" s="176">
        <f t="shared" si="15"/>
        <v>1334.6732944710345</v>
      </c>
      <c r="M245" s="432"/>
      <c r="N245" s="433"/>
    </row>
    <row r="246" spans="1:14" ht="21.75" customHeight="1">
      <c r="A246" t="s">
        <v>306</v>
      </c>
      <c r="B246" s="245">
        <v>41033</v>
      </c>
      <c r="C246" s="126">
        <v>51.9</v>
      </c>
      <c r="D246" s="126">
        <v>51.8</v>
      </c>
      <c r="E246" s="126">
        <v>51.8</v>
      </c>
      <c r="G246" s="321">
        <v>0.7873</v>
      </c>
      <c r="H246" s="123">
        <f t="shared" si="12"/>
        <v>185.19617854838253</v>
      </c>
      <c r="I246" s="123">
        <f t="shared" si="13"/>
        <v>184.83934583441646</v>
      </c>
      <c r="J246" s="123">
        <f t="shared" si="14"/>
        <v>184.83934583441646</v>
      </c>
      <c r="K246" s="123"/>
      <c r="L246" s="176">
        <f t="shared" si="15"/>
        <v>184.95829007240513</v>
      </c>
      <c r="M246" s="432">
        <f>AVERAGE(L246:L249)</f>
        <v>186.71271758273826</v>
      </c>
      <c r="N246" s="433">
        <f>(MAX(L246:L249)-MIN(L246:L249))/(2*M246)</f>
        <v>1.624462494027731E-2</v>
      </c>
    </row>
    <row r="247" spans="1:14" ht="21.75" customHeight="1">
      <c r="A247" t="s">
        <v>307</v>
      </c>
      <c r="B247" s="245">
        <v>41033</v>
      </c>
      <c r="C247" s="126">
        <v>52.2</v>
      </c>
      <c r="D247" s="126">
        <v>52</v>
      </c>
      <c r="E247" s="126">
        <v>52</v>
      </c>
      <c r="G247" s="321">
        <v>0.7873</v>
      </c>
      <c r="H247" s="123">
        <f t="shared" si="12"/>
        <v>186.26667669028072</v>
      </c>
      <c r="I247" s="123">
        <f t="shared" si="13"/>
        <v>185.5530112623486</v>
      </c>
      <c r="J247" s="123">
        <f t="shared" si="14"/>
        <v>185.5530112623486</v>
      </c>
      <c r="K247" s="123"/>
      <c r="L247" s="176">
        <f t="shared" si="15"/>
        <v>185.79089973832598</v>
      </c>
      <c r="M247" s="432"/>
      <c r="N247" s="433"/>
    </row>
    <row r="248" spans="1:14" ht="21.75" customHeight="1">
      <c r="A248" t="s">
        <v>308</v>
      </c>
      <c r="B248" s="245">
        <v>41033</v>
      </c>
      <c r="C248" s="126">
        <v>51.8</v>
      </c>
      <c r="D248" s="126">
        <v>51.8</v>
      </c>
      <c r="E248" s="126">
        <v>52</v>
      </c>
      <c r="G248" s="321">
        <v>0.7873</v>
      </c>
      <c r="H248" s="123">
        <f t="shared" si="12"/>
        <v>184.83934583441646</v>
      </c>
      <c r="I248" s="123">
        <f t="shared" si="13"/>
        <v>184.83934583441646</v>
      </c>
      <c r="J248" s="123">
        <f t="shared" si="14"/>
        <v>185.5530112623486</v>
      </c>
      <c r="K248" s="123"/>
      <c r="L248" s="176">
        <f t="shared" si="15"/>
        <v>185.07723431039383</v>
      </c>
      <c r="M248" s="432"/>
      <c r="N248" s="433"/>
    </row>
    <row r="249" spans="1:14" ht="21.75" customHeight="1">
      <c r="A249" t="s">
        <v>309</v>
      </c>
      <c r="B249" s="245">
        <v>41033</v>
      </c>
      <c r="C249" s="126">
        <v>53.7</v>
      </c>
      <c r="D249" s="126">
        <v>53.3</v>
      </c>
      <c r="E249" s="126">
        <v>53.6</v>
      </c>
      <c r="G249" s="321">
        <v>0.7873</v>
      </c>
      <c r="H249" s="123">
        <f t="shared" si="12"/>
        <v>191.61916739977156</v>
      </c>
      <c r="I249" s="123">
        <f t="shared" si="13"/>
        <v>190.1918365439073</v>
      </c>
      <c r="J249" s="123">
        <f t="shared" si="14"/>
        <v>191.26233468580548</v>
      </c>
      <c r="K249" s="123"/>
      <c r="L249" s="176">
        <f t="shared" si="15"/>
        <v>191.02444620982814</v>
      </c>
      <c r="M249" s="432"/>
      <c r="N249" s="433"/>
    </row>
    <row r="250" spans="1:14" ht="21.75" customHeight="1">
      <c r="A250" t="s">
        <v>311</v>
      </c>
      <c r="B250" s="245">
        <v>41036</v>
      </c>
      <c r="C250" s="126">
        <v>3530.5</v>
      </c>
      <c r="D250" s="126">
        <v>3521.1</v>
      </c>
      <c r="E250" s="126">
        <v>3513</v>
      </c>
      <c r="G250" s="321">
        <v>0.7873</v>
      </c>
      <c r="H250" s="123">
        <f t="shared" si="12"/>
        <v>12597.978966571573</v>
      </c>
      <c r="I250" s="123">
        <f t="shared" si="13"/>
        <v>12564.436691458763</v>
      </c>
      <c r="J250" s="123">
        <f t="shared" si="14"/>
        <v>12535.533241627511</v>
      </c>
      <c r="K250" s="123"/>
      <c r="L250" s="176">
        <f t="shared" si="15"/>
        <v>12565.982966552614</v>
      </c>
      <c r="M250" s="432">
        <f>AVERAGE(L250:L253)</f>
        <v>13305.221405652292</v>
      </c>
      <c r="N250" s="433">
        <f>(MAX(L250:L253)-MIN(L250:L253))/(2*M250)</f>
        <v>0.14901529576885605</v>
      </c>
    </row>
    <row r="251" spans="1:14" ht="21.75" customHeight="1">
      <c r="A251" t="s">
        <v>312</v>
      </c>
      <c r="B251" s="245">
        <v>41036</v>
      </c>
      <c r="C251" s="126">
        <v>3079.8</v>
      </c>
      <c r="D251" s="126">
        <v>3073.5</v>
      </c>
      <c r="E251" s="126">
        <v>3076</v>
      </c>
      <c r="G251" s="321">
        <v>0.7873</v>
      </c>
      <c r="H251" s="123">
        <f t="shared" si="12"/>
        <v>10989.733924726563</v>
      </c>
      <c r="I251" s="123">
        <f t="shared" si="13"/>
        <v>10967.253463746702</v>
      </c>
      <c r="J251" s="123">
        <f t="shared" si="14"/>
        <v>10976.174281595851</v>
      </c>
      <c r="K251" s="123"/>
      <c r="L251" s="176">
        <f t="shared" si="15"/>
        <v>10977.720556689705</v>
      </c>
      <c r="M251" s="432"/>
      <c r="N251" s="433"/>
    </row>
    <row r="252" spans="1:14" ht="21.75" customHeight="1">
      <c r="A252" t="s">
        <v>313</v>
      </c>
      <c r="B252" s="245">
        <v>41036</v>
      </c>
      <c r="C252" s="126">
        <v>4193.3</v>
      </c>
      <c r="D252" s="126">
        <v>4181</v>
      </c>
      <c r="E252" s="126">
        <v>4188.8</v>
      </c>
      <c r="G252" s="321">
        <v>0.7873</v>
      </c>
      <c r="H252" s="123">
        <f t="shared" si="12"/>
        <v>14963.066194738583</v>
      </c>
      <c r="I252" s="123">
        <f t="shared" si="13"/>
        <v>14919.17577092076</v>
      </c>
      <c r="J252" s="123">
        <f t="shared" si="14"/>
        <v>14947.008722610113</v>
      </c>
      <c r="K252" s="123"/>
      <c r="L252" s="176">
        <f t="shared" si="15"/>
        <v>14943.083562756487</v>
      </c>
      <c r="M252" s="432"/>
      <c r="N252" s="433"/>
    </row>
    <row r="253" spans="1:14" ht="21.75" customHeight="1">
      <c r="A253" t="s">
        <v>314</v>
      </c>
      <c r="B253" s="245">
        <v>41036</v>
      </c>
      <c r="C253" s="126">
        <v>4157.2</v>
      </c>
      <c r="D253" s="126">
        <v>4093.2</v>
      </c>
      <c r="E253" s="126">
        <v>4137</v>
      </c>
      <c r="G253" s="321">
        <v>0.7873</v>
      </c>
      <c r="H253" s="123">
        <f t="shared" si="12"/>
        <v>14834.249584996836</v>
      </c>
      <c r="I253" s="123">
        <f t="shared" si="13"/>
        <v>14605.876648058564</v>
      </c>
      <c r="J253" s="123">
        <f t="shared" si="14"/>
        <v>14762.169376775697</v>
      </c>
      <c r="K253" s="123"/>
      <c r="L253" s="176">
        <f t="shared" si="15"/>
        <v>14734.098536610365</v>
      </c>
      <c r="M253" s="432"/>
      <c r="N253" s="433"/>
    </row>
    <row r="254" spans="1:14" ht="21.75" customHeight="1">
      <c r="A254" t="s">
        <v>315</v>
      </c>
      <c r="B254" s="245">
        <v>41036</v>
      </c>
      <c r="C254" s="126">
        <v>453.2</v>
      </c>
      <c r="D254" s="126">
        <v>453.6</v>
      </c>
      <c r="E254" s="126">
        <v>455.2</v>
      </c>
      <c r="G254" s="321">
        <v>0.7873</v>
      </c>
      <c r="H254" s="123">
        <f t="shared" si="12"/>
        <v>1617.1658596941611</v>
      </c>
      <c r="I254" s="123">
        <f t="shared" si="13"/>
        <v>1618.5931905500256</v>
      </c>
      <c r="J254" s="123">
        <f t="shared" si="14"/>
        <v>1624.3025139734823</v>
      </c>
      <c r="K254" s="123"/>
      <c r="L254" s="176">
        <f t="shared" si="15"/>
        <v>1620.0205214058897</v>
      </c>
      <c r="M254" s="432">
        <f>AVERAGE(L254:L257)</f>
        <v>1604.5280344078633</v>
      </c>
      <c r="N254" s="433">
        <f>(MAX(L254:L257)-MIN(L254:L257))/(2*M254)</f>
        <v>2.3165736948423773E-2</v>
      </c>
    </row>
    <row r="255" spans="1:14" ht="21.75" customHeight="1">
      <c r="A255" t="s">
        <v>316</v>
      </c>
      <c r="B255" s="245">
        <v>41036</v>
      </c>
      <c r="C255" s="126">
        <v>461.2</v>
      </c>
      <c r="D255" s="126">
        <v>461.7</v>
      </c>
      <c r="E255" s="126">
        <v>460.1</v>
      </c>
      <c r="G255" s="321">
        <v>0.7873</v>
      </c>
      <c r="H255" s="123">
        <f t="shared" si="12"/>
        <v>1645.7124768114456</v>
      </c>
      <c r="I255" s="123">
        <f t="shared" si="13"/>
        <v>1647.4966403812757</v>
      </c>
      <c r="J255" s="123">
        <f t="shared" si="14"/>
        <v>1641.7873169578193</v>
      </c>
      <c r="K255" s="123"/>
      <c r="L255" s="176">
        <f t="shared" si="15"/>
        <v>1644.9988113835134</v>
      </c>
      <c r="M255" s="432"/>
      <c r="N255" s="433"/>
    </row>
    <row r="256" spans="1:14" ht="21.75" customHeight="1">
      <c r="A256" t="s">
        <v>317</v>
      </c>
      <c r="B256" s="245">
        <v>41036</v>
      </c>
      <c r="C256" s="126">
        <v>440.5</v>
      </c>
      <c r="D256" s="126">
        <v>440.5</v>
      </c>
      <c r="E256" s="126">
        <v>439.5</v>
      </c>
      <c r="G256" s="321">
        <v>0.7873</v>
      </c>
      <c r="H256" s="123">
        <f t="shared" si="12"/>
        <v>1571.8481050204723</v>
      </c>
      <c r="I256" s="123">
        <f t="shared" si="13"/>
        <v>1571.8481050204723</v>
      </c>
      <c r="J256" s="123">
        <f t="shared" si="14"/>
        <v>1568.2797778808117</v>
      </c>
      <c r="K256" s="123"/>
      <c r="L256" s="176">
        <f t="shared" si="15"/>
        <v>1570.6586626405854</v>
      </c>
      <c r="M256" s="432"/>
      <c r="N256" s="433"/>
    </row>
    <row r="257" spans="1:14" ht="21.75" customHeight="1">
      <c r="A257" t="s">
        <v>318</v>
      </c>
      <c r="B257" s="245">
        <v>41036</v>
      </c>
      <c r="C257" s="126">
        <v>443</v>
      </c>
      <c r="D257" s="126">
        <v>445.2</v>
      </c>
      <c r="E257" s="126">
        <v>442.2</v>
      </c>
      <c r="G257" s="321">
        <v>0.7873</v>
      </c>
      <c r="H257" s="123">
        <f t="shared" si="12"/>
        <v>1580.7689228696236</v>
      </c>
      <c r="I257" s="123">
        <f t="shared" si="13"/>
        <v>1588.6192425768768</v>
      </c>
      <c r="J257" s="123">
        <f t="shared" si="14"/>
        <v>1577.914261157895</v>
      </c>
      <c r="K257" s="123"/>
      <c r="L257" s="176">
        <f t="shared" si="15"/>
        <v>1582.4341422014652</v>
      </c>
      <c r="M257" s="432"/>
      <c r="N257" s="433"/>
    </row>
    <row r="258" spans="1:14" ht="21.75" customHeight="1">
      <c r="A258" t="s">
        <v>319</v>
      </c>
      <c r="B258" s="245">
        <v>41036</v>
      </c>
      <c r="C258" s="126">
        <v>219.1</v>
      </c>
      <c r="D258" s="126">
        <v>218.1</v>
      </c>
      <c r="E258" s="126">
        <v>218.6</v>
      </c>
      <c r="G258" s="321">
        <v>0.7873</v>
      </c>
      <c r="H258" s="123">
        <f t="shared" ref="H258:H321" si="16">(C258*(PI()/LN(2)))*$G258</f>
        <v>781.82047629962653</v>
      </c>
      <c r="I258" s="123">
        <f t="shared" ref="I258:I321" si="17">(D258*(PI()/LN(2)))*$G258</f>
        <v>778.25214915996594</v>
      </c>
      <c r="J258" s="123">
        <f t="shared" ref="J258:J321" si="18">(E258*(PI()/LN(2)))*$G258</f>
        <v>780.03631272979624</v>
      </c>
      <c r="K258" s="123"/>
      <c r="L258" s="176">
        <f t="shared" ref="L258:L321" si="19">AVERAGE(H258:J258)</f>
        <v>780.03631272979635</v>
      </c>
      <c r="M258" s="432">
        <f>AVERAGE(L258:L261)</f>
        <v>780.18499302728208</v>
      </c>
      <c r="N258" s="433">
        <f>(MAX(L258:L261)-MIN(L258:L261))/(2*M258)</f>
        <v>1.7989861645767262E-2</v>
      </c>
    </row>
    <row r="259" spans="1:14" ht="21.75" customHeight="1">
      <c r="A259" t="s">
        <v>320</v>
      </c>
      <c r="B259" s="245">
        <v>41036</v>
      </c>
      <c r="C259" s="126">
        <v>220</v>
      </c>
      <c r="D259" s="126">
        <v>219.8</v>
      </c>
      <c r="E259" s="126">
        <v>219.7</v>
      </c>
      <c r="G259" s="321">
        <v>0.7873</v>
      </c>
      <c r="H259" s="123">
        <f t="shared" si="16"/>
        <v>785.031970725321</v>
      </c>
      <c r="I259" s="123">
        <f t="shared" si="17"/>
        <v>784.31830529738886</v>
      </c>
      <c r="J259" s="123">
        <f t="shared" si="18"/>
        <v>783.96147258342273</v>
      </c>
      <c r="K259" s="123"/>
      <c r="L259" s="176">
        <f t="shared" si="19"/>
        <v>784.43724953537742</v>
      </c>
      <c r="M259" s="432"/>
      <c r="N259" s="433"/>
    </row>
    <row r="260" spans="1:14" ht="21.75" customHeight="1">
      <c r="A260" t="s">
        <v>321</v>
      </c>
      <c r="B260" s="245">
        <v>41036</v>
      </c>
      <c r="C260" s="126">
        <v>214.6</v>
      </c>
      <c r="D260" s="126">
        <v>213.8</v>
      </c>
      <c r="E260" s="126">
        <v>214</v>
      </c>
      <c r="G260" s="321">
        <v>0.7873</v>
      </c>
      <c r="H260" s="123">
        <f t="shared" si="16"/>
        <v>765.76300417115397</v>
      </c>
      <c r="I260" s="123">
        <f t="shared" si="17"/>
        <v>762.90834245942563</v>
      </c>
      <c r="J260" s="123">
        <f t="shared" si="18"/>
        <v>763.62200788735777</v>
      </c>
      <c r="K260" s="123"/>
      <c r="L260" s="176">
        <f t="shared" si="19"/>
        <v>764.09778483931257</v>
      </c>
      <c r="M260" s="432"/>
      <c r="N260" s="433"/>
    </row>
    <row r="261" spans="1:14" ht="21.75" customHeight="1">
      <c r="A261" t="s">
        <v>322</v>
      </c>
      <c r="B261" s="245">
        <v>41036</v>
      </c>
      <c r="C261" s="126">
        <v>222.7</v>
      </c>
      <c r="D261" s="126">
        <v>221.6</v>
      </c>
      <c r="E261" s="126">
        <v>221.7</v>
      </c>
      <c r="G261" s="321">
        <v>0.7873</v>
      </c>
      <c r="H261" s="123">
        <f t="shared" si="16"/>
        <v>794.66645400240441</v>
      </c>
      <c r="I261" s="123">
        <f t="shared" si="17"/>
        <v>790.7412941487778</v>
      </c>
      <c r="J261" s="123">
        <f t="shared" si="18"/>
        <v>791.09812686274392</v>
      </c>
      <c r="K261" s="123"/>
      <c r="L261" s="176">
        <f t="shared" si="19"/>
        <v>792.16862500464197</v>
      </c>
      <c r="M261" s="432"/>
      <c r="N261" s="433"/>
    </row>
    <row r="262" spans="1:14" ht="21.75" customHeight="1">
      <c r="A262" t="s">
        <v>323</v>
      </c>
      <c r="B262" s="245">
        <v>41036</v>
      </c>
      <c r="C262" s="126">
        <v>145.6</v>
      </c>
      <c r="D262" s="126">
        <v>144.80000000000001</v>
      </c>
      <c r="E262" s="126">
        <v>144.80000000000001</v>
      </c>
      <c r="G262" s="321">
        <v>0.7873</v>
      </c>
      <c r="H262" s="123">
        <f t="shared" si="16"/>
        <v>519.54843153457603</v>
      </c>
      <c r="I262" s="123">
        <f t="shared" si="17"/>
        <v>516.69376982284768</v>
      </c>
      <c r="J262" s="123">
        <f t="shared" si="18"/>
        <v>516.69376982284768</v>
      </c>
      <c r="K262" s="123"/>
      <c r="L262" s="176">
        <f t="shared" si="19"/>
        <v>517.64532372675706</v>
      </c>
      <c r="M262" s="432">
        <f>AVERAGE(L262:L265)</f>
        <v>515.02855049100594</v>
      </c>
      <c r="N262" s="433">
        <f>(MAX(L262:L265)-MIN(L262:L265))/(2*M262)</f>
        <v>1.1778290993071571E-2</v>
      </c>
    </row>
    <row r="263" spans="1:14" ht="21.75" customHeight="1">
      <c r="A263" t="s">
        <v>324</v>
      </c>
      <c r="B263" s="245">
        <v>41036</v>
      </c>
      <c r="C263" s="126">
        <v>146.1</v>
      </c>
      <c r="D263" s="126">
        <v>145.69999999999999</v>
      </c>
      <c r="E263" s="126">
        <v>145.80000000000001</v>
      </c>
      <c r="G263" s="321">
        <v>0.7873</v>
      </c>
      <c r="H263" s="123">
        <f t="shared" si="16"/>
        <v>521.33259510440632</v>
      </c>
      <c r="I263" s="123">
        <f t="shared" si="17"/>
        <v>519.90526424854215</v>
      </c>
      <c r="J263" s="123">
        <f t="shared" si="18"/>
        <v>520.26209696250828</v>
      </c>
      <c r="K263" s="123"/>
      <c r="L263" s="176">
        <f t="shared" si="19"/>
        <v>520.49998543848551</v>
      </c>
      <c r="M263" s="432"/>
      <c r="N263" s="433"/>
    </row>
    <row r="264" spans="1:14" ht="21.75" customHeight="1">
      <c r="A264" t="s">
        <v>325</v>
      </c>
      <c r="B264" s="245">
        <v>41036</v>
      </c>
      <c r="C264" s="126">
        <v>142.9</v>
      </c>
      <c r="D264" s="126">
        <v>142.19999999999999</v>
      </c>
      <c r="E264" s="126">
        <v>142.30000000000001</v>
      </c>
      <c r="G264" s="321">
        <v>0.7873</v>
      </c>
      <c r="H264" s="123">
        <f t="shared" si="16"/>
        <v>509.91394825749262</v>
      </c>
      <c r="I264" s="123">
        <f t="shared" si="17"/>
        <v>507.41611925973012</v>
      </c>
      <c r="J264" s="123">
        <f t="shared" si="18"/>
        <v>507.77295197369625</v>
      </c>
      <c r="K264" s="123"/>
      <c r="L264" s="176">
        <f t="shared" si="19"/>
        <v>508.36767316363967</v>
      </c>
      <c r="M264" s="432"/>
      <c r="N264" s="433"/>
    </row>
    <row r="265" spans="1:14" ht="21.75" customHeight="1">
      <c r="A265" t="s">
        <v>326</v>
      </c>
      <c r="B265" s="245">
        <v>41036</v>
      </c>
      <c r="C265" s="126">
        <v>143.6</v>
      </c>
      <c r="D265" s="126">
        <v>144</v>
      </c>
      <c r="E265" s="126">
        <v>144.19999999999999</v>
      </c>
      <c r="G265" s="321">
        <v>0.7873</v>
      </c>
      <c r="H265" s="123">
        <f t="shared" si="16"/>
        <v>512.41177725525495</v>
      </c>
      <c r="I265" s="123">
        <f t="shared" si="17"/>
        <v>513.83910811111923</v>
      </c>
      <c r="J265" s="123">
        <f t="shared" si="18"/>
        <v>514.55277353905126</v>
      </c>
      <c r="K265" s="123"/>
      <c r="L265" s="176">
        <f t="shared" si="19"/>
        <v>513.60121963514177</v>
      </c>
      <c r="M265" s="432"/>
      <c r="N265" s="433"/>
    </row>
    <row r="266" spans="1:14" ht="21.75" customHeight="1">
      <c r="A266" t="s">
        <v>327</v>
      </c>
      <c r="B266" s="245">
        <v>41036</v>
      </c>
      <c r="C266" s="126">
        <v>51.2</v>
      </c>
      <c r="D266" s="126">
        <v>51</v>
      </c>
      <c r="E266" s="126">
        <v>51.4</v>
      </c>
      <c r="G266" s="321">
        <v>0.7873</v>
      </c>
      <c r="H266" s="123">
        <f t="shared" si="16"/>
        <v>182.69834955062015</v>
      </c>
      <c r="I266" s="123">
        <f t="shared" si="17"/>
        <v>181.98468412268804</v>
      </c>
      <c r="J266" s="123">
        <f t="shared" si="18"/>
        <v>183.41201497855226</v>
      </c>
      <c r="K266" s="123"/>
      <c r="L266" s="176">
        <f t="shared" si="19"/>
        <v>182.69834955062015</v>
      </c>
      <c r="M266" s="432">
        <f>AVERAGE(L266:L269)</f>
        <v>166.58140530315333</v>
      </c>
      <c r="N266" s="433">
        <f>(MAX(L266:L269)-MIN(L266:L269))/(2*M266)</f>
        <v>7.6401285255266016E-2</v>
      </c>
    </row>
    <row r="267" spans="1:14" ht="21.75" customHeight="1">
      <c r="A267" t="s">
        <v>329</v>
      </c>
      <c r="B267" s="245">
        <v>41036</v>
      </c>
      <c r="C267" s="126">
        <v>46.6</v>
      </c>
      <c r="D267" s="126">
        <v>47</v>
      </c>
      <c r="E267" s="126">
        <v>46.4</v>
      </c>
      <c r="G267" s="321">
        <v>0.7873</v>
      </c>
      <c r="H267" s="123">
        <f t="shared" si="16"/>
        <v>166.28404470818163</v>
      </c>
      <c r="I267" s="123">
        <f t="shared" si="17"/>
        <v>167.71137556404585</v>
      </c>
      <c r="J267" s="123">
        <f t="shared" si="18"/>
        <v>165.57037928024951</v>
      </c>
      <c r="K267" s="123"/>
      <c r="L267" s="176">
        <f t="shared" si="19"/>
        <v>166.521933184159</v>
      </c>
      <c r="M267" s="432"/>
      <c r="N267" s="433"/>
    </row>
    <row r="268" spans="1:14" ht="21.75" customHeight="1">
      <c r="A268" t="s">
        <v>330</v>
      </c>
      <c r="B268" s="245">
        <v>41036</v>
      </c>
      <c r="C268" s="126">
        <v>43.8</v>
      </c>
      <c r="D268" s="126">
        <v>44.6</v>
      </c>
      <c r="E268" s="126">
        <v>43.8</v>
      </c>
      <c r="G268" s="321">
        <v>0.7873</v>
      </c>
      <c r="H268" s="123">
        <f t="shared" si="16"/>
        <v>156.29272871713206</v>
      </c>
      <c r="I268" s="123">
        <f t="shared" si="17"/>
        <v>159.14739042886052</v>
      </c>
      <c r="J268" s="123">
        <f t="shared" si="18"/>
        <v>156.29272871713206</v>
      </c>
      <c r="K268" s="123"/>
      <c r="L268" s="176">
        <f t="shared" si="19"/>
        <v>157.24428262104155</v>
      </c>
      <c r="M268" s="432"/>
      <c r="N268" s="433"/>
    </row>
    <row r="269" spans="1:14" ht="21.75" customHeight="1">
      <c r="A269" t="s">
        <v>331</v>
      </c>
      <c r="B269" s="245">
        <v>41036</v>
      </c>
      <c r="C269" s="126">
        <v>45</v>
      </c>
      <c r="D269" s="126">
        <v>44.7</v>
      </c>
      <c r="E269" s="126">
        <v>44.7</v>
      </c>
      <c r="G269" s="321">
        <v>0.7873</v>
      </c>
      <c r="H269" s="123">
        <f t="shared" si="16"/>
        <v>160.57472128472475</v>
      </c>
      <c r="I269" s="123">
        <f t="shared" si="17"/>
        <v>159.50422314282662</v>
      </c>
      <c r="J269" s="123">
        <f t="shared" si="18"/>
        <v>159.50422314282662</v>
      </c>
      <c r="K269" s="123"/>
      <c r="L269" s="176">
        <f t="shared" si="19"/>
        <v>159.86105585679266</v>
      </c>
      <c r="M269" s="432"/>
      <c r="N269" s="433"/>
    </row>
    <row r="270" spans="1:14" ht="21.75" customHeight="1">
      <c r="A270" t="s">
        <v>332</v>
      </c>
      <c r="B270" s="245">
        <v>41036</v>
      </c>
      <c r="C270" s="126">
        <v>52.8</v>
      </c>
      <c r="D270" s="126">
        <v>52.9</v>
      </c>
      <c r="E270" s="126">
        <v>52.8</v>
      </c>
      <c r="G270" s="321">
        <v>0.7873</v>
      </c>
      <c r="H270" s="123">
        <f t="shared" si="16"/>
        <v>188.40767297407703</v>
      </c>
      <c r="I270" s="123">
        <f t="shared" si="17"/>
        <v>188.7645056880431</v>
      </c>
      <c r="J270" s="123">
        <f t="shared" si="18"/>
        <v>188.40767297407703</v>
      </c>
      <c r="K270" s="123"/>
      <c r="L270" s="176">
        <f t="shared" si="19"/>
        <v>188.52661721206573</v>
      </c>
      <c r="M270" s="432">
        <f>AVERAGE(L270:L273)</f>
        <v>174.63987742688676</v>
      </c>
      <c r="N270" s="433">
        <f>(MAX(L270:L273)-MIN(L270:L273))/(2*M270)</f>
        <v>6.8448833645496393E-2</v>
      </c>
    </row>
    <row r="271" spans="1:14" ht="21.75" customHeight="1">
      <c r="A271" t="s">
        <v>334</v>
      </c>
      <c r="B271" s="245">
        <v>41036</v>
      </c>
      <c r="C271" s="126">
        <v>49.9</v>
      </c>
      <c r="D271" s="126">
        <v>50.1</v>
      </c>
      <c r="E271" s="126">
        <v>50.4</v>
      </c>
      <c r="G271" s="321">
        <v>0.7873</v>
      </c>
      <c r="H271" s="123">
        <f t="shared" si="16"/>
        <v>178.05952426906146</v>
      </c>
      <c r="I271" s="123">
        <f t="shared" si="17"/>
        <v>178.77318969699357</v>
      </c>
      <c r="J271" s="123">
        <f t="shared" si="18"/>
        <v>179.8436878388917</v>
      </c>
      <c r="K271" s="123"/>
      <c r="L271" s="176">
        <f t="shared" si="19"/>
        <v>178.89213393498224</v>
      </c>
      <c r="M271" s="432"/>
      <c r="N271" s="433"/>
    </row>
    <row r="272" spans="1:14" ht="21.75" customHeight="1">
      <c r="A272" t="s">
        <v>335</v>
      </c>
      <c r="B272" s="245">
        <v>41036</v>
      </c>
      <c r="C272" s="126">
        <v>46.4</v>
      </c>
      <c r="D272" s="126">
        <v>46.9</v>
      </c>
      <c r="E272" s="126">
        <v>46.7</v>
      </c>
      <c r="G272" s="321">
        <v>0.7873</v>
      </c>
      <c r="H272" s="123">
        <f t="shared" si="16"/>
        <v>165.57037928024951</v>
      </c>
      <c r="I272" s="123">
        <f t="shared" si="17"/>
        <v>167.35454285007978</v>
      </c>
      <c r="J272" s="123">
        <f t="shared" si="18"/>
        <v>166.6408774221477</v>
      </c>
      <c r="K272" s="123"/>
      <c r="L272" s="176">
        <f t="shared" si="19"/>
        <v>166.521933184159</v>
      </c>
      <c r="M272" s="432"/>
      <c r="N272" s="433"/>
    </row>
    <row r="273" spans="1:14" ht="21.75" customHeight="1">
      <c r="A273" t="s">
        <v>336</v>
      </c>
      <c r="B273" s="245">
        <v>41036</v>
      </c>
      <c r="C273" s="126">
        <v>45.9</v>
      </c>
      <c r="D273" s="126">
        <v>46.2</v>
      </c>
      <c r="E273" s="126">
        <v>46.3</v>
      </c>
      <c r="G273" s="321">
        <v>0.7873</v>
      </c>
      <c r="H273" s="123">
        <f t="shared" si="16"/>
        <v>163.78621571041924</v>
      </c>
      <c r="I273" s="123">
        <f t="shared" si="17"/>
        <v>164.85671385231743</v>
      </c>
      <c r="J273" s="123">
        <f t="shared" si="18"/>
        <v>165.21354656628347</v>
      </c>
      <c r="K273" s="123"/>
      <c r="L273" s="176">
        <f t="shared" si="19"/>
        <v>164.61882537634003</v>
      </c>
      <c r="M273" s="432"/>
      <c r="N273" s="433"/>
    </row>
    <row r="274" spans="1:14" ht="21.75" customHeight="1">
      <c r="A274" t="s">
        <v>337</v>
      </c>
      <c r="B274" s="245">
        <v>41037</v>
      </c>
      <c r="C274" s="126">
        <v>58</v>
      </c>
      <c r="D274" s="126">
        <v>57.2</v>
      </c>
      <c r="E274" s="126">
        <v>57.7</v>
      </c>
      <c r="G274" s="321">
        <v>0.7873</v>
      </c>
      <c r="H274" s="123">
        <f t="shared" si="16"/>
        <v>206.9629741003119</v>
      </c>
      <c r="I274" s="123">
        <f t="shared" si="17"/>
        <v>204.10831238858344</v>
      </c>
      <c r="J274" s="123">
        <f t="shared" si="18"/>
        <v>205.89247595841374</v>
      </c>
      <c r="K274" s="123"/>
      <c r="L274" s="176">
        <f t="shared" si="19"/>
        <v>205.65458748243637</v>
      </c>
      <c r="M274" s="432">
        <f>AVERAGE(L274:L277)</f>
        <v>200.98602614138051</v>
      </c>
      <c r="N274" s="433">
        <f>(MAX(L274:L277)-MIN(L274:L277))/(2*M274)</f>
        <v>2.6631158455392726E-2</v>
      </c>
    </row>
    <row r="275" spans="1:14" ht="21.75" customHeight="1">
      <c r="A275" t="s">
        <v>342</v>
      </c>
      <c r="B275" s="245">
        <v>41037</v>
      </c>
      <c r="C275" s="126">
        <v>57.3</v>
      </c>
      <c r="D275" s="126">
        <v>57.5</v>
      </c>
      <c r="E275" s="126">
        <v>57.4</v>
      </c>
      <c r="G275" s="321">
        <v>0.7873</v>
      </c>
      <c r="H275" s="123">
        <f t="shared" si="16"/>
        <v>204.46514510254951</v>
      </c>
      <c r="I275" s="123">
        <f t="shared" si="17"/>
        <v>205.17881053048163</v>
      </c>
      <c r="J275" s="123">
        <f t="shared" si="18"/>
        <v>204.82197781651556</v>
      </c>
      <c r="K275" s="123"/>
      <c r="L275" s="176">
        <f t="shared" si="19"/>
        <v>204.82197781651556</v>
      </c>
      <c r="M275" s="432"/>
      <c r="N275" s="433"/>
    </row>
    <row r="276" spans="1:14" ht="21.75" customHeight="1">
      <c r="A276" t="s">
        <v>343</v>
      </c>
      <c r="B276" s="245">
        <v>41037</v>
      </c>
      <c r="C276" s="126">
        <v>55.7</v>
      </c>
      <c r="D276" s="126">
        <v>55.5</v>
      </c>
      <c r="E276" s="126">
        <v>55.7</v>
      </c>
      <c r="G276" s="321">
        <v>0.7873</v>
      </c>
      <c r="H276" s="123">
        <f t="shared" si="16"/>
        <v>198.75582167909266</v>
      </c>
      <c r="I276" s="123">
        <f t="shared" si="17"/>
        <v>198.04215625116052</v>
      </c>
      <c r="J276" s="123">
        <f t="shared" si="18"/>
        <v>198.75582167909266</v>
      </c>
      <c r="K276" s="123"/>
      <c r="L276" s="176">
        <f t="shared" si="19"/>
        <v>198.51793320311526</v>
      </c>
      <c r="M276" s="432"/>
      <c r="N276" s="433"/>
    </row>
    <row r="277" spans="1:14" ht="21.75" customHeight="1">
      <c r="A277" t="s">
        <v>344</v>
      </c>
      <c r="B277" s="245">
        <v>41037</v>
      </c>
      <c r="C277" s="126">
        <v>54.7</v>
      </c>
      <c r="D277" s="126">
        <v>54.7</v>
      </c>
      <c r="E277" s="126">
        <v>54.5</v>
      </c>
      <c r="G277" s="321">
        <v>0.7873</v>
      </c>
      <c r="H277" s="123">
        <f t="shared" si="16"/>
        <v>195.18749453943209</v>
      </c>
      <c r="I277" s="123">
        <f t="shared" si="17"/>
        <v>195.18749453943209</v>
      </c>
      <c r="J277" s="123">
        <f t="shared" si="18"/>
        <v>194.47382911149998</v>
      </c>
      <c r="K277" s="123"/>
      <c r="L277" s="176">
        <f t="shared" si="19"/>
        <v>194.94960606345475</v>
      </c>
      <c r="M277" s="432"/>
      <c r="N277" s="433"/>
    </row>
    <row r="278" spans="1:14" ht="21.75" customHeight="1">
      <c r="A278" t="s">
        <v>345</v>
      </c>
      <c r="B278" s="245">
        <v>41037</v>
      </c>
      <c r="C278" s="126">
        <v>50.7</v>
      </c>
      <c r="D278" s="126">
        <v>50.8</v>
      </c>
      <c r="E278" s="126">
        <v>50.7</v>
      </c>
      <c r="G278" s="321">
        <v>0.7873</v>
      </c>
      <c r="H278" s="123">
        <f t="shared" si="16"/>
        <v>180.91418598078991</v>
      </c>
      <c r="I278" s="123">
        <f t="shared" si="17"/>
        <v>181.27101869475592</v>
      </c>
      <c r="J278" s="123">
        <f t="shared" si="18"/>
        <v>180.91418598078991</v>
      </c>
      <c r="K278" s="123"/>
      <c r="L278" s="176">
        <f t="shared" si="19"/>
        <v>181.03313021877861</v>
      </c>
      <c r="M278" s="432">
        <f>AVERAGE(L278:L281)</f>
        <v>183.02544620508905</v>
      </c>
      <c r="N278" s="433">
        <f>(MAX(L278:L281)-MIN(L278:L281))/(2*M278)</f>
        <v>8.0909829406986156E-2</v>
      </c>
    </row>
    <row r="279" spans="1:14" ht="21.75" customHeight="1">
      <c r="A279" t="s">
        <v>347</v>
      </c>
      <c r="B279" s="245">
        <v>41037</v>
      </c>
      <c r="C279" s="126">
        <v>54.1</v>
      </c>
      <c r="D279" s="126">
        <v>53.1</v>
      </c>
      <c r="E279" s="126">
        <v>53.6</v>
      </c>
      <c r="G279" s="321">
        <v>0.7873</v>
      </c>
      <c r="H279" s="123">
        <f t="shared" si="16"/>
        <v>193.04649825563575</v>
      </c>
      <c r="I279" s="123">
        <f t="shared" si="17"/>
        <v>189.47817111597521</v>
      </c>
      <c r="J279" s="123">
        <f t="shared" si="18"/>
        <v>191.26233468580548</v>
      </c>
      <c r="K279" s="123"/>
      <c r="L279" s="176">
        <f t="shared" si="19"/>
        <v>191.26233468580548</v>
      </c>
      <c r="M279" s="432"/>
      <c r="N279" s="433"/>
    </row>
    <row r="280" spans="1:14" ht="21.75" customHeight="1">
      <c r="A280" t="s">
        <v>348</v>
      </c>
      <c r="B280" s="245">
        <v>41037</v>
      </c>
      <c r="C280" s="126">
        <v>46.3</v>
      </c>
      <c r="D280" s="126">
        <v>46.4</v>
      </c>
      <c r="E280" s="126">
        <v>46.1</v>
      </c>
      <c r="G280" s="321">
        <v>0.7873</v>
      </c>
      <c r="H280" s="123">
        <f t="shared" si="16"/>
        <v>165.21354656628347</v>
      </c>
      <c r="I280" s="123">
        <f t="shared" si="17"/>
        <v>165.57037928024951</v>
      </c>
      <c r="J280" s="123">
        <f t="shared" si="18"/>
        <v>164.49988113835136</v>
      </c>
      <c r="K280" s="123"/>
      <c r="L280" s="176">
        <f t="shared" si="19"/>
        <v>165.09460232829477</v>
      </c>
      <c r="M280" s="432"/>
      <c r="N280" s="433"/>
    </row>
    <row r="281" spans="1:14" ht="21.75" customHeight="1">
      <c r="A281" t="s">
        <v>349</v>
      </c>
      <c r="B281" s="245">
        <v>41037</v>
      </c>
      <c r="C281" s="126">
        <v>54.4</v>
      </c>
      <c r="D281" s="126">
        <v>54.7</v>
      </c>
      <c r="E281" s="126">
        <v>54.6</v>
      </c>
      <c r="G281" s="321">
        <v>0.7873</v>
      </c>
      <c r="H281" s="123">
        <f t="shared" si="16"/>
        <v>194.11699639753391</v>
      </c>
      <c r="I281" s="123">
        <f t="shared" si="17"/>
        <v>195.18749453943209</v>
      </c>
      <c r="J281" s="123">
        <f t="shared" si="18"/>
        <v>194.83066182546602</v>
      </c>
      <c r="K281" s="123"/>
      <c r="L281" s="176">
        <f t="shared" si="19"/>
        <v>194.71171758747732</v>
      </c>
      <c r="M281" s="432"/>
      <c r="N281" s="433"/>
    </row>
    <row r="282" spans="1:14" ht="21.75" customHeight="1">
      <c r="A282" t="s">
        <v>350</v>
      </c>
      <c r="B282" s="245">
        <v>41038</v>
      </c>
      <c r="C282" s="126">
        <v>58.5</v>
      </c>
      <c r="D282" s="126">
        <v>58.3</v>
      </c>
      <c r="E282" s="126">
        <v>58.7</v>
      </c>
      <c r="G282" s="321">
        <v>0.7873</v>
      </c>
      <c r="H282" s="123">
        <f t="shared" si="16"/>
        <v>208.74713767014219</v>
      </c>
      <c r="I282" s="123">
        <f t="shared" si="17"/>
        <v>208.03347224221008</v>
      </c>
      <c r="J282" s="123">
        <f t="shared" si="18"/>
        <v>209.46080309807431</v>
      </c>
      <c r="K282" s="123"/>
      <c r="L282" s="176">
        <f t="shared" si="19"/>
        <v>208.74713767014217</v>
      </c>
      <c r="M282" s="432">
        <f>AVERAGE(L282:L285)</f>
        <v>203.66227149612587</v>
      </c>
      <c r="N282" s="433">
        <f>(MAX(L282:L285)-MIN(L282:L285))/(2*M282)</f>
        <v>2.2777047744196137E-2</v>
      </c>
    </row>
    <row r="283" spans="1:14" ht="21.75" customHeight="1">
      <c r="A283" t="s">
        <v>352</v>
      </c>
      <c r="B283" s="245">
        <v>41038</v>
      </c>
      <c r="C283" s="126">
        <v>57.6</v>
      </c>
      <c r="D283" s="126">
        <v>57.7</v>
      </c>
      <c r="E283" s="126">
        <v>57.4</v>
      </c>
      <c r="G283" s="321">
        <v>0.7873</v>
      </c>
      <c r="H283" s="123">
        <f t="shared" si="16"/>
        <v>205.53564324444767</v>
      </c>
      <c r="I283" s="123">
        <f t="shared" si="17"/>
        <v>205.89247595841374</v>
      </c>
      <c r="J283" s="123">
        <f t="shared" si="18"/>
        <v>204.82197781651556</v>
      </c>
      <c r="K283" s="123"/>
      <c r="L283" s="176">
        <f t="shared" si="19"/>
        <v>205.416699006459</v>
      </c>
      <c r="M283" s="432"/>
      <c r="N283" s="433"/>
    </row>
    <row r="284" spans="1:14" ht="21.75" customHeight="1">
      <c r="A284" t="s">
        <v>353</v>
      </c>
      <c r="B284" s="245">
        <v>41038</v>
      </c>
      <c r="C284" s="126">
        <v>56.5</v>
      </c>
      <c r="D284" s="126">
        <v>56.2</v>
      </c>
      <c r="E284" s="126">
        <v>56.3</v>
      </c>
      <c r="G284" s="321">
        <v>0.7873</v>
      </c>
      <c r="H284" s="123">
        <f t="shared" si="16"/>
        <v>201.61048339082106</v>
      </c>
      <c r="I284" s="123">
        <f t="shared" si="17"/>
        <v>200.5399852489229</v>
      </c>
      <c r="J284" s="123">
        <f t="shared" si="18"/>
        <v>200.89681796288895</v>
      </c>
      <c r="K284" s="123"/>
      <c r="L284" s="176">
        <f t="shared" si="19"/>
        <v>201.01576220087762</v>
      </c>
      <c r="M284" s="432"/>
      <c r="N284" s="433"/>
    </row>
    <row r="285" spans="1:14" ht="21.75" customHeight="1">
      <c r="A285" t="s">
        <v>354</v>
      </c>
      <c r="B285" s="245">
        <v>41038</v>
      </c>
      <c r="C285" s="126">
        <v>55.9</v>
      </c>
      <c r="D285" s="126">
        <v>56.1</v>
      </c>
      <c r="E285" s="126">
        <v>55.7</v>
      </c>
      <c r="G285" s="321">
        <v>0.7873</v>
      </c>
      <c r="H285" s="123">
        <f t="shared" si="16"/>
        <v>199.46948710702475</v>
      </c>
      <c r="I285" s="123">
        <f t="shared" si="17"/>
        <v>200.18315253495686</v>
      </c>
      <c r="J285" s="123">
        <f t="shared" si="18"/>
        <v>198.75582167909266</v>
      </c>
      <c r="K285" s="123"/>
      <c r="L285" s="176">
        <f t="shared" si="19"/>
        <v>199.46948710702478</v>
      </c>
      <c r="M285" s="432"/>
      <c r="N285" s="433"/>
    </row>
    <row r="286" spans="1:14" ht="21.75" customHeight="1">
      <c r="A286" t="s">
        <v>361</v>
      </c>
      <c r="B286" s="245">
        <v>41039</v>
      </c>
      <c r="C286" s="126">
        <v>213.7</v>
      </c>
      <c r="D286" s="126">
        <v>214.7</v>
      </c>
      <c r="E286" s="126">
        <v>213.7</v>
      </c>
      <c r="G286" s="321">
        <v>0.7873</v>
      </c>
      <c r="H286" s="123">
        <f t="shared" si="16"/>
        <v>762.5515097454595</v>
      </c>
      <c r="I286" s="123">
        <f t="shared" si="17"/>
        <v>766.11983688511998</v>
      </c>
      <c r="J286" s="123">
        <f t="shared" si="18"/>
        <v>762.5515097454595</v>
      </c>
      <c r="K286" s="123"/>
      <c r="L286" s="176">
        <f t="shared" si="19"/>
        <v>763.74095212534633</v>
      </c>
      <c r="M286" s="432">
        <f>AVERAGE(L286:L289)</f>
        <v>737.84084430331018</v>
      </c>
      <c r="N286" s="433">
        <f>(MAX(L286:L289)-MIN(L286:L289))/(2*M286)</f>
        <v>4.2316527626647331E-2</v>
      </c>
    </row>
    <row r="287" spans="1:14" ht="21.75" customHeight="1">
      <c r="A287" t="s">
        <v>364</v>
      </c>
      <c r="B287" s="245">
        <v>41039</v>
      </c>
      <c r="C287" s="126">
        <v>216.4</v>
      </c>
      <c r="D287" s="126">
        <v>215.6</v>
      </c>
      <c r="E287" s="126">
        <v>215.7</v>
      </c>
      <c r="G287" s="321">
        <v>0.7873</v>
      </c>
      <c r="H287" s="123">
        <f t="shared" si="16"/>
        <v>772.18599302254302</v>
      </c>
      <c r="I287" s="123">
        <f t="shared" si="17"/>
        <v>769.33133131081456</v>
      </c>
      <c r="J287" s="123">
        <f t="shared" si="18"/>
        <v>769.68816402478058</v>
      </c>
      <c r="K287" s="123"/>
      <c r="L287" s="176">
        <f t="shared" si="19"/>
        <v>770.40182945271272</v>
      </c>
      <c r="M287" s="432"/>
      <c r="N287" s="433"/>
    </row>
    <row r="288" spans="1:14" ht="21.75" customHeight="1">
      <c r="A288" t="s">
        <v>365</v>
      </c>
      <c r="B288" s="245">
        <v>41039</v>
      </c>
      <c r="C288" s="126">
        <v>198.3</v>
      </c>
      <c r="D288" s="126">
        <v>198.1</v>
      </c>
      <c r="E288" s="126">
        <v>198.8</v>
      </c>
      <c r="G288" s="321">
        <v>0.7873</v>
      </c>
      <c r="H288" s="123">
        <f t="shared" si="16"/>
        <v>707.59927179468707</v>
      </c>
      <c r="I288" s="123">
        <f t="shared" si="17"/>
        <v>706.88560636675493</v>
      </c>
      <c r="J288" s="123">
        <f t="shared" si="18"/>
        <v>709.38343536451737</v>
      </c>
      <c r="K288" s="123"/>
      <c r="L288" s="176">
        <f t="shared" si="19"/>
        <v>707.95610450865308</v>
      </c>
      <c r="M288" s="432"/>
      <c r="N288" s="433"/>
    </row>
    <row r="289" spans="1:14" ht="21.75" customHeight="1">
      <c r="A289" t="s">
        <v>366</v>
      </c>
      <c r="B289" s="245">
        <v>41039</v>
      </c>
      <c r="C289" s="126">
        <v>198.2</v>
      </c>
      <c r="D289" s="126">
        <v>199</v>
      </c>
      <c r="E289" s="126">
        <v>199.1</v>
      </c>
      <c r="G289" s="321">
        <v>0.7873</v>
      </c>
      <c r="H289" s="123">
        <f t="shared" si="16"/>
        <v>707.24243908072094</v>
      </c>
      <c r="I289" s="123">
        <f t="shared" si="17"/>
        <v>710.0971007924494</v>
      </c>
      <c r="J289" s="123">
        <f t="shared" si="18"/>
        <v>710.45393350641552</v>
      </c>
      <c r="K289" s="123"/>
      <c r="L289" s="176">
        <f t="shared" si="19"/>
        <v>709.2644911265287</v>
      </c>
      <c r="M289" s="432"/>
      <c r="N289" s="433"/>
    </row>
    <row r="290" spans="1:14" ht="21.75" customHeight="1">
      <c r="A290" t="s">
        <v>324</v>
      </c>
      <c r="B290" s="245">
        <v>41040</v>
      </c>
      <c r="C290" s="126">
        <v>148.44</v>
      </c>
      <c r="D290" s="126">
        <v>148.22999999999999</v>
      </c>
      <c r="E290" s="126">
        <v>149.13</v>
      </c>
      <c r="G290" s="321">
        <v>0.7873</v>
      </c>
      <c r="H290" s="123">
        <f t="shared" si="16"/>
        <v>529.68248061121199</v>
      </c>
      <c r="I290" s="123">
        <f t="shared" si="17"/>
        <v>528.93313191188327</v>
      </c>
      <c r="J290" s="123">
        <f t="shared" si="18"/>
        <v>532.14462633757773</v>
      </c>
      <c r="K290" s="123"/>
      <c r="L290" s="176">
        <f t="shared" si="19"/>
        <v>530.25341295355759</v>
      </c>
      <c r="M290" s="227"/>
      <c r="N290" s="275"/>
    </row>
    <row r="291" spans="1:14" ht="21.75" customHeight="1">
      <c r="A291" t="s">
        <v>275</v>
      </c>
      <c r="B291" s="245">
        <v>41040</v>
      </c>
      <c r="C291" s="126">
        <v>144.9</v>
      </c>
      <c r="D291" s="126">
        <v>144.30000000000001</v>
      </c>
      <c r="E291" s="126">
        <v>144.5</v>
      </c>
      <c r="G291" s="321">
        <v>0.7873</v>
      </c>
      <c r="H291" s="123">
        <f t="shared" si="16"/>
        <v>517.0506025368137</v>
      </c>
      <c r="I291" s="123">
        <f t="shared" si="17"/>
        <v>514.90960625301739</v>
      </c>
      <c r="J291" s="123">
        <f t="shared" si="18"/>
        <v>515.62327168094941</v>
      </c>
      <c r="K291" s="123"/>
      <c r="L291" s="176">
        <f t="shared" si="19"/>
        <v>515.86116015692687</v>
      </c>
      <c r="M291" s="227"/>
      <c r="N291" s="275"/>
    </row>
    <row r="292" spans="1:14" ht="21.75" customHeight="1">
      <c r="A292" t="s">
        <v>372</v>
      </c>
      <c r="B292" s="245">
        <v>41040</v>
      </c>
      <c r="C292" s="126">
        <v>217.1</v>
      </c>
      <c r="D292" s="126">
        <v>216.9</v>
      </c>
      <c r="E292" s="126">
        <v>216.3</v>
      </c>
      <c r="G292" s="321">
        <v>0.7873</v>
      </c>
      <c r="H292" s="123">
        <f t="shared" si="16"/>
        <v>774.68382202030534</v>
      </c>
      <c r="I292" s="123">
        <f t="shared" si="17"/>
        <v>773.97015659237331</v>
      </c>
      <c r="J292" s="123">
        <f t="shared" si="18"/>
        <v>771.829160308577</v>
      </c>
      <c r="K292" s="123"/>
      <c r="L292" s="176">
        <f t="shared" si="19"/>
        <v>773.49437964041863</v>
      </c>
      <c r="M292" s="432">
        <f>AVERAGE(L292:L295)</f>
        <v>729.63369188209094</v>
      </c>
      <c r="N292" s="433">
        <f>(MAX(L292:L295)-MIN(L292:L295))/(2*M292)</f>
        <v>0.21249541508741904</v>
      </c>
    </row>
    <row r="293" spans="1:14" ht="21.75" customHeight="1">
      <c r="A293" t="s">
        <v>376</v>
      </c>
      <c r="B293" s="245">
        <v>41040</v>
      </c>
      <c r="C293" s="126">
        <v>147.80000000000001</v>
      </c>
      <c r="D293" s="126">
        <v>148.19999999999999</v>
      </c>
      <c r="E293" s="126">
        <v>148</v>
      </c>
      <c r="G293" s="321">
        <v>0.7873</v>
      </c>
      <c r="H293" s="123">
        <f t="shared" si="16"/>
        <v>527.39875124182925</v>
      </c>
      <c r="I293" s="123">
        <f t="shared" si="17"/>
        <v>528.82608209769342</v>
      </c>
      <c r="J293" s="123">
        <f t="shared" si="18"/>
        <v>528.11241666976139</v>
      </c>
      <c r="K293" s="123"/>
      <c r="L293" s="176">
        <f t="shared" si="19"/>
        <v>528.11241666976139</v>
      </c>
      <c r="M293" s="432"/>
      <c r="N293" s="433"/>
    </row>
    <row r="294" spans="1:14" ht="21.75" customHeight="1">
      <c r="A294" t="s">
        <v>377</v>
      </c>
      <c r="B294" s="245">
        <v>41040</v>
      </c>
      <c r="C294" s="126">
        <v>234.6</v>
      </c>
      <c r="D294" s="126">
        <v>234.8</v>
      </c>
      <c r="E294" s="126">
        <v>235.3</v>
      </c>
      <c r="G294" s="321">
        <v>0.7873</v>
      </c>
      <c r="H294" s="123">
        <f t="shared" si="16"/>
        <v>837.12954696436509</v>
      </c>
      <c r="I294" s="123">
        <f t="shared" si="17"/>
        <v>837.84321239229723</v>
      </c>
      <c r="J294" s="123">
        <f t="shared" si="18"/>
        <v>839.62737596212753</v>
      </c>
      <c r="K294" s="123"/>
      <c r="L294" s="176">
        <f t="shared" si="19"/>
        <v>838.20004510626325</v>
      </c>
      <c r="M294" s="432"/>
      <c r="N294" s="433"/>
    </row>
    <row r="295" spans="1:14" ht="21.75" customHeight="1">
      <c r="A295" t="s">
        <v>378</v>
      </c>
      <c r="B295" s="245">
        <v>41040</v>
      </c>
      <c r="C295" s="126">
        <v>218.9</v>
      </c>
      <c r="D295" s="126">
        <v>217.8</v>
      </c>
      <c r="E295" s="126">
        <v>218</v>
      </c>
      <c r="G295" s="321">
        <v>0.7873</v>
      </c>
      <c r="H295" s="123">
        <f t="shared" si="16"/>
        <v>781.10681087169439</v>
      </c>
      <c r="I295" s="123">
        <f t="shared" si="17"/>
        <v>777.18165101806778</v>
      </c>
      <c r="J295" s="123">
        <f t="shared" si="18"/>
        <v>777.89531644599992</v>
      </c>
      <c r="K295" s="123"/>
      <c r="L295" s="176">
        <f t="shared" si="19"/>
        <v>778.72792611192074</v>
      </c>
      <c r="M295" s="432"/>
      <c r="N295" s="433"/>
    </row>
    <row r="296" spans="1:14" ht="21.75" customHeight="1">
      <c r="A296" t="s">
        <v>379</v>
      </c>
      <c r="B296" s="245">
        <v>41043</v>
      </c>
      <c r="C296" s="126">
        <v>91.6</v>
      </c>
      <c r="D296" s="126">
        <v>91.2</v>
      </c>
      <c r="E296" s="126">
        <v>91.8</v>
      </c>
      <c r="G296" s="321">
        <v>0.7873</v>
      </c>
      <c r="H296" s="123">
        <f t="shared" si="16"/>
        <v>326.85876599290634</v>
      </c>
      <c r="I296" s="123">
        <f t="shared" si="17"/>
        <v>325.43143513704217</v>
      </c>
      <c r="J296" s="123">
        <f t="shared" si="18"/>
        <v>327.57243142083848</v>
      </c>
      <c r="K296" s="123"/>
      <c r="L296" s="176">
        <f t="shared" si="19"/>
        <v>326.620877516929</v>
      </c>
      <c r="M296" s="432">
        <f>AVERAGE(L296:L299)</f>
        <v>325.52064331553368</v>
      </c>
      <c r="N296" s="433">
        <f>(MAX(L296:L299)-MIN(L296:L299))/(2*M296)</f>
        <v>3.9462866538777765E-2</v>
      </c>
    </row>
    <row r="297" spans="1:14" ht="21.75" customHeight="1">
      <c r="A297" t="s">
        <v>380</v>
      </c>
      <c r="B297" s="245">
        <v>41043</v>
      </c>
      <c r="C297" s="126">
        <v>92.6</v>
      </c>
      <c r="D297" s="126">
        <v>92.3</v>
      </c>
      <c r="E297" s="126">
        <v>93.2</v>
      </c>
      <c r="G297" s="321">
        <v>0.7873</v>
      </c>
      <c r="H297" s="123">
        <f t="shared" si="16"/>
        <v>330.42709313256694</v>
      </c>
      <c r="I297" s="123">
        <f t="shared" si="17"/>
        <v>329.35659499066878</v>
      </c>
      <c r="J297" s="123">
        <f t="shared" si="18"/>
        <v>332.56808941636325</v>
      </c>
      <c r="K297" s="123"/>
      <c r="L297" s="176">
        <f t="shared" si="19"/>
        <v>330.78392584653301</v>
      </c>
      <c r="M297" s="432"/>
      <c r="N297" s="433"/>
    </row>
    <row r="298" spans="1:14" ht="21.75" customHeight="1">
      <c r="A298" t="s">
        <v>381</v>
      </c>
      <c r="B298" s="245">
        <v>41043</v>
      </c>
      <c r="C298" s="126">
        <v>93.8</v>
      </c>
      <c r="D298" s="126">
        <v>94.1</v>
      </c>
      <c r="E298" s="126">
        <v>93.9</v>
      </c>
      <c r="G298" s="321">
        <v>0.7873</v>
      </c>
      <c r="H298" s="123">
        <f t="shared" si="16"/>
        <v>334.70908570015956</v>
      </c>
      <c r="I298" s="123">
        <f t="shared" si="17"/>
        <v>335.77958384205772</v>
      </c>
      <c r="J298" s="123">
        <f t="shared" si="18"/>
        <v>335.06591841412563</v>
      </c>
      <c r="K298" s="123"/>
      <c r="L298" s="176">
        <f t="shared" si="19"/>
        <v>335.1848626521143</v>
      </c>
      <c r="M298" s="432"/>
      <c r="N298" s="433"/>
    </row>
    <row r="299" spans="1:14" ht="21.75" customHeight="1">
      <c r="A299" t="s">
        <v>382</v>
      </c>
      <c r="B299" s="245">
        <v>41043</v>
      </c>
      <c r="C299" s="126">
        <v>86.7</v>
      </c>
      <c r="D299" s="126">
        <v>86.6</v>
      </c>
      <c r="E299" s="126">
        <v>86.9</v>
      </c>
      <c r="G299" s="321">
        <v>0.7873</v>
      </c>
      <c r="H299" s="123">
        <f t="shared" si="16"/>
        <v>309.37396300856966</v>
      </c>
      <c r="I299" s="123">
        <f t="shared" si="17"/>
        <v>309.01713029460359</v>
      </c>
      <c r="J299" s="123">
        <f t="shared" si="18"/>
        <v>310.0876284365018</v>
      </c>
      <c r="K299" s="123"/>
      <c r="L299" s="176">
        <f t="shared" si="19"/>
        <v>309.49290724655833</v>
      </c>
      <c r="M299" s="432"/>
      <c r="N299" s="433"/>
    </row>
    <row r="300" spans="1:14" ht="21.75" customHeight="1">
      <c r="A300" t="s">
        <v>384</v>
      </c>
      <c r="B300" s="245">
        <v>41045</v>
      </c>
      <c r="C300" s="126">
        <v>103.3</v>
      </c>
      <c r="D300" s="126">
        <v>103.8</v>
      </c>
      <c r="E300" s="126">
        <v>103.8</v>
      </c>
      <c r="G300" s="321">
        <v>0.7873</v>
      </c>
      <c r="H300" s="123">
        <f t="shared" si="16"/>
        <v>368.60819352693477</v>
      </c>
      <c r="I300" s="123">
        <f t="shared" si="17"/>
        <v>370.39235709676507</v>
      </c>
      <c r="J300" s="123">
        <f t="shared" si="18"/>
        <v>370.39235709676507</v>
      </c>
      <c r="K300" s="123"/>
      <c r="L300" s="176">
        <f t="shared" si="19"/>
        <v>369.7976359068216</v>
      </c>
      <c r="M300" s="432">
        <f>AVERAGE(L300:L303)</f>
        <v>387.55006342663285</v>
      </c>
      <c r="N300" s="433">
        <f>(MAX(L300:L303)-MIN(L300:L303))/(2*M300)</f>
        <v>4.7264635924192527E-2</v>
      </c>
    </row>
    <row r="301" spans="1:14" ht="21.75" customHeight="1">
      <c r="A301" t="s">
        <v>386</v>
      </c>
      <c r="B301" s="245">
        <v>41045</v>
      </c>
      <c r="C301" s="126">
        <v>103.8</v>
      </c>
      <c r="D301" s="126">
        <v>103.6</v>
      </c>
      <c r="E301" s="126">
        <v>103.9</v>
      </c>
      <c r="G301" s="321">
        <v>0.7873</v>
      </c>
      <c r="H301" s="123">
        <f t="shared" si="16"/>
        <v>370.39235709676507</v>
      </c>
      <c r="I301" s="123">
        <f t="shared" si="17"/>
        <v>369.67869166883293</v>
      </c>
      <c r="J301" s="123">
        <f t="shared" si="18"/>
        <v>370.74918981073114</v>
      </c>
      <c r="K301" s="123"/>
      <c r="L301" s="176">
        <f t="shared" si="19"/>
        <v>370.27341285877634</v>
      </c>
      <c r="M301" s="432"/>
      <c r="N301" s="433"/>
    </row>
    <row r="302" spans="1:14" ht="21.75" customHeight="1">
      <c r="A302" t="s">
        <v>387</v>
      </c>
      <c r="B302" s="245">
        <v>41045</v>
      </c>
      <c r="C302" s="126">
        <v>113.5</v>
      </c>
      <c r="D302" s="126">
        <v>113.1</v>
      </c>
      <c r="E302" s="126">
        <v>112.8</v>
      </c>
      <c r="G302" s="321">
        <v>0.7873</v>
      </c>
      <c r="H302" s="123">
        <f t="shared" si="16"/>
        <v>405.00513035147242</v>
      </c>
      <c r="I302" s="123">
        <f t="shared" si="17"/>
        <v>403.57779949560819</v>
      </c>
      <c r="J302" s="123">
        <f t="shared" si="18"/>
        <v>402.50730135371003</v>
      </c>
      <c r="K302" s="123"/>
      <c r="L302" s="176">
        <f t="shared" si="19"/>
        <v>403.69674373359686</v>
      </c>
      <c r="M302" s="432"/>
      <c r="N302" s="433"/>
    </row>
    <row r="303" spans="1:14" ht="21.75" customHeight="1">
      <c r="A303" t="s">
        <v>388</v>
      </c>
      <c r="B303" s="245">
        <v>41045</v>
      </c>
      <c r="C303" s="126">
        <v>113.9</v>
      </c>
      <c r="D303" s="126">
        <v>114</v>
      </c>
      <c r="E303" s="126">
        <v>113.8</v>
      </c>
      <c r="G303" s="321">
        <v>0.7873</v>
      </c>
      <c r="H303" s="123">
        <f t="shared" si="16"/>
        <v>406.43246120733664</v>
      </c>
      <c r="I303" s="123">
        <f t="shared" si="17"/>
        <v>406.78929392130266</v>
      </c>
      <c r="J303" s="123">
        <f t="shared" si="18"/>
        <v>406.07562849337057</v>
      </c>
      <c r="K303" s="123"/>
      <c r="L303" s="176">
        <f t="shared" si="19"/>
        <v>406.43246120733664</v>
      </c>
      <c r="M303" s="432"/>
      <c r="N303" s="433"/>
    </row>
    <row r="304" spans="1:14" ht="21.75" customHeight="1">
      <c r="A304" t="s">
        <v>389</v>
      </c>
      <c r="B304" s="245">
        <v>41045</v>
      </c>
      <c r="C304" s="126">
        <v>88.4</v>
      </c>
      <c r="D304" s="126">
        <v>87.9</v>
      </c>
      <c r="E304" s="126">
        <v>88.2</v>
      </c>
      <c r="G304" s="321">
        <v>0.7873</v>
      </c>
      <c r="H304" s="123">
        <f t="shared" si="16"/>
        <v>315.44011914599264</v>
      </c>
      <c r="I304" s="123">
        <f t="shared" si="17"/>
        <v>313.65595557616234</v>
      </c>
      <c r="J304" s="123">
        <f t="shared" si="18"/>
        <v>314.72645371806055</v>
      </c>
      <c r="K304" s="123"/>
      <c r="L304" s="176">
        <f t="shared" si="19"/>
        <v>314.60750948007188</v>
      </c>
      <c r="M304" s="432">
        <f>AVERAGE(L304:L307)</f>
        <v>313.418067100185</v>
      </c>
      <c r="N304" s="433">
        <f>(MAX(L304:L307)-MIN(L304:L307))/(2*M304)</f>
        <v>7.9696394686906962E-3</v>
      </c>
    </row>
    <row r="305" spans="1:14" ht="21.75" customHeight="1">
      <c r="A305" t="s">
        <v>390</v>
      </c>
      <c r="B305" s="245">
        <v>41045</v>
      </c>
      <c r="C305" s="126">
        <v>87.7</v>
      </c>
      <c r="D305" s="126">
        <v>87</v>
      </c>
      <c r="E305" s="126">
        <v>87.2</v>
      </c>
      <c r="G305" s="321">
        <v>0.7873</v>
      </c>
      <c r="H305" s="123">
        <f t="shared" si="16"/>
        <v>312.94229014823026</v>
      </c>
      <c r="I305" s="123">
        <f t="shared" si="17"/>
        <v>310.44446115046787</v>
      </c>
      <c r="J305" s="123">
        <f t="shared" si="18"/>
        <v>311.15812657839996</v>
      </c>
      <c r="K305" s="123"/>
      <c r="L305" s="176">
        <f t="shared" si="19"/>
        <v>311.51495929236603</v>
      </c>
      <c r="M305" s="432"/>
      <c r="N305" s="433"/>
    </row>
    <row r="306" spans="1:14" ht="21.75" customHeight="1">
      <c r="A306" t="s">
        <v>391</v>
      </c>
      <c r="B306" s="245">
        <v>41045</v>
      </c>
      <c r="C306" s="126">
        <v>88.3</v>
      </c>
      <c r="D306" s="126">
        <v>88.8</v>
      </c>
      <c r="E306" s="126">
        <v>88.8</v>
      </c>
      <c r="G306" s="321">
        <v>0.7873</v>
      </c>
      <c r="H306" s="123">
        <f t="shared" si="16"/>
        <v>315.08328643202657</v>
      </c>
      <c r="I306" s="123">
        <f t="shared" si="17"/>
        <v>316.86745000185681</v>
      </c>
      <c r="J306" s="123">
        <f t="shared" si="18"/>
        <v>316.86745000185681</v>
      </c>
      <c r="K306" s="123"/>
      <c r="L306" s="176">
        <f t="shared" si="19"/>
        <v>316.2727288119134</v>
      </c>
      <c r="M306" s="432"/>
      <c r="N306" s="433"/>
    </row>
    <row r="307" spans="1:14" ht="21.75" customHeight="1">
      <c r="A307" t="s">
        <v>392</v>
      </c>
      <c r="B307" s="245">
        <v>41045</v>
      </c>
      <c r="C307" s="126">
        <v>87.2</v>
      </c>
      <c r="D307" s="126">
        <v>87.1</v>
      </c>
      <c r="E307" s="126">
        <v>87.4</v>
      </c>
      <c r="G307" s="321">
        <v>0.7873</v>
      </c>
      <c r="H307" s="123">
        <f t="shared" si="16"/>
        <v>311.15812657839996</v>
      </c>
      <c r="I307" s="123">
        <f t="shared" si="17"/>
        <v>310.80129386443389</v>
      </c>
      <c r="J307" s="123">
        <f t="shared" si="18"/>
        <v>311.8717920063321</v>
      </c>
      <c r="K307" s="123"/>
      <c r="L307" s="176">
        <f t="shared" si="19"/>
        <v>311.27707081638863</v>
      </c>
      <c r="M307" s="432"/>
      <c r="N307" s="433"/>
    </row>
    <row r="308" spans="1:14" ht="21.75" customHeight="1">
      <c r="A308" t="s">
        <v>393</v>
      </c>
      <c r="B308" s="245">
        <v>41046</v>
      </c>
      <c r="C308" s="126">
        <v>178</v>
      </c>
      <c r="D308" s="126">
        <v>178.4</v>
      </c>
      <c r="E308" s="126">
        <v>177.5</v>
      </c>
      <c r="G308" s="321">
        <v>0.7873</v>
      </c>
      <c r="H308" s="123">
        <f t="shared" si="16"/>
        <v>635.1622308595779</v>
      </c>
      <c r="I308" s="123">
        <f t="shared" si="17"/>
        <v>636.58956171544207</v>
      </c>
      <c r="J308" s="123">
        <f t="shared" si="18"/>
        <v>633.37806728974761</v>
      </c>
      <c r="K308" s="123"/>
      <c r="L308" s="176">
        <f t="shared" si="19"/>
        <v>635.04328662158912</v>
      </c>
      <c r="M308" s="432">
        <f>AVERAGE(L308:L311)</f>
        <v>630.55314163751632</v>
      </c>
      <c r="N308" s="433">
        <f>(MAX(L308:L311)-MIN(L308:L311))/(2*M308)</f>
        <v>8.8658335298279368E-3</v>
      </c>
    </row>
    <row r="309" spans="1:14" ht="21.75" customHeight="1">
      <c r="A309" t="s">
        <v>394</v>
      </c>
      <c r="B309" s="245">
        <v>41046</v>
      </c>
      <c r="C309" s="126">
        <v>174.8</v>
      </c>
      <c r="D309" s="126">
        <v>175.3</v>
      </c>
      <c r="E309" s="126">
        <v>175.2</v>
      </c>
      <c r="G309" s="321">
        <v>0.7873</v>
      </c>
      <c r="H309" s="123">
        <f t="shared" si="16"/>
        <v>623.7435840126642</v>
      </c>
      <c r="I309" s="123">
        <f t="shared" si="17"/>
        <v>625.5277475824945</v>
      </c>
      <c r="J309" s="123">
        <f t="shared" si="18"/>
        <v>625.17091486852826</v>
      </c>
      <c r="K309" s="123"/>
      <c r="L309" s="176">
        <f t="shared" si="19"/>
        <v>624.81408215456224</v>
      </c>
      <c r="M309" s="432"/>
      <c r="N309" s="433"/>
    </row>
    <row r="310" spans="1:14" ht="21.75" customHeight="1">
      <c r="A310" t="s">
        <v>395</v>
      </c>
      <c r="B310" s="245">
        <v>41046</v>
      </c>
      <c r="C310" s="126">
        <v>175.3</v>
      </c>
      <c r="D310" s="126">
        <v>175.8</v>
      </c>
      <c r="E310" s="126">
        <v>175.5</v>
      </c>
      <c r="G310" s="321">
        <v>0.7873</v>
      </c>
      <c r="H310" s="123">
        <f t="shared" si="16"/>
        <v>625.5277475824945</v>
      </c>
      <c r="I310" s="123">
        <f t="shared" si="17"/>
        <v>627.31191115232468</v>
      </c>
      <c r="J310" s="123">
        <f t="shared" si="18"/>
        <v>626.24141301042653</v>
      </c>
      <c r="K310" s="123"/>
      <c r="L310" s="176">
        <f t="shared" si="19"/>
        <v>626.36035724841531</v>
      </c>
      <c r="M310" s="432"/>
      <c r="N310" s="433"/>
    </row>
    <row r="311" spans="1:14" ht="21.75" customHeight="1">
      <c r="A311" t="s">
        <v>396</v>
      </c>
      <c r="B311" s="245">
        <v>41046</v>
      </c>
      <c r="C311" s="126">
        <v>178</v>
      </c>
      <c r="D311" s="126">
        <v>178.6</v>
      </c>
      <c r="E311" s="126">
        <v>178.1</v>
      </c>
      <c r="G311" s="321">
        <v>0.7873</v>
      </c>
      <c r="H311" s="123">
        <f t="shared" si="16"/>
        <v>635.1622308595779</v>
      </c>
      <c r="I311" s="123">
        <f t="shared" si="17"/>
        <v>637.30322714337422</v>
      </c>
      <c r="J311" s="123">
        <f t="shared" si="18"/>
        <v>635.51906357354392</v>
      </c>
      <c r="K311" s="123"/>
      <c r="L311" s="176">
        <f t="shared" si="19"/>
        <v>635.99484052549872</v>
      </c>
      <c r="M311" s="432"/>
      <c r="N311" s="433"/>
    </row>
    <row r="312" spans="1:14" ht="21.75" customHeight="1">
      <c r="A312" t="s">
        <v>397</v>
      </c>
      <c r="B312" s="245">
        <v>41050</v>
      </c>
      <c r="C312" s="126">
        <v>122.2</v>
      </c>
      <c r="D312" s="126">
        <v>121.9</v>
      </c>
      <c r="E312" s="126">
        <v>122.2</v>
      </c>
      <c r="G312" s="321">
        <v>0.7873</v>
      </c>
      <c r="H312" s="123">
        <f t="shared" si="16"/>
        <v>436.04957646651923</v>
      </c>
      <c r="I312" s="123">
        <f t="shared" si="17"/>
        <v>434.97907832462107</v>
      </c>
      <c r="J312" s="123">
        <f t="shared" si="18"/>
        <v>436.04957646651923</v>
      </c>
      <c r="K312" s="123"/>
      <c r="L312" s="176">
        <f t="shared" si="19"/>
        <v>435.69274375255321</v>
      </c>
      <c r="M312" s="432">
        <f>AVERAGE(L312:L315)</f>
        <v>431.11339058998874</v>
      </c>
      <c r="N312" s="433">
        <f>(MAX(L312:L315)-MIN(L312:L315))/(2*M312)</f>
        <v>1.5174506828528183E-2</v>
      </c>
    </row>
    <row r="313" spans="1:14" ht="21.75" customHeight="1">
      <c r="A313" t="s">
        <v>398</v>
      </c>
      <c r="B313" s="245">
        <v>41050</v>
      </c>
      <c r="C313" s="126">
        <v>121.1</v>
      </c>
      <c r="D313" s="126">
        <v>121</v>
      </c>
      <c r="E313" s="126">
        <v>120</v>
      </c>
      <c r="G313" s="321">
        <v>0.7873</v>
      </c>
      <c r="H313" s="123">
        <f t="shared" si="16"/>
        <v>432.12441661289262</v>
      </c>
      <c r="I313" s="123">
        <f t="shared" si="17"/>
        <v>431.76758389892655</v>
      </c>
      <c r="J313" s="123">
        <f t="shared" si="18"/>
        <v>428.19925675926595</v>
      </c>
      <c r="K313" s="123"/>
      <c r="L313" s="176">
        <f t="shared" si="19"/>
        <v>430.69708575702833</v>
      </c>
      <c r="M313" s="432"/>
      <c r="N313" s="433"/>
    </row>
    <row r="314" spans="1:14" ht="21.75" customHeight="1">
      <c r="A314" t="s">
        <v>399</v>
      </c>
      <c r="B314" s="245">
        <v>41050</v>
      </c>
      <c r="C314" s="126">
        <v>118</v>
      </c>
      <c r="D314" s="126">
        <v>119</v>
      </c>
      <c r="E314" s="126">
        <v>118.3</v>
      </c>
      <c r="G314" s="321">
        <v>0.7873</v>
      </c>
      <c r="H314" s="123">
        <f t="shared" si="16"/>
        <v>421.06260247994493</v>
      </c>
      <c r="I314" s="123">
        <f t="shared" si="17"/>
        <v>424.63092961960541</v>
      </c>
      <c r="J314" s="123">
        <f t="shared" si="18"/>
        <v>422.13310062184303</v>
      </c>
      <c r="K314" s="123"/>
      <c r="L314" s="176">
        <f t="shared" si="19"/>
        <v>422.60887757379777</v>
      </c>
      <c r="M314" s="432"/>
      <c r="N314" s="433"/>
    </row>
    <row r="315" spans="1:14" ht="21.75" customHeight="1">
      <c r="A315" t="s">
        <v>400</v>
      </c>
      <c r="B315" s="245">
        <v>41050</v>
      </c>
      <c r="C315" s="126">
        <v>122</v>
      </c>
      <c r="D315" s="126">
        <v>122.5</v>
      </c>
      <c r="E315" s="126">
        <v>121.6</v>
      </c>
      <c r="G315" s="321">
        <v>0.7873</v>
      </c>
      <c r="H315" s="123">
        <f t="shared" si="16"/>
        <v>435.33591103858708</v>
      </c>
      <c r="I315" s="123">
        <f t="shared" si="17"/>
        <v>437.12007460841738</v>
      </c>
      <c r="J315" s="123">
        <f t="shared" si="18"/>
        <v>433.90858018272286</v>
      </c>
      <c r="K315" s="123"/>
      <c r="L315" s="176">
        <f t="shared" si="19"/>
        <v>435.45485527657576</v>
      </c>
      <c r="M315" s="432"/>
      <c r="N315" s="433"/>
    </row>
    <row r="316" spans="1:14" ht="21.75" customHeight="1">
      <c r="A316" t="s">
        <v>309</v>
      </c>
      <c r="B316" s="245">
        <v>41051</v>
      </c>
      <c r="C316" s="126">
        <v>56.7</v>
      </c>
      <c r="D316" s="126">
        <v>57.5</v>
      </c>
      <c r="E316" s="126">
        <v>58.1</v>
      </c>
      <c r="G316" s="321">
        <v>0.7873</v>
      </c>
      <c r="H316" s="123">
        <f t="shared" si="16"/>
        <v>202.3241488187532</v>
      </c>
      <c r="I316" s="123">
        <f t="shared" si="17"/>
        <v>205.17881053048163</v>
      </c>
      <c r="J316" s="123">
        <f t="shared" si="18"/>
        <v>207.31980681427797</v>
      </c>
      <c r="K316" s="123"/>
      <c r="L316" s="176">
        <f t="shared" si="19"/>
        <v>204.94092205450428</v>
      </c>
      <c r="M316" s="227">
        <f>AVERAGE(H316:J316)</f>
        <v>204.94092205450428</v>
      </c>
      <c r="N316" s="275"/>
    </row>
    <row r="317" spans="1:14" ht="21.75" customHeight="1">
      <c r="A317" t="s">
        <v>401</v>
      </c>
      <c r="B317" s="245">
        <v>41051</v>
      </c>
      <c r="C317" s="126">
        <v>74</v>
      </c>
      <c r="D317" s="126">
        <v>74.599999999999994</v>
      </c>
      <c r="E317" s="126">
        <v>74.900000000000006</v>
      </c>
      <c r="G317" s="321">
        <v>0.7873</v>
      </c>
      <c r="H317" s="123">
        <f t="shared" si="16"/>
        <v>264.05620833488069</v>
      </c>
      <c r="I317" s="123">
        <f t="shared" si="17"/>
        <v>266.19720461867701</v>
      </c>
      <c r="J317" s="123">
        <f t="shared" si="18"/>
        <v>267.26770276057522</v>
      </c>
      <c r="K317" s="123"/>
      <c r="L317" s="176">
        <f t="shared" si="19"/>
        <v>265.84037190471099</v>
      </c>
      <c r="M317" s="432">
        <f>AVERAGE(L317:L320)</f>
        <v>278.18083659603712</v>
      </c>
      <c r="N317" s="433">
        <f>(MAX(L317:L320)-MIN(L317:L320))/(2*M317)</f>
        <v>4.1261357562800707E-2</v>
      </c>
    </row>
    <row r="318" spans="1:14" ht="21.75" customHeight="1">
      <c r="A318" t="s">
        <v>402</v>
      </c>
      <c r="B318" s="245">
        <v>41051</v>
      </c>
      <c r="C318" s="126">
        <v>80.099999999999994</v>
      </c>
      <c r="D318" s="126">
        <v>80.7</v>
      </c>
      <c r="E318" s="126">
        <v>80.599999999999994</v>
      </c>
      <c r="G318" s="321">
        <v>0.7873</v>
      </c>
      <c r="H318" s="123">
        <f t="shared" si="16"/>
        <v>285.82300388681006</v>
      </c>
      <c r="I318" s="123">
        <f t="shared" si="17"/>
        <v>287.96400017060637</v>
      </c>
      <c r="J318" s="123">
        <f t="shared" si="18"/>
        <v>287.6071674566403</v>
      </c>
      <c r="K318" s="123"/>
      <c r="L318" s="176">
        <f t="shared" si="19"/>
        <v>287.13139050468561</v>
      </c>
      <c r="M318" s="432"/>
      <c r="N318" s="433"/>
    </row>
    <row r="319" spans="1:14" ht="21.75" customHeight="1">
      <c r="A319" t="s">
        <v>403</v>
      </c>
      <c r="B319" s="245">
        <v>41051</v>
      </c>
      <c r="C319" s="126">
        <v>80.8</v>
      </c>
      <c r="D319" s="126">
        <v>81</v>
      </c>
      <c r="E319" s="126">
        <v>81</v>
      </c>
      <c r="G319" s="321">
        <v>0.7873</v>
      </c>
      <c r="H319" s="123">
        <f t="shared" si="16"/>
        <v>288.32083288457244</v>
      </c>
      <c r="I319" s="123">
        <f t="shared" si="17"/>
        <v>289.03449831250458</v>
      </c>
      <c r="J319" s="123">
        <f t="shared" si="18"/>
        <v>289.03449831250458</v>
      </c>
      <c r="K319" s="123"/>
      <c r="L319" s="176">
        <f t="shared" si="19"/>
        <v>288.79660983652724</v>
      </c>
      <c r="M319" s="432"/>
      <c r="N319" s="433"/>
    </row>
    <row r="320" spans="1:14" ht="21.75" customHeight="1">
      <c r="A320" t="s">
        <v>404</v>
      </c>
      <c r="B320" s="245">
        <v>41051</v>
      </c>
      <c r="C320" s="126">
        <v>76.400000000000006</v>
      </c>
      <c r="D320" s="126">
        <v>75.8</v>
      </c>
      <c r="E320" s="126">
        <v>75.599999999999994</v>
      </c>
      <c r="G320" s="321">
        <v>0.7873</v>
      </c>
      <c r="H320" s="123">
        <f t="shared" si="16"/>
        <v>272.62019347006606</v>
      </c>
      <c r="I320" s="123">
        <f t="shared" si="17"/>
        <v>270.47919718626969</v>
      </c>
      <c r="J320" s="123">
        <f t="shared" si="18"/>
        <v>269.76553175833754</v>
      </c>
      <c r="K320" s="123"/>
      <c r="L320" s="176">
        <f t="shared" si="19"/>
        <v>270.95497413822449</v>
      </c>
      <c r="M320" s="432"/>
      <c r="N320" s="433"/>
    </row>
    <row r="321" spans="1:14" ht="21.75" customHeight="1">
      <c r="A321" t="s">
        <v>406</v>
      </c>
      <c r="B321" s="245">
        <v>41051</v>
      </c>
      <c r="C321" s="126">
        <v>183.4</v>
      </c>
      <c r="D321" s="126">
        <v>183.7</v>
      </c>
      <c r="E321" s="126">
        <v>182.9</v>
      </c>
      <c r="G321" s="321">
        <v>0.7873</v>
      </c>
      <c r="H321" s="123">
        <f t="shared" si="16"/>
        <v>654.43119741374494</v>
      </c>
      <c r="I321" s="123">
        <f t="shared" si="17"/>
        <v>655.50169555564298</v>
      </c>
      <c r="J321" s="123">
        <f t="shared" si="18"/>
        <v>652.64703384391464</v>
      </c>
      <c r="K321" s="123"/>
      <c r="L321" s="176">
        <f t="shared" si="19"/>
        <v>654.19330893776748</v>
      </c>
      <c r="M321" s="432">
        <f>AVERAGE(L321:L324)</f>
        <v>654.43119741374483</v>
      </c>
      <c r="N321" s="433">
        <f>(MAX(L321:L324)-MIN(L321:L324))/(2*M321)</f>
        <v>2.4536532170120621E-3</v>
      </c>
    </row>
    <row r="322" spans="1:14" ht="21.75" customHeight="1">
      <c r="A322" t="s">
        <v>407</v>
      </c>
      <c r="B322" s="245">
        <v>41051</v>
      </c>
      <c r="C322" s="126">
        <v>183.7</v>
      </c>
      <c r="D322" s="126">
        <v>184.2</v>
      </c>
      <c r="E322" s="126">
        <v>183.6</v>
      </c>
      <c r="G322" s="321">
        <v>0.7873</v>
      </c>
      <c r="H322" s="123">
        <f t="shared" ref="H322:H385" si="20">(C322*(PI()/LN(2)))*$G322</f>
        <v>655.50169555564298</v>
      </c>
      <c r="I322" s="123">
        <f t="shared" ref="I322:I385" si="21">(D322*(PI()/LN(2)))*$G322</f>
        <v>657.28585912547328</v>
      </c>
      <c r="J322" s="123">
        <f t="shared" ref="J322:J385" si="22">(E322*(PI()/LN(2)))*$G322</f>
        <v>655.14486284167697</v>
      </c>
      <c r="K322" s="123"/>
      <c r="L322" s="176">
        <f t="shared" ref="L322:L385" si="23">AVERAGE(H322:J322)</f>
        <v>655.97747250759778</v>
      </c>
      <c r="M322" s="432"/>
      <c r="N322" s="433"/>
    </row>
    <row r="323" spans="1:14" ht="21.75" customHeight="1">
      <c r="A323" t="s">
        <v>408</v>
      </c>
      <c r="B323" s="245">
        <v>41051</v>
      </c>
      <c r="C323" s="126">
        <v>183.2</v>
      </c>
      <c r="D323" s="126">
        <v>182.3</v>
      </c>
      <c r="E323" s="126">
        <v>183.3</v>
      </c>
      <c r="G323" s="321">
        <v>0.7873</v>
      </c>
      <c r="H323" s="123">
        <f t="shared" si="20"/>
        <v>653.71753198581268</v>
      </c>
      <c r="I323" s="123">
        <f t="shared" si="21"/>
        <v>650.50603756011833</v>
      </c>
      <c r="J323" s="123">
        <f t="shared" si="22"/>
        <v>654.07436469977881</v>
      </c>
      <c r="K323" s="123"/>
      <c r="L323" s="176">
        <f t="shared" si="23"/>
        <v>652.7659780819032</v>
      </c>
      <c r="M323" s="432"/>
      <c r="N323" s="433"/>
    </row>
    <row r="324" spans="1:14" ht="21.75" customHeight="1">
      <c r="A324" t="s">
        <v>409</v>
      </c>
      <c r="B324" s="245">
        <v>41051</v>
      </c>
      <c r="C324" s="126">
        <v>183.5</v>
      </c>
      <c r="D324" s="126">
        <v>183</v>
      </c>
      <c r="E324" s="126">
        <v>184</v>
      </c>
      <c r="G324" s="321">
        <v>0.7873</v>
      </c>
      <c r="H324" s="123">
        <f t="shared" si="20"/>
        <v>654.78803012771084</v>
      </c>
      <c r="I324" s="123">
        <f t="shared" si="21"/>
        <v>653.00386655788066</v>
      </c>
      <c r="J324" s="123">
        <f t="shared" si="22"/>
        <v>656.57219369754114</v>
      </c>
      <c r="K324" s="123"/>
      <c r="L324" s="176">
        <f t="shared" si="23"/>
        <v>654.78803012771084</v>
      </c>
      <c r="M324" s="432"/>
      <c r="N324" s="433"/>
    </row>
    <row r="325" spans="1:14" ht="21.75" customHeight="1">
      <c r="A325" t="s">
        <v>382</v>
      </c>
      <c r="B325" s="245">
        <v>41052</v>
      </c>
      <c r="C325" s="126">
        <v>93.9</v>
      </c>
      <c r="D325" s="126">
        <v>93.3</v>
      </c>
      <c r="E325" s="126">
        <v>92.7</v>
      </c>
      <c r="G325" s="321">
        <v>0.7873</v>
      </c>
      <c r="H325" s="123">
        <f t="shared" si="20"/>
        <v>335.06591841412563</v>
      </c>
      <c r="I325" s="123">
        <f t="shared" si="21"/>
        <v>332.92492213032932</v>
      </c>
      <c r="J325" s="123">
        <f t="shared" si="22"/>
        <v>330.78392584653295</v>
      </c>
      <c r="K325" s="123"/>
      <c r="L325" s="176">
        <f t="shared" si="23"/>
        <v>332.92492213032932</v>
      </c>
      <c r="M325" s="227">
        <f>AVERAGE(H325:J325)</f>
        <v>332.92492213032932</v>
      </c>
      <c r="N325" s="275"/>
    </row>
    <row r="326" spans="1:14" ht="21.75" customHeight="1">
      <c r="A326" t="s">
        <v>404</v>
      </c>
      <c r="B326" s="245">
        <v>41052</v>
      </c>
      <c r="C326" s="126">
        <v>78.400000000000006</v>
      </c>
      <c r="D326" s="126">
        <v>77.8</v>
      </c>
      <c r="E326" s="126">
        <v>78.2</v>
      </c>
      <c r="G326" s="321">
        <v>0.7873</v>
      </c>
      <c r="H326" s="123">
        <f t="shared" si="20"/>
        <v>279.75684774938713</v>
      </c>
      <c r="I326" s="123">
        <f t="shared" si="21"/>
        <v>277.61585146559077</v>
      </c>
      <c r="J326" s="123">
        <f t="shared" si="22"/>
        <v>279.04318232145505</v>
      </c>
      <c r="K326" s="123"/>
      <c r="L326" s="176">
        <f t="shared" si="23"/>
        <v>278.80529384547771</v>
      </c>
      <c r="M326" s="227">
        <f>AVERAGE(H326:J326)</f>
        <v>278.80529384547771</v>
      </c>
      <c r="N326" s="275"/>
    </row>
    <row r="327" spans="1:14" ht="21.75" customHeight="1">
      <c r="A327" t="s">
        <v>410</v>
      </c>
      <c r="B327" s="245">
        <v>41053</v>
      </c>
      <c r="C327" s="126">
        <v>49.7</v>
      </c>
      <c r="D327" s="126">
        <v>49.8</v>
      </c>
      <c r="E327" s="126">
        <v>49.7</v>
      </c>
      <c r="G327" s="321">
        <v>0.7873</v>
      </c>
      <c r="H327" s="123">
        <f t="shared" si="20"/>
        <v>177.34585884112934</v>
      </c>
      <c r="I327" s="123">
        <f t="shared" si="21"/>
        <v>177.70269155509536</v>
      </c>
      <c r="J327" s="123">
        <f t="shared" si="22"/>
        <v>177.34585884112934</v>
      </c>
      <c r="K327" s="123"/>
      <c r="L327" s="176">
        <f t="shared" si="23"/>
        <v>177.46480307911801</v>
      </c>
      <c r="M327" s="432">
        <f>AVERAGE(L327:L330)</f>
        <v>184.86908189391366</v>
      </c>
      <c r="N327" s="433">
        <f>(MAX(L327:L330)-MIN(L327:L330))/(2*M327)</f>
        <v>7.2382177899308356E-2</v>
      </c>
    </row>
    <row r="328" spans="1:14" ht="21.75" customHeight="1">
      <c r="A328" t="s">
        <v>411</v>
      </c>
      <c r="B328" s="245">
        <v>41053</v>
      </c>
      <c r="C328" s="126">
        <v>50.2</v>
      </c>
      <c r="D328" s="126">
        <v>50.3</v>
      </c>
      <c r="E328" s="126">
        <v>50</v>
      </c>
      <c r="G328" s="321">
        <v>0.7873</v>
      </c>
      <c r="H328" s="123">
        <f t="shared" si="20"/>
        <v>179.13002241095961</v>
      </c>
      <c r="I328" s="123">
        <f t="shared" si="21"/>
        <v>179.48685512492565</v>
      </c>
      <c r="J328" s="123">
        <f t="shared" si="22"/>
        <v>178.4163569830275</v>
      </c>
      <c r="K328" s="123"/>
      <c r="L328" s="176">
        <f t="shared" si="23"/>
        <v>179.01107817297091</v>
      </c>
      <c r="M328" s="432"/>
      <c r="N328" s="433"/>
    </row>
    <row r="329" spans="1:14" ht="21.75" customHeight="1">
      <c r="A329" t="s">
        <v>412</v>
      </c>
      <c r="B329" s="245">
        <v>41053</v>
      </c>
      <c r="C329" s="126">
        <v>57.4</v>
      </c>
      <c r="D329" s="126">
        <v>57.2</v>
      </c>
      <c r="E329" s="126">
        <v>57.1</v>
      </c>
      <c r="G329" s="321">
        <v>0.7873</v>
      </c>
      <c r="H329" s="123">
        <f t="shared" si="20"/>
        <v>204.82197781651556</v>
      </c>
      <c r="I329" s="123">
        <f t="shared" si="21"/>
        <v>204.10831238858344</v>
      </c>
      <c r="J329" s="123">
        <f t="shared" si="22"/>
        <v>203.7514796746174</v>
      </c>
      <c r="K329" s="123"/>
      <c r="L329" s="176">
        <f t="shared" si="23"/>
        <v>204.22725662657214</v>
      </c>
      <c r="M329" s="432"/>
      <c r="N329" s="433"/>
    </row>
    <row r="330" spans="1:14" ht="21.75" customHeight="1">
      <c r="A330" t="s">
        <v>413</v>
      </c>
      <c r="B330" s="245">
        <v>41053</v>
      </c>
      <c r="C330" s="126">
        <v>50</v>
      </c>
      <c r="D330" s="126">
        <v>50.2</v>
      </c>
      <c r="E330" s="126">
        <v>50.1</v>
      </c>
      <c r="G330" s="321">
        <v>0.7873</v>
      </c>
      <c r="H330" s="123">
        <f t="shared" si="20"/>
        <v>178.4163569830275</v>
      </c>
      <c r="I330" s="123">
        <f t="shared" si="21"/>
        <v>179.13002241095961</v>
      </c>
      <c r="J330" s="123">
        <f t="shared" si="22"/>
        <v>178.77318969699357</v>
      </c>
      <c r="K330" s="123"/>
      <c r="L330" s="176">
        <f t="shared" si="23"/>
        <v>178.77318969699354</v>
      </c>
      <c r="M330" s="432"/>
      <c r="N330" s="433"/>
    </row>
    <row r="331" spans="1:14" ht="21.75" customHeight="1">
      <c r="A331" t="s">
        <v>414</v>
      </c>
      <c r="B331" s="245">
        <v>41054</v>
      </c>
      <c r="C331" s="126">
        <v>98.1</v>
      </c>
      <c r="D331" s="126">
        <v>97.4</v>
      </c>
      <c r="E331" s="126">
        <v>97.8</v>
      </c>
      <c r="G331" s="321">
        <v>0.7873</v>
      </c>
      <c r="H331" s="123">
        <f t="shared" si="20"/>
        <v>350.05289240069993</v>
      </c>
      <c r="I331" s="123">
        <f t="shared" si="21"/>
        <v>347.55506340293761</v>
      </c>
      <c r="J331" s="123">
        <f t="shared" si="22"/>
        <v>348.98239425880178</v>
      </c>
      <c r="K331" s="123"/>
      <c r="L331" s="176">
        <f t="shared" si="23"/>
        <v>348.8634500208131</v>
      </c>
      <c r="M331" s="432">
        <f>AVERAGE(L331:L334)</f>
        <v>356.50561731158609</v>
      </c>
      <c r="N331" s="433">
        <f>(MAX(L331:L334)-MIN(L331:L334))/(2*M331)</f>
        <v>2.4022020185169701E-2</v>
      </c>
    </row>
    <row r="332" spans="1:14" ht="21.75" customHeight="1">
      <c r="A332" t="s">
        <v>415</v>
      </c>
      <c r="B332" s="245">
        <v>41054</v>
      </c>
      <c r="C332" s="126">
        <v>99.7</v>
      </c>
      <c r="D332" s="126">
        <v>99.4</v>
      </c>
      <c r="E332" s="126">
        <v>99.2</v>
      </c>
      <c r="G332" s="321">
        <v>0.7873</v>
      </c>
      <c r="H332" s="123">
        <f t="shared" si="20"/>
        <v>355.76221582415684</v>
      </c>
      <c r="I332" s="123">
        <f t="shared" si="21"/>
        <v>354.69171768225868</v>
      </c>
      <c r="J332" s="123">
        <f t="shared" si="22"/>
        <v>353.97805225432654</v>
      </c>
      <c r="K332" s="123"/>
      <c r="L332" s="176">
        <f t="shared" si="23"/>
        <v>354.81066192024736</v>
      </c>
      <c r="M332" s="432"/>
      <c r="N332" s="433"/>
    </row>
    <row r="333" spans="1:14" ht="21.75" customHeight="1">
      <c r="A333" t="s">
        <v>416</v>
      </c>
      <c r="B333" s="245">
        <v>41054</v>
      </c>
      <c r="C333" s="126">
        <v>102.3</v>
      </c>
      <c r="D333" s="126">
        <v>102.7</v>
      </c>
      <c r="E333" s="126">
        <v>102.7</v>
      </c>
      <c r="G333" s="321">
        <v>0.7873</v>
      </c>
      <c r="H333" s="123">
        <f t="shared" si="20"/>
        <v>365.03986638727429</v>
      </c>
      <c r="I333" s="123">
        <f t="shared" si="21"/>
        <v>366.46719724313846</v>
      </c>
      <c r="J333" s="123">
        <f t="shared" si="22"/>
        <v>366.46719724313846</v>
      </c>
      <c r="K333" s="123"/>
      <c r="L333" s="176">
        <f t="shared" si="23"/>
        <v>365.99142029118372</v>
      </c>
      <c r="M333" s="432"/>
      <c r="N333" s="433"/>
    </row>
    <row r="334" spans="1:14" ht="21.75" customHeight="1">
      <c r="A334" t="s">
        <v>417</v>
      </c>
      <c r="B334" s="245">
        <v>41054</v>
      </c>
      <c r="C334" s="126">
        <v>99.9</v>
      </c>
      <c r="D334" s="126">
        <v>100</v>
      </c>
      <c r="E334" s="126">
        <v>99.7</v>
      </c>
      <c r="G334" s="321">
        <v>0.7873</v>
      </c>
      <c r="H334" s="123">
        <f t="shared" si="20"/>
        <v>356.47588125208893</v>
      </c>
      <c r="I334" s="123">
        <f t="shared" si="21"/>
        <v>356.832713966055</v>
      </c>
      <c r="J334" s="123">
        <f t="shared" si="22"/>
        <v>355.76221582415684</v>
      </c>
      <c r="K334" s="123"/>
      <c r="L334" s="176">
        <f t="shared" si="23"/>
        <v>356.3569370141002</v>
      </c>
      <c r="M334" s="432"/>
      <c r="N334" s="433"/>
    </row>
    <row r="335" spans="1:14" ht="21.75" customHeight="1">
      <c r="A335" t="s">
        <v>418</v>
      </c>
      <c r="B335" s="245">
        <v>41054</v>
      </c>
      <c r="C335" s="126">
        <v>76.7</v>
      </c>
      <c r="D335" s="126">
        <v>76.900000000000006</v>
      </c>
      <c r="E335" s="126">
        <v>77</v>
      </c>
      <c r="G335" s="321">
        <v>0.7873</v>
      </c>
      <c r="H335" s="123">
        <f t="shared" si="20"/>
        <v>273.69069161196416</v>
      </c>
      <c r="I335" s="123">
        <f t="shared" si="21"/>
        <v>274.4043570398963</v>
      </c>
      <c r="J335" s="123">
        <f t="shared" si="22"/>
        <v>274.76118975386237</v>
      </c>
      <c r="K335" s="123"/>
      <c r="L335" s="176">
        <f t="shared" si="23"/>
        <v>274.28541280190763</v>
      </c>
      <c r="M335" s="432">
        <f>AVERAGE(L335:L338)</f>
        <v>268.54635331895355</v>
      </c>
      <c r="N335" s="433">
        <f>(MAX(L335:L338)-MIN(L335:L338))/(2*M335)</f>
        <v>3.831247923817966E-2</v>
      </c>
    </row>
    <row r="336" spans="1:14" ht="21.75" customHeight="1">
      <c r="A336" t="s">
        <v>419</v>
      </c>
      <c r="B336" s="245">
        <v>41054</v>
      </c>
      <c r="C336" s="126">
        <v>77</v>
      </c>
      <c r="D336" s="126">
        <v>77.2</v>
      </c>
      <c r="E336" s="126">
        <v>77</v>
      </c>
      <c r="G336" s="321">
        <v>0.7873</v>
      </c>
      <c r="H336" s="123">
        <f t="shared" si="20"/>
        <v>274.76118975386237</v>
      </c>
      <c r="I336" s="123">
        <f t="shared" si="21"/>
        <v>275.47485518179445</v>
      </c>
      <c r="J336" s="123">
        <f t="shared" si="22"/>
        <v>274.76118975386237</v>
      </c>
      <c r="K336" s="123"/>
      <c r="L336" s="176">
        <f t="shared" si="23"/>
        <v>274.99907822983971</v>
      </c>
      <c r="M336" s="432"/>
      <c r="N336" s="433"/>
    </row>
    <row r="337" spans="1:14" ht="21.75" customHeight="1">
      <c r="A337" t="s">
        <v>420</v>
      </c>
      <c r="B337" s="245">
        <v>41054</v>
      </c>
      <c r="C337" s="126">
        <v>70.599999999999994</v>
      </c>
      <c r="D337" s="126">
        <v>71.3</v>
      </c>
      <c r="E337" s="126">
        <v>72</v>
      </c>
      <c r="G337" s="321">
        <v>0.7873</v>
      </c>
      <c r="H337" s="123">
        <f t="shared" si="20"/>
        <v>251.92389606003479</v>
      </c>
      <c r="I337" s="123">
        <f t="shared" si="21"/>
        <v>254.42172505779718</v>
      </c>
      <c r="J337" s="123">
        <f t="shared" si="22"/>
        <v>256.91955405555962</v>
      </c>
      <c r="K337" s="123"/>
      <c r="L337" s="176">
        <f t="shared" si="23"/>
        <v>254.42172505779718</v>
      </c>
      <c r="M337" s="432"/>
      <c r="N337" s="433"/>
    </row>
    <row r="338" spans="1:14" ht="21.75" customHeight="1">
      <c r="A338" t="s">
        <v>421</v>
      </c>
      <c r="B338" s="245">
        <v>41054</v>
      </c>
      <c r="C338" s="126">
        <v>75.8</v>
      </c>
      <c r="D338" s="126">
        <v>75.900000000000006</v>
      </c>
      <c r="E338" s="126">
        <v>75.7</v>
      </c>
      <c r="G338" s="321">
        <v>0.7873</v>
      </c>
      <c r="H338" s="123">
        <f t="shared" si="20"/>
        <v>270.47919718626969</v>
      </c>
      <c r="I338" s="123">
        <f t="shared" si="21"/>
        <v>270.83602990023576</v>
      </c>
      <c r="J338" s="123">
        <f t="shared" si="22"/>
        <v>270.12236447230367</v>
      </c>
      <c r="K338" s="123"/>
      <c r="L338" s="176">
        <f t="shared" si="23"/>
        <v>270.47919718626969</v>
      </c>
      <c r="M338" s="432"/>
      <c r="N338" s="433"/>
    </row>
    <row r="339" spans="1:14" ht="21.75" customHeight="1">
      <c r="A339" t="s">
        <v>426</v>
      </c>
      <c r="B339" s="245">
        <v>41059</v>
      </c>
      <c r="C339" s="126">
        <v>175.6</v>
      </c>
      <c r="D339" s="126">
        <v>175.9</v>
      </c>
      <c r="E339" s="126">
        <v>175.8</v>
      </c>
      <c r="G339" s="321">
        <v>0.7873</v>
      </c>
      <c r="H339" s="123">
        <f t="shared" si="20"/>
        <v>626.59824572439254</v>
      </c>
      <c r="I339" s="123">
        <f t="shared" si="21"/>
        <v>627.66874386629081</v>
      </c>
      <c r="J339" s="123">
        <f t="shared" si="22"/>
        <v>627.31191115232468</v>
      </c>
      <c r="K339" s="123"/>
      <c r="L339" s="176">
        <f t="shared" si="23"/>
        <v>627.19296691433601</v>
      </c>
      <c r="M339" s="432">
        <f>AVERAGE(L339:L342)</f>
        <v>552.02020850548718</v>
      </c>
      <c r="N339" s="433">
        <f>(MAX(L339:L342)-MIN(L339:L342))/(2*M339)</f>
        <v>9.4914889032536018E-2</v>
      </c>
    </row>
    <row r="340" spans="1:14" ht="21.75" customHeight="1">
      <c r="A340" t="s">
        <v>429</v>
      </c>
      <c r="B340" s="245">
        <v>41059</v>
      </c>
      <c r="C340" s="126">
        <v>149</v>
      </c>
      <c r="D340" s="126">
        <v>148.6</v>
      </c>
      <c r="E340" s="126">
        <v>149.19999999999999</v>
      </c>
      <c r="G340" s="321">
        <v>0.7873</v>
      </c>
      <c r="H340" s="123">
        <f t="shared" si="20"/>
        <v>531.68074380942198</v>
      </c>
      <c r="I340" s="123">
        <f t="shared" si="21"/>
        <v>530.2534129535577</v>
      </c>
      <c r="J340" s="123">
        <f t="shared" si="22"/>
        <v>532.39440923735401</v>
      </c>
      <c r="K340" s="123"/>
      <c r="L340" s="176">
        <f t="shared" si="23"/>
        <v>531.44285533344453</v>
      </c>
      <c r="M340" s="432"/>
      <c r="N340" s="433"/>
    </row>
    <row r="341" spans="1:14" ht="21.75" customHeight="1">
      <c r="A341" t="s">
        <v>430</v>
      </c>
      <c r="B341" s="245">
        <v>41059</v>
      </c>
      <c r="C341" s="126">
        <v>146.80000000000001</v>
      </c>
      <c r="D341" s="126">
        <v>146.30000000000001</v>
      </c>
      <c r="E341" s="126">
        <v>146.1</v>
      </c>
      <c r="G341" s="321">
        <v>0.7873</v>
      </c>
      <c r="H341" s="123">
        <f t="shared" si="20"/>
        <v>523.83042410216876</v>
      </c>
      <c r="I341" s="123">
        <f t="shared" si="21"/>
        <v>522.04626053233858</v>
      </c>
      <c r="J341" s="123">
        <f t="shared" si="22"/>
        <v>521.33259510440632</v>
      </c>
      <c r="K341" s="123"/>
      <c r="L341" s="176">
        <f t="shared" si="23"/>
        <v>522.40309324630459</v>
      </c>
      <c r="M341" s="432"/>
      <c r="N341" s="433"/>
    </row>
    <row r="342" spans="1:14" ht="21.75" customHeight="1">
      <c r="A342" t="s">
        <v>431</v>
      </c>
      <c r="B342" s="245">
        <v>41059</v>
      </c>
      <c r="C342" s="126">
        <v>147.80000000000001</v>
      </c>
      <c r="D342" s="126">
        <v>148</v>
      </c>
      <c r="E342" s="126">
        <v>147.30000000000001</v>
      </c>
      <c r="G342" s="321">
        <v>0.7873</v>
      </c>
      <c r="H342" s="123">
        <f t="shared" si="20"/>
        <v>527.39875124182925</v>
      </c>
      <c r="I342" s="123">
        <f t="shared" si="21"/>
        <v>528.11241666976139</v>
      </c>
      <c r="J342" s="123">
        <f t="shared" si="22"/>
        <v>525.61458767199906</v>
      </c>
      <c r="K342" s="123"/>
      <c r="L342" s="176">
        <f t="shared" si="23"/>
        <v>527.04191852786323</v>
      </c>
      <c r="M342" s="432"/>
      <c r="N342" s="433"/>
    </row>
    <row r="343" spans="1:14" ht="21.75" customHeight="1">
      <c r="A343" t="s">
        <v>432</v>
      </c>
      <c r="B343" s="245">
        <v>41059</v>
      </c>
      <c r="C343" s="126">
        <v>90.9</v>
      </c>
      <c r="D343" s="126">
        <v>90.7</v>
      </c>
      <c r="E343" s="126">
        <v>91.2</v>
      </c>
      <c r="G343" s="321">
        <v>0.7873</v>
      </c>
      <c r="H343" s="123">
        <f t="shared" si="20"/>
        <v>324.36093699514402</v>
      </c>
      <c r="I343" s="123">
        <f t="shared" si="21"/>
        <v>323.64727156721187</v>
      </c>
      <c r="J343" s="123">
        <f t="shared" si="22"/>
        <v>325.43143513704217</v>
      </c>
      <c r="K343" s="123"/>
      <c r="L343" s="176">
        <f t="shared" si="23"/>
        <v>324.47988123313269</v>
      </c>
      <c r="M343" s="432">
        <f>AVERAGE(L343:L346)</f>
        <v>303.66463958511275</v>
      </c>
      <c r="N343" s="433">
        <f>(MAX(L343:L346)-MIN(L343:L346))/(2*M343)</f>
        <v>6.1887974931453323E-2</v>
      </c>
    </row>
    <row r="344" spans="1:14" ht="21.75" customHeight="1">
      <c r="A344" t="s">
        <v>433</v>
      </c>
      <c r="B344" s="245">
        <v>41059</v>
      </c>
      <c r="C344" s="126">
        <v>81.2</v>
      </c>
      <c r="D344" s="126">
        <v>81.7</v>
      </c>
      <c r="E344" s="126">
        <v>82</v>
      </c>
      <c r="G344" s="321">
        <v>0.7873</v>
      </c>
      <c r="H344" s="123">
        <f t="shared" si="20"/>
        <v>289.74816374043667</v>
      </c>
      <c r="I344" s="123">
        <f t="shared" si="21"/>
        <v>291.53232731026696</v>
      </c>
      <c r="J344" s="123">
        <f t="shared" si="22"/>
        <v>292.60282545216506</v>
      </c>
      <c r="K344" s="123"/>
      <c r="L344" s="176">
        <f t="shared" si="23"/>
        <v>291.29443883428956</v>
      </c>
      <c r="M344" s="432"/>
      <c r="N344" s="433"/>
    </row>
    <row r="345" spans="1:14" ht="21.75" customHeight="1">
      <c r="A345" t="s">
        <v>434</v>
      </c>
      <c r="B345" s="245">
        <v>41059</v>
      </c>
      <c r="C345" s="126">
        <v>87.8</v>
      </c>
      <c r="D345" s="126">
        <v>87</v>
      </c>
      <c r="E345" s="126">
        <v>87.5</v>
      </c>
      <c r="G345" s="321">
        <v>0.7873</v>
      </c>
      <c r="H345" s="123">
        <f t="shared" si="20"/>
        <v>313.29912286219627</v>
      </c>
      <c r="I345" s="123">
        <f t="shared" si="21"/>
        <v>310.44446115046787</v>
      </c>
      <c r="J345" s="123">
        <f t="shared" si="22"/>
        <v>312.22862472029811</v>
      </c>
      <c r="K345" s="123"/>
      <c r="L345" s="176">
        <f t="shared" si="23"/>
        <v>311.99073624432071</v>
      </c>
      <c r="M345" s="432"/>
      <c r="N345" s="433"/>
    </row>
    <row r="346" spans="1:14" ht="21.75" customHeight="1">
      <c r="A346" t="s">
        <v>435</v>
      </c>
      <c r="B346" s="245">
        <v>41059</v>
      </c>
      <c r="C346" s="126">
        <v>80.400000000000006</v>
      </c>
      <c r="D346" s="126">
        <v>80.599999999999994</v>
      </c>
      <c r="E346" s="126">
        <v>80.2</v>
      </c>
      <c r="G346" s="321">
        <v>0.7873</v>
      </c>
      <c r="H346" s="123">
        <f t="shared" si="20"/>
        <v>286.89350202870821</v>
      </c>
      <c r="I346" s="123">
        <f t="shared" si="21"/>
        <v>287.6071674566403</v>
      </c>
      <c r="J346" s="123">
        <f t="shared" si="22"/>
        <v>286.17983660077613</v>
      </c>
      <c r="K346" s="123"/>
      <c r="L346" s="176">
        <f t="shared" si="23"/>
        <v>286.89350202870816</v>
      </c>
      <c r="M346" s="432"/>
      <c r="N346" s="433"/>
    </row>
    <row r="347" spans="1:14" ht="21.75" customHeight="1">
      <c r="A347" t="s">
        <v>404</v>
      </c>
      <c r="B347" s="245">
        <v>41064</v>
      </c>
      <c r="C347" s="126">
        <v>85.9</v>
      </c>
      <c r="D347" s="126">
        <v>86.2</v>
      </c>
      <c r="E347" s="126">
        <v>87.4</v>
      </c>
      <c r="G347" s="321">
        <v>0.7873</v>
      </c>
      <c r="H347" s="123">
        <f t="shared" si="20"/>
        <v>306.51930129684126</v>
      </c>
      <c r="I347" s="123">
        <f t="shared" si="21"/>
        <v>307.58979943873942</v>
      </c>
      <c r="J347" s="123">
        <f t="shared" si="22"/>
        <v>311.8717920063321</v>
      </c>
      <c r="K347" s="123"/>
      <c r="L347" s="176">
        <f t="shared" si="23"/>
        <v>308.66029758063763</v>
      </c>
      <c r="M347" s="227"/>
      <c r="N347" s="275"/>
    </row>
    <row r="348" spans="1:14" ht="21.75" customHeight="1">
      <c r="A348" t="s">
        <v>433</v>
      </c>
      <c r="B348" s="245">
        <v>41064</v>
      </c>
      <c r="C348" s="126">
        <v>82.6</v>
      </c>
      <c r="D348" s="126">
        <v>83.2</v>
      </c>
      <c r="E348" s="126">
        <v>83.8</v>
      </c>
      <c r="G348" s="321">
        <v>0.7873</v>
      </c>
      <c r="H348" s="123">
        <f t="shared" si="20"/>
        <v>294.74382173596143</v>
      </c>
      <c r="I348" s="123">
        <f t="shared" si="21"/>
        <v>296.88481801975774</v>
      </c>
      <c r="J348" s="123">
        <f t="shared" si="22"/>
        <v>299.02581430355411</v>
      </c>
      <c r="K348" s="123"/>
      <c r="L348" s="176">
        <f t="shared" si="23"/>
        <v>296.8848180197578</v>
      </c>
      <c r="M348" s="227"/>
      <c r="N348" s="275"/>
    </row>
    <row r="349" spans="1:14" ht="21.75" customHeight="1">
      <c r="A349" t="s">
        <v>436</v>
      </c>
      <c r="B349" s="245">
        <v>41065</v>
      </c>
      <c r="C349" s="126">
        <v>88.9</v>
      </c>
      <c r="D349" s="126">
        <v>89.3</v>
      </c>
      <c r="E349" s="126">
        <v>89.7</v>
      </c>
      <c r="G349" s="321">
        <v>0.7873</v>
      </c>
      <c r="H349" s="123">
        <f t="shared" si="20"/>
        <v>317.22428271582294</v>
      </c>
      <c r="I349" s="123">
        <f t="shared" si="21"/>
        <v>318.65161357168711</v>
      </c>
      <c r="J349" s="123">
        <f t="shared" si="22"/>
        <v>320.07894442755133</v>
      </c>
      <c r="K349" s="123"/>
      <c r="L349" s="176">
        <f t="shared" si="23"/>
        <v>318.65161357168716</v>
      </c>
      <c r="M349" s="432">
        <f>AVERAGE(L349:L352)</f>
        <v>321.53601134291273</v>
      </c>
      <c r="N349" s="433">
        <f>(MAX(L349:L352)-MIN(L349:L352))/(2*M349)</f>
        <v>8.1383519837231588E-3</v>
      </c>
    </row>
    <row r="350" spans="1:14" ht="21.75" customHeight="1">
      <c r="A350" t="s">
        <v>437</v>
      </c>
      <c r="B350" s="245">
        <v>41065</v>
      </c>
      <c r="C350" s="126">
        <v>89.6</v>
      </c>
      <c r="D350" s="126">
        <v>90.2</v>
      </c>
      <c r="E350" s="126">
        <v>90.1</v>
      </c>
      <c r="G350" s="321">
        <v>0.7873</v>
      </c>
      <c r="H350" s="123">
        <f t="shared" si="20"/>
        <v>319.72211171358526</v>
      </c>
      <c r="I350" s="123">
        <f t="shared" si="21"/>
        <v>321.86310799738163</v>
      </c>
      <c r="J350" s="123">
        <f t="shared" si="22"/>
        <v>321.5062752834155</v>
      </c>
      <c r="K350" s="123"/>
      <c r="L350" s="176">
        <f t="shared" si="23"/>
        <v>321.03049833146082</v>
      </c>
      <c r="M350" s="432"/>
      <c r="N350" s="433"/>
    </row>
    <row r="351" spans="1:14" ht="21.75" customHeight="1">
      <c r="A351" t="s">
        <v>438</v>
      </c>
      <c r="B351" s="245">
        <v>41065</v>
      </c>
      <c r="C351" s="126">
        <v>90.2</v>
      </c>
      <c r="D351" s="126">
        <v>90.6</v>
      </c>
      <c r="E351" s="126">
        <v>90.4</v>
      </c>
      <c r="G351" s="321">
        <v>0.7873</v>
      </c>
      <c r="H351" s="123">
        <f t="shared" si="20"/>
        <v>321.86310799738163</v>
      </c>
      <c r="I351" s="123">
        <f t="shared" si="21"/>
        <v>323.2904388532458</v>
      </c>
      <c r="J351" s="123">
        <f t="shared" si="22"/>
        <v>322.57677342531372</v>
      </c>
      <c r="K351" s="123"/>
      <c r="L351" s="176">
        <f t="shared" si="23"/>
        <v>322.57677342531372</v>
      </c>
      <c r="M351" s="432"/>
      <c r="N351" s="433"/>
    </row>
    <row r="352" spans="1:14" ht="21.75" customHeight="1">
      <c r="A352" t="s">
        <v>439</v>
      </c>
      <c r="B352" s="245">
        <v>41065</v>
      </c>
      <c r="C352" s="126">
        <v>90.8</v>
      </c>
      <c r="D352" s="126">
        <v>90.9</v>
      </c>
      <c r="E352" s="126">
        <v>90.6</v>
      </c>
      <c r="G352" s="321">
        <v>0.7873</v>
      </c>
      <c r="H352" s="123">
        <f t="shared" si="20"/>
        <v>324.00410428117789</v>
      </c>
      <c r="I352" s="123">
        <f t="shared" si="21"/>
        <v>324.36093699514402</v>
      </c>
      <c r="J352" s="123">
        <f t="shared" si="22"/>
        <v>323.2904388532458</v>
      </c>
      <c r="K352" s="123"/>
      <c r="L352" s="176">
        <f t="shared" si="23"/>
        <v>323.88516004318922</v>
      </c>
      <c r="M352" s="432"/>
      <c r="N352" s="433"/>
    </row>
    <row r="353" spans="1:14" ht="21.75" customHeight="1">
      <c r="A353" t="s">
        <v>440</v>
      </c>
      <c r="B353" s="245">
        <v>41065</v>
      </c>
      <c r="C353" s="126">
        <v>228.4</v>
      </c>
      <c r="D353" s="126">
        <v>231.9</v>
      </c>
      <c r="E353" s="126">
        <v>230.2</v>
      </c>
      <c r="G353" s="321">
        <v>0.7873</v>
      </c>
      <c r="H353" s="123">
        <f t="shared" si="20"/>
        <v>815.0059186984696</v>
      </c>
      <c r="I353" s="123">
        <f t="shared" si="21"/>
        <v>827.49506368728157</v>
      </c>
      <c r="J353" s="123">
        <f t="shared" si="22"/>
        <v>821.42890754985865</v>
      </c>
      <c r="K353" s="123"/>
      <c r="L353" s="176">
        <f t="shared" si="23"/>
        <v>821.30996331186998</v>
      </c>
      <c r="M353" s="432">
        <f>AVERAGE(L353:L356)</f>
        <v>631.65337583891176</v>
      </c>
      <c r="N353" s="433">
        <f>(MAX(L353:L356)-MIN(L353:L356))/(2*M353)</f>
        <v>0.21674041992279444</v>
      </c>
    </row>
    <row r="354" spans="1:14" ht="21.75" customHeight="1">
      <c r="A354" t="s">
        <v>442</v>
      </c>
      <c r="B354" s="245">
        <v>41065</v>
      </c>
      <c r="C354" s="126">
        <v>153.80000000000001</v>
      </c>
      <c r="D354" s="126">
        <v>153.69999999999999</v>
      </c>
      <c r="E354" s="126">
        <v>152.80000000000001</v>
      </c>
      <c r="G354" s="321">
        <v>0.7873</v>
      </c>
      <c r="H354" s="123">
        <f t="shared" si="20"/>
        <v>548.80871407979259</v>
      </c>
      <c r="I354" s="123">
        <f t="shared" si="21"/>
        <v>548.45188136582658</v>
      </c>
      <c r="J354" s="123">
        <f t="shared" si="22"/>
        <v>545.24038694013211</v>
      </c>
      <c r="K354" s="123"/>
      <c r="L354" s="176">
        <f t="shared" si="23"/>
        <v>547.5003274619171</v>
      </c>
      <c r="M354" s="432"/>
      <c r="N354" s="433"/>
    </row>
    <row r="355" spans="1:14" ht="21.75" customHeight="1">
      <c r="A355" t="s">
        <v>443</v>
      </c>
      <c r="B355" s="245">
        <v>41065</v>
      </c>
      <c r="C355" s="126">
        <v>163.4</v>
      </c>
      <c r="D355" s="126">
        <v>163</v>
      </c>
      <c r="E355" s="126">
        <v>163</v>
      </c>
      <c r="G355" s="321">
        <v>0.7873</v>
      </c>
      <c r="H355" s="123">
        <f t="shared" si="20"/>
        <v>583.06465462053393</v>
      </c>
      <c r="I355" s="123">
        <f t="shared" si="21"/>
        <v>581.63732376466965</v>
      </c>
      <c r="J355" s="123">
        <f t="shared" si="22"/>
        <v>581.63732376466965</v>
      </c>
      <c r="K355" s="123"/>
      <c r="L355" s="176">
        <f t="shared" si="23"/>
        <v>582.11310071662444</v>
      </c>
      <c r="M355" s="432"/>
      <c r="N355" s="433"/>
    </row>
    <row r="356" spans="1:14" ht="21.75" customHeight="1">
      <c r="A356" t="s">
        <v>444</v>
      </c>
      <c r="B356" s="245">
        <v>41065</v>
      </c>
      <c r="C356" s="126">
        <v>161.9</v>
      </c>
      <c r="D356" s="126">
        <v>161</v>
      </c>
      <c r="E356" s="126">
        <v>161.1</v>
      </c>
      <c r="G356" s="321">
        <v>0.7873</v>
      </c>
      <c r="H356" s="123">
        <f t="shared" si="20"/>
        <v>577.71216391104304</v>
      </c>
      <c r="I356" s="123">
        <f t="shared" si="21"/>
        <v>574.50066948534857</v>
      </c>
      <c r="J356" s="123">
        <f t="shared" si="22"/>
        <v>574.85750219931458</v>
      </c>
      <c r="K356" s="123"/>
      <c r="L356" s="176">
        <f t="shared" si="23"/>
        <v>575.69011186523539</v>
      </c>
      <c r="M356" s="432"/>
      <c r="N356" s="433"/>
    </row>
    <row r="357" spans="1:14" ht="21.75" customHeight="1">
      <c r="A357" t="s">
        <v>445</v>
      </c>
      <c r="B357" s="245">
        <v>41065</v>
      </c>
      <c r="C357" s="126">
        <v>183.3</v>
      </c>
      <c r="D357" s="126">
        <v>183.3</v>
      </c>
      <c r="E357" s="126">
        <v>182.7</v>
      </c>
      <c r="G357" s="321">
        <v>0.7873</v>
      </c>
      <c r="H357" s="123">
        <f t="shared" si="20"/>
        <v>654.07436469977881</v>
      </c>
      <c r="I357" s="123">
        <f t="shared" si="21"/>
        <v>654.07436469977881</v>
      </c>
      <c r="J357" s="123">
        <f t="shared" si="22"/>
        <v>651.93336841598239</v>
      </c>
      <c r="K357" s="123"/>
      <c r="L357" s="176">
        <f t="shared" si="23"/>
        <v>653.36069927184667</v>
      </c>
      <c r="M357" s="432">
        <f>AVERAGE(L357:L360)</f>
        <v>642.0015245439273</v>
      </c>
      <c r="N357" s="433">
        <f>(MAX(L357:L360)-MIN(L357:L360))/(2*M357)</f>
        <v>1.4358499305233854E-2</v>
      </c>
    </row>
    <row r="358" spans="1:14" ht="21.75" customHeight="1">
      <c r="A358" t="s">
        <v>446</v>
      </c>
      <c r="B358" s="245">
        <v>41065</v>
      </c>
      <c r="C358" s="126">
        <v>179.6</v>
      </c>
      <c r="D358" s="126">
        <v>179.8</v>
      </c>
      <c r="E358" s="126">
        <v>179.4</v>
      </c>
      <c r="G358" s="321">
        <v>0.7873</v>
      </c>
      <c r="H358" s="123">
        <f t="shared" si="20"/>
        <v>640.87155428303481</v>
      </c>
      <c r="I358" s="123">
        <f t="shared" si="21"/>
        <v>641.58521971096684</v>
      </c>
      <c r="J358" s="123">
        <f t="shared" si="22"/>
        <v>640.15788885510267</v>
      </c>
      <c r="K358" s="123"/>
      <c r="L358" s="176">
        <f t="shared" si="23"/>
        <v>640.8715542830347</v>
      </c>
      <c r="M358" s="432"/>
      <c r="N358" s="433"/>
    </row>
    <row r="359" spans="1:14" ht="21.75" customHeight="1">
      <c r="A359" t="s">
        <v>447</v>
      </c>
      <c r="B359" s="245">
        <v>41065</v>
      </c>
      <c r="C359" s="126">
        <v>178</v>
      </c>
      <c r="D359" s="126">
        <v>178</v>
      </c>
      <c r="E359" s="126">
        <v>177.8</v>
      </c>
      <c r="G359" s="321">
        <v>0.7873</v>
      </c>
      <c r="H359" s="123">
        <f t="shared" si="20"/>
        <v>635.1622308595779</v>
      </c>
      <c r="I359" s="123">
        <f t="shared" si="21"/>
        <v>635.1622308595779</v>
      </c>
      <c r="J359" s="123">
        <f t="shared" si="22"/>
        <v>634.44856543164587</v>
      </c>
      <c r="K359" s="123"/>
      <c r="L359" s="176">
        <f t="shared" si="23"/>
        <v>634.92434238360056</v>
      </c>
      <c r="M359" s="432"/>
      <c r="N359" s="433"/>
    </row>
    <row r="360" spans="1:14" ht="21.75" customHeight="1">
      <c r="A360" t="s">
        <v>448</v>
      </c>
      <c r="B360" s="245">
        <v>41065</v>
      </c>
      <c r="C360" s="126">
        <v>179.4</v>
      </c>
      <c r="D360" s="126">
        <v>179</v>
      </c>
      <c r="E360" s="126">
        <v>178.7</v>
      </c>
      <c r="G360" s="321">
        <v>0.7873</v>
      </c>
      <c r="H360" s="123">
        <f t="shared" si="20"/>
        <v>640.15788885510267</v>
      </c>
      <c r="I360" s="123">
        <f t="shared" si="21"/>
        <v>638.73055799923839</v>
      </c>
      <c r="J360" s="123">
        <f t="shared" si="22"/>
        <v>637.66005985734023</v>
      </c>
      <c r="K360" s="123"/>
      <c r="L360" s="176">
        <f t="shared" si="23"/>
        <v>638.84950223722706</v>
      </c>
      <c r="M360" s="432"/>
      <c r="N360" s="433"/>
    </row>
    <row r="361" spans="1:14" ht="21.75" customHeight="1">
      <c r="A361" t="s">
        <v>449</v>
      </c>
      <c r="B361" s="245">
        <v>41066</v>
      </c>
      <c r="C361" s="126">
        <v>155.6</v>
      </c>
      <c r="D361" s="126">
        <v>155.19999999999999</v>
      </c>
      <c r="E361" s="126">
        <v>156.30000000000001</v>
      </c>
      <c r="G361" s="321">
        <v>0.7873</v>
      </c>
      <c r="H361" s="123">
        <f t="shared" si="20"/>
        <v>555.23170293118153</v>
      </c>
      <c r="I361" s="123">
        <f t="shared" si="21"/>
        <v>553.80437207531725</v>
      </c>
      <c r="J361" s="123">
        <f t="shared" si="22"/>
        <v>557.72953192894397</v>
      </c>
      <c r="K361" s="123"/>
      <c r="L361" s="176">
        <f t="shared" si="23"/>
        <v>555.58853564514754</v>
      </c>
      <c r="M361" s="432">
        <f>AVERAGE(L361:L364)</f>
        <v>403.54806343611102</v>
      </c>
      <c r="N361" s="433">
        <f>(MAX(L361:L364)-MIN(L361:L364))/(2*M361)</f>
        <v>0.25554491194458762</v>
      </c>
    </row>
    <row r="362" spans="1:14" ht="21.75" customHeight="1">
      <c r="A362" t="s">
        <v>450</v>
      </c>
      <c r="B362" s="245">
        <v>41066</v>
      </c>
      <c r="C362" s="126">
        <v>99.1</v>
      </c>
      <c r="D362" s="126">
        <v>99.3</v>
      </c>
      <c r="E362" s="126">
        <v>99</v>
      </c>
      <c r="G362" s="321">
        <v>0.7873</v>
      </c>
      <c r="H362" s="123">
        <f t="shared" si="20"/>
        <v>353.62121954036047</v>
      </c>
      <c r="I362" s="123">
        <f t="shared" si="21"/>
        <v>354.33488496829261</v>
      </c>
      <c r="J362" s="123">
        <f t="shared" si="22"/>
        <v>353.26438682639446</v>
      </c>
      <c r="K362" s="123"/>
      <c r="L362" s="176">
        <f t="shared" si="23"/>
        <v>353.74016377834914</v>
      </c>
      <c r="M362" s="432"/>
      <c r="N362" s="433"/>
    </row>
    <row r="363" spans="1:14" ht="21.75" customHeight="1">
      <c r="A363" t="s">
        <v>451</v>
      </c>
      <c r="B363" s="245">
        <v>41066</v>
      </c>
      <c r="C363" s="126">
        <v>98.1</v>
      </c>
      <c r="D363" s="126">
        <v>97.7</v>
      </c>
      <c r="E363" s="126">
        <v>97.9</v>
      </c>
      <c r="G363" s="321">
        <v>0.7873</v>
      </c>
      <c r="H363" s="123">
        <f t="shared" si="20"/>
        <v>350.05289240069993</v>
      </c>
      <c r="I363" s="123">
        <f t="shared" si="21"/>
        <v>348.62556154483576</v>
      </c>
      <c r="J363" s="123">
        <f t="shared" si="22"/>
        <v>349.33922697276785</v>
      </c>
      <c r="K363" s="123"/>
      <c r="L363" s="176">
        <f t="shared" si="23"/>
        <v>349.33922697276785</v>
      </c>
      <c r="M363" s="432"/>
      <c r="N363" s="433"/>
    </row>
    <row r="364" spans="1:14" ht="21.75" customHeight="1">
      <c r="A364" t="s">
        <v>452</v>
      </c>
      <c r="B364" s="245">
        <v>41066</v>
      </c>
      <c r="C364" s="126">
        <v>99.7</v>
      </c>
      <c r="D364" s="126">
        <v>99.6</v>
      </c>
      <c r="E364" s="126">
        <v>99.6</v>
      </c>
      <c r="G364" s="321">
        <v>0.7873</v>
      </c>
      <c r="H364" s="123">
        <f t="shared" si="20"/>
        <v>355.76221582415684</v>
      </c>
      <c r="I364" s="123">
        <f t="shared" si="21"/>
        <v>355.40538311019071</v>
      </c>
      <c r="J364" s="123">
        <f t="shared" si="22"/>
        <v>355.40538311019071</v>
      </c>
      <c r="K364" s="123"/>
      <c r="L364" s="176">
        <f t="shared" si="23"/>
        <v>355.52432734817944</v>
      </c>
      <c r="M364" s="432"/>
      <c r="N364" s="433"/>
    </row>
    <row r="365" spans="1:14" ht="21.75" customHeight="1">
      <c r="A365" t="s">
        <v>457</v>
      </c>
      <c r="B365" s="245">
        <v>41071</v>
      </c>
      <c r="C365" s="126">
        <v>93.1</v>
      </c>
      <c r="D365" s="126">
        <v>93.7</v>
      </c>
      <c r="E365" s="126">
        <v>93.2</v>
      </c>
      <c r="G365" s="321">
        <v>0.7873</v>
      </c>
      <c r="H365" s="123">
        <f t="shared" si="20"/>
        <v>332.21125670239718</v>
      </c>
      <c r="I365" s="123">
        <f t="shared" si="21"/>
        <v>334.35225298619355</v>
      </c>
      <c r="J365" s="123">
        <f t="shared" si="22"/>
        <v>332.56808941636325</v>
      </c>
      <c r="K365" s="123"/>
      <c r="L365" s="176">
        <f t="shared" si="23"/>
        <v>333.04386636831799</v>
      </c>
      <c r="M365" s="432">
        <f>AVERAGE(L365:L366)</f>
        <v>332.33020094038591</v>
      </c>
      <c r="N365" s="433">
        <f>(MAX(L365:L366)-MIN(L365:L366))/(2*M365)</f>
        <v>2.1474588403722367E-3</v>
      </c>
    </row>
    <row r="366" spans="1:14" ht="21.75" customHeight="1">
      <c r="A366" t="s">
        <v>458</v>
      </c>
      <c r="B366" s="245">
        <v>41071</v>
      </c>
      <c r="C366" s="126">
        <v>92.9</v>
      </c>
      <c r="D366" s="126">
        <v>93.1</v>
      </c>
      <c r="E366" s="126">
        <v>92.8</v>
      </c>
      <c r="G366" s="321">
        <v>0.7873</v>
      </c>
      <c r="H366" s="123">
        <f t="shared" si="20"/>
        <v>331.49759127446509</v>
      </c>
      <c r="I366" s="123">
        <f t="shared" si="21"/>
        <v>332.21125670239718</v>
      </c>
      <c r="J366" s="123">
        <f t="shared" si="22"/>
        <v>331.14075856049902</v>
      </c>
      <c r="K366" s="123"/>
      <c r="L366" s="176">
        <f t="shared" si="23"/>
        <v>331.61653551245377</v>
      </c>
      <c r="M366" s="432"/>
      <c r="N366" s="433"/>
    </row>
    <row r="367" spans="1:14" ht="21.75" customHeight="1">
      <c r="A367" t="s">
        <v>459</v>
      </c>
      <c r="B367" s="245">
        <v>41071</v>
      </c>
      <c r="C367" s="126">
        <v>108.7</v>
      </c>
      <c r="D367" s="126">
        <v>108.9</v>
      </c>
      <c r="E367" s="126">
        <v>109</v>
      </c>
      <c r="G367" s="321">
        <v>0.7873</v>
      </c>
      <c r="H367" s="123">
        <f t="shared" si="20"/>
        <v>387.87716008110181</v>
      </c>
      <c r="I367" s="123">
        <f t="shared" si="21"/>
        <v>388.59082550903389</v>
      </c>
      <c r="J367" s="123">
        <f t="shared" si="22"/>
        <v>388.94765822299996</v>
      </c>
      <c r="K367" s="123"/>
      <c r="L367" s="176">
        <f t="shared" si="23"/>
        <v>388.47188127104522</v>
      </c>
      <c r="M367" s="432">
        <f>AVERAGE(L367:L368)</f>
        <v>389.4234351749547</v>
      </c>
      <c r="N367" s="433">
        <f>(MAX(L367:L368)-MIN(L367:L368))/(2*M367)</f>
        <v>2.4434941967012946E-3</v>
      </c>
    </row>
    <row r="368" spans="1:14" ht="21.75" customHeight="1">
      <c r="A368" t="s">
        <v>460</v>
      </c>
      <c r="B368" s="245">
        <v>41071</v>
      </c>
      <c r="C368" s="126">
        <v>109.3</v>
      </c>
      <c r="D368" s="126">
        <v>109.4</v>
      </c>
      <c r="E368" s="126">
        <v>109.5</v>
      </c>
      <c r="G368" s="321">
        <v>0.7873</v>
      </c>
      <c r="H368" s="123">
        <f t="shared" si="20"/>
        <v>390.01815636489812</v>
      </c>
      <c r="I368" s="123">
        <f t="shared" si="21"/>
        <v>390.37498907886419</v>
      </c>
      <c r="J368" s="123">
        <f t="shared" si="22"/>
        <v>390.7318217928302</v>
      </c>
      <c r="K368" s="123"/>
      <c r="L368" s="176">
        <f t="shared" si="23"/>
        <v>390.37498907886419</v>
      </c>
      <c r="M368" s="432"/>
      <c r="N368" s="433"/>
    </row>
    <row r="369" spans="1:14" ht="21.75" customHeight="1">
      <c r="A369" t="s">
        <v>461</v>
      </c>
      <c r="B369" s="245">
        <v>41085</v>
      </c>
      <c r="C369" s="126">
        <v>109.3</v>
      </c>
      <c r="D369" s="126">
        <v>109.2</v>
      </c>
      <c r="E369" s="126">
        <v>108.8</v>
      </c>
      <c r="G369" s="321">
        <v>0.7873</v>
      </c>
      <c r="H369" s="123">
        <f t="shared" si="20"/>
        <v>390.01815636489812</v>
      </c>
      <c r="I369" s="123">
        <f t="shared" si="21"/>
        <v>389.66132365093205</v>
      </c>
      <c r="J369" s="123">
        <f t="shared" si="22"/>
        <v>388.23399279506782</v>
      </c>
      <c r="K369" s="123"/>
      <c r="L369" s="176">
        <f t="shared" si="23"/>
        <v>389.30449093696598</v>
      </c>
      <c r="M369" s="432">
        <f>AVERAGE(L369:L371)</f>
        <v>389.66132365093205</v>
      </c>
      <c r="N369" s="433">
        <f>(MAX(L369:L371)-MIN(L369:L371))/(2*M369)</f>
        <v>2.2893772893772461E-3</v>
      </c>
    </row>
    <row r="370" spans="1:14" ht="21.75" customHeight="1">
      <c r="A370" t="s">
        <v>462</v>
      </c>
      <c r="B370" s="245">
        <v>41085</v>
      </c>
      <c r="C370" s="126">
        <v>108.9</v>
      </c>
      <c r="D370" s="126">
        <v>109.3</v>
      </c>
      <c r="E370" s="126">
        <v>108.8</v>
      </c>
      <c r="G370" s="321">
        <v>0.7873</v>
      </c>
      <c r="H370" s="123">
        <f t="shared" si="20"/>
        <v>388.59082550903389</v>
      </c>
      <c r="I370" s="123">
        <f t="shared" si="21"/>
        <v>390.01815636489812</v>
      </c>
      <c r="J370" s="123">
        <f t="shared" si="22"/>
        <v>388.23399279506782</v>
      </c>
      <c r="K370" s="123"/>
      <c r="L370" s="176">
        <f t="shared" si="23"/>
        <v>388.94765822299996</v>
      </c>
      <c r="M370" s="432"/>
      <c r="N370" s="433"/>
    </row>
    <row r="371" spans="1:14" ht="21.75" customHeight="1">
      <c r="A371" t="s">
        <v>463</v>
      </c>
      <c r="B371" s="245">
        <v>41085</v>
      </c>
      <c r="C371" s="126">
        <v>109.6</v>
      </c>
      <c r="D371" s="126">
        <v>109.7</v>
      </c>
      <c r="E371" s="126">
        <v>109.2</v>
      </c>
      <c r="G371" s="321">
        <v>0.7873</v>
      </c>
      <c r="H371" s="123">
        <f t="shared" si="20"/>
        <v>391.08865450679622</v>
      </c>
      <c r="I371" s="123">
        <f t="shared" si="21"/>
        <v>391.44548722076235</v>
      </c>
      <c r="J371" s="123">
        <f t="shared" si="22"/>
        <v>389.66132365093205</v>
      </c>
      <c r="K371" s="123"/>
      <c r="L371" s="176">
        <f t="shared" si="23"/>
        <v>390.7318217928302</v>
      </c>
      <c r="M371" s="432"/>
      <c r="N371" s="433"/>
    </row>
    <row r="372" spans="1:14" ht="21.75" customHeight="1">
      <c r="A372" t="s">
        <v>442</v>
      </c>
      <c r="B372" s="245">
        <v>41087</v>
      </c>
      <c r="C372" s="126">
        <v>158.1</v>
      </c>
      <c r="D372" s="126">
        <v>158.5</v>
      </c>
      <c r="E372" s="126">
        <v>158.4</v>
      </c>
      <c r="G372" s="321">
        <v>0.7873</v>
      </c>
      <c r="H372" s="123">
        <f t="shared" si="20"/>
        <v>564.15252078033291</v>
      </c>
      <c r="I372" s="123">
        <f t="shared" si="21"/>
        <v>565.57985163619719</v>
      </c>
      <c r="J372" s="123">
        <f t="shared" si="22"/>
        <v>565.22301892223106</v>
      </c>
      <c r="K372" s="123"/>
      <c r="L372" s="176">
        <f t="shared" si="23"/>
        <v>564.98513044625372</v>
      </c>
      <c r="M372" s="176">
        <f>AVERAGE(I372:L372)</f>
        <v>565.26266700156066</v>
      </c>
      <c r="N372" s="275"/>
    </row>
    <row r="373" spans="1:14" ht="21.75" customHeight="1">
      <c r="A373" t="s">
        <v>466</v>
      </c>
      <c r="B373" s="245">
        <v>41087</v>
      </c>
      <c r="C373" s="126">
        <v>82.5</v>
      </c>
      <c r="D373" s="126">
        <v>81.599999999999994</v>
      </c>
      <c r="E373" s="126">
        <v>82</v>
      </c>
      <c r="G373" s="321">
        <v>0.7873</v>
      </c>
      <c r="H373" s="123">
        <f t="shared" si="20"/>
        <v>294.38698902199536</v>
      </c>
      <c r="I373" s="123">
        <f t="shared" si="21"/>
        <v>291.17549459630084</v>
      </c>
      <c r="J373" s="123">
        <f t="shared" si="22"/>
        <v>292.60282545216506</v>
      </c>
      <c r="K373" s="123"/>
      <c r="L373" s="176">
        <f t="shared" si="23"/>
        <v>292.72176969015374</v>
      </c>
      <c r="M373" s="176">
        <f>AVERAGE(I373:L373)</f>
        <v>292.16669657953986</v>
      </c>
      <c r="N373" s="275"/>
    </row>
    <row r="374" spans="1:14" ht="21.75" customHeight="1">
      <c r="A374" t="s">
        <v>475</v>
      </c>
      <c r="B374" s="245">
        <v>41095</v>
      </c>
      <c r="C374" s="126">
        <v>53</v>
      </c>
      <c r="D374" s="126">
        <v>52.6</v>
      </c>
      <c r="E374" s="126">
        <v>52.8</v>
      </c>
      <c r="G374" s="321">
        <v>0.7873</v>
      </c>
      <c r="H374" s="123">
        <f t="shared" si="20"/>
        <v>189.12133840200914</v>
      </c>
      <c r="I374" s="123">
        <f t="shared" si="21"/>
        <v>187.69400754614492</v>
      </c>
      <c r="J374" s="123">
        <f t="shared" si="22"/>
        <v>188.40767297407703</v>
      </c>
      <c r="K374" s="123"/>
      <c r="L374" s="176">
        <f t="shared" si="23"/>
        <v>188.40767297407703</v>
      </c>
      <c r="M374" s="432">
        <f>AVERAGE(L374:L377)</f>
        <v>189.27001869949501</v>
      </c>
      <c r="N374" s="433">
        <f>(MAX(L374:L377)-MIN(L374:L377))/(2*M374)</f>
        <v>6.4414768263943337E-2</v>
      </c>
    </row>
    <row r="375" spans="1:14" ht="21.75" customHeight="1">
      <c r="A375" t="s">
        <v>477</v>
      </c>
      <c r="B375" s="245">
        <v>41095</v>
      </c>
      <c r="C375" s="126">
        <v>56.1</v>
      </c>
      <c r="D375" s="126">
        <v>55.8</v>
      </c>
      <c r="E375" s="126">
        <v>56</v>
      </c>
      <c r="G375" s="321">
        <v>0.7873</v>
      </c>
      <c r="H375" s="123">
        <f t="shared" si="20"/>
        <v>200.18315253495686</v>
      </c>
      <c r="I375" s="123">
        <f t="shared" si="21"/>
        <v>199.11265439305868</v>
      </c>
      <c r="J375" s="123">
        <f t="shared" si="22"/>
        <v>199.82631982099079</v>
      </c>
      <c r="K375" s="123"/>
      <c r="L375" s="176">
        <f t="shared" si="23"/>
        <v>199.70737558300209</v>
      </c>
      <c r="M375" s="432"/>
      <c r="N375" s="433"/>
    </row>
    <row r="376" spans="1:14" ht="21.75" customHeight="1">
      <c r="A376" t="s">
        <v>478</v>
      </c>
      <c r="B376" s="245">
        <v>41095</v>
      </c>
      <c r="C376" s="126">
        <v>49.3</v>
      </c>
      <c r="D376" s="126">
        <v>49</v>
      </c>
      <c r="E376" s="126">
        <v>49.1</v>
      </c>
      <c r="G376" s="321">
        <v>0.7873</v>
      </c>
      <c r="H376" s="123">
        <f t="shared" si="20"/>
        <v>175.91852798526511</v>
      </c>
      <c r="I376" s="123">
        <f t="shared" si="21"/>
        <v>174.84802984336693</v>
      </c>
      <c r="J376" s="123">
        <f t="shared" si="22"/>
        <v>175.20486255733303</v>
      </c>
      <c r="K376" s="123"/>
      <c r="L376" s="176">
        <f t="shared" si="23"/>
        <v>175.3238067953217</v>
      </c>
      <c r="M376" s="432"/>
      <c r="N376" s="433"/>
    </row>
    <row r="377" spans="1:14" ht="21.75" customHeight="1">
      <c r="A377" t="s">
        <v>479</v>
      </c>
      <c r="B377" s="245">
        <v>41095</v>
      </c>
      <c r="C377" s="126">
        <v>54.3</v>
      </c>
      <c r="D377" s="126">
        <v>54.2</v>
      </c>
      <c r="E377" s="126">
        <v>54.3</v>
      </c>
      <c r="G377" s="321">
        <v>0.7873</v>
      </c>
      <c r="H377" s="123">
        <f t="shared" si="20"/>
        <v>193.76016368356787</v>
      </c>
      <c r="I377" s="123">
        <f t="shared" si="21"/>
        <v>193.40333096960183</v>
      </c>
      <c r="J377" s="123">
        <f t="shared" si="22"/>
        <v>193.76016368356787</v>
      </c>
      <c r="K377" s="123"/>
      <c r="L377" s="176">
        <f t="shared" si="23"/>
        <v>193.64121944557917</v>
      </c>
      <c r="M377" s="432"/>
      <c r="N377" s="433"/>
    </row>
    <row r="378" spans="1:14" ht="21.75" customHeight="1">
      <c r="A378" t="s">
        <v>480</v>
      </c>
      <c r="B378" s="245">
        <v>41095</v>
      </c>
      <c r="C378" s="126">
        <v>59.8</v>
      </c>
      <c r="D378" s="126">
        <v>59.7</v>
      </c>
      <c r="E378" s="126">
        <v>60.3</v>
      </c>
      <c r="G378" s="321">
        <v>0.7873</v>
      </c>
      <c r="H378" s="123">
        <f t="shared" si="20"/>
        <v>213.38596295170086</v>
      </c>
      <c r="I378" s="123">
        <f t="shared" si="21"/>
        <v>213.02913023773488</v>
      </c>
      <c r="J378" s="123">
        <f t="shared" si="22"/>
        <v>215.17012652153116</v>
      </c>
      <c r="K378" s="123"/>
      <c r="L378" s="176">
        <f t="shared" si="23"/>
        <v>213.86173990365566</v>
      </c>
      <c r="M378" s="432">
        <f>AVERAGE(L378:L381)</f>
        <v>232.4170410298905</v>
      </c>
      <c r="N378" s="433">
        <f>(MAX(L378:L381)-MIN(L378:L381))/(2*M378)</f>
        <v>8.3418628454452262E-2</v>
      </c>
    </row>
    <row r="379" spans="1:14" ht="21.75" customHeight="1">
      <c r="A379" t="s">
        <v>481</v>
      </c>
      <c r="B379" s="245">
        <v>41095</v>
      </c>
      <c r="C379" s="126">
        <v>59.5</v>
      </c>
      <c r="D379" s="126">
        <v>59.7</v>
      </c>
      <c r="E379" s="126">
        <v>59.7</v>
      </c>
      <c r="G379" s="321">
        <v>0.7873</v>
      </c>
      <c r="H379" s="123">
        <f t="shared" si="20"/>
        <v>212.31546480980271</v>
      </c>
      <c r="I379" s="123">
        <f t="shared" si="21"/>
        <v>213.02913023773488</v>
      </c>
      <c r="J379" s="123">
        <f t="shared" si="22"/>
        <v>213.02913023773488</v>
      </c>
      <c r="K379" s="123"/>
      <c r="L379" s="176">
        <f t="shared" si="23"/>
        <v>212.7912417617575</v>
      </c>
      <c r="M379" s="432"/>
      <c r="N379" s="433"/>
    </row>
    <row r="380" spans="1:14" ht="21.75" customHeight="1">
      <c r="A380" t="s">
        <v>482</v>
      </c>
      <c r="B380" s="245">
        <v>41095</v>
      </c>
      <c r="C380" s="126">
        <v>70.400000000000006</v>
      </c>
      <c r="D380" s="126">
        <v>70.3</v>
      </c>
      <c r="E380" s="126">
        <v>70.8</v>
      </c>
      <c r="G380" s="321">
        <v>0.7873</v>
      </c>
      <c r="H380" s="123">
        <f t="shared" si="20"/>
        <v>251.21023063210271</v>
      </c>
      <c r="I380" s="123">
        <f t="shared" si="21"/>
        <v>250.85339791813666</v>
      </c>
      <c r="J380" s="123">
        <f t="shared" si="22"/>
        <v>252.63756148796693</v>
      </c>
      <c r="K380" s="123"/>
      <c r="L380" s="176">
        <f t="shared" si="23"/>
        <v>251.56706334606875</v>
      </c>
      <c r="M380" s="432"/>
      <c r="N380" s="433"/>
    </row>
    <row r="381" spans="1:14" ht="21.75" customHeight="1">
      <c r="A381" t="s">
        <v>483</v>
      </c>
      <c r="B381" s="245">
        <v>41095</v>
      </c>
      <c r="C381" s="126">
        <v>70.5</v>
      </c>
      <c r="D381" s="126">
        <v>70.400000000000006</v>
      </c>
      <c r="E381" s="126">
        <v>70.5</v>
      </c>
      <c r="G381" s="321">
        <v>0.7873</v>
      </c>
      <c r="H381" s="123">
        <f t="shared" si="20"/>
        <v>251.56706334606878</v>
      </c>
      <c r="I381" s="123">
        <f t="shared" si="21"/>
        <v>251.21023063210271</v>
      </c>
      <c r="J381" s="123">
        <f t="shared" si="22"/>
        <v>251.56706334606878</v>
      </c>
      <c r="K381" s="123"/>
      <c r="L381" s="176">
        <f t="shared" si="23"/>
        <v>251.44811910808008</v>
      </c>
      <c r="M381" s="432"/>
      <c r="N381" s="433"/>
    </row>
    <row r="382" spans="1:14" ht="21.75" customHeight="1">
      <c r="A382" t="s">
        <v>484</v>
      </c>
      <c r="B382" s="245">
        <v>41095</v>
      </c>
      <c r="C382" s="126">
        <v>83.5</v>
      </c>
      <c r="D382" s="126">
        <v>83.4</v>
      </c>
      <c r="E382" s="126">
        <v>83.5</v>
      </c>
      <c r="G382" s="321">
        <v>0.7873</v>
      </c>
      <c r="H382" s="123">
        <f t="shared" si="20"/>
        <v>297.9553161616559</v>
      </c>
      <c r="I382" s="123">
        <f t="shared" si="21"/>
        <v>297.59848344768989</v>
      </c>
      <c r="J382" s="123">
        <f t="shared" si="22"/>
        <v>297.9553161616559</v>
      </c>
      <c r="K382" s="123"/>
      <c r="L382" s="176">
        <f t="shared" si="23"/>
        <v>297.83637192366723</v>
      </c>
      <c r="M382" s="432">
        <f>AVERAGE(L382:L385)</f>
        <v>300.12604850494938</v>
      </c>
      <c r="N382" s="433">
        <f>(MAX(L382:L385)-MIN(L382:L385))/(2*M382)</f>
        <v>1.5059942534429785E-2</v>
      </c>
    </row>
    <row r="383" spans="1:14" ht="21.75" customHeight="1">
      <c r="A383" t="s">
        <v>485</v>
      </c>
      <c r="B383" s="245">
        <v>41095</v>
      </c>
      <c r="C383" s="126">
        <v>85.6</v>
      </c>
      <c r="D383" s="126">
        <v>85.6</v>
      </c>
      <c r="E383" s="126">
        <v>85.7</v>
      </c>
      <c r="G383" s="321">
        <v>0.7873</v>
      </c>
      <c r="H383" s="123">
        <f t="shared" si="20"/>
        <v>305.44880315494305</v>
      </c>
      <c r="I383" s="123">
        <f t="shared" si="21"/>
        <v>305.44880315494305</v>
      </c>
      <c r="J383" s="123">
        <f t="shared" si="22"/>
        <v>305.80563586890912</v>
      </c>
      <c r="K383" s="123"/>
      <c r="L383" s="176">
        <f t="shared" si="23"/>
        <v>305.56774739293172</v>
      </c>
      <c r="M383" s="432"/>
      <c r="N383" s="433"/>
    </row>
    <row r="384" spans="1:14" ht="21.75" customHeight="1">
      <c r="A384" t="s">
        <v>487</v>
      </c>
      <c r="B384" s="245">
        <v>41095</v>
      </c>
      <c r="C384" s="126">
        <v>84.3</v>
      </c>
      <c r="D384" s="126">
        <v>84.4</v>
      </c>
      <c r="E384" s="126">
        <v>84</v>
      </c>
      <c r="G384" s="321">
        <v>0.7873</v>
      </c>
      <c r="H384" s="123">
        <f t="shared" si="20"/>
        <v>300.80997787338436</v>
      </c>
      <c r="I384" s="123">
        <f t="shared" si="21"/>
        <v>301.16681058735043</v>
      </c>
      <c r="J384" s="123">
        <f t="shared" si="22"/>
        <v>299.7394797314862</v>
      </c>
      <c r="K384" s="123"/>
      <c r="L384" s="176">
        <f t="shared" si="23"/>
        <v>300.57208939740696</v>
      </c>
      <c r="M384" s="432"/>
      <c r="N384" s="433"/>
    </row>
    <row r="385" spans="1:14" ht="21.75" customHeight="1">
      <c r="A385" t="s">
        <v>488</v>
      </c>
      <c r="B385" s="245">
        <v>41095</v>
      </c>
      <c r="C385" s="126">
        <v>83.2</v>
      </c>
      <c r="D385" s="126">
        <v>83</v>
      </c>
      <c r="E385" s="126">
        <v>83.1</v>
      </c>
      <c r="G385" s="321">
        <v>0.7873</v>
      </c>
      <c r="H385" s="123">
        <f t="shared" si="20"/>
        <v>296.88481801975774</v>
      </c>
      <c r="I385" s="123">
        <f t="shared" si="21"/>
        <v>296.17115259182566</v>
      </c>
      <c r="J385" s="123">
        <f t="shared" si="22"/>
        <v>296.52798530579167</v>
      </c>
      <c r="K385" s="123"/>
      <c r="L385" s="176">
        <f t="shared" si="23"/>
        <v>296.52798530579167</v>
      </c>
      <c r="M385" s="432"/>
      <c r="N385" s="433"/>
    </row>
    <row r="386" spans="1:14" ht="21.75" customHeight="1">
      <c r="A386" t="s">
        <v>490</v>
      </c>
      <c r="B386" s="245">
        <v>41095</v>
      </c>
      <c r="C386" s="126">
        <v>111</v>
      </c>
      <c r="D386" s="126">
        <v>111</v>
      </c>
      <c r="E386" s="126">
        <v>111.3</v>
      </c>
      <c r="G386" s="321">
        <v>0.7873</v>
      </c>
      <c r="H386" s="123">
        <f t="shared" ref="H386:H449" si="24">(C386*(PI()/LN(2)))*$G386</f>
        <v>396.08431250232104</v>
      </c>
      <c r="I386" s="123">
        <f t="shared" ref="I386:I449" si="25">(D386*(PI()/LN(2)))*$G386</f>
        <v>396.08431250232104</v>
      </c>
      <c r="J386" s="123">
        <f t="shared" ref="J386:J449" si="26">(E386*(PI()/LN(2)))*$G386</f>
        <v>397.1548106442192</v>
      </c>
      <c r="K386" s="123"/>
      <c r="L386" s="176">
        <f t="shared" ref="L386:L449" si="27">AVERAGE(H386:J386)</f>
        <v>396.44114521628711</v>
      </c>
      <c r="M386" s="432">
        <f>AVERAGE(L386:L389)</f>
        <v>390.99944632830483</v>
      </c>
      <c r="N386" s="433">
        <f>(MAX(L386:L389)-MIN(L386:L389))/(2*M386)</f>
        <v>3.3462620731614511E-2</v>
      </c>
    </row>
    <row r="387" spans="1:14" ht="21.75" customHeight="1">
      <c r="A387" t="s">
        <v>491</v>
      </c>
      <c r="B387" s="245">
        <v>41095</v>
      </c>
      <c r="C387" s="126">
        <v>112.3</v>
      </c>
      <c r="D387" s="126">
        <v>112</v>
      </c>
      <c r="E387" s="126">
        <v>112.4</v>
      </c>
      <c r="G387" s="321">
        <v>0.7873</v>
      </c>
      <c r="H387" s="123">
        <f t="shared" si="24"/>
        <v>400.72313778387979</v>
      </c>
      <c r="I387" s="123">
        <f t="shared" si="25"/>
        <v>399.65263964198158</v>
      </c>
      <c r="J387" s="123">
        <f t="shared" si="26"/>
        <v>401.07997049784581</v>
      </c>
      <c r="K387" s="123"/>
      <c r="L387" s="176">
        <f t="shared" si="27"/>
        <v>400.48524930790239</v>
      </c>
      <c r="M387" s="432"/>
      <c r="N387" s="433"/>
    </row>
    <row r="388" spans="1:14" ht="21.75" customHeight="1">
      <c r="A388" t="s">
        <v>617</v>
      </c>
      <c r="B388" s="245">
        <v>41095</v>
      </c>
      <c r="C388" s="126">
        <v>109.8</v>
      </c>
      <c r="D388" s="126">
        <v>110.2</v>
      </c>
      <c r="E388" s="126">
        <v>110.2</v>
      </c>
      <c r="G388" s="321">
        <v>0.7873</v>
      </c>
      <c r="H388" s="123">
        <f t="shared" si="24"/>
        <v>391.80231993472836</v>
      </c>
      <c r="I388" s="123">
        <f t="shared" si="25"/>
        <v>393.22965079059264</v>
      </c>
      <c r="J388" s="123">
        <f t="shared" si="26"/>
        <v>393.22965079059264</v>
      </c>
      <c r="K388" s="123"/>
      <c r="L388" s="176">
        <f t="shared" si="27"/>
        <v>392.7538738386379</v>
      </c>
      <c r="M388" s="432"/>
      <c r="N388" s="433"/>
    </row>
    <row r="389" spans="1:14" ht="21.75" customHeight="1">
      <c r="A389" t="s">
        <v>492</v>
      </c>
      <c r="B389" s="245">
        <v>41095</v>
      </c>
      <c r="C389" s="126">
        <v>104.8</v>
      </c>
      <c r="D389" s="126">
        <v>104.7</v>
      </c>
      <c r="E389" s="126">
        <v>105.2</v>
      </c>
      <c r="G389" s="321">
        <v>0.7873</v>
      </c>
      <c r="H389" s="123">
        <f t="shared" si="24"/>
        <v>373.96068423642561</v>
      </c>
      <c r="I389" s="123">
        <f t="shared" si="25"/>
        <v>373.60385152245959</v>
      </c>
      <c r="J389" s="123">
        <f t="shared" si="26"/>
        <v>375.38801509228983</v>
      </c>
      <c r="K389" s="123"/>
      <c r="L389" s="176">
        <f t="shared" si="27"/>
        <v>374.31751695039173</v>
      </c>
      <c r="M389" s="432"/>
      <c r="N389" s="433"/>
    </row>
    <row r="390" spans="1:14" ht="21.75" customHeight="1">
      <c r="A390" t="s">
        <v>493</v>
      </c>
      <c r="B390" s="245">
        <v>41095</v>
      </c>
      <c r="C390" s="126">
        <v>17.8</v>
      </c>
      <c r="D390" s="126">
        <v>17.8</v>
      </c>
      <c r="E390" s="126">
        <v>17.8</v>
      </c>
      <c r="G390" s="321">
        <v>0.7873</v>
      </c>
      <c r="H390" s="123">
        <f t="shared" si="24"/>
        <v>63.51622308595779</v>
      </c>
      <c r="I390" s="123">
        <f t="shared" si="25"/>
        <v>63.51622308595779</v>
      </c>
      <c r="J390" s="123">
        <f t="shared" si="26"/>
        <v>63.51622308595779</v>
      </c>
      <c r="K390" s="123"/>
      <c r="L390" s="176">
        <f t="shared" si="27"/>
        <v>63.51622308595779</v>
      </c>
      <c r="M390" s="432">
        <f>AVERAGE(L390:L393)</f>
        <v>56.974289996580112</v>
      </c>
      <c r="N390" s="433">
        <f>(MAX(L390:L393)-MIN(L390:L393))/(2*M390)</f>
        <v>8.2463465553235943E-2</v>
      </c>
    </row>
    <row r="391" spans="1:14" ht="21.75" customHeight="1">
      <c r="A391" t="s">
        <v>494</v>
      </c>
      <c r="B391" s="245">
        <v>41095</v>
      </c>
      <c r="C391" s="126">
        <v>15.2</v>
      </c>
      <c r="D391" s="126">
        <v>15.2</v>
      </c>
      <c r="E391" s="126">
        <v>15.4</v>
      </c>
      <c r="G391" s="321">
        <v>0.7873</v>
      </c>
      <c r="H391" s="123">
        <f t="shared" si="24"/>
        <v>54.238572522840357</v>
      </c>
      <c r="I391" s="123">
        <f t="shared" si="25"/>
        <v>54.238572522840357</v>
      </c>
      <c r="J391" s="123">
        <f t="shared" si="26"/>
        <v>54.952237950772471</v>
      </c>
      <c r="K391" s="123"/>
      <c r="L391" s="176">
        <f t="shared" si="27"/>
        <v>54.476460998817721</v>
      </c>
      <c r="M391" s="432"/>
      <c r="N391" s="433"/>
    </row>
    <row r="392" spans="1:14" ht="21.75" customHeight="1">
      <c r="A392" t="s">
        <v>495</v>
      </c>
      <c r="B392" s="245">
        <v>41095</v>
      </c>
      <c r="C392" s="126">
        <v>15.6</v>
      </c>
      <c r="D392" s="126">
        <v>15.7</v>
      </c>
      <c r="E392" s="126">
        <v>15.6</v>
      </c>
      <c r="G392" s="321">
        <v>0.7873</v>
      </c>
      <c r="H392" s="123">
        <f t="shared" si="24"/>
        <v>55.665903378704577</v>
      </c>
      <c r="I392" s="123">
        <f t="shared" si="25"/>
        <v>56.022736092670627</v>
      </c>
      <c r="J392" s="123">
        <f t="shared" si="26"/>
        <v>55.665903378704577</v>
      </c>
      <c r="K392" s="123"/>
      <c r="L392" s="176">
        <f t="shared" si="27"/>
        <v>55.784847616693263</v>
      </c>
      <c r="M392" s="432"/>
      <c r="N392" s="433"/>
    </row>
    <row r="393" spans="1:14" ht="21.75" customHeight="1">
      <c r="A393" t="s">
        <v>496</v>
      </c>
      <c r="B393" s="245">
        <v>41095</v>
      </c>
      <c r="C393" s="126">
        <v>15.1</v>
      </c>
      <c r="D393" s="126">
        <v>15.2</v>
      </c>
      <c r="E393" s="126">
        <v>15.2</v>
      </c>
      <c r="G393" s="321">
        <v>0.7873</v>
      </c>
      <c r="H393" s="123">
        <f t="shared" si="24"/>
        <v>53.8817398088743</v>
      </c>
      <c r="I393" s="123">
        <f t="shared" si="25"/>
        <v>54.238572522840357</v>
      </c>
      <c r="J393" s="123">
        <f t="shared" si="26"/>
        <v>54.238572522840357</v>
      </c>
      <c r="K393" s="123"/>
      <c r="L393" s="176">
        <f t="shared" si="27"/>
        <v>54.119628284851672</v>
      </c>
      <c r="M393" s="432"/>
      <c r="N393" s="433"/>
    </row>
    <row r="394" spans="1:14" ht="21.75" customHeight="1">
      <c r="A394" t="s">
        <v>497</v>
      </c>
      <c r="B394" s="245">
        <v>41095</v>
      </c>
      <c r="C394" s="126">
        <v>140.9</v>
      </c>
      <c r="D394" s="126">
        <v>141.6</v>
      </c>
      <c r="E394" s="126">
        <v>141</v>
      </c>
      <c r="G394" s="321">
        <v>0.7873</v>
      </c>
      <c r="H394" s="123">
        <f t="shared" si="24"/>
        <v>502.77729397817149</v>
      </c>
      <c r="I394" s="123">
        <f t="shared" si="25"/>
        <v>505.27512297593387</v>
      </c>
      <c r="J394" s="123">
        <f t="shared" si="26"/>
        <v>503.13412669213756</v>
      </c>
      <c r="K394" s="123"/>
      <c r="L394" s="176">
        <f t="shared" si="27"/>
        <v>503.72884788208103</v>
      </c>
      <c r="M394" s="432">
        <f>AVERAGE(L394:L397)</f>
        <v>496.6814017812514</v>
      </c>
      <c r="N394" s="433">
        <f>(MAX(L394:L397)-MIN(L394:L397))/(2*M394)</f>
        <v>1.5206849069029547E-2</v>
      </c>
    </row>
    <row r="395" spans="1:14" ht="21.75" customHeight="1">
      <c r="A395" t="s">
        <v>498</v>
      </c>
      <c r="B395" s="245">
        <v>41095</v>
      </c>
      <c r="C395" s="126">
        <v>136.9</v>
      </c>
      <c r="D395" s="126">
        <v>137</v>
      </c>
      <c r="E395" s="126">
        <v>136.9</v>
      </c>
      <c r="G395" s="321">
        <v>0.7873</v>
      </c>
      <c r="H395" s="123">
        <f t="shared" si="24"/>
        <v>488.50398541952933</v>
      </c>
      <c r="I395" s="123">
        <f t="shared" si="25"/>
        <v>488.8608181334954</v>
      </c>
      <c r="J395" s="123">
        <f t="shared" si="26"/>
        <v>488.50398541952933</v>
      </c>
      <c r="K395" s="123"/>
      <c r="L395" s="176">
        <f t="shared" si="27"/>
        <v>488.622929657518</v>
      </c>
      <c r="M395" s="432"/>
      <c r="N395" s="433"/>
    </row>
    <row r="396" spans="1:14" ht="21.75" customHeight="1">
      <c r="A396" t="s">
        <v>499</v>
      </c>
      <c r="B396" s="245">
        <v>41095</v>
      </c>
      <c r="C396" s="126">
        <v>140.4</v>
      </c>
      <c r="D396" s="126">
        <v>140.30000000000001</v>
      </c>
      <c r="E396" s="126">
        <v>139.69999999999999</v>
      </c>
      <c r="G396" s="321">
        <v>0.7873</v>
      </c>
      <c r="H396" s="123">
        <f t="shared" si="24"/>
        <v>500.99313040834119</v>
      </c>
      <c r="I396" s="123">
        <f t="shared" si="25"/>
        <v>500.63629769437523</v>
      </c>
      <c r="J396" s="123">
        <f t="shared" si="26"/>
        <v>498.4953014105788</v>
      </c>
      <c r="K396" s="123"/>
      <c r="L396" s="176">
        <f t="shared" si="27"/>
        <v>500.04157650443176</v>
      </c>
      <c r="M396" s="432"/>
      <c r="N396" s="433"/>
    </row>
    <row r="397" spans="1:14" ht="21.75" customHeight="1">
      <c r="A397" t="s">
        <v>500</v>
      </c>
      <c r="B397" s="245">
        <v>41095</v>
      </c>
      <c r="C397" s="126">
        <v>138.69999999999999</v>
      </c>
      <c r="D397" s="126">
        <v>138.4</v>
      </c>
      <c r="E397" s="126">
        <v>138.5</v>
      </c>
      <c r="G397" s="321">
        <v>0.7873</v>
      </c>
      <c r="H397" s="123">
        <f t="shared" si="24"/>
        <v>494.92697427091827</v>
      </c>
      <c r="I397" s="123">
        <f t="shared" si="25"/>
        <v>493.85647612902017</v>
      </c>
      <c r="J397" s="123">
        <f t="shared" si="26"/>
        <v>494.21330884298612</v>
      </c>
      <c r="K397" s="123"/>
      <c r="L397" s="176">
        <f t="shared" si="27"/>
        <v>494.33225308097485</v>
      </c>
      <c r="M397" s="432"/>
      <c r="N397" s="433"/>
    </row>
    <row r="398" spans="1:14" ht="21.75" customHeight="1">
      <c r="A398" t="s">
        <v>501</v>
      </c>
      <c r="B398" s="245">
        <v>41095</v>
      </c>
      <c r="C398" s="126">
        <v>99.6</v>
      </c>
      <c r="D398" s="126">
        <v>99.7</v>
      </c>
      <c r="E398" s="126">
        <v>99.6</v>
      </c>
      <c r="G398" s="321">
        <v>0.7873</v>
      </c>
      <c r="H398" s="123">
        <f t="shared" si="24"/>
        <v>355.40538311019071</v>
      </c>
      <c r="I398" s="123">
        <f t="shared" si="25"/>
        <v>355.76221582415684</v>
      </c>
      <c r="J398" s="123">
        <f t="shared" si="26"/>
        <v>355.40538311019071</v>
      </c>
      <c r="K398" s="123"/>
      <c r="L398" s="176">
        <f t="shared" si="27"/>
        <v>355.52432734817944</v>
      </c>
      <c r="M398" s="432">
        <f>AVERAGE(L398:L400)</f>
        <v>356.03975237946378</v>
      </c>
      <c r="N398" s="433">
        <f>(MAX(L398:L400)-MIN(L398:L400))/(2*M398)</f>
        <v>1.8374164810690712E-3</v>
      </c>
    </row>
    <row r="399" spans="1:14" ht="21.75" customHeight="1">
      <c r="A399" t="s">
        <v>502</v>
      </c>
      <c r="B399" s="245">
        <v>41095</v>
      </c>
      <c r="C399" s="126">
        <v>100</v>
      </c>
      <c r="D399" s="126">
        <v>100</v>
      </c>
      <c r="E399" s="126">
        <v>100</v>
      </c>
      <c r="G399" s="321">
        <v>0.7873</v>
      </c>
      <c r="H399" s="123">
        <f t="shared" si="24"/>
        <v>356.832713966055</v>
      </c>
      <c r="I399" s="123">
        <f t="shared" si="25"/>
        <v>356.832713966055</v>
      </c>
      <c r="J399" s="123">
        <f t="shared" si="26"/>
        <v>356.832713966055</v>
      </c>
      <c r="K399" s="123"/>
      <c r="L399" s="176">
        <f t="shared" si="27"/>
        <v>356.832713966055</v>
      </c>
      <c r="M399" s="432"/>
      <c r="N399" s="433"/>
    </row>
    <row r="400" spans="1:14" ht="21.75" customHeight="1">
      <c r="A400" t="s">
        <v>503</v>
      </c>
      <c r="B400" s="245">
        <v>41095</v>
      </c>
      <c r="C400" s="126">
        <v>99.5</v>
      </c>
      <c r="D400" s="126">
        <v>99.7</v>
      </c>
      <c r="E400" s="126">
        <v>99.9</v>
      </c>
      <c r="G400" s="321">
        <v>0.7873</v>
      </c>
      <c r="H400" s="123">
        <f t="shared" si="24"/>
        <v>355.0485503962247</v>
      </c>
      <c r="I400" s="123">
        <f t="shared" si="25"/>
        <v>355.76221582415684</v>
      </c>
      <c r="J400" s="123">
        <f t="shared" si="26"/>
        <v>356.47588125208893</v>
      </c>
      <c r="K400" s="123"/>
      <c r="L400" s="176">
        <f t="shared" si="27"/>
        <v>355.76221582415684</v>
      </c>
      <c r="M400" s="432"/>
      <c r="N400" s="433"/>
    </row>
    <row r="401" spans="1:14" ht="21.75" customHeight="1">
      <c r="A401" t="s">
        <v>504</v>
      </c>
      <c r="B401" s="245">
        <v>41101</v>
      </c>
      <c r="C401" s="126">
        <v>48.3</v>
      </c>
      <c r="D401" s="126">
        <v>48.3</v>
      </c>
      <c r="E401" s="126">
        <v>48.4</v>
      </c>
      <c r="G401" s="321">
        <v>0.7873</v>
      </c>
      <c r="H401" s="123">
        <f t="shared" si="24"/>
        <v>172.35020084560455</v>
      </c>
      <c r="I401" s="123">
        <f t="shared" si="25"/>
        <v>172.35020084560455</v>
      </c>
      <c r="J401" s="123">
        <f t="shared" si="26"/>
        <v>172.70703355957062</v>
      </c>
      <c r="K401" s="123"/>
      <c r="L401" s="176">
        <f t="shared" si="27"/>
        <v>172.46914508359325</v>
      </c>
      <c r="M401" s="432">
        <f>AVERAGE(L401:L404)</f>
        <v>160.1286803922672</v>
      </c>
      <c r="N401" s="433">
        <f>(MAX(L401:L404)-MIN(L401:L404))/(2*M401)</f>
        <v>0.15004642525533882</v>
      </c>
    </row>
    <row r="402" spans="1:14" ht="21.75" customHeight="1">
      <c r="A402" t="s">
        <v>506</v>
      </c>
      <c r="B402" s="245">
        <v>41101</v>
      </c>
      <c r="C402" s="126">
        <v>51.8</v>
      </c>
      <c r="D402" s="126">
        <v>51.7</v>
      </c>
      <c r="E402" s="126">
        <v>51.7</v>
      </c>
      <c r="G402" s="321">
        <v>0.7873</v>
      </c>
      <c r="H402" s="123">
        <f t="shared" si="24"/>
        <v>184.83934583441646</v>
      </c>
      <c r="I402" s="123">
        <f t="shared" si="25"/>
        <v>184.48251312045045</v>
      </c>
      <c r="J402" s="123">
        <f t="shared" si="26"/>
        <v>184.48251312045045</v>
      </c>
      <c r="K402" s="123"/>
      <c r="L402" s="176">
        <f t="shared" si="27"/>
        <v>184.60145735843912</v>
      </c>
      <c r="M402" s="432"/>
      <c r="N402" s="433"/>
    </row>
    <row r="403" spans="1:14" ht="21.75" customHeight="1">
      <c r="A403" t="s">
        <v>507</v>
      </c>
      <c r="B403" s="245">
        <v>41101</v>
      </c>
      <c r="C403" s="126">
        <v>38.4</v>
      </c>
      <c r="D403" s="126">
        <v>38.299999999999997</v>
      </c>
      <c r="E403" s="126">
        <v>38.1</v>
      </c>
      <c r="G403" s="321">
        <v>0.7873</v>
      </c>
      <c r="H403" s="123">
        <f t="shared" si="24"/>
        <v>137.02376216296511</v>
      </c>
      <c r="I403" s="123">
        <f t="shared" si="25"/>
        <v>136.66692944899907</v>
      </c>
      <c r="J403" s="123">
        <f t="shared" si="26"/>
        <v>135.95326402106696</v>
      </c>
      <c r="K403" s="123"/>
      <c r="L403" s="176">
        <f t="shared" si="27"/>
        <v>136.5479852110104</v>
      </c>
      <c r="M403" s="432"/>
      <c r="N403" s="433"/>
    </row>
    <row r="404" spans="1:14" ht="21.75" customHeight="1">
      <c r="A404" t="s">
        <v>508</v>
      </c>
      <c r="B404" s="245">
        <v>41101</v>
      </c>
      <c r="C404" s="126">
        <v>41.2</v>
      </c>
      <c r="D404" s="126">
        <v>41</v>
      </c>
      <c r="E404" s="126">
        <v>41.3</v>
      </c>
      <c r="G404" s="321">
        <v>0.7873</v>
      </c>
      <c r="H404" s="123">
        <f t="shared" si="24"/>
        <v>147.01507815401467</v>
      </c>
      <c r="I404" s="123">
        <f t="shared" si="25"/>
        <v>146.30141272608253</v>
      </c>
      <c r="J404" s="123">
        <f t="shared" si="26"/>
        <v>147.37191086798072</v>
      </c>
      <c r="K404" s="123"/>
      <c r="L404" s="176">
        <f t="shared" si="27"/>
        <v>146.89613391602597</v>
      </c>
      <c r="M404" s="432"/>
      <c r="N404" s="433"/>
    </row>
    <row r="405" spans="1:14" ht="21.75" customHeight="1">
      <c r="A405" t="s">
        <v>509</v>
      </c>
      <c r="B405" s="245">
        <v>41101</v>
      </c>
      <c r="C405" s="126">
        <v>59.9</v>
      </c>
      <c r="D405" s="126">
        <v>60.2</v>
      </c>
      <c r="E405" s="126">
        <v>60</v>
      </c>
      <c r="G405" s="321">
        <v>0.7873</v>
      </c>
      <c r="H405" s="123">
        <f t="shared" si="24"/>
        <v>213.74279566566693</v>
      </c>
      <c r="I405" s="123">
        <f t="shared" si="25"/>
        <v>214.81329380756509</v>
      </c>
      <c r="J405" s="123">
        <f t="shared" si="26"/>
        <v>214.09962837963297</v>
      </c>
      <c r="K405" s="123"/>
      <c r="L405" s="176">
        <f t="shared" si="27"/>
        <v>214.21857261762167</v>
      </c>
      <c r="M405" s="432">
        <f>AVERAGE(L405:L408)</f>
        <v>131.40364691799974</v>
      </c>
      <c r="N405" s="433">
        <f>(MAX(L405:L408)-MIN(L405:L408))/(2*M405)</f>
        <v>0.42181489024666224</v>
      </c>
    </row>
    <row r="406" spans="1:14" ht="21.75" customHeight="1">
      <c r="A406" t="s">
        <v>510</v>
      </c>
      <c r="B406" s="245">
        <v>41101</v>
      </c>
      <c r="C406" s="126">
        <v>29</v>
      </c>
      <c r="D406" s="126">
        <v>29.1</v>
      </c>
      <c r="E406" s="126">
        <v>29</v>
      </c>
      <c r="G406" s="321">
        <v>0.7873</v>
      </c>
      <c r="H406" s="123">
        <f t="shared" si="24"/>
        <v>103.48148705015595</v>
      </c>
      <c r="I406" s="123">
        <f t="shared" si="25"/>
        <v>103.83831976412201</v>
      </c>
      <c r="J406" s="123">
        <f t="shared" si="26"/>
        <v>103.48148705015595</v>
      </c>
      <c r="K406" s="123"/>
      <c r="L406" s="176">
        <f t="shared" si="27"/>
        <v>103.60043128814463</v>
      </c>
      <c r="M406" s="432"/>
      <c r="N406" s="433"/>
    </row>
    <row r="407" spans="1:14" ht="21.75" customHeight="1">
      <c r="A407" t="s">
        <v>511</v>
      </c>
      <c r="B407" s="245">
        <v>41101</v>
      </c>
      <c r="C407" s="126">
        <v>29</v>
      </c>
      <c r="D407" s="126">
        <v>28.9</v>
      </c>
      <c r="E407" s="126">
        <v>29</v>
      </c>
      <c r="G407" s="321">
        <v>0.7873</v>
      </c>
      <c r="H407" s="123">
        <f t="shared" si="24"/>
        <v>103.48148705015595</v>
      </c>
      <c r="I407" s="123">
        <f t="shared" si="25"/>
        <v>103.12465433618989</v>
      </c>
      <c r="J407" s="123">
        <f t="shared" si="26"/>
        <v>103.48148705015595</v>
      </c>
      <c r="K407" s="123"/>
      <c r="L407" s="176">
        <f t="shared" si="27"/>
        <v>103.36254281216725</v>
      </c>
      <c r="M407" s="432"/>
      <c r="N407" s="433"/>
    </row>
    <row r="408" spans="1:14" ht="21.75" customHeight="1">
      <c r="A408" t="s">
        <v>512</v>
      </c>
      <c r="B408" s="245">
        <v>41101</v>
      </c>
      <c r="C408" s="126">
        <v>29.3</v>
      </c>
      <c r="D408" s="126">
        <v>29.2</v>
      </c>
      <c r="E408" s="126">
        <v>29.3</v>
      </c>
      <c r="G408" s="321">
        <v>0.7873</v>
      </c>
      <c r="H408" s="123">
        <f t="shared" si="24"/>
        <v>104.55198519205412</v>
      </c>
      <c r="I408" s="123">
        <f t="shared" si="25"/>
        <v>104.19515247808806</v>
      </c>
      <c r="J408" s="123">
        <f t="shared" si="26"/>
        <v>104.55198519205412</v>
      </c>
      <c r="K408" s="123"/>
      <c r="L408" s="176">
        <f t="shared" si="27"/>
        <v>104.43304095406545</v>
      </c>
      <c r="M408" s="432"/>
      <c r="N408" s="433"/>
    </row>
    <row r="409" spans="1:14" ht="21.75" customHeight="1">
      <c r="A409" t="s">
        <v>513</v>
      </c>
      <c r="B409" s="245">
        <v>41101</v>
      </c>
      <c r="C409" s="126">
        <v>97.1</v>
      </c>
      <c r="D409" s="126">
        <v>97.1</v>
      </c>
      <c r="E409" s="126">
        <v>97.1</v>
      </c>
      <c r="G409" s="321">
        <v>0.7873</v>
      </c>
      <c r="H409" s="123">
        <f t="shared" si="24"/>
        <v>346.48456526103939</v>
      </c>
      <c r="I409" s="123">
        <f t="shared" si="25"/>
        <v>346.48456526103939</v>
      </c>
      <c r="J409" s="123">
        <f t="shared" si="26"/>
        <v>346.48456526103939</v>
      </c>
      <c r="K409" s="123"/>
      <c r="L409" s="176">
        <f t="shared" si="27"/>
        <v>346.48456526103945</v>
      </c>
      <c r="M409" s="432">
        <f>AVERAGE(L409:L411)</f>
        <v>347.55506340293761</v>
      </c>
      <c r="N409" s="433">
        <f>(MAX(L409:L411)-MIN(L409:L411))/(2*M409)</f>
        <v>2.9089664613278512E-3</v>
      </c>
    </row>
    <row r="410" spans="1:14" ht="21.75" customHeight="1">
      <c r="A410" t="s">
        <v>514</v>
      </c>
      <c r="B410" s="245">
        <v>41101</v>
      </c>
      <c r="C410" s="126">
        <v>97.6</v>
      </c>
      <c r="D410" s="126">
        <v>97.4</v>
      </c>
      <c r="E410" s="126">
        <v>97.3</v>
      </c>
      <c r="G410" s="321">
        <v>0.7873</v>
      </c>
      <c r="H410" s="123">
        <f t="shared" si="24"/>
        <v>348.26872883086963</v>
      </c>
      <c r="I410" s="123">
        <f t="shared" si="25"/>
        <v>347.55506340293761</v>
      </c>
      <c r="J410" s="123">
        <f t="shared" si="26"/>
        <v>347.19823068897148</v>
      </c>
      <c r="K410" s="123"/>
      <c r="L410" s="176">
        <f t="shared" si="27"/>
        <v>347.67400764092622</v>
      </c>
      <c r="M410" s="432"/>
      <c r="N410" s="433"/>
    </row>
    <row r="411" spans="1:14" ht="21.75" customHeight="1">
      <c r="A411" t="s">
        <v>515</v>
      </c>
      <c r="B411" s="245">
        <v>41101</v>
      </c>
      <c r="C411" s="126">
        <v>97.7</v>
      </c>
      <c r="D411" s="126">
        <v>97.7</v>
      </c>
      <c r="E411" s="126">
        <v>97.6</v>
      </c>
      <c r="G411" s="321">
        <v>0.7873</v>
      </c>
      <c r="H411" s="123">
        <f t="shared" si="24"/>
        <v>348.62556154483576</v>
      </c>
      <c r="I411" s="123">
        <f t="shared" si="25"/>
        <v>348.62556154483576</v>
      </c>
      <c r="J411" s="123">
        <f t="shared" si="26"/>
        <v>348.26872883086963</v>
      </c>
      <c r="K411" s="123"/>
      <c r="L411" s="176">
        <f t="shared" si="27"/>
        <v>348.50661730684709</v>
      </c>
      <c r="M411" s="432"/>
      <c r="N411" s="433"/>
    </row>
    <row r="412" spans="1:14" ht="21.75" customHeight="1">
      <c r="A412" t="s">
        <v>516</v>
      </c>
      <c r="B412" s="245">
        <v>41102</v>
      </c>
      <c r="C412" s="126">
        <v>103.2</v>
      </c>
      <c r="D412" s="126">
        <v>103.4</v>
      </c>
      <c r="E412" s="126">
        <v>103.3</v>
      </c>
      <c r="G412" s="321">
        <v>0.7873</v>
      </c>
      <c r="H412" s="123">
        <f t="shared" si="24"/>
        <v>368.25136081296876</v>
      </c>
      <c r="I412" s="123">
        <f t="shared" si="25"/>
        <v>368.9650262409009</v>
      </c>
      <c r="J412" s="123">
        <f t="shared" si="26"/>
        <v>368.60819352693477</v>
      </c>
      <c r="K412" s="123"/>
      <c r="L412" s="176">
        <f t="shared" si="27"/>
        <v>368.60819352693483</v>
      </c>
      <c r="M412" s="432">
        <f>AVERAGE(L412:L415)</f>
        <v>392.93229019562085</v>
      </c>
      <c r="N412" s="433">
        <f>(MAX(L412:L415)-MIN(L412:L415))/(2*M412)</f>
        <v>6.9925836234296906E-2</v>
      </c>
    </row>
    <row r="413" spans="1:14" ht="21.75" customHeight="1">
      <c r="A413" t="s">
        <v>518</v>
      </c>
      <c r="B413" s="245">
        <v>41102</v>
      </c>
      <c r="C413" s="126">
        <v>104.4</v>
      </c>
      <c r="D413" s="126">
        <v>104.2</v>
      </c>
      <c r="E413" s="126">
        <v>103.9</v>
      </c>
      <c r="G413" s="321">
        <v>0.7873</v>
      </c>
      <c r="H413" s="123">
        <f t="shared" si="24"/>
        <v>372.53335338056144</v>
      </c>
      <c r="I413" s="123">
        <f t="shared" si="25"/>
        <v>371.81968795262935</v>
      </c>
      <c r="J413" s="123">
        <f t="shared" si="26"/>
        <v>370.74918981073114</v>
      </c>
      <c r="K413" s="123"/>
      <c r="L413" s="176">
        <f t="shared" si="27"/>
        <v>371.70074371464062</v>
      </c>
      <c r="M413" s="432"/>
      <c r="N413" s="433"/>
    </row>
    <row r="414" spans="1:14" ht="21.75" customHeight="1">
      <c r="A414" t="s">
        <v>519</v>
      </c>
      <c r="B414" s="245">
        <v>41102</v>
      </c>
      <c r="C414" s="126">
        <v>112.1</v>
      </c>
      <c r="D414" s="126">
        <v>112</v>
      </c>
      <c r="E414" s="126">
        <v>118.8</v>
      </c>
      <c r="G414" s="321">
        <v>0.7873</v>
      </c>
      <c r="H414" s="123">
        <f t="shared" si="24"/>
        <v>400.00947235594765</v>
      </c>
      <c r="I414" s="123">
        <f t="shared" si="25"/>
        <v>399.65263964198158</v>
      </c>
      <c r="J414" s="123">
        <f t="shared" si="26"/>
        <v>423.91726419167327</v>
      </c>
      <c r="K414" s="123"/>
      <c r="L414" s="176">
        <f t="shared" si="27"/>
        <v>407.85979206320081</v>
      </c>
      <c r="M414" s="432"/>
      <c r="N414" s="433"/>
    </row>
    <row r="415" spans="1:14" ht="21.75" customHeight="1">
      <c r="A415" t="s">
        <v>520</v>
      </c>
      <c r="B415" s="245">
        <v>41102</v>
      </c>
      <c r="C415" s="126">
        <v>118.2</v>
      </c>
      <c r="D415" s="126">
        <v>119</v>
      </c>
      <c r="E415" s="126">
        <v>118.9</v>
      </c>
      <c r="G415" s="321">
        <v>0.7873</v>
      </c>
      <c r="H415" s="123">
        <f t="shared" si="24"/>
        <v>421.77626790787707</v>
      </c>
      <c r="I415" s="123">
        <f t="shared" si="25"/>
        <v>424.63092961960541</v>
      </c>
      <c r="J415" s="123">
        <f t="shared" si="26"/>
        <v>424.27409690563945</v>
      </c>
      <c r="K415" s="123"/>
      <c r="L415" s="176">
        <f t="shared" si="27"/>
        <v>423.56043147770725</v>
      </c>
      <c r="M415" s="432"/>
      <c r="N415" s="433"/>
    </row>
    <row r="416" spans="1:14" ht="21.75" customHeight="1">
      <c r="A416" t="s">
        <v>521</v>
      </c>
      <c r="B416" s="245">
        <v>41103</v>
      </c>
      <c r="C416" s="126">
        <v>102.8</v>
      </c>
      <c r="D416" s="126">
        <v>102.9</v>
      </c>
      <c r="E416" s="126">
        <v>102.8</v>
      </c>
      <c r="G416" s="321">
        <v>0.7873</v>
      </c>
      <c r="H416" s="123">
        <f t="shared" si="24"/>
        <v>366.82402995710453</v>
      </c>
      <c r="I416" s="123">
        <f t="shared" si="25"/>
        <v>367.1808626710706</v>
      </c>
      <c r="J416" s="123">
        <f t="shared" si="26"/>
        <v>366.82402995710453</v>
      </c>
      <c r="K416" s="123"/>
      <c r="L416" s="176">
        <f t="shared" si="27"/>
        <v>366.94297419509326</v>
      </c>
      <c r="M416" s="432">
        <f>AVERAGE(L416:L418)</f>
        <v>366.58614148112719</v>
      </c>
      <c r="N416" s="433">
        <f>(MAX(L416:L418)-MIN(L416:L418))/(2*M416)</f>
        <v>1.2978585334199411E-3</v>
      </c>
    </row>
    <row r="417" spans="1:14" ht="21.75" customHeight="1">
      <c r="A417" t="s">
        <v>522</v>
      </c>
      <c r="B417" s="245">
        <v>41103</v>
      </c>
      <c r="C417" s="126">
        <v>102.7</v>
      </c>
      <c r="D417" s="126">
        <v>102.8</v>
      </c>
      <c r="E417" s="126">
        <v>102.9</v>
      </c>
      <c r="G417" s="321">
        <v>0.7873</v>
      </c>
      <c r="H417" s="123">
        <f t="shared" si="24"/>
        <v>366.46719724313846</v>
      </c>
      <c r="I417" s="123">
        <f t="shared" si="25"/>
        <v>366.82402995710453</v>
      </c>
      <c r="J417" s="123">
        <f t="shared" si="26"/>
        <v>367.1808626710706</v>
      </c>
      <c r="K417" s="123"/>
      <c r="L417" s="176">
        <f t="shared" si="27"/>
        <v>366.82402995710453</v>
      </c>
      <c r="M417" s="432"/>
      <c r="N417" s="433"/>
    </row>
    <row r="418" spans="1:14" ht="21.75" customHeight="1">
      <c r="A418" t="s">
        <v>523</v>
      </c>
      <c r="B418" s="245">
        <v>41103</v>
      </c>
      <c r="C418" s="126">
        <v>102.1</v>
      </c>
      <c r="D418" s="126">
        <v>102.9</v>
      </c>
      <c r="E418" s="126">
        <v>102.7</v>
      </c>
      <c r="G418" s="321">
        <v>0.7873</v>
      </c>
      <c r="H418" s="123">
        <f t="shared" si="24"/>
        <v>364.32620095934215</v>
      </c>
      <c r="I418" s="123">
        <f t="shared" si="25"/>
        <v>367.1808626710706</v>
      </c>
      <c r="J418" s="123">
        <f t="shared" si="26"/>
        <v>366.46719724313846</v>
      </c>
      <c r="K418" s="123"/>
      <c r="L418" s="176">
        <f t="shared" si="27"/>
        <v>365.99142029118372</v>
      </c>
      <c r="M418" s="432"/>
      <c r="N418" s="433"/>
    </row>
    <row r="419" spans="1:14" ht="21.75" customHeight="1">
      <c r="A419" t="s">
        <v>528</v>
      </c>
      <c r="B419" s="245">
        <v>41113</v>
      </c>
      <c r="C419" s="126">
        <v>107.3</v>
      </c>
      <c r="D419" s="126">
        <v>107.7</v>
      </c>
      <c r="E419" s="126">
        <v>107.4</v>
      </c>
      <c r="G419" s="321">
        <v>0.7873</v>
      </c>
      <c r="H419" s="123">
        <f t="shared" si="24"/>
        <v>382.88150208557698</v>
      </c>
      <c r="I419" s="123">
        <f t="shared" si="25"/>
        <v>384.30883294144127</v>
      </c>
      <c r="J419" s="123">
        <f t="shared" si="26"/>
        <v>383.23833479954311</v>
      </c>
      <c r="K419" s="123"/>
      <c r="L419" s="176">
        <f t="shared" si="27"/>
        <v>383.47622327552045</v>
      </c>
      <c r="M419" s="432">
        <f>AVERAGE(L419:L422)</f>
        <v>377.55874743558337</v>
      </c>
      <c r="N419" s="433">
        <f>(MAX(L419:L422)-MIN(L419:L422))/(2*M419)</f>
        <v>8.0333937150507975E-2</v>
      </c>
    </row>
    <row r="420" spans="1:14" ht="21.75" customHeight="1">
      <c r="A420" t="s">
        <v>533</v>
      </c>
      <c r="B420" s="245">
        <v>41113</v>
      </c>
      <c r="C420" s="126">
        <v>116.1</v>
      </c>
      <c r="D420" s="126">
        <v>116.6</v>
      </c>
      <c r="E420" s="126">
        <v>116.5</v>
      </c>
      <c r="G420" s="321">
        <v>0.7873</v>
      </c>
      <c r="H420" s="123">
        <f t="shared" si="24"/>
        <v>414.28278091458986</v>
      </c>
      <c r="I420" s="123">
        <f t="shared" si="25"/>
        <v>416.06694448442016</v>
      </c>
      <c r="J420" s="123">
        <f t="shared" si="26"/>
        <v>415.71011177045409</v>
      </c>
      <c r="K420" s="123"/>
      <c r="L420" s="176">
        <f t="shared" si="27"/>
        <v>415.35327905648802</v>
      </c>
      <c r="M420" s="432"/>
      <c r="N420" s="433"/>
    </row>
    <row r="421" spans="1:14" ht="21.75" customHeight="1">
      <c r="A421" t="s">
        <v>532</v>
      </c>
      <c r="B421" s="245">
        <v>41113</v>
      </c>
      <c r="C421" s="126">
        <v>99.9</v>
      </c>
      <c r="D421" s="126">
        <v>99.5</v>
      </c>
      <c r="E421" s="126">
        <v>98.8</v>
      </c>
      <c r="G421" s="321">
        <v>0.7873</v>
      </c>
      <c r="H421" s="123">
        <f t="shared" si="24"/>
        <v>356.47588125208893</v>
      </c>
      <c r="I421" s="123">
        <f t="shared" si="25"/>
        <v>355.0485503962247</v>
      </c>
      <c r="J421" s="123">
        <f t="shared" si="26"/>
        <v>352.55072139846231</v>
      </c>
      <c r="K421" s="123"/>
      <c r="L421" s="176">
        <f t="shared" si="27"/>
        <v>354.69171768225868</v>
      </c>
      <c r="M421" s="432"/>
      <c r="N421" s="433"/>
    </row>
    <row r="422" spans="1:14" ht="21.75" customHeight="1">
      <c r="A422" t="s">
        <v>534</v>
      </c>
      <c r="B422" s="245">
        <v>41113</v>
      </c>
      <c r="C422" s="126">
        <v>99.5</v>
      </c>
      <c r="D422" s="126">
        <v>99.7</v>
      </c>
      <c r="E422" s="126">
        <v>100.7</v>
      </c>
      <c r="G422" s="321">
        <v>0.7873</v>
      </c>
      <c r="H422" s="123">
        <f t="shared" si="24"/>
        <v>355.0485503962247</v>
      </c>
      <c r="I422" s="123">
        <f t="shared" si="25"/>
        <v>355.76221582415684</v>
      </c>
      <c r="J422" s="123">
        <f t="shared" si="26"/>
        <v>359.33054296381738</v>
      </c>
      <c r="K422" s="123"/>
      <c r="L422" s="176">
        <f t="shared" si="27"/>
        <v>356.71376972806632</v>
      </c>
      <c r="M422" s="432"/>
      <c r="N422" s="433" t="e">
        <f>(MAX(L422:L424)-MIN(L422:L424))/(2*M422)</f>
        <v>#DIV/0!</v>
      </c>
    </row>
    <row r="423" spans="1:14" ht="21.75" customHeight="1">
      <c r="A423" t="s">
        <v>539</v>
      </c>
      <c r="B423" s="245">
        <v>41114</v>
      </c>
      <c r="C423" s="126">
        <v>110.7</v>
      </c>
      <c r="D423" s="126">
        <v>110.9</v>
      </c>
      <c r="E423" s="126">
        <v>111</v>
      </c>
      <c r="G423" s="321">
        <v>0.7873</v>
      </c>
      <c r="H423" s="123">
        <f t="shared" si="24"/>
        <v>395.01381436042288</v>
      </c>
      <c r="I423" s="123">
        <f t="shared" si="25"/>
        <v>395.72747978835503</v>
      </c>
      <c r="J423" s="123">
        <f t="shared" si="26"/>
        <v>396.08431250232104</v>
      </c>
      <c r="K423" s="123"/>
      <c r="L423" s="176">
        <f t="shared" si="27"/>
        <v>395.6085355503663</v>
      </c>
      <c r="M423" s="432">
        <f>AVERAGE(L423:L425)</f>
        <v>396.16360866098012</v>
      </c>
      <c r="N423" s="433">
        <f>(MAX(L423:L425)-MIN(L423:L425))/(2*M423)</f>
        <v>1.351080864691814E-3</v>
      </c>
    </row>
    <row r="424" spans="1:14" ht="21.75" customHeight="1">
      <c r="A424" t="s">
        <v>540</v>
      </c>
      <c r="B424" s="245">
        <v>41114</v>
      </c>
      <c r="C424" s="126">
        <v>111</v>
      </c>
      <c r="D424" s="126">
        <v>111.1</v>
      </c>
      <c r="E424" s="126">
        <v>111</v>
      </c>
      <c r="G424" s="321">
        <v>0.7873</v>
      </c>
      <c r="H424" s="123">
        <f t="shared" si="24"/>
        <v>396.08431250232104</v>
      </c>
      <c r="I424" s="123">
        <f t="shared" si="25"/>
        <v>396.44114521628711</v>
      </c>
      <c r="J424" s="123">
        <f t="shared" si="26"/>
        <v>396.08431250232104</v>
      </c>
      <c r="K424" s="123"/>
      <c r="L424" s="176">
        <f t="shared" si="27"/>
        <v>396.20325674030966</v>
      </c>
      <c r="M424" s="432"/>
      <c r="N424" s="433"/>
    </row>
    <row r="425" spans="1:14" ht="21.75" customHeight="1">
      <c r="A425" t="s">
        <v>541</v>
      </c>
      <c r="B425" s="245">
        <v>41114</v>
      </c>
      <c r="C425" s="126">
        <v>111.2</v>
      </c>
      <c r="D425" s="126">
        <v>111.3</v>
      </c>
      <c r="E425" s="126">
        <v>111</v>
      </c>
      <c r="G425" s="321">
        <v>0.7873</v>
      </c>
      <c r="H425" s="123">
        <f t="shared" si="24"/>
        <v>396.79797793025313</v>
      </c>
      <c r="I425" s="123">
        <f t="shared" si="25"/>
        <v>397.1548106442192</v>
      </c>
      <c r="J425" s="123">
        <f t="shared" si="26"/>
        <v>396.08431250232104</v>
      </c>
      <c r="K425" s="123"/>
      <c r="L425" s="176">
        <f t="shared" si="27"/>
        <v>396.67903369226451</v>
      </c>
      <c r="M425" s="432"/>
      <c r="N425" s="433"/>
    </row>
    <row r="426" spans="1:14" ht="21.75" customHeight="1">
      <c r="A426" t="s">
        <v>542</v>
      </c>
      <c r="B426" s="245">
        <v>41114</v>
      </c>
      <c r="C426" s="126">
        <v>123.3</v>
      </c>
      <c r="D426" s="126">
        <v>122.8</v>
      </c>
      <c r="E426" s="126">
        <v>123.4</v>
      </c>
      <c r="G426" s="321">
        <v>0.7873</v>
      </c>
      <c r="H426" s="123">
        <f t="shared" si="24"/>
        <v>439.97473632014584</v>
      </c>
      <c r="I426" s="123">
        <f t="shared" si="25"/>
        <v>438.19057275031554</v>
      </c>
      <c r="J426" s="123">
        <f t="shared" si="26"/>
        <v>440.33156903411191</v>
      </c>
      <c r="K426" s="123"/>
      <c r="L426" s="176">
        <f t="shared" si="27"/>
        <v>439.49895936819104</v>
      </c>
      <c r="M426" s="432">
        <f>AVERAGE(L426:L429)</f>
        <v>424.95802627407431</v>
      </c>
      <c r="N426" s="433">
        <f>(MAX(L426:L429)-MIN(L426:L429))/(2*M426)</f>
        <v>3.2467986844867291E-2</v>
      </c>
    </row>
    <row r="427" spans="1:14" ht="21.75" customHeight="1">
      <c r="A427" t="s">
        <v>543</v>
      </c>
      <c r="B427" s="245">
        <v>41114</v>
      </c>
      <c r="C427" s="126">
        <v>116.8</v>
      </c>
      <c r="D427" s="126">
        <v>116.4</v>
      </c>
      <c r="E427" s="126">
        <v>116.2</v>
      </c>
      <c r="G427" s="321">
        <v>0.7873</v>
      </c>
      <c r="H427" s="123">
        <f t="shared" si="24"/>
        <v>416.78060991235225</v>
      </c>
      <c r="I427" s="123">
        <f t="shared" si="25"/>
        <v>415.35327905648802</v>
      </c>
      <c r="J427" s="123">
        <f t="shared" si="26"/>
        <v>414.63961362855594</v>
      </c>
      <c r="K427" s="123"/>
      <c r="L427" s="176">
        <f t="shared" si="27"/>
        <v>415.59116753246536</v>
      </c>
      <c r="M427" s="432"/>
      <c r="N427" s="433"/>
    </row>
    <row r="428" spans="1:14" ht="21.75" customHeight="1">
      <c r="A428" t="s">
        <v>544</v>
      </c>
      <c r="B428" s="245">
        <v>41114</v>
      </c>
      <c r="C428" s="126">
        <v>121.4</v>
      </c>
      <c r="D428" s="126">
        <v>121.4</v>
      </c>
      <c r="E428" s="126">
        <v>121.1</v>
      </c>
      <c r="G428" s="321">
        <v>0.7873</v>
      </c>
      <c r="H428" s="123">
        <f t="shared" si="24"/>
        <v>433.19491475479077</v>
      </c>
      <c r="I428" s="123">
        <f t="shared" si="25"/>
        <v>433.19491475479077</v>
      </c>
      <c r="J428" s="123">
        <f t="shared" si="26"/>
        <v>432.12441661289262</v>
      </c>
      <c r="K428" s="123"/>
      <c r="L428" s="176">
        <f t="shared" si="27"/>
        <v>432.8380820408247</v>
      </c>
      <c r="M428" s="432"/>
      <c r="N428" s="433"/>
    </row>
    <row r="429" spans="1:14" ht="21.75" customHeight="1">
      <c r="A429" t="s">
        <v>547</v>
      </c>
      <c r="B429" s="245">
        <v>41114</v>
      </c>
      <c r="C429" s="126">
        <v>115.5</v>
      </c>
      <c r="D429" s="126">
        <v>115.3</v>
      </c>
      <c r="E429" s="126">
        <v>115.5</v>
      </c>
      <c r="G429" s="321">
        <v>0.7873</v>
      </c>
      <c r="H429" s="123">
        <f t="shared" si="24"/>
        <v>412.14178463079355</v>
      </c>
      <c r="I429" s="123">
        <f t="shared" si="25"/>
        <v>411.42811920286141</v>
      </c>
      <c r="J429" s="123">
        <f t="shared" si="26"/>
        <v>412.14178463079355</v>
      </c>
      <c r="K429" s="123"/>
      <c r="L429" s="176">
        <f t="shared" si="27"/>
        <v>411.90389615481621</v>
      </c>
      <c r="M429" s="432"/>
      <c r="N429" s="433" t="e">
        <f>(MAX(L429:L431)-MIN(L429:L431))/(2*M429)</f>
        <v>#DIV/0!</v>
      </c>
    </row>
    <row r="430" spans="1:14" ht="21.75" customHeight="1">
      <c r="A430" t="s">
        <v>535</v>
      </c>
      <c r="B430" s="245">
        <v>41113</v>
      </c>
      <c r="C430" s="126">
        <v>242.8</v>
      </c>
      <c r="D430" s="126">
        <v>236.4</v>
      </c>
      <c r="E430" s="126">
        <v>236.2</v>
      </c>
      <c r="G430" s="321">
        <v>0.7873</v>
      </c>
      <c r="H430" s="123">
        <f t="shared" si="24"/>
        <v>866.38982950958155</v>
      </c>
      <c r="I430" s="123">
        <f t="shared" si="25"/>
        <v>843.55253581575414</v>
      </c>
      <c r="J430" s="123">
        <f t="shared" si="26"/>
        <v>842.83887038782177</v>
      </c>
      <c r="K430" s="123"/>
      <c r="L430" s="176">
        <f t="shared" si="27"/>
        <v>850.92707857105245</v>
      </c>
      <c r="M430" s="227"/>
      <c r="N430" s="275"/>
    </row>
    <row r="431" spans="1:14" ht="21.75" customHeight="1">
      <c r="A431" t="s">
        <v>536</v>
      </c>
      <c r="B431" s="245">
        <v>41113</v>
      </c>
      <c r="C431" s="126">
        <v>238.7</v>
      </c>
      <c r="D431" s="126">
        <v>240.9</v>
      </c>
      <c r="E431" s="126">
        <v>238.1</v>
      </c>
      <c r="G431" s="321">
        <v>0.7873</v>
      </c>
      <c r="H431" s="123">
        <f t="shared" si="24"/>
        <v>851.75968823697326</v>
      </c>
      <c r="I431" s="123">
        <f t="shared" si="25"/>
        <v>859.61000794422648</v>
      </c>
      <c r="J431" s="123">
        <f t="shared" si="26"/>
        <v>849.61869195317684</v>
      </c>
      <c r="K431" s="123"/>
      <c r="L431" s="176">
        <f t="shared" si="27"/>
        <v>853.66279604479223</v>
      </c>
      <c r="M431" s="227"/>
      <c r="N431" s="275"/>
    </row>
    <row r="432" spans="1:14" ht="21.75" customHeight="1">
      <c r="A432" t="s">
        <v>550</v>
      </c>
      <c r="B432" s="245">
        <v>41121</v>
      </c>
      <c r="C432" s="126">
        <v>121.5</v>
      </c>
      <c r="D432" s="126">
        <v>121.4</v>
      </c>
      <c r="E432" s="126">
        <v>121.3</v>
      </c>
      <c r="G432" s="321">
        <v>0.7873</v>
      </c>
      <c r="H432" s="123">
        <f t="shared" si="24"/>
        <v>433.55174746875684</v>
      </c>
      <c r="I432" s="123">
        <f t="shared" si="25"/>
        <v>433.19491475479077</v>
      </c>
      <c r="J432" s="123">
        <f t="shared" si="26"/>
        <v>432.8380820408247</v>
      </c>
      <c r="K432" s="123"/>
      <c r="L432" s="176">
        <f t="shared" si="27"/>
        <v>433.19491475479077</v>
      </c>
      <c r="M432" s="227"/>
      <c r="N432" s="275"/>
    </row>
    <row r="433" spans="1:15" ht="21.75" customHeight="1">
      <c r="A433" t="s">
        <v>556</v>
      </c>
      <c r="B433" s="245">
        <v>41121</v>
      </c>
      <c r="C433" s="126">
        <v>105.1</v>
      </c>
      <c r="D433" s="126">
        <v>104.9</v>
      </c>
      <c r="E433" s="126">
        <v>105</v>
      </c>
      <c r="G433" s="321">
        <v>0.7873</v>
      </c>
      <c r="H433" s="123">
        <f t="shared" si="24"/>
        <v>375.03118237832382</v>
      </c>
      <c r="I433" s="123">
        <f t="shared" si="25"/>
        <v>374.31751695039173</v>
      </c>
      <c r="J433" s="123">
        <f t="shared" si="26"/>
        <v>374.67434966435775</v>
      </c>
      <c r="K433" s="123"/>
      <c r="L433" s="176">
        <f t="shared" si="27"/>
        <v>374.67434966435781</v>
      </c>
      <c r="M433" s="227"/>
      <c r="N433" s="275"/>
    </row>
    <row r="434" spans="1:15" ht="21.75" customHeight="1">
      <c r="A434" t="s">
        <v>563</v>
      </c>
      <c r="B434" s="245">
        <v>41121</v>
      </c>
      <c r="C434" s="126">
        <v>108.4</v>
      </c>
      <c r="D434" s="126">
        <v>108.3</v>
      </c>
      <c r="E434" s="126">
        <v>108.2</v>
      </c>
      <c r="G434" s="321">
        <v>0.7873</v>
      </c>
      <c r="H434" s="123">
        <f t="shared" si="24"/>
        <v>386.80666193920365</v>
      </c>
      <c r="I434" s="123">
        <f t="shared" si="25"/>
        <v>386.44982922523758</v>
      </c>
      <c r="J434" s="123">
        <f t="shared" si="26"/>
        <v>386.09299651127151</v>
      </c>
      <c r="K434" s="123"/>
      <c r="L434" s="176">
        <f t="shared" si="27"/>
        <v>386.44982922523758</v>
      </c>
      <c r="M434" s="432">
        <f>AVERAGE(L434:L436)</f>
        <v>385.02249836937335</v>
      </c>
      <c r="N434" s="433">
        <f>(MAX(L434:L436)-MIN(L434:L436))/(2*M434)</f>
        <v>3.0892801977140216E-3</v>
      </c>
    </row>
    <row r="435" spans="1:15" ht="21.75" customHeight="1">
      <c r="A435" t="s">
        <v>565</v>
      </c>
      <c r="B435" s="245">
        <v>41121</v>
      </c>
      <c r="C435" s="126">
        <v>107.8</v>
      </c>
      <c r="D435" s="126">
        <v>107.5</v>
      </c>
      <c r="E435" s="126">
        <v>107.6</v>
      </c>
      <c r="G435" s="321">
        <v>0.7873</v>
      </c>
      <c r="H435" s="123">
        <f t="shared" si="24"/>
        <v>384.66566565540728</v>
      </c>
      <c r="I435" s="123">
        <f t="shared" si="25"/>
        <v>383.59516751350913</v>
      </c>
      <c r="J435" s="123">
        <f t="shared" si="26"/>
        <v>383.95200022747514</v>
      </c>
      <c r="K435" s="123"/>
      <c r="L435" s="176">
        <f t="shared" si="27"/>
        <v>384.07094446546381</v>
      </c>
      <c r="M435" s="432"/>
      <c r="N435" s="433"/>
    </row>
    <row r="436" spans="1:15" ht="21.75" customHeight="1">
      <c r="A436" t="s">
        <v>566</v>
      </c>
      <c r="B436" s="245">
        <v>41121</v>
      </c>
      <c r="C436" s="126">
        <v>107.4</v>
      </c>
      <c r="D436" s="126">
        <v>107.8</v>
      </c>
      <c r="E436" s="126">
        <v>108.1</v>
      </c>
      <c r="G436" s="321">
        <v>0.7873</v>
      </c>
      <c r="H436" s="123">
        <f t="shared" si="24"/>
        <v>383.23833479954311</v>
      </c>
      <c r="I436" s="123">
        <f t="shared" si="25"/>
        <v>384.66566565540728</v>
      </c>
      <c r="J436" s="123">
        <f t="shared" si="26"/>
        <v>385.73616379730544</v>
      </c>
      <c r="K436" s="123"/>
      <c r="L436" s="176">
        <f t="shared" si="27"/>
        <v>384.54672141741861</v>
      </c>
      <c r="M436" s="432"/>
      <c r="N436" s="433"/>
    </row>
    <row r="437" spans="1:15" ht="21.75" customHeight="1">
      <c r="A437" t="s">
        <v>567</v>
      </c>
      <c r="B437" s="245">
        <v>41121</v>
      </c>
      <c r="C437" s="126">
        <v>110.2</v>
      </c>
      <c r="D437" s="126">
        <v>110.2</v>
      </c>
      <c r="E437" s="126">
        <v>110.2</v>
      </c>
      <c r="G437" s="321">
        <v>0.7873</v>
      </c>
      <c r="H437" s="123">
        <f t="shared" si="24"/>
        <v>393.22965079059264</v>
      </c>
      <c r="I437" s="123">
        <f t="shared" si="25"/>
        <v>393.22965079059264</v>
      </c>
      <c r="J437" s="123">
        <f t="shared" si="26"/>
        <v>393.22965079059264</v>
      </c>
      <c r="K437" s="123"/>
      <c r="L437" s="176">
        <f t="shared" si="27"/>
        <v>393.22965079059264</v>
      </c>
      <c r="M437" s="227"/>
      <c r="N437" s="275"/>
    </row>
    <row r="438" spans="1:15" ht="21.75" customHeight="1">
      <c r="A438" t="s">
        <v>568</v>
      </c>
      <c r="B438" s="245">
        <v>41121</v>
      </c>
      <c r="C438" s="126">
        <v>99.6</v>
      </c>
      <c r="D438" s="126">
        <v>100</v>
      </c>
      <c r="E438" s="126">
        <v>99.8</v>
      </c>
      <c r="G438" s="321">
        <v>0.7873</v>
      </c>
      <c r="H438" s="123">
        <f t="shared" si="24"/>
        <v>355.40538311019071</v>
      </c>
      <c r="I438" s="123">
        <f t="shared" si="25"/>
        <v>356.832713966055</v>
      </c>
      <c r="J438" s="123">
        <f t="shared" si="26"/>
        <v>356.11904853812291</v>
      </c>
      <c r="K438" s="123"/>
      <c r="L438" s="176">
        <f t="shared" si="27"/>
        <v>356.11904853812285</v>
      </c>
      <c r="M438" s="432">
        <f>AVERAGE(L438:L440)</f>
        <v>355.56397542750898</v>
      </c>
      <c r="N438" s="433">
        <f>(MAX(L438:L440)-MIN(L438:L440))/(2*M438)</f>
        <v>1.8398751115075319E-3</v>
      </c>
    </row>
    <row r="439" spans="1:15" ht="21.75" customHeight="1">
      <c r="A439" t="s">
        <v>569</v>
      </c>
      <c r="B439" s="245">
        <v>41121</v>
      </c>
      <c r="C439" s="126">
        <v>99.2</v>
      </c>
      <c r="D439" s="126">
        <v>99.6</v>
      </c>
      <c r="E439" s="126">
        <v>99.5</v>
      </c>
      <c r="G439" s="321">
        <v>0.7873</v>
      </c>
      <c r="H439" s="123">
        <f t="shared" si="24"/>
        <v>353.97805225432654</v>
      </c>
      <c r="I439" s="123">
        <f t="shared" si="25"/>
        <v>355.40538311019071</v>
      </c>
      <c r="J439" s="123">
        <f t="shared" si="26"/>
        <v>355.0485503962247</v>
      </c>
      <c r="K439" s="123"/>
      <c r="L439" s="176">
        <f t="shared" si="27"/>
        <v>354.81066192024736</v>
      </c>
      <c r="M439" s="432"/>
      <c r="N439" s="433"/>
    </row>
    <row r="440" spans="1:15" ht="21.75" customHeight="1">
      <c r="A440" t="s">
        <v>570</v>
      </c>
      <c r="B440" s="245">
        <v>41121</v>
      </c>
      <c r="C440" s="126">
        <v>99.7</v>
      </c>
      <c r="D440" s="126">
        <v>99.8</v>
      </c>
      <c r="E440" s="126">
        <v>99.6</v>
      </c>
      <c r="G440" s="321">
        <v>0.7873</v>
      </c>
      <c r="H440" s="123">
        <f t="shared" si="24"/>
        <v>355.76221582415684</v>
      </c>
      <c r="I440" s="123">
        <f t="shared" si="25"/>
        <v>356.11904853812291</v>
      </c>
      <c r="J440" s="123">
        <f t="shared" si="26"/>
        <v>355.40538311019071</v>
      </c>
      <c r="K440" s="123"/>
      <c r="L440" s="176">
        <f t="shared" si="27"/>
        <v>355.76221582415684</v>
      </c>
      <c r="M440" s="432"/>
      <c r="N440" s="433"/>
    </row>
    <row r="441" spans="1:15" ht="21.75" customHeight="1">
      <c r="A441" t="s">
        <v>571</v>
      </c>
      <c r="B441" s="245">
        <v>41121</v>
      </c>
      <c r="C441" s="126">
        <v>100.4</v>
      </c>
      <c r="D441" s="126">
        <v>100.4</v>
      </c>
      <c r="E441" s="126">
        <v>100.4</v>
      </c>
      <c r="G441" s="321">
        <v>0.7873</v>
      </c>
      <c r="H441" s="123">
        <f t="shared" si="24"/>
        <v>358.26004482191922</v>
      </c>
      <c r="I441" s="123">
        <f t="shared" si="25"/>
        <v>358.26004482191922</v>
      </c>
      <c r="J441" s="123">
        <f t="shared" si="26"/>
        <v>358.26004482191922</v>
      </c>
      <c r="K441" s="123"/>
      <c r="L441" s="176">
        <f t="shared" si="27"/>
        <v>358.26004482191928</v>
      </c>
      <c r="M441" s="227"/>
      <c r="N441" s="275"/>
    </row>
    <row r="442" spans="1:15" ht="21.75" customHeight="1">
      <c r="A442" t="s">
        <v>723</v>
      </c>
      <c r="B442" s="245">
        <v>41159</v>
      </c>
      <c r="C442" s="126">
        <v>181</v>
      </c>
      <c r="D442" s="126">
        <v>181.85</v>
      </c>
      <c r="E442" s="126">
        <v>181.99</v>
      </c>
      <c r="G442" s="321">
        <v>0.7873</v>
      </c>
      <c r="H442" s="123">
        <f t="shared" si="24"/>
        <v>645.86721227855958</v>
      </c>
      <c r="I442" s="123">
        <f t="shared" si="25"/>
        <v>648.90029034727092</v>
      </c>
      <c r="J442" s="123">
        <f t="shared" si="26"/>
        <v>649.39985614682348</v>
      </c>
      <c r="K442" s="123"/>
      <c r="L442" s="176">
        <f t="shared" si="27"/>
        <v>648.0557862575514</v>
      </c>
      <c r="M442" s="227"/>
      <c r="N442" s="275"/>
    </row>
    <row r="443" spans="1:15" ht="21.75" customHeight="1">
      <c r="A443" t="s">
        <v>727</v>
      </c>
      <c r="B443" s="245">
        <v>41159</v>
      </c>
      <c r="C443" s="126">
        <v>278.58999999999997</v>
      </c>
      <c r="D443" s="126">
        <v>308.70999999999998</v>
      </c>
      <c r="E443" s="126">
        <v>274.27999999999997</v>
      </c>
      <c r="G443" s="321">
        <v>0.7873</v>
      </c>
      <c r="H443" s="123">
        <f t="shared" si="24"/>
        <v>994.10025783803246</v>
      </c>
      <c r="I443" s="123">
        <f t="shared" si="25"/>
        <v>1101.5782712846083</v>
      </c>
      <c r="J443" s="123">
        <f t="shared" si="26"/>
        <v>978.72076786609546</v>
      </c>
      <c r="K443" s="123"/>
      <c r="L443" s="176">
        <f t="shared" si="27"/>
        <v>1024.799765662912</v>
      </c>
      <c r="M443" s="227"/>
      <c r="N443" s="275"/>
    </row>
    <row r="444" spans="1:15" ht="21.75" customHeight="1">
      <c r="A444" t="s">
        <v>728</v>
      </c>
      <c r="B444" s="245">
        <v>41159</v>
      </c>
      <c r="C444" s="126">
        <v>207.38</v>
      </c>
      <c r="D444" s="126">
        <v>206.89</v>
      </c>
      <c r="E444" s="126">
        <v>209.51</v>
      </c>
      <c r="G444" s="321">
        <v>0.7873</v>
      </c>
      <c r="H444" s="123">
        <f t="shared" si="24"/>
        <v>739.99968222280484</v>
      </c>
      <c r="I444" s="123">
        <f t="shared" si="25"/>
        <v>738.25120192437123</v>
      </c>
      <c r="J444" s="123">
        <f t="shared" si="26"/>
        <v>747.60021903028178</v>
      </c>
      <c r="K444" s="123"/>
      <c r="L444" s="176">
        <f t="shared" si="27"/>
        <v>741.95036772581932</v>
      </c>
      <c r="M444" s="227"/>
      <c r="N444" s="275"/>
    </row>
    <row r="445" spans="1:15" ht="21.75" customHeight="1">
      <c r="A445" t="s">
        <v>1841</v>
      </c>
      <c r="B445" s="245">
        <v>41159</v>
      </c>
      <c r="C445" s="126">
        <v>180.67</v>
      </c>
      <c r="D445" s="126">
        <v>180.75</v>
      </c>
      <c r="E445" s="126">
        <v>187</v>
      </c>
      <c r="G445" s="321">
        <v>0.7873</v>
      </c>
      <c r="H445" s="123">
        <f t="shared" si="24"/>
        <v>644.68966432247146</v>
      </c>
      <c r="I445" s="123">
        <f t="shared" si="25"/>
        <v>644.97513049364443</v>
      </c>
      <c r="J445" s="123">
        <f t="shared" si="26"/>
        <v>667.27717511652281</v>
      </c>
      <c r="K445" s="123"/>
      <c r="L445" s="176">
        <f t="shared" si="27"/>
        <v>652.31398997754616</v>
      </c>
      <c r="M445" s="227">
        <f>AVERAGE(L442:L445)</f>
        <v>766.7799774059572</v>
      </c>
      <c r="N445" s="275"/>
      <c r="O445" s="123">
        <f>(100*STDEV(L442:L445))/M445</f>
        <v>23.132811504087137</v>
      </c>
    </row>
    <row r="446" spans="1:15" ht="21.75" customHeight="1">
      <c r="A446" t="s">
        <v>1842</v>
      </c>
      <c r="B446" s="245">
        <v>41160</v>
      </c>
      <c r="C446" s="126">
        <v>369.04</v>
      </c>
      <c r="D446" s="126">
        <v>394.6</v>
      </c>
      <c r="E446" s="126">
        <v>365.74</v>
      </c>
      <c r="G446" s="321">
        <v>0.7873</v>
      </c>
      <c r="H446" s="123">
        <f t="shared" si="24"/>
        <v>1316.8554476203294</v>
      </c>
      <c r="I446" s="123">
        <f t="shared" si="25"/>
        <v>1408.0618893100532</v>
      </c>
      <c r="J446" s="123">
        <f t="shared" si="26"/>
        <v>1305.0799680594496</v>
      </c>
      <c r="K446" s="123"/>
      <c r="L446" s="176">
        <f t="shared" si="27"/>
        <v>1343.3324349966108</v>
      </c>
      <c r="M446" s="227"/>
      <c r="N446" s="275"/>
    </row>
    <row r="447" spans="1:15" ht="21.75" customHeight="1">
      <c r="A447" t="s">
        <v>1843</v>
      </c>
      <c r="B447" s="245">
        <v>41160</v>
      </c>
      <c r="C447" s="126">
        <v>153.19999999999999</v>
      </c>
      <c r="D447" s="126">
        <v>154.66999999999999</v>
      </c>
      <c r="E447" s="126">
        <v>152.69</v>
      </c>
      <c r="G447" s="321">
        <v>0.7873</v>
      </c>
      <c r="H447" s="123">
        <f t="shared" si="24"/>
        <v>546.66771779599628</v>
      </c>
      <c r="I447" s="123">
        <f t="shared" si="25"/>
        <v>551.91315869129721</v>
      </c>
      <c r="J447" s="123">
        <f t="shared" si="26"/>
        <v>544.84787095476929</v>
      </c>
      <c r="K447" s="123"/>
      <c r="L447" s="176">
        <f t="shared" si="27"/>
        <v>547.80958248068771</v>
      </c>
      <c r="M447" s="227"/>
      <c r="N447" s="275"/>
    </row>
    <row r="448" spans="1:15" ht="21.75" customHeight="1">
      <c r="A448" t="s">
        <v>1844</v>
      </c>
      <c r="B448" s="245">
        <v>41160</v>
      </c>
      <c r="C448" s="126">
        <v>442.68</v>
      </c>
      <c r="D448" s="126">
        <v>458.28</v>
      </c>
      <c r="E448" s="126">
        <v>466.15</v>
      </c>
      <c r="G448" s="321">
        <v>0.7873</v>
      </c>
      <c r="H448" s="123">
        <f t="shared" si="24"/>
        <v>1579.6270581849324</v>
      </c>
      <c r="I448" s="123">
        <f t="shared" si="25"/>
        <v>1635.2929615636367</v>
      </c>
      <c r="J448" s="123">
        <f t="shared" si="26"/>
        <v>1663.3756961527654</v>
      </c>
      <c r="K448" s="123"/>
      <c r="L448" s="176">
        <f t="shared" si="27"/>
        <v>1626.0985719671114</v>
      </c>
      <c r="M448" s="227"/>
      <c r="N448" s="275"/>
    </row>
    <row r="449" spans="1:14" ht="21.75" customHeight="1">
      <c r="A449" t="s">
        <v>1845</v>
      </c>
      <c r="B449" s="245">
        <v>41160</v>
      </c>
      <c r="C449" s="126">
        <v>217.21</v>
      </c>
      <c r="D449" s="126">
        <v>221.96</v>
      </c>
      <c r="E449" s="126">
        <v>233.43</v>
      </c>
      <c r="G449" s="321">
        <v>0.7873</v>
      </c>
      <c r="H449" s="123">
        <f t="shared" si="24"/>
        <v>775.07633800566805</v>
      </c>
      <c r="I449" s="123">
        <f t="shared" si="25"/>
        <v>792.02589191905565</v>
      </c>
      <c r="J449" s="123">
        <f t="shared" si="26"/>
        <v>832.9546042109622</v>
      </c>
      <c r="K449" s="123"/>
      <c r="L449" s="176">
        <f t="shared" si="27"/>
        <v>800.01894471189541</v>
      </c>
      <c r="M449" s="227">
        <f>AVERAGE(L446:L449)</f>
        <v>1079.3148835390764</v>
      </c>
      <c r="N449" s="275"/>
    </row>
    <row r="450" spans="1:14" ht="21.75" customHeight="1">
      <c r="A450" t="s">
        <v>1846</v>
      </c>
      <c r="B450" s="245">
        <v>41163</v>
      </c>
      <c r="C450" s="126">
        <v>345.21199999999999</v>
      </c>
      <c r="D450" s="126">
        <v>348.02</v>
      </c>
      <c r="E450" s="126">
        <v>345.79</v>
      </c>
      <c r="G450" s="321">
        <v>0.7873</v>
      </c>
      <c r="H450" s="123">
        <f t="shared" ref="H450:H513" si="28">(C450*(PI()/LN(2)))*$G450</f>
        <v>1231.8293485364977</v>
      </c>
      <c r="I450" s="123">
        <f t="shared" ref="I450:I513" si="29">(D450*(PI()/LN(2)))*$G450</f>
        <v>1241.8492111446644</v>
      </c>
      <c r="J450" s="123">
        <f t="shared" ref="J450:J513" si="30">(E450*(PI()/LN(2)))*$G450</f>
        <v>1233.8918416232216</v>
      </c>
      <c r="K450" s="123"/>
      <c r="L450" s="176">
        <f t="shared" ref="L450:L497" si="31">AVERAGE(H450:J450)</f>
        <v>1235.8568004347946</v>
      </c>
      <c r="M450" s="227"/>
      <c r="N450" s="275"/>
    </row>
    <row r="451" spans="1:14" ht="21.75" customHeight="1">
      <c r="A451" t="s">
        <v>1847</v>
      </c>
      <c r="B451" s="245">
        <v>41163</v>
      </c>
      <c r="C451" s="126">
        <v>458.3</v>
      </c>
      <c r="D451" s="126">
        <v>499.42</v>
      </c>
      <c r="E451" s="126">
        <v>499.13</v>
      </c>
      <c r="G451" s="321">
        <v>0.7873</v>
      </c>
      <c r="H451" s="123">
        <f t="shared" si="28"/>
        <v>1635.3643281064301</v>
      </c>
      <c r="I451" s="123">
        <f t="shared" si="29"/>
        <v>1782.0939400892719</v>
      </c>
      <c r="J451" s="123">
        <f t="shared" si="30"/>
        <v>1781.0591252187701</v>
      </c>
      <c r="K451" s="123"/>
      <c r="L451" s="176">
        <f t="shared" si="31"/>
        <v>1732.8391311381572</v>
      </c>
      <c r="M451" s="227"/>
      <c r="N451" s="275"/>
    </row>
    <row r="452" spans="1:14" ht="21.75" customHeight="1">
      <c r="A452" t="s">
        <v>1848</v>
      </c>
      <c r="B452" s="245">
        <v>41163</v>
      </c>
      <c r="C452" s="126">
        <v>615.89</v>
      </c>
      <c r="D452" s="126">
        <v>651.23</v>
      </c>
      <c r="E452" s="126">
        <v>585.41</v>
      </c>
      <c r="G452" s="321">
        <v>0.7873</v>
      </c>
      <c r="H452" s="123">
        <f t="shared" si="28"/>
        <v>2197.697002045536</v>
      </c>
      <c r="I452" s="123">
        <f t="shared" si="29"/>
        <v>2323.8016831611399</v>
      </c>
      <c r="J452" s="123">
        <f t="shared" si="30"/>
        <v>2088.9343908286824</v>
      </c>
      <c r="K452" s="123"/>
      <c r="L452" s="176">
        <f t="shared" si="31"/>
        <v>2203.4776920117861</v>
      </c>
      <c r="M452" s="227"/>
      <c r="N452" s="275"/>
    </row>
    <row r="453" spans="1:14" ht="21.75" customHeight="1">
      <c r="A453" t="s">
        <v>1849</v>
      </c>
      <c r="B453" s="245">
        <v>41163</v>
      </c>
      <c r="C453" s="126">
        <v>440.09</v>
      </c>
      <c r="D453" s="126">
        <v>414.79</v>
      </c>
      <c r="E453" s="126">
        <v>430.88</v>
      </c>
      <c r="G453" s="321">
        <v>0.7873</v>
      </c>
      <c r="H453" s="123">
        <f t="shared" si="28"/>
        <v>1570.3850908932113</v>
      </c>
      <c r="I453" s="123">
        <f t="shared" si="29"/>
        <v>1480.1064142597997</v>
      </c>
      <c r="J453" s="123">
        <f t="shared" si="30"/>
        <v>1537.5207979369379</v>
      </c>
      <c r="K453" s="123"/>
      <c r="L453" s="176">
        <f t="shared" si="31"/>
        <v>1529.3374343633161</v>
      </c>
      <c r="M453" s="227">
        <f>AVERAGE(L450:L453)</f>
        <v>1675.3777644870136</v>
      </c>
      <c r="N453" s="275"/>
    </row>
    <row r="454" spans="1:14" ht="21.75" customHeight="1">
      <c r="A454" t="s">
        <v>1850</v>
      </c>
      <c r="B454" s="245">
        <v>41164</v>
      </c>
      <c r="C454" s="126">
        <v>239.89</v>
      </c>
      <c r="D454" s="126">
        <v>249.28</v>
      </c>
      <c r="E454" s="126">
        <v>234.02</v>
      </c>
      <c r="G454" s="321">
        <v>0.7873</v>
      </c>
      <c r="H454" s="123">
        <f t="shared" si="28"/>
        <v>856.00599753316931</v>
      </c>
      <c r="I454" s="123">
        <f t="shared" si="29"/>
        <v>889.51258937458192</v>
      </c>
      <c r="J454" s="123">
        <f t="shared" si="30"/>
        <v>835.05991722336205</v>
      </c>
      <c r="K454" s="123"/>
      <c r="L454" s="176">
        <f t="shared" si="31"/>
        <v>860.19283471037113</v>
      </c>
      <c r="M454" s="227"/>
      <c r="N454" s="275"/>
    </row>
    <row r="455" spans="1:14" ht="21.75" customHeight="1">
      <c r="A455" t="s">
        <v>1851</v>
      </c>
      <c r="B455" s="245">
        <v>41164</v>
      </c>
      <c r="C455" s="126">
        <v>220.02</v>
      </c>
      <c r="D455" s="126">
        <v>218.54</v>
      </c>
      <c r="E455" s="126">
        <v>222.15</v>
      </c>
      <c r="G455" s="321">
        <v>0.7873</v>
      </c>
      <c r="H455" s="123">
        <f t="shared" si="28"/>
        <v>785.10333726811427</v>
      </c>
      <c r="I455" s="123">
        <f t="shared" si="29"/>
        <v>779.82221310141654</v>
      </c>
      <c r="J455" s="123">
        <f t="shared" si="30"/>
        <v>792.70387407559122</v>
      </c>
      <c r="K455" s="123"/>
      <c r="L455" s="176">
        <f t="shared" si="31"/>
        <v>785.87647481504064</v>
      </c>
      <c r="M455" s="227"/>
      <c r="N455" s="275"/>
    </row>
    <row r="456" spans="1:14" ht="21.75" customHeight="1">
      <c r="A456" t="s">
        <v>1852</v>
      </c>
      <c r="B456" s="245">
        <v>41164</v>
      </c>
      <c r="C456" s="126">
        <v>217.98</v>
      </c>
      <c r="D456" s="126">
        <v>216.55</v>
      </c>
      <c r="E456" s="126">
        <v>220.4</v>
      </c>
      <c r="G456" s="321">
        <v>0.7873</v>
      </c>
      <c r="H456" s="123">
        <f t="shared" si="28"/>
        <v>777.82394990320665</v>
      </c>
      <c r="I456" s="123">
        <f t="shared" si="29"/>
        <v>772.72124209349215</v>
      </c>
      <c r="J456" s="123">
        <f t="shared" si="30"/>
        <v>786.45930158118529</v>
      </c>
      <c r="K456" s="123"/>
      <c r="L456" s="176">
        <f t="shared" si="31"/>
        <v>779.00149785929477</v>
      </c>
      <c r="M456" s="227"/>
      <c r="N456" s="275"/>
    </row>
    <row r="457" spans="1:14" ht="21.75" customHeight="1">
      <c r="A457" t="s">
        <v>1853</v>
      </c>
      <c r="B457" s="245">
        <v>41164</v>
      </c>
      <c r="C457" s="126">
        <v>217.76</v>
      </c>
      <c r="D457" s="126">
        <v>219.38</v>
      </c>
      <c r="E457" s="126">
        <v>217.63</v>
      </c>
      <c r="G457" s="321">
        <v>0.7873</v>
      </c>
      <c r="H457" s="123">
        <f t="shared" si="28"/>
        <v>777.03891793248135</v>
      </c>
      <c r="I457" s="123">
        <f t="shared" si="29"/>
        <v>782.81960789873142</v>
      </c>
      <c r="J457" s="123">
        <f t="shared" si="30"/>
        <v>776.57503540432549</v>
      </c>
      <c r="K457" s="123"/>
      <c r="L457" s="176">
        <f t="shared" si="31"/>
        <v>778.81118707851272</v>
      </c>
      <c r="M457" s="227">
        <f>AVERAGE(L454:L457)</f>
        <v>800.9704986158049</v>
      </c>
      <c r="N457" s="275"/>
    </row>
    <row r="458" spans="1:14" ht="21.75" customHeight="1">
      <c r="A458" t="s">
        <v>1854</v>
      </c>
      <c r="B458" s="245">
        <v>41165</v>
      </c>
      <c r="C458" s="126">
        <v>120.86</v>
      </c>
      <c r="D458" s="126">
        <v>121.58</v>
      </c>
      <c r="E458" s="126">
        <v>120.82</v>
      </c>
      <c r="G458" s="321">
        <v>0.7873</v>
      </c>
      <c r="H458" s="123">
        <f t="shared" si="28"/>
        <v>431.2680180993741</v>
      </c>
      <c r="I458" s="123">
        <f t="shared" si="29"/>
        <v>433.8372136399297</v>
      </c>
      <c r="J458" s="123">
        <f t="shared" si="30"/>
        <v>431.12528501378762</v>
      </c>
      <c r="K458" s="123"/>
      <c r="L458" s="176">
        <f t="shared" si="31"/>
        <v>432.07683891769716</v>
      </c>
      <c r="M458" s="227"/>
      <c r="N458" s="275"/>
    </row>
    <row r="459" spans="1:14" ht="21.75" customHeight="1">
      <c r="A459" t="s">
        <v>1855</v>
      </c>
      <c r="B459" s="245">
        <v>41165</v>
      </c>
      <c r="C459" s="126">
        <v>121.28</v>
      </c>
      <c r="D459" s="126">
        <v>121.44</v>
      </c>
      <c r="E459" s="126">
        <v>122.73</v>
      </c>
      <c r="G459" s="321">
        <v>0.7873</v>
      </c>
      <c r="H459" s="123">
        <f t="shared" si="28"/>
        <v>432.76671549803149</v>
      </c>
      <c r="I459" s="123">
        <f t="shared" si="29"/>
        <v>433.33764784037714</v>
      </c>
      <c r="J459" s="123">
        <f t="shared" si="30"/>
        <v>437.94078985053932</v>
      </c>
      <c r="K459" s="123"/>
      <c r="L459" s="176">
        <f t="shared" si="31"/>
        <v>434.68171772964934</v>
      </c>
      <c r="M459" s="227"/>
      <c r="N459" s="275"/>
    </row>
    <row r="460" spans="1:14" ht="21.75" customHeight="1">
      <c r="A460" t="s">
        <v>1856</v>
      </c>
      <c r="B460" s="245">
        <v>41165</v>
      </c>
      <c r="C460" s="126">
        <v>122.48</v>
      </c>
      <c r="D460" s="126">
        <v>121.89</v>
      </c>
      <c r="E460" s="126">
        <v>121.9</v>
      </c>
      <c r="G460" s="321">
        <v>0.7873</v>
      </c>
      <c r="H460" s="123">
        <f t="shared" si="28"/>
        <v>437.04870806562417</v>
      </c>
      <c r="I460" s="123">
        <f t="shared" si="29"/>
        <v>434.94339505322438</v>
      </c>
      <c r="J460" s="123">
        <f t="shared" si="30"/>
        <v>434.97907832462107</v>
      </c>
      <c r="K460" s="123"/>
      <c r="L460" s="176">
        <f t="shared" si="31"/>
        <v>435.65706048115652</v>
      </c>
      <c r="M460" s="227"/>
      <c r="N460" s="275"/>
    </row>
    <row r="461" spans="1:14" ht="21.75" customHeight="1">
      <c r="A461" t="s">
        <v>1857</v>
      </c>
      <c r="B461" s="245">
        <v>41165</v>
      </c>
      <c r="C461" s="126">
        <v>127.39</v>
      </c>
      <c r="D461" s="126">
        <v>125.73</v>
      </c>
      <c r="E461" s="126">
        <v>125.22</v>
      </c>
      <c r="G461" s="321">
        <v>0.7873</v>
      </c>
      <c r="H461" s="123">
        <f t="shared" si="28"/>
        <v>454.56919432135749</v>
      </c>
      <c r="I461" s="123">
        <f t="shared" si="29"/>
        <v>448.64577126952094</v>
      </c>
      <c r="J461" s="123">
        <f t="shared" si="30"/>
        <v>446.82592442829412</v>
      </c>
      <c r="K461" s="123"/>
      <c r="L461" s="176">
        <f t="shared" si="31"/>
        <v>450.01363000639077</v>
      </c>
      <c r="M461" s="227">
        <f>AVERAGE(L458:L461)</f>
        <v>438.10731178372345</v>
      </c>
      <c r="N461" s="275"/>
    </row>
    <row r="462" spans="1:14" ht="21.75" customHeight="1">
      <c r="A462" t="s">
        <v>1858</v>
      </c>
      <c r="B462" s="245">
        <v>41165</v>
      </c>
      <c r="C462" s="126">
        <v>139.41999999999999</v>
      </c>
      <c r="D462" s="126">
        <v>140.28</v>
      </c>
      <c r="E462" s="126">
        <v>139.66999999999999</v>
      </c>
      <c r="G462" s="321">
        <v>0.7873</v>
      </c>
      <c r="H462" s="123">
        <f t="shared" si="28"/>
        <v>497.49616981147386</v>
      </c>
      <c r="I462" s="123">
        <f t="shared" si="29"/>
        <v>500.56493115158196</v>
      </c>
      <c r="J462" s="123">
        <f t="shared" si="30"/>
        <v>498.38825159638895</v>
      </c>
      <c r="K462" s="123"/>
      <c r="L462" s="176">
        <f t="shared" si="31"/>
        <v>498.8164508531483</v>
      </c>
      <c r="M462" s="227"/>
      <c r="N462" s="275"/>
    </row>
    <row r="463" spans="1:14" ht="21.75" customHeight="1">
      <c r="A463" t="s">
        <v>1859</v>
      </c>
      <c r="B463" s="245">
        <v>41165</v>
      </c>
      <c r="C463" s="126">
        <v>137.30000000000001</v>
      </c>
      <c r="D463" s="126">
        <v>139.35</v>
      </c>
      <c r="E463" s="126">
        <v>138.44</v>
      </c>
      <c r="G463" s="321">
        <v>0.7873</v>
      </c>
      <c r="H463" s="123">
        <f t="shared" si="28"/>
        <v>489.93131627539356</v>
      </c>
      <c r="I463" s="123">
        <f t="shared" si="29"/>
        <v>497.24638691169764</v>
      </c>
      <c r="J463" s="123">
        <f t="shared" si="30"/>
        <v>493.99920921460654</v>
      </c>
      <c r="K463" s="123"/>
      <c r="L463" s="176">
        <f t="shared" si="31"/>
        <v>493.72563746723262</v>
      </c>
      <c r="M463" s="227"/>
      <c r="N463" s="275"/>
    </row>
    <row r="464" spans="1:14" ht="21.75" customHeight="1">
      <c r="A464" t="s">
        <v>1860</v>
      </c>
      <c r="B464" s="245">
        <v>41165</v>
      </c>
      <c r="C464" s="126">
        <v>135.22999999999999</v>
      </c>
      <c r="D464" s="126">
        <v>136.86000000000001</v>
      </c>
      <c r="E464" s="126">
        <v>136.01</v>
      </c>
      <c r="G464" s="321">
        <v>0.7873</v>
      </c>
      <c r="H464" s="123">
        <f t="shared" si="28"/>
        <v>482.54487909629609</v>
      </c>
      <c r="I464" s="123">
        <f t="shared" si="29"/>
        <v>488.36125233394296</v>
      </c>
      <c r="J464" s="123">
        <f t="shared" si="30"/>
        <v>485.32817426523138</v>
      </c>
      <c r="K464" s="123"/>
      <c r="L464" s="176">
        <f t="shared" si="31"/>
        <v>485.41143523182353</v>
      </c>
      <c r="M464" s="227"/>
      <c r="N464" s="275"/>
    </row>
    <row r="465" spans="1:14" ht="21.75" customHeight="1">
      <c r="A465" t="s">
        <v>1861</v>
      </c>
      <c r="B465" s="245">
        <v>41165</v>
      </c>
      <c r="C465" s="126">
        <v>142.75</v>
      </c>
      <c r="D465" s="126">
        <v>139.44999999999999</v>
      </c>
      <c r="E465" s="126">
        <v>141.41999999999999</v>
      </c>
      <c r="G465" s="321">
        <v>0.7873</v>
      </c>
      <c r="H465" s="123">
        <f t="shared" si="28"/>
        <v>509.37869918654354</v>
      </c>
      <c r="I465" s="123">
        <f t="shared" si="29"/>
        <v>497.60321962566366</v>
      </c>
      <c r="J465" s="123">
        <f t="shared" si="30"/>
        <v>504.63282409079494</v>
      </c>
      <c r="K465" s="123"/>
      <c r="L465" s="176">
        <f t="shared" si="31"/>
        <v>503.87158096766734</v>
      </c>
      <c r="M465" s="227">
        <f>AVERAGE(L462:L465)</f>
        <v>495.45627612996793</v>
      </c>
      <c r="N465" s="275"/>
    </row>
    <row r="466" spans="1:14" ht="21.75" customHeight="1">
      <c r="A466" t="s">
        <v>1862</v>
      </c>
      <c r="B466" s="245">
        <v>41166</v>
      </c>
      <c r="C466" s="126">
        <v>155.87</v>
      </c>
      <c r="D466" s="126">
        <v>151.99</v>
      </c>
      <c r="E466" s="126">
        <v>152.54</v>
      </c>
      <c r="G466" s="321">
        <v>0.7873</v>
      </c>
      <c r="H466" s="123">
        <f t="shared" si="28"/>
        <v>556.19515125888995</v>
      </c>
      <c r="I466" s="123">
        <f t="shared" si="29"/>
        <v>542.35004195700697</v>
      </c>
      <c r="J466" s="123">
        <f t="shared" si="30"/>
        <v>544.31262188382027</v>
      </c>
      <c r="K466" s="123"/>
      <c r="L466" s="176">
        <f t="shared" si="31"/>
        <v>547.61927169990577</v>
      </c>
      <c r="M466" s="227"/>
      <c r="N466" s="275"/>
    </row>
    <row r="467" spans="1:14" ht="21.75" customHeight="1">
      <c r="A467" t="s">
        <v>1863</v>
      </c>
      <c r="B467" s="245">
        <v>41166</v>
      </c>
      <c r="C467" s="126">
        <v>151.79</v>
      </c>
      <c r="D467" s="126">
        <v>151.99</v>
      </c>
      <c r="E467" s="126">
        <v>152.54</v>
      </c>
      <c r="G467" s="321">
        <v>0.7873</v>
      </c>
      <c r="H467" s="123">
        <f t="shared" si="28"/>
        <v>541.63637652907482</v>
      </c>
      <c r="I467" s="123">
        <f t="shared" si="29"/>
        <v>542.35004195700697</v>
      </c>
      <c r="J467" s="123">
        <f t="shared" si="30"/>
        <v>544.31262188382027</v>
      </c>
      <c r="K467" s="123"/>
      <c r="L467" s="176">
        <f t="shared" si="31"/>
        <v>542.76634678996732</v>
      </c>
      <c r="M467" s="227"/>
      <c r="N467" s="275"/>
    </row>
    <row r="468" spans="1:14" ht="21.75" customHeight="1">
      <c r="A468" t="s">
        <v>1864</v>
      </c>
      <c r="B468" s="245">
        <v>41166</v>
      </c>
      <c r="C468" s="126">
        <v>155.21</v>
      </c>
      <c r="D468" s="126">
        <v>155.22</v>
      </c>
      <c r="E468" s="126">
        <v>154.51</v>
      </c>
      <c r="G468" s="321">
        <v>0.7873</v>
      </c>
      <c r="H468" s="123">
        <f t="shared" si="28"/>
        <v>553.84005534671405</v>
      </c>
      <c r="I468" s="123">
        <f t="shared" si="29"/>
        <v>553.87573861811052</v>
      </c>
      <c r="J468" s="123">
        <f t="shared" si="30"/>
        <v>551.3422263489515</v>
      </c>
      <c r="K468" s="123"/>
      <c r="L468" s="176">
        <f t="shared" si="31"/>
        <v>553.01934010459206</v>
      </c>
      <c r="M468" s="227"/>
      <c r="N468" s="275"/>
    </row>
    <row r="469" spans="1:14" ht="21.75" customHeight="1">
      <c r="A469" t="s">
        <v>1865</v>
      </c>
      <c r="B469" s="245">
        <v>41166</v>
      </c>
      <c r="C469" s="126">
        <v>152.13999999999999</v>
      </c>
      <c r="D469" s="126">
        <v>151.28</v>
      </c>
      <c r="E469" s="126">
        <v>152.51</v>
      </c>
      <c r="G469" s="321">
        <v>0.7873</v>
      </c>
      <c r="H469" s="123">
        <f t="shared" si="28"/>
        <v>542.88529102795599</v>
      </c>
      <c r="I469" s="123">
        <f t="shared" si="29"/>
        <v>539.81652968784795</v>
      </c>
      <c r="J469" s="123">
        <f t="shared" si="30"/>
        <v>544.20557206963042</v>
      </c>
      <c r="K469" s="123"/>
      <c r="L469" s="176">
        <f t="shared" si="31"/>
        <v>542.30246426181145</v>
      </c>
      <c r="M469" s="227">
        <f>AVERAGE(L466:L469)</f>
        <v>546.42685571406923</v>
      </c>
      <c r="N469" s="275"/>
    </row>
    <row r="470" spans="1:14" ht="21.75" customHeight="1">
      <c r="A470" t="s">
        <v>1866</v>
      </c>
      <c r="B470" s="245">
        <v>41166</v>
      </c>
      <c r="C470" s="126">
        <v>177.86</v>
      </c>
      <c r="D470" s="126">
        <v>187.31</v>
      </c>
      <c r="E470" s="126">
        <v>186.62</v>
      </c>
      <c r="G470" s="321">
        <v>0.7873</v>
      </c>
      <c r="H470" s="123">
        <f t="shared" si="28"/>
        <v>634.66266506002546</v>
      </c>
      <c r="I470" s="123">
        <f t="shared" si="29"/>
        <v>668.38335652981755</v>
      </c>
      <c r="J470" s="123">
        <f t="shared" si="30"/>
        <v>665.9212108034518</v>
      </c>
      <c r="K470" s="123"/>
      <c r="L470" s="176">
        <f t="shared" si="31"/>
        <v>656.32241079776486</v>
      </c>
      <c r="M470" s="227"/>
      <c r="N470" s="275"/>
    </row>
    <row r="471" spans="1:14" ht="21.75" customHeight="1">
      <c r="A471" t="s">
        <v>1867</v>
      </c>
      <c r="B471" s="245">
        <v>41166</v>
      </c>
      <c r="C471" s="126">
        <v>181.45</v>
      </c>
      <c r="D471" s="126">
        <v>182.28</v>
      </c>
      <c r="E471" s="126">
        <v>181.99</v>
      </c>
      <c r="G471" s="321">
        <v>0.7873</v>
      </c>
      <c r="H471" s="123">
        <f t="shared" si="28"/>
        <v>647.47295949140675</v>
      </c>
      <c r="I471" s="123">
        <f t="shared" si="29"/>
        <v>650.43467101732506</v>
      </c>
      <c r="J471" s="123">
        <f t="shared" si="30"/>
        <v>649.39985614682348</v>
      </c>
      <c r="K471" s="123"/>
      <c r="L471" s="176">
        <f t="shared" si="31"/>
        <v>649.1024955518518</v>
      </c>
      <c r="M471" s="227"/>
      <c r="N471" s="275"/>
    </row>
    <row r="472" spans="1:14" ht="21.75" customHeight="1">
      <c r="A472" t="s">
        <v>1868</v>
      </c>
      <c r="B472" s="245">
        <v>41166</v>
      </c>
      <c r="C472" s="126">
        <v>180.36</v>
      </c>
      <c r="D472" s="126">
        <v>182.34</v>
      </c>
      <c r="E472" s="126">
        <v>180.1</v>
      </c>
      <c r="G472" s="321">
        <v>0.7873</v>
      </c>
      <c r="H472" s="123">
        <f t="shared" si="28"/>
        <v>643.58348290917684</v>
      </c>
      <c r="I472" s="123">
        <f t="shared" si="29"/>
        <v>650.64877064570464</v>
      </c>
      <c r="J472" s="123">
        <f t="shared" si="30"/>
        <v>642.65571785286511</v>
      </c>
      <c r="K472" s="123"/>
      <c r="L472" s="176">
        <f t="shared" si="31"/>
        <v>645.62932380258223</v>
      </c>
      <c r="M472" s="227"/>
      <c r="N472" s="275"/>
    </row>
    <row r="473" spans="1:14" ht="21.75" customHeight="1">
      <c r="A473" t="s">
        <v>1869</v>
      </c>
      <c r="B473" s="245">
        <v>41166</v>
      </c>
      <c r="C473" s="126">
        <v>178.3</v>
      </c>
      <c r="D473" s="126">
        <v>181.15</v>
      </c>
      <c r="E473" s="126">
        <v>182.3</v>
      </c>
      <c r="G473" s="321">
        <v>0.7873</v>
      </c>
      <c r="H473" s="123">
        <f t="shared" si="28"/>
        <v>636.23272900147617</v>
      </c>
      <c r="I473" s="123">
        <f t="shared" si="29"/>
        <v>646.4024613495086</v>
      </c>
      <c r="J473" s="123">
        <f t="shared" si="30"/>
        <v>650.50603756011833</v>
      </c>
      <c r="K473" s="123"/>
      <c r="L473" s="176">
        <f t="shared" si="31"/>
        <v>644.38040930370107</v>
      </c>
      <c r="M473" s="227">
        <f>AVERAGE(L470:L473)</f>
        <v>648.85865986397505</v>
      </c>
      <c r="N473" s="275"/>
    </row>
    <row r="474" spans="1:14" ht="21.75" customHeight="1">
      <c r="A474" s="16" t="s">
        <v>1870</v>
      </c>
      <c r="B474" s="245">
        <v>41168</v>
      </c>
      <c r="C474" s="126">
        <v>197.08</v>
      </c>
      <c r="D474" s="126">
        <v>194.5</v>
      </c>
      <c r="E474" s="126">
        <v>192.93</v>
      </c>
      <c r="G474" s="321">
        <v>0.7873</v>
      </c>
      <c r="H474" s="123">
        <f t="shared" si="28"/>
        <v>703.24591268430129</v>
      </c>
      <c r="I474" s="123">
        <f t="shared" si="29"/>
        <v>694.03962866397706</v>
      </c>
      <c r="J474" s="123">
        <f t="shared" si="30"/>
        <v>688.43735505470988</v>
      </c>
      <c r="K474" s="123"/>
      <c r="L474" s="176">
        <f t="shared" si="31"/>
        <v>695.2409654676627</v>
      </c>
      <c r="M474" s="227"/>
      <c r="N474" s="275"/>
    </row>
    <row r="475" spans="1:14" ht="21.75" customHeight="1">
      <c r="A475" s="16" t="s">
        <v>1871</v>
      </c>
      <c r="B475" s="245">
        <v>41168</v>
      </c>
      <c r="C475" s="126">
        <v>160.22999999999999</v>
      </c>
      <c r="D475" s="126">
        <v>164.34</v>
      </c>
      <c r="E475" s="126">
        <v>164.24</v>
      </c>
      <c r="G475" s="321">
        <v>0.7873</v>
      </c>
      <c r="H475" s="123">
        <f t="shared" si="28"/>
        <v>571.75305758780985</v>
      </c>
      <c r="I475" s="123">
        <f t="shared" si="29"/>
        <v>586.41888213181483</v>
      </c>
      <c r="J475" s="123">
        <f t="shared" si="30"/>
        <v>586.0620494178487</v>
      </c>
      <c r="K475" s="123"/>
      <c r="L475" s="176">
        <f t="shared" si="31"/>
        <v>581.41132971249124</v>
      </c>
      <c r="M475" s="227"/>
      <c r="N475" s="275"/>
    </row>
    <row r="476" spans="1:14" ht="21.75" customHeight="1">
      <c r="A476" s="16" t="s">
        <v>1872</v>
      </c>
      <c r="B476" s="245">
        <v>41168</v>
      </c>
      <c r="C476" s="126">
        <v>309.26</v>
      </c>
      <c r="D476" s="126">
        <v>313.62</v>
      </c>
      <c r="E476" s="126">
        <v>308.25</v>
      </c>
      <c r="G476" s="321">
        <v>0.7873</v>
      </c>
      <c r="H476" s="123">
        <f t="shared" si="28"/>
        <v>1103.5408512114216</v>
      </c>
      <c r="I476" s="123">
        <f t="shared" si="29"/>
        <v>1119.0987575403417</v>
      </c>
      <c r="J476" s="123">
        <f t="shared" si="30"/>
        <v>1099.9368408003645</v>
      </c>
      <c r="K476" s="123"/>
      <c r="L476" s="176">
        <f t="shared" si="31"/>
        <v>1107.5254831840427</v>
      </c>
      <c r="M476" s="227"/>
      <c r="N476" s="275"/>
    </row>
    <row r="477" spans="1:14" ht="21.75" customHeight="1">
      <c r="A477" s="16" t="s">
        <v>1873</v>
      </c>
      <c r="B477" s="245">
        <v>41168</v>
      </c>
      <c r="C477" s="126">
        <v>227.29</v>
      </c>
      <c r="D477" s="126">
        <v>281.38</v>
      </c>
      <c r="E477" s="126">
        <v>268.06</v>
      </c>
      <c r="G477" s="321">
        <v>0.7873</v>
      </c>
      <c r="H477" s="123">
        <f t="shared" si="28"/>
        <v>811.04507557344641</v>
      </c>
      <c r="I477" s="123">
        <f t="shared" si="29"/>
        <v>1004.0558905576854</v>
      </c>
      <c r="J477" s="123">
        <f t="shared" si="30"/>
        <v>956.52577305740704</v>
      </c>
      <c r="K477" s="123"/>
      <c r="L477" s="176">
        <f t="shared" si="31"/>
        <v>923.87557972951299</v>
      </c>
      <c r="M477" s="227">
        <f>AVERAGE(L474:L477)</f>
        <v>827.01333952342736</v>
      </c>
      <c r="N477" s="275"/>
    </row>
    <row r="478" spans="1:14" ht="21.75" customHeight="1">
      <c r="A478" t="s">
        <v>1874</v>
      </c>
      <c r="B478" s="245">
        <v>41168</v>
      </c>
      <c r="C478" s="126">
        <v>165.85</v>
      </c>
      <c r="D478" s="126">
        <v>165.54</v>
      </c>
      <c r="E478" s="126">
        <v>166.87</v>
      </c>
      <c r="G478" s="321">
        <v>0.7873</v>
      </c>
      <c r="H478" s="123">
        <f t="shared" si="28"/>
        <v>591.80705611270218</v>
      </c>
      <c r="I478" s="123">
        <f t="shared" si="29"/>
        <v>590.70087469940734</v>
      </c>
      <c r="J478" s="123">
        <f t="shared" si="30"/>
        <v>595.44674979515594</v>
      </c>
      <c r="K478" s="123"/>
      <c r="L478" s="176">
        <f t="shared" si="31"/>
        <v>592.65156020242182</v>
      </c>
      <c r="M478" s="227"/>
      <c r="N478" s="275"/>
    </row>
    <row r="479" spans="1:14" ht="21.75" customHeight="1">
      <c r="A479" t="s">
        <v>1875</v>
      </c>
      <c r="B479" s="245">
        <v>41168</v>
      </c>
      <c r="C479" s="126">
        <v>160.55000000000001</v>
      </c>
      <c r="D479" s="126">
        <v>161.83000000000001</v>
      </c>
      <c r="E479" s="126">
        <v>161.58000000000001</v>
      </c>
      <c r="G479" s="321">
        <v>0.7873</v>
      </c>
      <c r="H479" s="123">
        <f t="shared" si="28"/>
        <v>572.89492227250128</v>
      </c>
      <c r="I479" s="123">
        <f t="shared" si="29"/>
        <v>577.46238101126687</v>
      </c>
      <c r="J479" s="123">
        <f t="shared" si="30"/>
        <v>576.57029922635172</v>
      </c>
      <c r="K479" s="123"/>
      <c r="L479" s="176">
        <f t="shared" si="31"/>
        <v>575.64253417003999</v>
      </c>
      <c r="M479" s="227"/>
      <c r="N479" s="275"/>
    </row>
    <row r="480" spans="1:14" ht="21.75" customHeight="1">
      <c r="A480" t="s">
        <v>1876</v>
      </c>
      <c r="B480" s="245">
        <v>41168</v>
      </c>
      <c r="C480" s="126">
        <v>160.62</v>
      </c>
      <c r="D480" s="126">
        <v>159.71</v>
      </c>
      <c r="E480" s="126">
        <v>160.21</v>
      </c>
      <c r="G480" s="321">
        <v>0.7873</v>
      </c>
      <c r="H480" s="123">
        <f t="shared" si="28"/>
        <v>573.14470517227755</v>
      </c>
      <c r="I480" s="123">
        <f t="shared" si="29"/>
        <v>569.89752747518651</v>
      </c>
      <c r="J480" s="123">
        <f t="shared" si="30"/>
        <v>571.68169104501669</v>
      </c>
      <c r="K480" s="123"/>
      <c r="L480" s="176">
        <f t="shared" si="31"/>
        <v>571.57464123082684</v>
      </c>
      <c r="M480" s="227"/>
      <c r="N480" s="275"/>
    </row>
    <row r="481" spans="1:14" ht="21.75" customHeight="1">
      <c r="A481" t="s">
        <v>1877</v>
      </c>
      <c r="B481" s="245">
        <v>41168</v>
      </c>
      <c r="C481" s="126">
        <v>208.39</v>
      </c>
      <c r="D481" s="126">
        <v>199.34</v>
      </c>
      <c r="E481" s="126">
        <v>211.28</v>
      </c>
      <c r="G481" s="321">
        <v>0.7873</v>
      </c>
      <c r="H481" s="123">
        <f t="shared" si="28"/>
        <v>743.6036926338619</v>
      </c>
      <c r="I481" s="123">
        <f t="shared" si="29"/>
        <v>711.31033201993398</v>
      </c>
      <c r="J481" s="123">
        <f t="shared" si="30"/>
        <v>753.91615806748098</v>
      </c>
      <c r="K481" s="123"/>
      <c r="L481" s="176">
        <f t="shared" si="31"/>
        <v>736.27672757375888</v>
      </c>
      <c r="M481" s="227">
        <f>AVERAGE(L478:L481)</f>
        <v>619.03636579426188</v>
      </c>
      <c r="N481" s="275"/>
    </row>
    <row r="482" spans="1:14" ht="21.75" customHeight="1">
      <c r="A482" t="s">
        <v>616</v>
      </c>
      <c r="B482" s="245">
        <v>41187</v>
      </c>
      <c r="C482" s="126">
        <v>124.6</v>
      </c>
      <c r="D482" s="126">
        <v>119.9</v>
      </c>
      <c r="E482" s="126">
        <v>118.2</v>
      </c>
      <c r="G482" s="321">
        <v>0.7873</v>
      </c>
      <c r="H482" s="123">
        <f t="shared" si="28"/>
        <v>444.61356160170448</v>
      </c>
      <c r="I482" s="123">
        <f t="shared" si="29"/>
        <v>427.84242404529994</v>
      </c>
      <c r="J482" s="123">
        <f t="shared" si="30"/>
        <v>421.77626790787707</v>
      </c>
      <c r="K482" s="123"/>
      <c r="L482" s="176">
        <f t="shared" si="31"/>
        <v>431.41075118496047</v>
      </c>
      <c r="M482" s="227"/>
      <c r="N482" s="275"/>
    </row>
    <row r="483" spans="1:14" ht="21.75" customHeight="1">
      <c r="A483" t="s">
        <v>653</v>
      </c>
      <c r="B483" s="245">
        <v>41187</v>
      </c>
      <c r="C483" s="126">
        <v>169</v>
      </c>
      <c r="D483" s="126">
        <v>165</v>
      </c>
      <c r="E483" s="126">
        <v>177</v>
      </c>
      <c r="G483" s="321">
        <v>0.7873</v>
      </c>
      <c r="H483" s="123">
        <f t="shared" si="28"/>
        <v>603.04728660263299</v>
      </c>
      <c r="I483" s="123">
        <f t="shared" si="29"/>
        <v>588.77397804399072</v>
      </c>
      <c r="J483" s="123">
        <f t="shared" si="30"/>
        <v>631.59390371991731</v>
      </c>
      <c r="K483" s="123"/>
      <c r="L483" s="176">
        <f t="shared" si="31"/>
        <v>607.8050561221803</v>
      </c>
      <c r="M483" s="227"/>
      <c r="N483" s="275"/>
    </row>
    <row r="484" spans="1:14" ht="21.75" customHeight="1">
      <c r="A484" t="s">
        <v>656</v>
      </c>
      <c r="B484" s="245">
        <v>41187</v>
      </c>
      <c r="C484" s="126">
        <v>176</v>
      </c>
      <c r="D484" s="126">
        <v>173</v>
      </c>
      <c r="E484" s="126">
        <v>170</v>
      </c>
      <c r="G484" s="321">
        <v>0.7873</v>
      </c>
      <c r="H484" s="123">
        <f t="shared" si="28"/>
        <v>628.02557658025671</v>
      </c>
      <c r="I484" s="123">
        <f t="shared" si="29"/>
        <v>617.32059516127515</v>
      </c>
      <c r="J484" s="123">
        <f t="shared" si="30"/>
        <v>606.61561374229348</v>
      </c>
      <c r="K484" s="123"/>
      <c r="L484" s="176">
        <f t="shared" si="31"/>
        <v>617.32059516127504</v>
      </c>
      <c r="M484" s="227"/>
      <c r="N484" s="275"/>
    </row>
    <row r="485" spans="1:14" ht="21.75" customHeight="1">
      <c r="A485" t="s">
        <v>669</v>
      </c>
      <c r="B485" s="245">
        <v>41187</v>
      </c>
      <c r="C485" s="126">
        <v>292</v>
      </c>
      <c r="D485" s="126">
        <v>297</v>
      </c>
      <c r="E485" s="126">
        <v>311</v>
      </c>
      <c r="G485" s="321">
        <v>0.7873</v>
      </c>
      <c r="H485" s="123">
        <f t="shared" si="28"/>
        <v>1041.9515247808806</v>
      </c>
      <c r="I485" s="123">
        <f t="shared" si="29"/>
        <v>1059.7931604791834</v>
      </c>
      <c r="J485" s="123">
        <f t="shared" si="30"/>
        <v>1109.749740434431</v>
      </c>
      <c r="K485" s="123"/>
      <c r="L485" s="176">
        <f t="shared" si="31"/>
        <v>1070.4981418981652</v>
      </c>
      <c r="M485" s="227"/>
      <c r="N485" s="275"/>
    </row>
    <row r="486" spans="1:14" ht="21.75" customHeight="1">
      <c r="A486" t="s">
        <v>673</v>
      </c>
      <c r="B486" s="245">
        <v>41187</v>
      </c>
      <c r="C486" s="126">
        <v>215</v>
      </c>
      <c r="D486" s="126">
        <v>250</v>
      </c>
      <c r="E486" s="126">
        <v>231</v>
      </c>
      <c r="G486" s="321">
        <v>0.7873</v>
      </c>
      <c r="H486" s="123">
        <f t="shared" si="28"/>
        <v>767.19033502701825</v>
      </c>
      <c r="I486" s="123">
        <f t="shared" si="29"/>
        <v>892.0817849151374</v>
      </c>
      <c r="J486" s="123">
        <f t="shared" si="30"/>
        <v>824.2835692615871</v>
      </c>
      <c r="K486" s="123"/>
      <c r="L486" s="176">
        <f t="shared" si="31"/>
        <v>827.8518964012477</v>
      </c>
      <c r="M486" s="227"/>
      <c r="N486" s="275"/>
    </row>
    <row r="487" spans="1:14" ht="21.75" customHeight="1">
      <c r="A487" t="s">
        <v>677</v>
      </c>
      <c r="B487" s="245">
        <v>41187</v>
      </c>
      <c r="C487" s="126">
        <v>50</v>
      </c>
      <c r="D487" s="126">
        <v>52</v>
      </c>
      <c r="E487" s="126">
        <v>47</v>
      </c>
      <c r="G487" s="321">
        <v>0.7873</v>
      </c>
      <c r="H487" s="123">
        <f t="shared" si="28"/>
        <v>178.4163569830275</v>
      </c>
      <c r="I487" s="123">
        <f t="shared" si="29"/>
        <v>185.5530112623486</v>
      </c>
      <c r="J487" s="123">
        <f t="shared" si="30"/>
        <v>167.71137556404585</v>
      </c>
      <c r="K487" s="123"/>
      <c r="L487" s="176">
        <f t="shared" si="31"/>
        <v>177.22691460314067</v>
      </c>
      <c r="M487" s="227"/>
      <c r="N487" s="275"/>
    </row>
    <row r="488" spans="1:14" ht="21.75" customHeight="1">
      <c r="A488" t="s">
        <v>683</v>
      </c>
      <c r="B488" s="245">
        <v>41187</v>
      </c>
      <c r="C488" s="126">
        <v>130</v>
      </c>
      <c r="D488" s="126">
        <v>124</v>
      </c>
      <c r="E488" s="126">
        <v>124</v>
      </c>
      <c r="G488" s="321">
        <v>0.7873</v>
      </c>
      <c r="H488" s="123">
        <f t="shared" si="28"/>
        <v>463.88252815587151</v>
      </c>
      <c r="I488" s="123">
        <f t="shared" si="29"/>
        <v>442.47256531790822</v>
      </c>
      <c r="J488" s="123">
        <f t="shared" si="30"/>
        <v>442.47256531790822</v>
      </c>
      <c r="K488" s="123"/>
      <c r="L488" s="176">
        <f t="shared" si="31"/>
        <v>449.60921959722936</v>
      </c>
      <c r="M488" s="227"/>
      <c r="N488" s="275"/>
    </row>
    <row r="489" spans="1:14" ht="21.75" customHeight="1">
      <c r="A489" t="s">
        <v>689</v>
      </c>
      <c r="B489" s="245">
        <v>41187</v>
      </c>
      <c r="C489" s="126">
        <v>115</v>
      </c>
      <c r="D489" s="126">
        <v>122</v>
      </c>
      <c r="E489" s="126">
        <v>119</v>
      </c>
      <c r="G489" s="321">
        <v>0.7873</v>
      </c>
      <c r="H489" s="123">
        <f t="shared" si="28"/>
        <v>410.35762106096325</v>
      </c>
      <c r="I489" s="123">
        <f t="shared" si="29"/>
        <v>435.33591103858708</v>
      </c>
      <c r="J489" s="123">
        <f t="shared" si="30"/>
        <v>424.63092961960541</v>
      </c>
      <c r="K489" s="123"/>
      <c r="L489" s="176">
        <f t="shared" si="31"/>
        <v>423.44148723971858</v>
      </c>
      <c r="M489" s="227"/>
      <c r="N489" s="275"/>
    </row>
    <row r="490" spans="1:14" ht="21.75" customHeight="1">
      <c r="A490" t="s">
        <v>700</v>
      </c>
      <c r="B490" s="245">
        <v>41187</v>
      </c>
      <c r="C490" s="126">
        <v>131</v>
      </c>
      <c r="D490" s="126">
        <v>132</v>
      </c>
      <c r="E490" s="126">
        <v>128</v>
      </c>
      <c r="G490" s="321">
        <v>0.7873</v>
      </c>
      <c r="H490" s="123">
        <f t="shared" si="28"/>
        <v>467.45085529553211</v>
      </c>
      <c r="I490" s="123">
        <f t="shared" si="29"/>
        <v>471.01918243519253</v>
      </c>
      <c r="J490" s="123">
        <f t="shared" si="30"/>
        <v>456.74587387655038</v>
      </c>
      <c r="K490" s="123"/>
      <c r="L490" s="176">
        <f t="shared" si="31"/>
        <v>465.07197053575834</v>
      </c>
      <c r="M490" s="227"/>
      <c r="N490" s="275"/>
    </row>
    <row r="491" spans="1:14" ht="21.75" customHeight="1">
      <c r="A491" t="s">
        <v>705</v>
      </c>
      <c r="B491" s="245">
        <v>41187</v>
      </c>
      <c r="C491" s="126">
        <v>112</v>
      </c>
      <c r="D491" s="126">
        <v>117</v>
      </c>
      <c r="E491" s="126">
        <v>108</v>
      </c>
      <c r="G491" s="321">
        <v>0.7873</v>
      </c>
      <c r="H491" s="123">
        <f t="shared" si="28"/>
        <v>399.65263964198158</v>
      </c>
      <c r="I491" s="123">
        <f t="shared" si="29"/>
        <v>417.49427534028439</v>
      </c>
      <c r="J491" s="123">
        <f t="shared" si="30"/>
        <v>385.37933108333937</v>
      </c>
      <c r="K491" s="123"/>
      <c r="L491" s="176">
        <f t="shared" si="31"/>
        <v>400.84208202186846</v>
      </c>
      <c r="M491" s="227"/>
      <c r="N491" s="275"/>
    </row>
    <row r="492" spans="1:14" ht="21.75" customHeight="1">
      <c r="A492" t="s">
        <v>710</v>
      </c>
      <c r="B492" s="245">
        <v>41187</v>
      </c>
      <c r="C492" s="126">
        <v>120</v>
      </c>
      <c r="D492" s="126">
        <v>127</v>
      </c>
      <c r="E492" s="126">
        <v>119</v>
      </c>
      <c r="G492" s="321">
        <v>0.7873</v>
      </c>
      <c r="H492" s="123">
        <f t="shared" si="28"/>
        <v>428.19925675926595</v>
      </c>
      <c r="I492" s="123">
        <f t="shared" si="29"/>
        <v>453.17754673688984</v>
      </c>
      <c r="J492" s="123">
        <f t="shared" si="30"/>
        <v>424.63092961960541</v>
      </c>
      <c r="K492" s="123"/>
      <c r="L492" s="176">
        <f t="shared" si="31"/>
        <v>435.33591103858708</v>
      </c>
      <c r="M492" s="227"/>
      <c r="N492" s="275"/>
    </row>
    <row r="493" spans="1:14" ht="21.75" customHeight="1">
      <c r="A493" t="s">
        <v>715</v>
      </c>
      <c r="B493" s="245">
        <v>41187</v>
      </c>
      <c r="C493" s="126">
        <v>136</v>
      </c>
      <c r="D493" s="126">
        <v>133</v>
      </c>
      <c r="E493" s="126">
        <v>134</v>
      </c>
      <c r="G493" s="321">
        <v>0.7873</v>
      </c>
      <c r="H493" s="123">
        <f t="shared" si="28"/>
        <v>485.2924909938348</v>
      </c>
      <c r="I493" s="123">
        <f t="shared" si="29"/>
        <v>474.58750957485313</v>
      </c>
      <c r="J493" s="123">
        <f t="shared" si="30"/>
        <v>478.15583671451367</v>
      </c>
      <c r="K493" s="123"/>
      <c r="L493" s="176">
        <f t="shared" si="31"/>
        <v>479.3452790944005</v>
      </c>
      <c r="M493" s="227"/>
      <c r="N493" s="275"/>
    </row>
    <row r="494" spans="1:14" ht="21.75" customHeight="1">
      <c r="A494" t="s">
        <v>770</v>
      </c>
      <c r="B494" s="245">
        <v>41197</v>
      </c>
      <c r="C494" s="126">
        <v>212.6</v>
      </c>
      <c r="D494" s="126">
        <v>214.1</v>
      </c>
      <c r="E494" s="126">
        <v>213.7</v>
      </c>
      <c r="G494" s="321">
        <v>0.7873</v>
      </c>
      <c r="H494" s="123">
        <f t="shared" si="28"/>
        <v>758.62634989183289</v>
      </c>
      <c r="I494" s="123">
        <f t="shared" si="29"/>
        <v>763.97884060132367</v>
      </c>
      <c r="J494" s="123">
        <f t="shared" si="30"/>
        <v>762.5515097454595</v>
      </c>
      <c r="K494" s="123"/>
      <c r="L494" s="176">
        <f t="shared" si="31"/>
        <v>761.71890007953868</v>
      </c>
      <c r="M494" s="227"/>
      <c r="N494" s="275"/>
    </row>
    <row r="495" spans="1:14" ht="21.75" customHeight="1">
      <c r="A495" t="s">
        <v>1878</v>
      </c>
      <c r="B495" s="245">
        <v>41197</v>
      </c>
      <c r="C495" s="126">
        <v>358.6</v>
      </c>
      <c r="D495" s="126">
        <v>361.3</v>
      </c>
      <c r="E495" s="126">
        <v>353.1</v>
      </c>
      <c r="G495" s="321">
        <v>0.7873</v>
      </c>
      <c r="H495" s="123">
        <f t="shared" si="28"/>
        <v>1279.6021122822733</v>
      </c>
      <c r="I495" s="123">
        <f t="shared" si="29"/>
        <v>1289.2365955593568</v>
      </c>
      <c r="J495" s="123">
        <f t="shared" si="30"/>
        <v>1259.9763130141403</v>
      </c>
      <c r="K495" s="123"/>
      <c r="L495" s="176">
        <f t="shared" si="31"/>
        <v>1276.2716736185901</v>
      </c>
      <c r="M495" s="227"/>
      <c r="N495" s="275"/>
    </row>
    <row r="496" spans="1:14" ht="21.75" customHeight="1">
      <c r="A496" t="s">
        <v>777</v>
      </c>
      <c r="B496" s="245">
        <v>41197</v>
      </c>
      <c r="C496" s="126">
        <v>340.8</v>
      </c>
      <c r="D496" s="126">
        <v>320.7</v>
      </c>
      <c r="E496" s="126">
        <v>307.5</v>
      </c>
      <c r="G496" s="321">
        <v>0.7873</v>
      </c>
      <c r="H496" s="123">
        <f t="shared" si="28"/>
        <v>1216.0858891963155</v>
      </c>
      <c r="I496" s="123">
        <f t="shared" si="29"/>
        <v>1144.3625136891383</v>
      </c>
      <c r="J496" s="123">
        <f t="shared" si="30"/>
        <v>1097.2605954456192</v>
      </c>
      <c r="K496" s="123"/>
      <c r="L496" s="176">
        <f t="shared" si="31"/>
        <v>1152.5696661103577</v>
      </c>
      <c r="M496" s="227"/>
      <c r="N496" s="275"/>
    </row>
    <row r="497" spans="1:14" ht="21.75" customHeight="1">
      <c r="A497" t="s">
        <v>778</v>
      </c>
      <c r="B497" s="245">
        <v>41197</v>
      </c>
      <c r="C497" s="126">
        <v>190</v>
      </c>
      <c r="D497" s="126">
        <v>185.8</v>
      </c>
      <c r="E497" s="126">
        <v>187.7</v>
      </c>
      <c r="G497" s="321">
        <v>0.7873</v>
      </c>
      <c r="H497" s="123">
        <f t="shared" si="28"/>
        <v>677.98215653550449</v>
      </c>
      <c r="I497" s="123">
        <f t="shared" si="29"/>
        <v>662.99518254893019</v>
      </c>
      <c r="J497" s="123">
        <f t="shared" si="30"/>
        <v>669.77500411428514</v>
      </c>
      <c r="K497" s="123"/>
      <c r="L497" s="176">
        <f t="shared" si="31"/>
        <v>670.25078106623994</v>
      </c>
      <c r="M497" s="227"/>
      <c r="N497" s="275"/>
    </row>
    <row r="498" spans="1:14" ht="21.75" customHeight="1">
      <c r="A498" t="s">
        <v>779</v>
      </c>
      <c r="B498" s="245">
        <v>41197</v>
      </c>
      <c r="C498" s="126">
        <v>176.1</v>
      </c>
      <c r="D498" s="126">
        <v>178.8</v>
      </c>
      <c r="E498" s="126">
        <v>180.7</v>
      </c>
      <c r="F498">
        <v>178.3</v>
      </c>
      <c r="G498" s="321">
        <v>0.7873</v>
      </c>
      <c r="H498" s="123">
        <f t="shared" si="28"/>
        <v>628.38240929422284</v>
      </c>
      <c r="I498" s="123">
        <f t="shared" si="29"/>
        <v>638.01689257130647</v>
      </c>
      <c r="J498" s="123">
        <f t="shared" si="30"/>
        <v>644.79671413666131</v>
      </c>
      <c r="K498" s="123">
        <f t="shared" ref="K498:K561" si="32">(F498*(PI()/LN(2)))*$G498</f>
        <v>636.23272900147617</v>
      </c>
      <c r="L498" s="176">
        <f t="shared" ref="L498:L561" si="33">AVERAGE(H498:K498)</f>
        <v>636.85718625091658</v>
      </c>
      <c r="M498" s="227"/>
      <c r="N498" s="275"/>
    </row>
    <row r="499" spans="1:14" ht="21.75" customHeight="1">
      <c r="A499" t="s">
        <v>781</v>
      </c>
      <c r="B499" s="245">
        <v>41197</v>
      </c>
      <c r="C499" s="126">
        <v>177.2</v>
      </c>
      <c r="D499" s="126">
        <v>179.5</v>
      </c>
      <c r="E499" s="126">
        <v>177.4</v>
      </c>
      <c r="F499">
        <v>178</v>
      </c>
      <c r="G499" s="321">
        <v>0.7873</v>
      </c>
      <c r="H499" s="123">
        <f t="shared" si="28"/>
        <v>632.30756914784945</v>
      </c>
      <c r="I499" s="123">
        <f t="shared" si="29"/>
        <v>640.51472156906868</v>
      </c>
      <c r="J499" s="123">
        <f t="shared" si="30"/>
        <v>633.02123457578159</v>
      </c>
      <c r="K499" s="123">
        <f t="shared" si="32"/>
        <v>635.1622308595779</v>
      </c>
      <c r="L499" s="176">
        <f t="shared" si="33"/>
        <v>635.25143903806941</v>
      </c>
      <c r="M499" s="227"/>
      <c r="N499" s="275"/>
    </row>
    <row r="500" spans="1:14" ht="21.75" customHeight="1">
      <c r="A500" t="s">
        <v>782</v>
      </c>
      <c r="B500" s="245">
        <v>41197</v>
      </c>
      <c r="C500" s="126">
        <v>236.8</v>
      </c>
      <c r="D500" s="126">
        <v>229.7</v>
      </c>
      <c r="E500" s="126">
        <v>239.2</v>
      </c>
      <c r="F500">
        <v>227.8</v>
      </c>
      <c r="G500" s="321">
        <v>0.7873</v>
      </c>
      <c r="H500" s="123">
        <f t="shared" si="28"/>
        <v>844.97986667161831</v>
      </c>
      <c r="I500" s="123">
        <f t="shared" si="29"/>
        <v>819.64474398002835</v>
      </c>
      <c r="J500" s="123">
        <f t="shared" si="30"/>
        <v>853.54385180680345</v>
      </c>
      <c r="K500" s="123">
        <f t="shared" si="32"/>
        <v>812.86492241467329</v>
      </c>
      <c r="L500" s="176">
        <f t="shared" si="33"/>
        <v>832.75834621828085</v>
      </c>
      <c r="M500" s="227"/>
      <c r="N500" s="275"/>
    </row>
    <row r="501" spans="1:14" ht="21.75" customHeight="1">
      <c r="A501" t="s">
        <v>752</v>
      </c>
      <c r="B501" s="245">
        <v>41197</v>
      </c>
      <c r="C501" s="126">
        <v>130</v>
      </c>
      <c r="D501" s="126">
        <v>145</v>
      </c>
      <c r="E501" s="126">
        <v>148</v>
      </c>
      <c r="F501">
        <v>138</v>
      </c>
      <c r="G501" s="321">
        <v>0.7873</v>
      </c>
      <c r="H501" s="123">
        <f t="shared" si="28"/>
        <v>463.88252815587151</v>
      </c>
      <c r="I501" s="123">
        <f t="shared" si="29"/>
        <v>517.40743525077971</v>
      </c>
      <c r="J501" s="123">
        <f t="shared" si="30"/>
        <v>528.11241666976139</v>
      </c>
      <c r="K501" s="123">
        <f t="shared" si="32"/>
        <v>492.42914527315588</v>
      </c>
      <c r="L501" s="176">
        <f t="shared" si="33"/>
        <v>500.45788133739211</v>
      </c>
      <c r="M501" s="227"/>
      <c r="N501" s="275"/>
    </row>
    <row r="502" spans="1:14" ht="21.75" customHeight="1">
      <c r="A502" t="s">
        <v>767</v>
      </c>
      <c r="B502" s="245">
        <v>41197</v>
      </c>
      <c r="C502" s="126">
        <v>220</v>
      </c>
      <c r="D502" s="126">
        <v>218</v>
      </c>
      <c r="E502" s="126">
        <v>210</v>
      </c>
      <c r="F502">
        <v>220</v>
      </c>
      <c r="G502" s="321">
        <v>0.7873</v>
      </c>
      <c r="H502" s="123">
        <f t="shared" si="28"/>
        <v>785.031970725321</v>
      </c>
      <c r="I502" s="123">
        <f t="shared" si="29"/>
        <v>777.89531644599992</v>
      </c>
      <c r="J502" s="123">
        <f t="shared" si="30"/>
        <v>749.3486993287155</v>
      </c>
      <c r="K502" s="123">
        <f t="shared" si="32"/>
        <v>785.031970725321</v>
      </c>
      <c r="L502" s="176">
        <f t="shared" si="33"/>
        <v>774.32698930633944</v>
      </c>
      <c r="M502" s="227"/>
      <c r="N502" s="275"/>
    </row>
    <row r="503" spans="1:14" ht="21.75" customHeight="1">
      <c r="A503" t="s">
        <v>769</v>
      </c>
      <c r="B503" s="245">
        <v>41197</v>
      </c>
      <c r="C503" s="126">
        <v>212</v>
      </c>
      <c r="D503" s="126">
        <v>213</v>
      </c>
      <c r="E503" s="126">
        <v>206</v>
      </c>
      <c r="F503">
        <v>210</v>
      </c>
      <c r="G503" s="321">
        <v>0.7873</v>
      </c>
      <c r="H503" s="123">
        <f t="shared" si="28"/>
        <v>756.48535360803658</v>
      </c>
      <c r="I503" s="123">
        <f t="shared" si="29"/>
        <v>760.05368074769717</v>
      </c>
      <c r="J503" s="123">
        <f t="shared" si="30"/>
        <v>735.07539077007334</v>
      </c>
      <c r="K503" s="123">
        <f t="shared" si="32"/>
        <v>749.3486993287155</v>
      </c>
      <c r="L503" s="176">
        <f t="shared" si="33"/>
        <v>750.24078111363065</v>
      </c>
      <c r="M503" s="227"/>
      <c r="N503" s="275"/>
    </row>
    <row r="504" spans="1:14" ht="21.75" customHeight="1">
      <c r="A504" t="s">
        <v>805</v>
      </c>
      <c r="B504" s="245">
        <v>41199</v>
      </c>
      <c r="C504" s="126">
        <v>399.7</v>
      </c>
      <c r="D504" s="126">
        <v>398.7</v>
      </c>
      <c r="E504" s="126">
        <v>399.1</v>
      </c>
      <c r="F504">
        <v>395.7</v>
      </c>
      <c r="G504" s="321">
        <v>0.7873</v>
      </c>
      <c r="H504" s="123">
        <f t="shared" si="28"/>
        <v>1426.2603577223219</v>
      </c>
      <c r="I504" s="123">
        <f t="shared" si="29"/>
        <v>1422.6920305826613</v>
      </c>
      <c r="J504" s="123">
        <f t="shared" si="30"/>
        <v>1424.1193614385256</v>
      </c>
      <c r="K504" s="123">
        <f t="shared" si="32"/>
        <v>1411.9870491636796</v>
      </c>
      <c r="L504" s="176">
        <f t="shared" si="33"/>
        <v>1421.2646997267971</v>
      </c>
      <c r="M504" s="227"/>
      <c r="N504" s="275"/>
    </row>
    <row r="505" spans="1:14" ht="21.75" customHeight="1">
      <c r="A505" t="s">
        <v>809</v>
      </c>
      <c r="B505" s="245">
        <v>41199</v>
      </c>
      <c r="C505" s="126">
        <v>416.6</v>
      </c>
      <c r="D505" s="126">
        <v>410</v>
      </c>
      <c r="E505" s="126">
        <v>416</v>
      </c>
      <c r="F505">
        <v>410.4</v>
      </c>
      <c r="G505" s="321">
        <v>0.7873</v>
      </c>
      <c r="H505" s="123">
        <f t="shared" si="28"/>
        <v>1486.5650863825852</v>
      </c>
      <c r="I505" s="123">
        <f t="shared" si="29"/>
        <v>1463.0141272608255</v>
      </c>
      <c r="J505" s="123">
        <f t="shared" si="30"/>
        <v>1484.4240900987888</v>
      </c>
      <c r="K505" s="123">
        <f t="shared" si="32"/>
        <v>1464.4414581166895</v>
      </c>
      <c r="L505" s="176">
        <f t="shared" si="33"/>
        <v>1474.6111904647223</v>
      </c>
      <c r="M505" s="227"/>
      <c r="N505" s="275"/>
    </row>
    <row r="506" spans="1:14" ht="21.75" customHeight="1">
      <c r="A506" t="s">
        <v>811</v>
      </c>
      <c r="B506" s="245">
        <v>41199</v>
      </c>
      <c r="C506" s="126">
        <v>381.2</v>
      </c>
      <c r="D506" s="126">
        <v>392.1</v>
      </c>
      <c r="E506" s="126">
        <v>386.4</v>
      </c>
      <c r="F506">
        <v>385.9</v>
      </c>
      <c r="G506" s="321">
        <v>0.7873</v>
      </c>
      <c r="H506" s="123">
        <f t="shared" si="28"/>
        <v>1360.2463056386016</v>
      </c>
      <c r="I506" s="123">
        <f t="shared" si="29"/>
        <v>1399.1410714609017</v>
      </c>
      <c r="J506" s="123">
        <f t="shared" si="30"/>
        <v>1378.8016067648364</v>
      </c>
      <c r="K506" s="123">
        <f t="shared" si="32"/>
        <v>1377.0174431950061</v>
      </c>
      <c r="L506" s="176">
        <f t="shared" si="33"/>
        <v>1378.8016067648366</v>
      </c>
      <c r="M506" s="227"/>
      <c r="N506" s="275"/>
    </row>
    <row r="507" spans="1:14" ht="21.75" customHeight="1">
      <c r="A507" t="s">
        <v>812</v>
      </c>
      <c r="B507" s="245">
        <v>41199</v>
      </c>
      <c r="C507" s="126">
        <v>389.1</v>
      </c>
      <c r="D507" s="126">
        <v>394.8</v>
      </c>
      <c r="E507" s="126">
        <v>387.4</v>
      </c>
      <c r="F507">
        <v>385.1</v>
      </c>
      <c r="G507" s="321">
        <v>0.7873</v>
      </c>
      <c r="H507" s="123">
        <f t="shared" si="28"/>
        <v>1388.4360900419201</v>
      </c>
      <c r="I507" s="123">
        <f t="shared" si="29"/>
        <v>1408.7755547379852</v>
      </c>
      <c r="J507" s="123">
        <f t="shared" si="30"/>
        <v>1382.369933904497</v>
      </c>
      <c r="K507" s="123">
        <f t="shared" si="32"/>
        <v>1374.1627814832777</v>
      </c>
      <c r="L507" s="176">
        <f t="shared" si="33"/>
        <v>1388.4360900419201</v>
      </c>
      <c r="M507" s="227">
        <f>AVERAGE(L504:L507)</f>
        <v>1415.7783967495689</v>
      </c>
      <c r="N507" s="275">
        <f>STDEV(L504:L507)/M507</f>
        <v>3.053384917976968E-2</v>
      </c>
    </row>
    <row r="508" spans="1:14" ht="21.75" customHeight="1">
      <c r="A508" t="s">
        <v>813</v>
      </c>
      <c r="B508" s="245">
        <v>41200</v>
      </c>
      <c r="C508" s="126">
        <v>277</v>
      </c>
      <c r="D508" s="126">
        <v>279</v>
      </c>
      <c r="E508" s="126">
        <v>281</v>
      </c>
      <c r="F508">
        <v>280</v>
      </c>
      <c r="G508" s="321">
        <v>0.7873</v>
      </c>
      <c r="H508" s="123">
        <f t="shared" si="28"/>
        <v>988.42661768597225</v>
      </c>
      <c r="I508" s="123">
        <f t="shared" si="29"/>
        <v>995.56327196529344</v>
      </c>
      <c r="J508" s="123">
        <f t="shared" si="30"/>
        <v>1002.6999262446145</v>
      </c>
      <c r="K508" s="123">
        <f t="shared" si="32"/>
        <v>999.13159910495392</v>
      </c>
      <c r="L508" s="176">
        <f t="shared" si="33"/>
        <v>996.45535375020859</v>
      </c>
      <c r="M508" s="227"/>
      <c r="N508" s="275"/>
    </row>
    <row r="509" spans="1:14" ht="21.75" customHeight="1">
      <c r="A509" t="s">
        <v>815</v>
      </c>
      <c r="B509" s="245">
        <v>41200</v>
      </c>
      <c r="C509" s="126">
        <v>306</v>
      </c>
      <c r="D509" s="126">
        <v>304</v>
      </c>
      <c r="E509" s="126">
        <v>302</v>
      </c>
      <c r="F509">
        <v>298</v>
      </c>
      <c r="G509" s="321">
        <v>0.7873</v>
      </c>
      <c r="H509" s="123">
        <f t="shared" si="28"/>
        <v>1091.9081047361283</v>
      </c>
      <c r="I509" s="123">
        <f t="shared" si="29"/>
        <v>1084.7714504568071</v>
      </c>
      <c r="J509" s="123">
        <f t="shared" si="30"/>
        <v>1077.6347961774861</v>
      </c>
      <c r="K509" s="123">
        <f t="shared" si="32"/>
        <v>1063.361487618844</v>
      </c>
      <c r="L509" s="176">
        <f t="shared" si="33"/>
        <v>1079.4189597473164</v>
      </c>
      <c r="M509" s="227"/>
      <c r="N509" s="275"/>
    </row>
    <row r="510" spans="1:14" ht="21.75" customHeight="1">
      <c r="A510" t="s">
        <v>816</v>
      </c>
      <c r="B510" s="245">
        <v>41200</v>
      </c>
      <c r="C510" s="126">
        <v>308</v>
      </c>
      <c r="D510" s="126">
        <v>328</v>
      </c>
      <c r="E510" s="126">
        <v>302</v>
      </c>
      <c r="F510">
        <v>322</v>
      </c>
      <c r="G510" s="321">
        <v>0.7873</v>
      </c>
      <c r="H510" s="123">
        <f t="shared" si="28"/>
        <v>1099.0447590154495</v>
      </c>
      <c r="I510" s="123">
        <f t="shared" si="29"/>
        <v>1170.4113018086603</v>
      </c>
      <c r="J510" s="123">
        <f t="shared" si="30"/>
        <v>1077.6347961774861</v>
      </c>
      <c r="K510" s="123">
        <f t="shared" si="32"/>
        <v>1149.0013389706971</v>
      </c>
      <c r="L510" s="176">
        <f t="shared" si="33"/>
        <v>1124.0230489930734</v>
      </c>
      <c r="M510" s="227"/>
      <c r="N510" s="275"/>
    </row>
    <row r="511" spans="1:14" ht="21.75" customHeight="1">
      <c r="A511" t="s">
        <v>817</v>
      </c>
      <c r="B511" s="245">
        <v>41200</v>
      </c>
      <c r="C511" s="126">
        <v>268</v>
      </c>
      <c r="D511" s="126">
        <v>264</v>
      </c>
      <c r="E511" s="126">
        <v>265</v>
      </c>
      <c r="F511">
        <v>268</v>
      </c>
      <c r="G511" s="321">
        <v>0.7873</v>
      </c>
      <c r="H511" s="123">
        <f t="shared" si="28"/>
        <v>956.31167342902734</v>
      </c>
      <c r="I511" s="123">
        <f t="shared" si="29"/>
        <v>942.03836487038507</v>
      </c>
      <c r="J511" s="123">
        <f t="shared" si="30"/>
        <v>945.60669201004566</v>
      </c>
      <c r="K511" s="123">
        <f t="shared" si="32"/>
        <v>956.31167342902734</v>
      </c>
      <c r="L511" s="176">
        <f t="shared" si="33"/>
        <v>950.06710093462141</v>
      </c>
      <c r="M511" s="227">
        <f>AVERAGE(L508:L511)</f>
        <v>1037.491115856305</v>
      </c>
      <c r="N511" s="275">
        <f>STDEV(L508:L511)/M511</f>
        <v>7.5838804040363014E-2</v>
      </c>
    </row>
    <row r="512" spans="1:14" ht="21.75" customHeight="1">
      <c r="A512" t="s">
        <v>818</v>
      </c>
      <c r="B512" s="245">
        <v>41200</v>
      </c>
      <c r="C512" s="126">
        <v>191</v>
      </c>
      <c r="D512" s="126">
        <v>189</v>
      </c>
      <c r="E512" s="126">
        <v>191</v>
      </c>
      <c r="F512">
        <v>192</v>
      </c>
      <c r="G512" s="321">
        <v>0.7873</v>
      </c>
      <c r="H512" s="123">
        <f t="shared" si="28"/>
        <v>681.55048367516508</v>
      </c>
      <c r="I512" s="123">
        <f t="shared" si="29"/>
        <v>674.41382939584389</v>
      </c>
      <c r="J512" s="123">
        <f t="shared" si="30"/>
        <v>681.55048367516508</v>
      </c>
      <c r="K512" s="123">
        <f t="shared" si="32"/>
        <v>685.11881081482557</v>
      </c>
      <c r="L512" s="176">
        <f t="shared" si="33"/>
        <v>680.65840189024993</v>
      </c>
      <c r="M512" s="227"/>
      <c r="N512" s="275"/>
    </row>
    <row r="513" spans="1:14" ht="21.75" customHeight="1">
      <c r="A513" t="s">
        <v>819</v>
      </c>
      <c r="B513" s="245">
        <v>41200</v>
      </c>
      <c r="C513" s="126">
        <v>189</v>
      </c>
      <c r="D513" s="126">
        <v>190</v>
      </c>
      <c r="E513" s="126">
        <v>189</v>
      </c>
      <c r="F513">
        <v>192</v>
      </c>
      <c r="G513" s="321">
        <v>0.7873</v>
      </c>
      <c r="H513" s="123">
        <f t="shared" si="28"/>
        <v>674.41382939584389</v>
      </c>
      <c r="I513" s="123">
        <f t="shared" si="29"/>
        <v>677.98215653550449</v>
      </c>
      <c r="J513" s="123">
        <f t="shared" si="30"/>
        <v>674.41382939584389</v>
      </c>
      <c r="K513" s="123">
        <f t="shared" si="32"/>
        <v>685.11881081482557</v>
      </c>
      <c r="L513" s="176">
        <f t="shared" si="33"/>
        <v>677.98215653550437</v>
      </c>
      <c r="M513" s="227"/>
      <c r="N513" s="275"/>
    </row>
    <row r="514" spans="1:14" ht="21.75" customHeight="1">
      <c r="A514" t="s">
        <v>820</v>
      </c>
      <c r="B514" s="245">
        <v>41200</v>
      </c>
      <c r="C514" s="126">
        <v>166</v>
      </c>
      <c r="D514" s="126">
        <v>169</v>
      </c>
      <c r="E514" s="126">
        <v>167</v>
      </c>
      <c r="F514">
        <v>169</v>
      </c>
      <c r="G514" s="321">
        <v>0.7873</v>
      </c>
      <c r="H514" s="123">
        <f t="shared" ref="H514:H577" si="34">(C514*(PI()/LN(2)))*$G514</f>
        <v>592.34230518365132</v>
      </c>
      <c r="I514" s="123">
        <f t="shared" ref="I514:I577" si="35">(D514*(PI()/LN(2)))*$G514</f>
        <v>603.04728660263299</v>
      </c>
      <c r="J514" s="123">
        <f t="shared" ref="J514:J577" si="36">(E514*(PI()/LN(2)))*$G514</f>
        <v>595.9106323233118</v>
      </c>
      <c r="K514" s="123">
        <f t="shared" si="32"/>
        <v>603.04728660263299</v>
      </c>
      <c r="L514" s="176">
        <f t="shared" si="33"/>
        <v>598.58687767805725</v>
      </c>
      <c r="M514" s="227"/>
      <c r="N514" s="275"/>
    </row>
    <row r="515" spans="1:14" ht="21.75" customHeight="1">
      <c r="A515" t="s">
        <v>821</v>
      </c>
      <c r="B515" s="245">
        <v>41200</v>
      </c>
      <c r="C515" s="126">
        <v>170</v>
      </c>
      <c r="D515" s="126">
        <v>170</v>
      </c>
      <c r="E515" s="126">
        <v>168</v>
      </c>
      <c r="F515">
        <v>170</v>
      </c>
      <c r="G515" s="321">
        <v>0.7873</v>
      </c>
      <c r="H515" s="123">
        <f t="shared" si="34"/>
        <v>606.61561374229348</v>
      </c>
      <c r="I515" s="123">
        <f t="shared" si="35"/>
        <v>606.61561374229348</v>
      </c>
      <c r="J515" s="123">
        <f t="shared" si="36"/>
        <v>599.4789594629724</v>
      </c>
      <c r="K515" s="123">
        <f t="shared" si="32"/>
        <v>606.61561374229348</v>
      </c>
      <c r="L515" s="176">
        <f t="shared" si="33"/>
        <v>604.83145017246318</v>
      </c>
      <c r="M515" s="227">
        <f>AVERAGE(L512:L515)</f>
        <v>640.51472156906868</v>
      </c>
      <c r="N515" s="275">
        <f>STDEV(L512:L515)/M515</f>
        <v>7.0091373914940885E-2</v>
      </c>
    </row>
    <row r="516" spans="1:14" ht="21.75" customHeight="1">
      <c r="A516" t="s">
        <v>822</v>
      </c>
      <c r="B516" s="245">
        <v>41200</v>
      </c>
      <c r="C516" s="126">
        <v>159</v>
      </c>
      <c r="D516" s="126">
        <v>158</v>
      </c>
      <c r="E516" s="126">
        <v>160</v>
      </c>
      <c r="F516">
        <v>158</v>
      </c>
      <c r="G516" s="321">
        <v>0.7873</v>
      </c>
      <c r="H516" s="123">
        <f t="shared" si="34"/>
        <v>567.36401520602737</v>
      </c>
      <c r="I516" s="123">
        <f t="shared" si="35"/>
        <v>563.79568806636689</v>
      </c>
      <c r="J516" s="123">
        <f t="shared" si="36"/>
        <v>570.93234234568797</v>
      </c>
      <c r="K516" s="123">
        <f t="shared" si="32"/>
        <v>563.79568806636689</v>
      </c>
      <c r="L516" s="176">
        <f t="shared" si="33"/>
        <v>566.47193342111234</v>
      </c>
      <c r="M516" s="227"/>
      <c r="N516" s="275"/>
    </row>
    <row r="517" spans="1:14" ht="21.75" customHeight="1">
      <c r="A517" t="s">
        <v>824</v>
      </c>
      <c r="B517" s="245">
        <v>41200</v>
      </c>
      <c r="C517" s="126">
        <v>149</v>
      </c>
      <c r="D517" s="126">
        <v>152</v>
      </c>
      <c r="E517" s="126">
        <v>150</v>
      </c>
      <c r="F517">
        <v>150</v>
      </c>
      <c r="G517" s="321">
        <v>0.7873</v>
      </c>
      <c r="H517" s="123">
        <f t="shared" si="34"/>
        <v>531.68074380942198</v>
      </c>
      <c r="I517" s="123">
        <f t="shared" si="35"/>
        <v>542.38572522840354</v>
      </c>
      <c r="J517" s="123">
        <f t="shared" si="36"/>
        <v>535.24907094908258</v>
      </c>
      <c r="K517" s="123">
        <f t="shared" si="32"/>
        <v>535.24907094908258</v>
      </c>
      <c r="L517" s="176">
        <f t="shared" si="33"/>
        <v>536.14115273399761</v>
      </c>
      <c r="M517" s="227"/>
      <c r="N517" s="275"/>
    </row>
    <row r="518" spans="1:14" ht="21.75" customHeight="1">
      <c r="A518" t="s">
        <v>825</v>
      </c>
      <c r="B518" s="245">
        <v>41200</v>
      </c>
      <c r="C518" s="126">
        <v>149</v>
      </c>
      <c r="D518" s="126">
        <v>148</v>
      </c>
      <c r="E518" s="126">
        <v>149</v>
      </c>
      <c r="F518">
        <v>147</v>
      </c>
      <c r="G518" s="321">
        <v>0.7873</v>
      </c>
      <c r="H518" s="123">
        <f t="shared" si="34"/>
        <v>531.68074380942198</v>
      </c>
      <c r="I518" s="123">
        <f t="shared" si="35"/>
        <v>528.11241666976139</v>
      </c>
      <c r="J518" s="123">
        <f t="shared" si="36"/>
        <v>531.68074380942198</v>
      </c>
      <c r="K518" s="123">
        <f t="shared" si="32"/>
        <v>524.54408953010079</v>
      </c>
      <c r="L518" s="176">
        <f t="shared" si="33"/>
        <v>529.00449845467654</v>
      </c>
      <c r="M518" s="227"/>
      <c r="N518" s="275"/>
    </row>
    <row r="519" spans="1:14" ht="21.75" customHeight="1">
      <c r="A519" t="s">
        <v>826</v>
      </c>
      <c r="B519" s="245">
        <v>41200</v>
      </c>
      <c r="C519" s="126">
        <v>134</v>
      </c>
      <c r="D519" s="126">
        <v>133</v>
      </c>
      <c r="E519" s="126">
        <v>135</v>
      </c>
      <c r="F519">
        <v>132</v>
      </c>
      <c r="G519" s="321">
        <v>0.7873</v>
      </c>
      <c r="H519" s="123">
        <f t="shared" si="34"/>
        <v>478.15583671451367</v>
      </c>
      <c r="I519" s="123">
        <f t="shared" si="35"/>
        <v>474.58750957485313</v>
      </c>
      <c r="J519" s="123">
        <f t="shared" si="36"/>
        <v>481.72416385417426</v>
      </c>
      <c r="K519" s="123">
        <f t="shared" si="32"/>
        <v>471.01918243519253</v>
      </c>
      <c r="L519" s="176">
        <f t="shared" si="33"/>
        <v>476.37167314468343</v>
      </c>
      <c r="M519" s="227">
        <f>AVERAGE(L516:L519)</f>
        <v>526.99731443861754</v>
      </c>
      <c r="N519" s="275">
        <f>STDEV(L516:L519)/M519</f>
        <v>7.1074229697669786E-2</v>
      </c>
    </row>
    <row r="520" spans="1:14" ht="21.75" customHeight="1">
      <c r="A520" t="s">
        <v>828</v>
      </c>
      <c r="B520" s="245">
        <v>41201</v>
      </c>
      <c r="C520" s="126">
        <v>127</v>
      </c>
      <c r="D520" s="126">
        <v>130</v>
      </c>
      <c r="E520" s="126">
        <v>128</v>
      </c>
      <c r="F520">
        <v>131</v>
      </c>
      <c r="G520" s="321">
        <v>0.7873</v>
      </c>
      <c r="H520" s="123">
        <f t="shared" si="34"/>
        <v>453.17754673688984</v>
      </c>
      <c r="I520" s="123">
        <f t="shared" si="35"/>
        <v>463.88252815587151</v>
      </c>
      <c r="J520" s="123">
        <f t="shared" si="36"/>
        <v>456.74587387655038</v>
      </c>
      <c r="K520" s="123">
        <f t="shared" si="32"/>
        <v>467.45085529553211</v>
      </c>
      <c r="L520" s="176">
        <f t="shared" si="33"/>
        <v>460.31420101621097</v>
      </c>
      <c r="M520" s="227"/>
      <c r="N520" s="275"/>
    </row>
    <row r="521" spans="1:14" ht="21.75" customHeight="1">
      <c r="A521" t="s">
        <v>829</v>
      </c>
      <c r="B521" s="245">
        <v>41201</v>
      </c>
      <c r="C521" s="126">
        <v>131</v>
      </c>
      <c r="D521" s="126">
        <v>134</v>
      </c>
      <c r="E521" s="126">
        <v>131</v>
      </c>
      <c r="F521">
        <v>129</v>
      </c>
      <c r="G521" s="321">
        <v>0.7873</v>
      </c>
      <c r="H521" s="123">
        <f t="shared" si="34"/>
        <v>467.45085529553211</v>
      </c>
      <c r="I521" s="123">
        <f t="shared" si="35"/>
        <v>478.15583671451367</v>
      </c>
      <c r="J521" s="123">
        <f t="shared" si="36"/>
        <v>467.45085529553211</v>
      </c>
      <c r="K521" s="123">
        <f t="shared" si="32"/>
        <v>460.31420101621097</v>
      </c>
      <c r="L521" s="176">
        <f t="shared" si="33"/>
        <v>468.3429370804472</v>
      </c>
      <c r="M521" s="227"/>
      <c r="N521" s="275"/>
    </row>
    <row r="522" spans="1:14" ht="21.75" customHeight="1">
      <c r="A522" t="s">
        <v>830</v>
      </c>
      <c r="B522" s="245">
        <v>41201</v>
      </c>
      <c r="C522" s="126">
        <v>135</v>
      </c>
      <c r="D522" s="126">
        <v>139</v>
      </c>
      <c r="E522" s="126">
        <v>135</v>
      </c>
      <c r="F522">
        <v>134</v>
      </c>
      <c r="G522" s="321">
        <v>0.7873</v>
      </c>
      <c r="H522" s="123">
        <f t="shared" si="34"/>
        <v>481.72416385417426</v>
      </c>
      <c r="I522" s="123">
        <f t="shared" si="35"/>
        <v>495.99747241281642</v>
      </c>
      <c r="J522" s="123">
        <f t="shared" si="36"/>
        <v>481.72416385417426</v>
      </c>
      <c r="K522" s="123">
        <f t="shared" si="32"/>
        <v>478.15583671451367</v>
      </c>
      <c r="L522" s="176">
        <f t="shared" si="33"/>
        <v>484.40040920891965</v>
      </c>
      <c r="M522" s="227"/>
      <c r="N522" s="275"/>
    </row>
    <row r="523" spans="1:14" ht="21.75" customHeight="1">
      <c r="A523" t="s">
        <v>831</v>
      </c>
      <c r="B523" s="245">
        <v>41201</v>
      </c>
      <c r="C523" s="126">
        <v>146</v>
      </c>
      <c r="D523" s="126">
        <v>145</v>
      </c>
      <c r="E523" s="126">
        <v>147</v>
      </c>
      <c r="F523">
        <v>145</v>
      </c>
      <c r="G523" s="321">
        <v>0.7873</v>
      </c>
      <c r="H523" s="123">
        <f t="shared" si="34"/>
        <v>520.97576239044031</v>
      </c>
      <c r="I523" s="123">
        <f t="shared" si="35"/>
        <v>517.40743525077971</v>
      </c>
      <c r="J523" s="123">
        <f t="shared" si="36"/>
        <v>524.54408953010079</v>
      </c>
      <c r="K523" s="123">
        <f t="shared" si="32"/>
        <v>517.40743525077971</v>
      </c>
      <c r="L523" s="176">
        <f t="shared" si="33"/>
        <v>520.08368060552516</v>
      </c>
      <c r="M523" s="227">
        <f>AVERAGE(L520:L523)</f>
        <v>483.28530697777575</v>
      </c>
      <c r="N523" s="275">
        <f>STDEV(L520:L523)/M523</f>
        <v>5.4827306839978364E-2</v>
      </c>
    </row>
    <row r="524" spans="1:14" ht="21.75" customHeight="1">
      <c r="A524" t="s">
        <v>832</v>
      </c>
      <c r="B524" s="245">
        <v>41202</v>
      </c>
      <c r="C524" s="126">
        <v>119.5</v>
      </c>
      <c r="D524" s="126">
        <v>121.2</v>
      </c>
      <c r="E524" s="126">
        <v>120.9</v>
      </c>
      <c r="F524">
        <v>122.8</v>
      </c>
      <c r="G524" s="321">
        <v>0.7873</v>
      </c>
      <c r="H524" s="123">
        <f t="shared" si="34"/>
        <v>426.41509318943571</v>
      </c>
      <c r="I524" s="123">
        <f t="shared" si="35"/>
        <v>432.48124932685863</v>
      </c>
      <c r="J524" s="123">
        <f t="shared" si="36"/>
        <v>431.41075118496047</v>
      </c>
      <c r="K524" s="123">
        <f t="shared" si="32"/>
        <v>438.19057275031554</v>
      </c>
      <c r="L524" s="176">
        <f t="shared" si="33"/>
        <v>432.12441661289262</v>
      </c>
      <c r="M524" s="227"/>
      <c r="N524" s="275"/>
    </row>
    <row r="525" spans="1:14" ht="21.75" customHeight="1">
      <c r="A525" t="s">
        <v>834</v>
      </c>
      <c r="B525" s="245">
        <v>41202</v>
      </c>
      <c r="C525" s="126">
        <v>121.1</v>
      </c>
      <c r="D525" s="126">
        <v>123.4</v>
      </c>
      <c r="E525" s="126">
        <v>122.5</v>
      </c>
      <c r="F525">
        <v>123</v>
      </c>
      <c r="G525" s="321">
        <v>0.7873</v>
      </c>
      <c r="H525" s="123">
        <f t="shared" si="34"/>
        <v>432.12441661289262</v>
      </c>
      <c r="I525" s="123">
        <f t="shared" si="35"/>
        <v>440.33156903411191</v>
      </c>
      <c r="J525" s="123">
        <f t="shared" si="36"/>
        <v>437.12007460841738</v>
      </c>
      <c r="K525" s="123">
        <f t="shared" si="32"/>
        <v>438.90423817824768</v>
      </c>
      <c r="L525" s="176">
        <f t="shared" si="33"/>
        <v>437.12007460841738</v>
      </c>
      <c r="M525" s="227"/>
      <c r="N525" s="275"/>
    </row>
    <row r="526" spans="1:14" ht="21.75" customHeight="1">
      <c r="A526" t="s">
        <v>836</v>
      </c>
      <c r="B526" s="245">
        <v>41202</v>
      </c>
      <c r="C526" s="126">
        <v>122.7</v>
      </c>
      <c r="D526" s="126">
        <v>121.1</v>
      </c>
      <c r="E526" s="126">
        <v>122.8</v>
      </c>
      <c r="F526">
        <v>121.3</v>
      </c>
      <c r="G526" s="321">
        <v>0.7873</v>
      </c>
      <c r="H526" s="123">
        <f t="shared" si="34"/>
        <v>437.83374003634947</v>
      </c>
      <c r="I526" s="123">
        <f t="shared" si="35"/>
        <v>432.12441661289262</v>
      </c>
      <c r="J526" s="123">
        <f t="shared" si="36"/>
        <v>438.19057275031554</v>
      </c>
      <c r="K526" s="123">
        <f t="shared" si="32"/>
        <v>432.8380820408247</v>
      </c>
      <c r="L526" s="176">
        <f t="shared" si="33"/>
        <v>435.24670286009558</v>
      </c>
      <c r="M526" s="227"/>
      <c r="N526" s="275"/>
    </row>
    <row r="527" spans="1:14" ht="21.75" customHeight="1">
      <c r="A527" t="s">
        <v>838</v>
      </c>
      <c r="B527" s="245">
        <v>41202</v>
      </c>
      <c r="C527" s="126">
        <v>126</v>
      </c>
      <c r="D527" s="126">
        <v>121.8</v>
      </c>
      <c r="E527" s="126">
        <v>123.8</v>
      </c>
      <c r="F527">
        <v>123.1</v>
      </c>
      <c r="G527" s="321">
        <v>0.7873</v>
      </c>
      <c r="H527" s="123">
        <f t="shared" si="34"/>
        <v>449.60921959722924</v>
      </c>
      <c r="I527" s="123">
        <f t="shared" si="35"/>
        <v>434.622245610655</v>
      </c>
      <c r="J527" s="123">
        <f t="shared" si="36"/>
        <v>441.75889988997614</v>
      </c>
      <c r="K527" s="123">
        <f t="shared" si="32"/>
        <v>439.2610708922137</v>
      </c>
      <c r="L527" s="176">
        <f t="shared" si="33"/>
        <v>441.3128589975185</v>
      </c>
      <c r="M527" s="227">
        <f>AVERAGE(L524:L527)</f>
        <v>436.45101326973105</v>
      </c>
      <c r="N527" s="275">
        <f>STDEV(L524:L527)/M527</f>
        <v>8.8000468820146113E-3</v>
      </c>
    </row>
    <row r="528" spans="1:14" ht="21.75" customHeight="1">
      <c r="A528" t="s">
        <v>839</v>
      </c>
      <c r="B528" s="245">
        <v>41204</v>
      </c>
      <c r="C528" s="126">
        <v>165.8</v>
      </c>
      <c r="D528" s="126">
        <v>165.4</v>
      </c>
      <c r="E528" s="126">
        <v>165.6</v>
      </c>
      <c r="F528">
        <v>166</v>
      </c>
      <c r="G528" s="321">
        <v>0.7873</v>
      </c>
      <c r="H528" s="123">
        <f t="shared" si="34"/>
        <v>591.62863975571929</v>
      </c>
      <c r="I528" s="123">
        <f t="shared" si="35"/>
        <v>590.20130889985489</v>
      </c>
      <c r="J528" s="123">
        <f t="shared" si="36"/>
        <v>590.91497432778704</v>
      </c>
      <c r="K528" s="123">
        <f t="shared" si="32"/>
        <v>592.34230518365132</v>
      </c>
      <c r="L528" s="176">
        <f t="shared" si="33"/>
        <v>591.27180704175316</v>
      </c>
      <c r="M528" s="227"/>
      <c r="N528" s="275"/>
    </row>
    <row r="529" spans="1:14" ht="21.75" customHeight="1">
      <c r="A529" t="s">
        <v>840</v>
      </c>
      <c r="B529" s="245">
        <v>41204</v>
      </c>
      <c r="C529" s="126">
        <v>166.3</v>
      </c>
      <c r="D529" s="126">
        <v>166.9</v>
      </c>
      <c r="E529" s="126">
        <v>167.6</v>
      </c>
      <c r="F529">
        <v>168.1</v>
      </c>
      <c r="G529" s="321">
        <v>0.7873</v>
      </c>
      <c r="H529" s="123">
        <f t="shared" si="34"/>
        <v>593.41280332554948</v>
      </c>
      <c r="I529" s="123">
        <f t="shared" si="35"/>
        <v>595.55379960934579</v>
      </c>
      <c r="J529" s="123">
        <f t="shared" si="36"/>
        <v>598.05162860710823</v>
      </c>
      <c r="K529" s="123">
        <f t="shared" si="32"/>
        <v>599.83579217693853</v>
      </c>
      <c r="L529" s="176">
        <f t="shared" si="33"/>
        <v>596.71350592973545</v>
      </c>
      <c r="M529" s="227"/>
      <c r="N529" s="275"/>
    </row>
    <row r="530" spans="1:14" ht="21.75" customHeight="1">
      <c r="A530" t="s">
        <v>841</v>
      </c>
      <c r="B530" s="245">
        <v>41204</v>
      </c>
      <c r="C530" s="126">
        <v>163.69999999999999</v>
      </c>
      <c r="D530" s="126">
        <v>164.2</v>
      </c>
      <c r="E530" s="126">
        <v>165.9</v>
      </c>
      <c r="F530">
        <v>164.8</v>
      </c>
      <c r="G530" s="321">
        <v>0.7873</v>
      </c>
      <c r="H530" s="123">
        <f t="shared" si="34"/>
        <v>584.13515276243197</v>
      </c>
      <c r="I530" s="123">
        <f t="shared" si="35"/>
        <v>585.91931633226227</v>
      </c>
      <c r="J530" s="123">
        <f t="shared" si="36"/>
        <v>591.98547246968519</v>
      </c>
      <c r="K530" s="123">
        <f t="shared" si="32"/>
        <v>588.0603126160587</v>
      </c>
      <c r="L530" s="176">
        <f t="shared" si="33"/>
        <v>587.52506354510956</v>
      </c>
      <c r="M530" s="227"/>
      <c r="N530" s="275"/>
    </row>
    <row r="531" spans="1:14" ht="21.75" customHeight="1">
      <c r="A531" t="s">
        <v>842</v>
      </c>
      <c r="B531" s="245">
        <v>41204</v>
      </c>
      <c r="C531" s="126">
        <v>162.80000000000001</v>
      </c>
      <c r="D531" s="126">
        <v>163.1</v>
      </c>
      <c r="E531" s="126">
        <v>169.9</v>
      </c>
      <c r="F531">
        <v>163.6</v>
      </c>
      <c r="G531" s="321">
        <v>0.7873</v>
      </c>
      <c r="H531" s="123">
        <f t="shared" si="34"/>
        <v>580.92365833673762</v>
      </c>
      <c r="I531" s="123">
        <f t="shared" si="35"/>
        <v>581.99415647863566</v>
      </c>
      <c r="J531" s="123">
        <f t="shared" si="36"/>
        <v>606.25878102832746</v>
      </c>
      <c r="K531" s="123">
        <f t="shared" si="32"/>
        <v>583.77832004846596</v>
      </c>
      <c r="L531" s="176">
        <f t="shared" si="33"/>
        <v>588.2387289730417</v>
      </c>
      <c r="M531" s="227">
        <f>AVERAGE(L528:L531)</f>
        <v>590.93727637241</v>
      </c>
      <c r="N531" s="275">
        <f>STDEV(L528:L531)/M531</f>
        <v>7.0724893753305353E-3</v>
      </c>
    </row>
    <row r="532" spans="1:14" ht="21.75" customHeight="1">
      <c r="A532" t="s">
        <v>821</v>
      </c>
      <c r="B532" s="245">
        <v>41204</v>
      </c>
      <c r="C532" s="126">
        <v>176.7</v>
      </c>
      <c r="D532" s="126">
        <v>172.1</v>
      </c>
      <c r="E532" s="126">
        <v>173.9</v>
      </c>
      <c r="F532">
        <v>172.5</v>
      </c>
      <c r="G532" s="321">
        <v>0.7873</v>
      </c>
      <c r="H532" s="123">
        <f t="shared" si="34"/>
        <v>630.52340557801915</v>
      </c>
      <c r="I532" s="123">
        <f t="shared" si="35"/>
        <v>614.10910073558068</v>
      </c>
      <c r="J532" s="123">
        <f t="shared" si="36"/>
        <v>620.53208958696962</v>
      </c>
      <c r="K532" s="123">
        <f t="shared" si="32"/>
        <v>615.53643159144485</v>
      </c>
      <c r="L532" s="176">
        <f t="shared" si="33"/>
        <v>620.1752568730036</v>
      </c>
      <c r="M532" s="227"/>
      <c r="N532" s="275"/>
    </row>
    <row r="533" spans="1:14" ht="21.75" customHeight="1">
      <c r="A533" t="s">
        <v>825</v>
      </c>
      <c r="B533" s="245">
        <v>41204</v>
      </c>
      <c r="C533" s="126">
        <v>151.19999999999999</v>
      </c>
      <c r="D533" s="126">
        <v>152.6</v>
      </c>
      <c r="E533" s="126">
        <v>150.9</v>
      </c>
      <c r="F533">
        <v>153.6</v>
      </c>
      <c r="G533" s="321">
        <v>0.7873</v>
      </c>
      <c r="H533" s="123">
        <f t="shared" si="34"/>
        <v>539.53106351667509</v>
      </c>
      <c r="I533" s="123">
        <f t="shared" si="35"/>
        <v>544.52672151219986</v>
      </c>
      <c r="J533" s="123">
        <f t="shared" si="36"/>
        <v>538.46056537477705</v>
      </c>
      <c r="K533" s="123">
        <f t="shared" si="32"/>
        <v>548.09504865186045</v>
      </c>
      <c r="L533" s="176">
        <f t="shared" si="33"/>
        <v>542.65334976387817</v>
      </c>
      <c r="M533" s="227"/>
      <c r="N533" s="275"/>
    </row>
    <row r="534" spans="1:14" ht="21.75" customHeight="1">
      <c r="A534" t="s">
        <v>844</v>
      </c>
      <c r="B534" s="245">
        <v>41205</v>
      </c>
      <c r="C534" s="126">
        <v>165.8</v>
      </c>
      <c r="D534" s="126">
        <v>166.6</v>
      </c>
      <c r="E534" s="126">
        <v>166.3</v>
      </c>
      <c r="F534">
        <v>166</v>
      </c>
      <c r="G534" s="321">
        <v>0.7873</v>
      </c>
      <c r="H534" s="123">
        <f t="shared" si="34"/>
        <v>591.62863975571929</v>
      </c>
      <c r="I534" s="123">
        <f t="shared" si="35"/>
        <v>594.48330146744763</v>
      </c>
      <c r="J534" s="123">
        <f t="shared" si="36"/>
        <v>593.41280332554948</v>
      </c>
      <c r="K534" s="123">
        <f t="shared" si="32"/>
        <v>592.34230518365132</v>
      </c>
      <c r="L534" s="176">
        <f t="shared" si="33"/>
        <v>592.96676243309196</v>
      </c>
      <c r="M534" s="227"/>
      <c r="N534" s="275"/>
    </row>
    <row r="535" spans="1:14" ht="21.75" customHeight="1">
      <c r="A535" t="s">
        <v>845</v>
      </c>
      <c r="B535" s="245">
        <v>41205</v>
      </c>
      <c r="C535" s="126">
        <v>164.9</v>
      </c>
      <c r="D535" s="126">
        <v>169.8</v>
      </c>
      <c r="E535" s="126">
        <v>166.3</v>
      </c>
      <c r="F535">
        <v>166.6</v>
      </c>
      <c r="G535" s="321">
        <v>0.7873</v>
      </c>
      <c r="H535" s="123">
        <f t="shared" si="34"/>
        <v>588.41714533002471</v>
      </c>
      <c r="I535" s="123">
        <f t="shared" si="35"/>
        <v>605.90194831436145</v>
      </c>
      <c r="J535" s="123">
        <f t="shared" si="36"/>
        <v>593.41280332554948</v>
      </c>
      <c r="K535" s="123">
        <f t="shared" si="32"/>
        <v>594.48330146744763</v>
      </c>
      <c r="L535" s="176">
        <f t="shared" si="33"/>
        <v>595.55379960934579</v>
      </c>
      <c r="M535" s="227"/>
      <c r="N535" s="275"/>
    </row>
    <row r="536" spans="1:14" ht="21.75" customHeight="1">
      <c r="A536" t="s">
        <v>847</v>
      </c>
      <c r="B536" s="245">
        <v>41205</v>
      </c>
      <c r="C536" s="126">
        <v>166.2</v>
      </c>
      <c r="D536" s="126">
        <v>164.8</v>
      </c>
      <c r="E536" s="126">
        <v>168.5</v>
      </c>
      <c r="F536">
        <v>165.4</v>
      </c>
      <c r="G536" s="321">
        <v>0.7873</v>
      </c>
      <c r="H536" s="123">
        <f t="shared" si="34"/>
        <v>593.05597061158335</v>
      </c>
      <c r="I536" s="123">
        <f t="shared" si="35"/>
        <v>588.0603126160587</v>
      </c>
      <c r="J536" s="123">
        <f t="shared" si="36"/>
        <v>601.2631230328027</v>
      </c>
      <c r="K536" s="123">
        <f t="shared" si="32"/>
        <v>590.20130889985489</v>
      </c>
      <c r="L536" s="176">
        <f t="shared" si="33"/>
        <v>593.14517879007485</v>
      </c>
      <c r="M536" s="227"/>
      <c r="N536" s="275"/>
    </row>
    <row r="537" spans="1:14" ht="21.75" customHeight="1">
      <c r="A537" t="s">
        <v>848</v>
      </c>
      <c r="B537" s="245">
        <v>41205</v>
      </c>
      <c r="C537" s="126">
        <v>165.7</v>
      </c>
      <c r="D537" s="126">
        <v>166.2</v>
      </c>
      <c r="E537" s="126">
        <v>166.4</v>
      </c>
      <c r="F537">
        <v>165.8</v>
      </c>
      <c r="G537" s="321">
        <v>0.7873</v>
      </c>
      <c r="H537" s="123">
        <f t="shared" si="34"/>
        <v>591.27180704175316</v>
      </c>
      <c r="I537" s="123">
        <f t="shared" si="35"/>
        <v>593.05597061158335</v>
      </c>
      <c r="J537" s="123">
        <f t="shared" si="36"/>
        <v>593.76963603951549</v>
      </c>
      <c r="K537" s="123">
        <f t="shared" si="32"/>
        <v>591.62863975571929</v>
      </c>
      <c r="L537" s="176">
        <f t="shared" si="33"/>
        <v>592.43151336214282</v>
      </c>
      <c r="M537" s="227">
        <f>AVERAGE(L534:L537)</f>
        <v>593.52431354866383</v>
      </c>
      <c r="N537" s="275">
        <f>STDEV(L534:L537)/M537</f>
        <v>2.3361441765621708E-3</v>
      </c>
    </row>
    <row r="538" spans="1:14" ht="21.75" customHeight="1">
      <c r="A538" t="s">
        <v>849</v>
      </c>
      <c r="B538" s="245">
        <v>41206</v>
      </c>
      <c r="C538" s="126">
        <v>155.9</v>
      </c>
      <c r="D538" s="126">
        <v>155.69999999999999</v>
      </c>
      <c r="E538" s="126">
        <v>156.5</v>
      </c>
      <c r="F538">
        <v>158.69999999999999</v>
      </c>
      <c r="G538" s="321">
        <v>0.7873</v>
      </c>
      <c r="H538" s="123">
        <f t="shared" si="34"/>
        <v>556.3022010730798</v>
      </c>
      <c r="I538" s="123">
        <f t="shared" si="35"/>
        <v>555.58853564514754</v>
      </c>
      <c r="J538" s="123">
        <f t="shared" si="36"/>
        <v>558.44319735687611</v>
      </c>
      <c r="K538" s="123">
        <f t="shared" si="32"/>
        <v>566.29351706412922</v>
      </c>
      <c r="L538" s="176">
        <f t="shared" si="33"/>
        <v>559.15686278480825</v>
      </c>
      <c r="M538" s="227"/>
      <c r="N538" s="275"/>
    </row>
    <row r="539" spans="1:14" ht="21.75" customHeight="1">
      <c r="A539" t="s">
        <v>851</v>
      </c>
      <c r="B539" s="245">
        <v>41206</v>
      </c>
      <c r="C539" s="126">
        <v>154.4</v>
      </c>
      <c r="D539" s="126">
        <v>155.69999999999999</v>
      </c>
      <c r="E539" s="126">
        <v>154.19999999999999</v>
      </c>
      <c r="F539">
        <v>155.19999999999999</v>
      </c>
      <c r="G539" s="321">
        <v>0.7873</v>
      </c>
      <c r="H539" s="123">
        <f t="shared" si="34"/>
        <v>550.94971036358891</v>
      </c>
      <c r="I539" s="123">
        <f t="shared" si="35"/>
        <v>555.58853564514754</v>
      </c>
      <c r="J539" s="123">
        <f t="shared" si="36"/>
        <v>550.23604493565676</v>
      </c>
      <c r="K539" s="123">
        <f t="shared" si="32"/>
        <v>553.80437207531725</v>
      </c>
      <c r="L539" s="176">
        <f t="shared" si="33"/>
        <v>552.64466575492759</v>
      </c>
      <c r="M539" s="227"/>
      <c r="N539" s="275"/>
    </row>
    <row r="540" spans="1:14" ht="21.75" customHeight="1">
      <c r="A540" t="s">
        <v>852</v>
      </c>
      <c r="B540" s="245">
        <v>41206</v>
      </c>
      <c r="C540" s="126">
        <v>154.9</v>
      </c>
      <c r="D540" s="126">
        <v>154.30000000000001</v>
      </c>
      <c r="E540" s="126">
        <v>155.69999999999999</v>
      </c>
      <c r="F540">
        <v>154.80000000000001</v>
      </c>
      <c r="G540" s="321">
        <v>0.7873</v>
      </c>
      <c r="H540" s="123">
        <f t="shared" si="34"/>
        <v>552.7338739334192</v>
      </c>
      <c r="I540" s="123">
        <f t="shared" si="35"/>
        <v>550.59287764962289</v>
      </c>
      <c r="J540" s="123">
        <f t="shared" si="36"/>
        <v>555.58853564514754</v>
      </c>
      <c r="K540" s="123">
        <f t="shared" si="32"/>
        <v>552.37704121945319</v>
      </c>
      <c r="L540" s="176">
        <f t="shared" si="33"/>
        <v>552.82308211191071</v>
      </c>
      <c r="M540" s="227"/>
      <c r="N540" s="275"/>
    </row>
    <row r="541" spans="1:14" ht="21.75" customHeight="1">
      <c r="A541" t="s">
        <v>853</v>
      </c>
      <c r="B541" s="245">
        <v>41206</v>
      </c>
      <c r="C541" s="126">
        <v>147.4</v>
      </c>
      <c r="D541" s="126">
        <v>146.80000000000001</v>
      </c>
      <c r="E541" s="126">
        <v>147.4</v>
      </c>
      <c r="F541">
        <v>147.19999999999999</v>
      </c>
      <c r="G541" s="321">
        <v>0.7873</v>
      </c>
      <c r="H541" s="123">
        <f t="shared" si="34"/>
        <v>525.97142038596508</v>
      </c>
      <c r="I541" s="123">
        <f t="shared" si="35"/>
        <v>523.83042410216876</v>
      </c>
      <c r="J541" s="123">
        <f t="shared" si="36"/>
        <v>525.97142038596508</v>
      </c>
      <c r="K541" s="123">
        <f t="shared" si="32"/>
        <v>525.25775495803293</v>
      </c>
      <c r="L541" s="176">
        <f t="shared" si="33"/>
        <v>525.25775495803293</v>
      </c>
      <c r="M541" s="227">
        <f>AVERAGE(L538:L541)</f>
        <v>547.47059140241993</v>
      </c>
      <c r="N541" s="275">
        <f>STDEV(L538:L541)/M541</f>
        <v>2.7608981650337823E-2</v>
      </c>
    </row>
    <row r="542" spans="1:14" ht="21.75" customHeight="1">
      <c r="A542" t="s">
        <v>854</v>
      </c>
      <c r="B542" s="245">
        <v>41206</v>
      </c>
      <c r="C542" s="126">
        <v>156.19999999999999</v>
      </c>
      <c r="D542" s="126">
        <v>155.19999999999999</v>
      </c>
      <c r="E542" s="126">
        <v>155.4</v>
      </c>
      <c r="F542">
        <v>155.6</v>
      </c>
      <c r="G542" s="321">
        <v>0.7873</v>
      </c>
      <c r="H542" s="123">
        <f t="shared" si="34"/>
        <v>557.37269921497784</v>
      </c>
      <c r="I542" s="123">
        <f t="shared" si="35"/>
        <v>553.80437207531725</v>
      </c>
      <c r="J542" s="123">
        <f t="shared" si="36"/>
        <v>554.5180375032495</v>
      </c>
      <c r="K542" s="123">
        <f t="shared" si="32"/>
        <v>555.23170293118153</v>
      </c>
      <c r="L542" s="176">
        <f t="shared" si="33"/>
        <v>555.23170293118153</v>
      </c>
      <c r="M542" s="227"/>
      <c r="N542" s="275"/>
    </row>
    <row r="543" spans="1:14" ht="21.75" customHeight="1">
      <c r="A543" t="s">
        <v>855</v>
      </c>
      <c r="B543" s="245">
        <v>41206</v>
      </c>
      <c r="C543" s="126">
        <v>159.69999999999999</v>
      </c>
      <c r="D543" s="126">
        <v>157.1</v>
      </c>
      <c r="E543" s="126">
        <v>156.80000000000001</v>
      </c>
      <c r="F543">
        <v>162.1</v>
      </c>
      <c r="G543" s="321">
        <v>0.7873</v>
      </c>
      <c r="H543" s="123">
        <f t="shared" si="34"/>
        <v>569.86184420378981</v>
      </c>
      <c r="I543" s="123">
        <f t="shared" si="35"/>
        <v>560.58419364067231</v>
      </c>
      <c r="J543" s="123">
        <f t="shared" si="36"/>
        <v>559.51369549877427</v>
      </c>
      <c r="K543" s="123">
        <f t="shared" si="32"/>
        <v>578.42582933897506</v>
      </c>
      <c r="L543" s="176">
        <f t="shared" si="33"/>
        <v>567.09639067055286</v>
      </c>
      <c r="M543" s="227"/>
      <c r="N543" s="275"/>
    </row>
    <row r="544" spans="1:14" ht="21.75" customHeight="1">
      <c r="A544" t="s">
        <v>857</v>
      </c>
      <c r="B544" s="245">
        <v>41206</v>
      </c>
      <c r="C544" s="126">
        <v>101.4</v>
      </c>
      <c r="D544" s="126">
        <v>101.2</v>
      </c>
      <c r="E544" s="126">
        <v>101.4</v>
      </c>
      <c r="F544">
        <v>101.6</v>
      </c>
      <c r="G544" s="321">
        <v>0.7873</v>
      </c>
      <c r="H544" s="123">
        <f t="shared" si="34"/>
        <v>361.82837196157982</v>
      </c>
      <c r="I544" s="123">
        <f t="shared" si="35"/>
        <v>361.11470653364768</v>
      </c>
      <c r="J544" s="123">
        <f t="shared" si="36"/>
        <v>361.82837196157982</v>
      </c>
      <c r="K544" s="123">
        <f t="shared" si="32"/>
        <v>362.54203738951185</v>
      </c>
      <c r="L544" s="176">
        <f t="shared" si="33"/>
        <v>361.82837196157982</v>
      </c>
      <c r="M544" s="227"/>
      <c r="N544" s="275"/>
    </row>
    <row r="545" spans="1:14" ht="21.75" customHeight="1">
      <c r="A545" t="s">
        <v>859</v>
      </c>
      <c r="B545" s="245">
        <v>41206</v>
      </c>
      <c r="C545" s="126">
        <v>156.5</v>
      </c>
      <c r="D545" s="126">
        <v>156.6</v>
      </c>
      <c r="E545" s="126">
        <v>157.6</v>
      </c>
      <c r="F545">
        <v>161</v>
      </c>
      <c r="G545" s="321">
        <v>0.7873</v>
      </c>
      <c r="H545" s="123">
        <f t="shared" si="34"/>
        <v>558.44319735687611</v>
      </c>
      <c r="I545" s="123">
        <f t="shared" si="35"/>
        <v>558.80003007084213</v>
      </c>
      <c r="J545" s="123">
        <f t="shared" si="36"/>
        <v>562.36835721050261</v>
      </c>
      <c r="K545" s="123">
        <f t="shared" si="32"/>
        <v>574.50066948534857</v>
      </c>
      <c r="L545" s="176">
        <f t="shared" si="33"/>
        <v>563.52806353089238</v>
      </c>
      <c r="M545" s="227">
        <f>AVERAGE(L542:L545)</f>
        <v>511.92113227355162</v>
      </c>
      <c r="N545" s="275">
        <f>STDEV(L542:L545)/M545</f>
        <v>0.19570437719112344</v>
      </c>
    </row>
    <row r="546" spans="1:14" ht="21.75" customHeight="1">
      <c r="A546" t="s">
        <v>842</v>
      </c>
      <c r="B546" s="245">
        <v>41207</v>
      </c>
      <c r="C546" s="126">
        <v>178.3</v>
      </c>
      <c r="D546" s="126">
        <v>179.8</v>
      </c>
      <c r="E546" s="126">
        <v>176.5</v>
      </c>
      <c r="F546">
        <v>176.6</v>
      </c>
      <c r="G546" s="321">
        <v>0.7873</v>
      </c>
      <c r="H546" s="123">
        <f t="shared" si="34"/>
        <v>636.23272900147617</v>
      </c>
      <c r="I546" s="123">
        <f t="shared" si="35"/>
        <v>641.58521971096684</v>
      </c>
      <c r="J546" s="123">
        <f t="shared" si="36"/>
        <v>629.80974015008701</v>
      </c>
      <c r="K546" s="123">
        <f t="shared" si="32"/>
        <v>630.16657286405314</v>
      </c>
      <c r="L546" s="176">
        <f t="shared" si="33"/>
        <v>634.44856543164576</v>
      </c>
      <c r="M546" s="227"/>
      <c r="N546" s="275"/>
    </row>
    <row r="547" spans="1:14" ht="21.75" customHeight="1">
      <c r="A547" t="s">
        <v>845</v>
      </c>
      <c r="B547" s="245">
        <v>41207</v>
      </c>
      <c r="C547" s="126">
        <v>176.7</v>
      </c>
      <c r="D547" s="126">
        <v>177.9</v>
      </c>
      <c r="E547" s="126">
        <v>176.6</v>
      </c>
      <c r="F547">
        <v>177.9</v>
      </c>
      <c r="G547" s="321">
        <v>0.7873</v>
      </c>
      <c r="H547" s="123">
        <f t="shared" si="34"/>
        <v>630.52340557801915</v>
      </c>
      <c r="I547" s="123">
        <f t="shared" si="35"/>
        <v>634.80539814561178</v>
      </c>
      <c r="J547" s="123">
        <f t="shared" si="36"/>
        <v>630.16657286405314</v>
      </c>
      <c r="K547" s="123">
        <f t="shared" si="32"/>
        <v>634.80539814561178</v>
      </c>
      <c r="L547" s="176">
        <f t="shared" si="33"/>
        <v>632.57519368332396</v>
      </c>
      <c r="M547" s="227"/>
      <c r="N547" s="275"/>
    </row>
    <row r="548" spans="1:14" ht="21.75" customHeight="1">
      <c r="A548" t="s">
        <v>860</v>
      </c>
      <c r="B548" s="245">
        <v>41208</v>
      </c>
      <c r="C548" s="126">
        <v>114.9</v>
      </c>
      <c r="D548" s="126">
        <v>114.6</v>
      </c>
      <c r="E548" s="126">
        <v>112.7</v>
      </c>
      <c r="F548">
        <v>113.8</v>
      </c>
      <c r="G548" s="321">
        <v>0.7873</v>
      </c>
      <c r="H548" s="123">
        <f t="shared" si="34"/>
        <v>410.00078834699718</v>
      </c>
      <c r="I548" s="123">
        <f t="shared" si="35"/>
        <v>408.93029020509903</v>
      </c>
      <c r="J548" s="123">
        <f t="shared" si="36"/>
        <v>402.15046863974396</v>
      </c>
      <c r="K548" s="123">
        <f t="shared" si="32"/>
        <v>406.07562849337057</v>
      </c>
      <c r="L548" s="176">
        <f t="shared" si="33"/>
        <v>406.78929392130271</v>
      </c>
      <c r="M548" s="227"/>
      <c r="N548" s="275"/>
    </row>
    <row r="549" spans="1:14" ht="21.75" customHeight="1">
      <c r="A549" t="s">
        <v>861</v>
      </c>
      <c r="B549" s="245">
        <v>41208</v>
      </c>
      <c r="C549" s="126">
        <v>110.7</v>
      </c>
      <c r="D549" s="126">
        <v>111.4</v>
      </c>
      <c r="E549" s="126">
        <v>111</v>
      </c>
      <c r="F549">
        <v>111</v>
      </c>
      <c r="G549" s="321">
        <v>0.7873</v>
      </c>
      <c r="H549" s="123">
        <f t="shared" si="34"/>
        <v>395.01381436042288</v>
      </c>
      <c r="I549" s="123">
        <f t="shared" si="35"/>
        <v>397.51164335818532</v>
      </c>
      <c r="J549" s="123">
        <f t="shared" si="36"/>
        <v>396.08431250232104</v>
      </c>
      <c r="K549" s="123">
        <f t="shared" si="32"/>
        <v>396.08431250232104</v>
      </c>
      <c r="L549" s="176">
        <f t="shared" si="33"/>
        <v>396.17352068081254</v>
      </c>
      <c r="M549" s="227"/>
      <c r="N549" s="275"/>
    </row>
    <row r="550" spans="1:14" ht="21.75" customHeight="1">
      <c r="A550" t="s">
        <v>862</v>
      </c>
      <c r="B550" s="245">
        <v>41208</v>
      </c>
      <c r="C550" s="126">
        <v>108.1</v>
      </c>
      <c r="D550" s="126">
        <v>108.2</v>
      </c>
      <c r="E550" s="126">
        <v>108.1</v>
      </c>
      <c r="F550">
        <v>107.7</v>
      </c>
      <c r="G550" s="321">
        <v>0.7873</v>
      </c>
      <c r="H550" s="123">
        <f t="shared" si="34"/>
        <v>385.73616379730544</v>
      </c>
      <c r="I550" s="123">
        <f t="shared" si="35"/>
        <v>386.09299651127151</v>
      </c>
      <c r="J550" s="123">
        <f t="shared" si="36"/>
        <v>385.73616379730544</v>
      </c>
      <c r="K550" s="123">
        <f t="shared" si="32"/>
        <v>384.30883294144127</v>
      </c>
      <c r="L550" s="176">
        <f t="shared" si="33"/>
        <v>385.46853926183093</v>
      </c>
      <c r="M550" s="227"/>
      <c r="N550" s="275"/>
    </row>
    <row r="551" spans="1:14" ht="21.75" customHeight="1">
      <c r="A551" t="s">
        <v>863</v>
      </c>
      <c r="B551" s="245">
        <v>41208</v>
      </c>
      <c r="C551" s="126">
        <v>111.1</v>
      </c>
      <c r="D551" s="126">
        <v>110.2</v>
      </c>
      <c r="E551" s="126">
        <v>110.5</v>
      </c>
      <c r="F551">
        <v>109.8</v>
      </c>
      <c r="G551" s="321">
        <v>0.7873</v>
      </c>
      <c r="H551" s="123">
        <f t="shared" si="34"/>
        <v>396.44114521628711</v>
      </c>
      <c r="I551" s="123">
        <f t="shared" si="35"/>
        <v>393.22965079059264</v>
      </c>
      <c r="J551" s="123">
        <f t="shared" si="36"/>
        <v>394.30014893249074</v>
      </c>
      <c r="K551" s="123">
        <f t="shared" si="32"/>
        <v>391.80231993472836</v>
      </c>
      <c r="L551" s="176">
        <f t="shared" si="33"/>
        <v>393.94331621852467</v>
      </c>
      <c r="M551" s="227">
        <f>AVERAGE(L548:L551)</f>
        <v>395.59366752061771</v>
      </c>
      <c r="N551" s="275">
        <f>STDEV(L548:L551)/M551</f>
        <v>2.217792795171392E-2</v>
      </c>
    </row>
    <row r="552" spans="1:14" ht="21.75" customHeight="1">
      <c r="A552" t="s">
        <v>851</v>
      </c>
      <c r="B552" s="245">
        <v>41208</v>
      </c>
      <c r="C552" s="126">
        <v>163.5</v>
      </c>
      <c r="D552" s="126">
        <v>163</v>
      </c>
      <c r="E552" s="126">
        <v>163</v>
      </c>
      <c r="F552">
        <v>162.69999999999999</v>
      </c>
      <c r="G552" s="321">
        <v>0.7873</v>
      </c>
      <c r="H552" s="123">
        <f t="shared" si="34"/>
        <v>583.42148733449983</v>
      </c>
      <c r="I552" s="123">
        <f t="shared" si="35"/>
        <v>581.63732376466965</v>
      </c>
      <c r="J552" s="123">
        <f t="shared" si="36"/>
        <v>581.63732376466965</v>
      </c>
      <c r="K552" s="123">
        <f t="shared" si="32"/>
        <v>580.56682562277138</v>
      </c>
      <c r="L552" s="176">
        <f t="shared" si="33"/>
        <v>581.81574012165265</v>
      </c>
      <c r="M552" s="227"/>
      <c r="N552" s="275"/>
    </row>
    <row r="553" spans="1:14" ht="21.75" customHeight="1">
      <c r="A553" t="s">
        <v>855</v>
      </c>
      <c r="B553" s="245">
        <v>41208</v>
      </c>
      <c r="C553" s="126">
        <v>166.4</v>
      </c>
      <c r="D553" s="126">
        <v>166</v>
      </c>
      <c r="E553" s="126">
        <v>167.4</v>
      </c>
      <c r="F553">
        <v>167.1</v>
      </c>
      <c r="G553" s="321">
        <v>0.7873</v>
      </c>
      <c r="H553" s="123">
        <f t="shared" si="34"/>
        <v>593.76963603951549</v>
      </c>
      <c r="I553" s="123">
        <f t="shared" si="35"/>
        <v>592.34230518365132</v>
      </c>
      <c r="J553" s="123">
        <f t="shared" si="36"/>
        <v>597.33796317917609</v>
      </c>
      <c r="K553" s="123">
        <f t="shared" si="32"/>
        <v>596.26746503727793</v>
      </c>
      <c r="L553" s="176">
        <f t="shared" si="33"/>
        <v>594.92934235990526</v>
      </c>
      <c r="M553" s="227"/>
      <c r="N553" s="275"/>
    </row>
    <row r="554" spans="1:14" ht="21.75" customHeight="1">
      <c r="A554" t="s">
        <v>832</v>
      </c>
      <c r="B554" s="245">
        <v>41213</v>
      </c>
      <c r="C554" s="126">
        <v>126.6</v>
      </c>
      <c r="D554" s="126">
        <v>125.6</v>
      </c>
      <c r="E554" s="126">
        <v>128</v>
      </c>
      <c r="F554">
        <v>125.5</v>
      </c>
      <c r="G554" s="321">
        <v>0.7873</v>
      </c>
      <c r="H554" s="123">
        <f t="shared" si="34"/>
        <v>451.75021588102561</v>
      </c>
      <c r="I554" s="123">
        <f t="shared" si="35"/>
        <v>448.18188874136501</v>
      </c>
      <c r="J554" s="123">
        <f t="shared" si="36"/>
        <v>456.74587387655038</v>
      </c>
      <c r="K554" s="123">
        <f t="shared" si="32"/>
        <v>447.825056027399</v>
      </c>
      <c r="L554" s="176">
        <f t="shared" si="33"/>
        <v>451.12575863158497</v>
      </c>
      <c r="M554" s="227"/>
      <c r="N554" s="275"/>
    </row>
    <row r="555" spans="1:14" ht="21.75" customHeight="1">
      <c r="A555" t="s">
        <v>860</v>
      </c>
      <c r="B555" s="245">
        <v>41213</v>
      </c>
      <c r="C555" s="126">
        <v>120.7</v>
      </c>
      <c r="D555" s="126">
        <v>119.5</v>
      </c>
      <c r="E555" s="126">
        <v>119</v>
      </c>
      <c r="F555">
        <v>117.9</v>
      </c>
      <c r="G555" s="321">
        <v>0.7873</v>
      </c>
      <c r="H555" s="123">
        <f t="shared" si="34"/>
        <v>430.69708575702839</v>
      </c>
      <c r="I555" s="123">
        <f t="shared" si="35"/>
        <v>426.41509318943571</v>
      </c>
      <c r="J555" s="123">
        <f t="shared" si="36"/>
        <v>424.63092961960541</v>
      </c>
      <c r="K555" s="123">
        <f t="shared" si="32"/>
        <v>420.70576976597886</v>
      </c>
      <c r="L555" s="176">
        <f t="shared" si="33"/>
        <v>425.61221958301212</v>
      </c>
      <c r="M555" s="227"/>
      <c r="N555" s="275"/>
    </row>
    <row r="556" spans="1:14" ht="21.75" customHeight="1">
      <c r="A556" t="s">
        <v>865</v>
      </c>
      <c r="B556" s="245">
        <v>41213</v>
      </c>
      <c r="C556" s="126">
        <v>81.7</v>
      </c>
      <c r="D556" s="126">
        <v>81.8</v>
      </c>
      <c r="E556" s="126">
        <v>82.1</v>
      </c>
      <c r="F556">
        <v>82</v>
      </c>
      <c r="G556" s="321">
        <v>0.7873</v>
      </c>
      <c r="H556" s="123">
        <f t="shared" si="34"/>
        <v>291.53232731026696</v>
      </c>
      <c r="I556" s="123">
        <f t="shared" si="35"/>
        <v>291.88916002423298</v>
      </c>
      <c r="J556" s="123">
        <f t="shared" si="36"/>
        <v>292.95965816613113</v>
      </c>
      <c r="K556" s="123">
        <f t="shared" si="32"/>
        <v>292.60282545216506</v>
      </c>
      <c r="L556" s="176">
        <f t="shared" si="33"/>
        <v>292.24599273819905</v>
      </c>
      <c r="M556" s="227"/>
      <c r="N556" s="275"/>
    </row>
    <row r="557" spans="1:14" ht="21.75" customHeight="1">
      <c r="A557" t="s">
        <v>866</v>
      </c>
      <c r="B557" s="245">
        <v>41213</v>
      </c>
      <c r="C557" s="126">
        <v>82.8</v>
      </c>
      <c r="D557" s="126">
        <v>84.1</v>
      </c>
      <c r="E557" s="126">
        <v>83.1</v>
      </c>
      <c r="F557">
        <v>83.9</v>
      </c>
      <c r="G557" s="321">
        <v>0.7873</v>
      </c>
      <c r="H557" s="123">
        <f t="shared" si="34"/>
        <v>295.45748716389352</v>
      </c>
      <c r="I557" s="123">
        <f t="shared" si="35"/>
        <v>300.09631244545221</v>
      </c>
      <c r="J557" s="123">
        <f t="shared" si="36"/>
        <v>296.52798530579167</v>
      </c>
      <c r="K557" s="123">
        <f t="shared" si="32"/>
        <v>299.38264701752013</v>
      </c>
      <c r="L557" s="176">
        <f t="shared" si="33"/>
        <v>297.8661079831644</v>
      </c>
      <c r="M557" s="227"/>
      <c r="N557" s="275"/>
    </row>
    <row r="558" spans="1:14" ht="21.75" customHeight="1">
      <c r="A558" t="s">
        <v>868</v>
      </c>
      <c r="B558" s="245">
        <v>41213</v>
      </c>
      <c r="C558" s="126">
        <v>81.900000000000006</v>
      </c>
      <c r="D558" s="126">
        <v>81.5</v>
      </c>
      <c r="E558" s="126">
        <v>82.5</v>
      </c>
      <c r="F558">
        <v>81.900000000000006</v>
      </c>
      <c r="G558" s="321">
        <v>0.7873</v>
      </c>
      <c r="H558" s="123">
        <f t="shared" si="34"/>
        <v>292.24599273819905</v>
      </c>
      <c r="I558" s="123">
        <f t="shared" si="35"/>
        <v>290.81866188233482</v>
      </c>
      <c r="J558" s="123">
        <f t="shared" si="36"/>
        <v>294.38698902199536</v>
      </c>
      <c r="K558" s="123">
        <f t="shared" si="32"/>
        <v>292.24599273819905</v>
      </c>
      <c r="L558" s="176">
        <f t="shared" si="33"/>
        <v>292.42440909518206</v>
      </c>
      <c r="M558" s="227"/>
      <c r="N558" s="275"/>
    </row>
    <row r="559" spans="1:14" ht="21.75" customHeight="1">
      <c r="A559" t="s">
        <v>869</v>
      </c>
      <c r="B559" s="245">
        <v>41213</v>
      </c>
      <c r="C559" s="126">
        <v>85.5</v>
      </c>
      <c r="D559" s="126">
        <v>85.9</v>
      </c>
      <c r="E559" s="126">
        <v>84.5</v>
      </c>
      <c r="F559">
        <v>85</v>
      </c>
      <c r="G559" s="321">
        <v>0.7873</v>
      </c>
      <c r="H559" s="123">
        <f t="shared" si="34"/>
        <v>305.09197044097704</v>
      </c>
      <c r="I559" s="123">
        <f t="shared" si="35"/>
        <v>306.51930129684126</v>
      </c>
      <c r="J559" s="123">
        <f t="shared" si="36"/>
        <v>301.5236433013165</v>
      </c>
      <c r="K559" s="123">
        <f t="shared" si="32"/>
        <v>303.30780687114674</v>
      </c>
      <c r="L559" s="176">
        <f t="shared" si="33"/>
        <v>304.11068047757038</v>
      </c>
      <c r="M559" s="227">
        <f>AVERAGE(L556:L559)</f>
        <v>296.66179757352899</v>
      </c>
      <c r="N559" s="275">
        <f>STDEV(L556:L559)/M559</f>
        <v>1.8907890277331547E-2</v>
      </c>
    </row>
    <row r="560" spans="1:14" ht="21.75" customHeight="1">
      <c r="A560" t="s">
        <v>870</v>
      </c>
      <c r="B560" s="245">
        <v>41214</v>
      </c>
      <c r="C560" s="126">
        <v>132.1</v>
      </c>
      <c r="D560" s="126">
        <v>135.1</v>
      </c>
      <c r="E560" s="126">
        <v>133.9</v>
      </c>
      <c r="F560">
        <v>131.69999999999999</v>
      </c>
      <c r="G560" s="321">
        <v>0.7873</v>
      </c>
      <c r="H560" s="123">
        <f t="shared" si="34"/>
        <v>471.3760151491586</v>
      </c>
      <c r="I560" s="123">
        <f t="shared" si="35"/>
        <v>482.08099656814034</v>
      </c>
      <c r="J560" s="123">
        <f t="shared" si="36"/>
        <v>477.79900400054765</v>
      </c>
      <c r="K560" s="123">
        <f t="shared" si="32"/>
        <v>469.94868429329438</v>
      </c>
      <c r="L560" s="176">
        <f t="shared" si="33"/>
        <v>475.30117500278527</v>
      </c>
      <c r="M560" s="227"/>
      <c r="N560" s="275"/>
    </row>
    <row r="561" spans="1:14" ht="21.75" customHeight="1">
      <c r="A561" t="s">
        <v>871</v>
      </c>
      <c r="B561" s="245">
        <v>41214</v>
      </c>
      <c r="C561" s="126">
        <v>130.19999999999999</v>
      </c>
      <c r="D561" s="126">
        <v>130.19999999999999</v>
      </c>
      <c r="E561" s="126">
        <v>129.9</v>
      </c>
      <c r="F561">
        <v>130.4</v>
      </c>
      <c r="G561" s="321">
        <v>0.7873</v>
      </c>
      <c r="H561" s="123">
        <f t="shared" si="34"/>
        <v>464.59619358380354</v>
      </c>
      <c r="I561" s="123">
        <f t="shared" si="35"/>
        <v>464.59619358380354</v>
      </c>
      <c r="J561" s="123">
        <f t="shared" si="36"/>
        <v>463.52569544190544</v>
      </c>
      <c r="K561" s="123">
        <f t="shared" si="32"/>
        <v>465.30985901173574</v>
      </c>
      <c r="L561" s="176">
        <f t="shared" si="33"/>
        <v>464.50698540531209</v>
      </c>
      <c r="M561" s="227"/>
      <c r="N561" s="275"/>
    </row>
    <row r="562" spans="1:14" ht="21.75" customHeight="1">
      <c r="A562" t="s">
        <v>872</v>
      </c>
      <c r="B562" s="245">
        <v>41214</v>
      </c>
      <c r="C562" s="126">
        <v>158.19999999999999</v>
      </c>
      <c r="D562" s="126">
        <v>156.9</v>
      </c>
      <c r="E562" s="126">
        <v>158.9</v>
      </c>
      <c r="F562">
        <v>156.4</v>
      </c>
      <c r="G562" s="321">
        <v>0.7873</v>
      </c>
      <c r="H562" s="123">
        <f t="shared" si="34"/>
        <v>564.50935349429903</v>
      </c>
      <c r="I562" s="123">
        <f t="shared" si="35"/>
        <v>559.87052821274028</v>
      </c>
      <c r="J562" s="123">
        <f t="shared" si="36"/>
        <v>567.00718249206136</v>
      </c>
      <c r="K562" s="123">
        <f t="shared" ref="K562:K625" si="37">(F562*(PI()/LN(2)))*$G562</f>
        <v>558.0863646429101</v>
      </c>
      <c r="L562" s="176">
        <f t="shared" ref="L562:L625" si="38">AVERAGE(H562:K562)</f>
        <v>562.36835721050272</v>
      </c>
      <c r="M562" s="227"/>
      <c r="N562" s="275"/>
    </row>
    <row r="563" spans="1:14" ht="21.75" customHeight="1">
      <c r="A563" t="s">
        <v>873</v>
      </c>
      <c r="B563" s="245">
        <v>41214</v>
      </c>
      <c r="C563" s="126">
        <v>130.5</v>
      </c>
      <c r="D563" s="126">
        <v>131.19999999999999</v>
      </c>
      <c r="E563" s="126">
        <v>131.30000000000001</v>
      </c>
      <c r="F563">
        <v>131.4</v>
      </c>
      <c r="G563" s="321">
        <v>0.7873</v>
      </c>
      <c r="H563" s="123">
        <f t="shared" si="34"/>
        <v>465.66669172570181</v>
      </c>
      <c r="I563" s="123">
        <f t="shared" si="35"/>
        <v>468.16452072346414</v>
      </c>
      <c r="J563" s="123">
        <f t="shared" si="36"/>
        <v>468.52135343743026</v>
      </c>
      <c r="K563" s="123">
        <f t="shared" si="37"/>
        <v>468.87818615139633</v>
      </c>
      <c r="L563" s="176">
        <f t="shared" si="38"/>
        <v>467.80768800949818</v>
      </c>
      <c r="M563" s="227">
        <f>AVERAGE(L560:L563)</f>
        <v>492.49605140702454</v>
      </c>
      <c r="N563" s="275">
        <f>STDEV(L560:L563)/M563</f>
        <v>9.5026041312571877E-2</v>
      </c>
    </row>
    <row r="564" spans="1:14" ht="21.75" customHeight="1">
      <c r="A564" t="s">
        <v>866</v>
      </c>
      <c r="B564" s="245">
        <v>41214</v>
      </c>
      <c r="C564" s="126">
        <v>87.3</v>
      </c>
      <c r="D564" s="126">
        <v>86.9</v>
      </c>
      <c r="E564" s="126">
        <v>85.9</v>
      </c>
      <c r="F564">
        <v>87.3</v>
      </c>
      <c r="G564" s="321">
        <v>0.7873</v>
      </c>
      <c r="H564" s="123">
        <f t="shared" si="34"/>
        <v>311.51495929236597</v>
      </c>
      <c r="I564" s="123">
        <f t="shared" si="35"/>
        <v>310.0876284365018</v>
      </c>
      <c r="J564" s="123">
        <f t="shared" si="36"/>
        <v>306.51930129684126</v>
      </c>
      <c r="K564" s="123">
        <f t="shared" si="37"/>
        <v>311.51495929236597</v>
      </c>
      <c r="L564" s="176">
        <f t="shared" si="38"/>
        <v>309.90921207951874</v>
      </c>
      <c r="M564" s="227"/>
      <c r="N564" s="275"/>
    </row>
    <row r="565" spans="1:14" ht="21.75" customHeight="1">
      <c r="A565" t="s">
        <v>871</v>
      </c>
      <c r="B565" s="245">
        <v>41214</v>
      </c>
      <c r="C565" s="126">
        <v>132.19999999999999</v>
      </c>
      <c r="D565" s="126">
        <v>132.4</v>
      </c>
      <c r="E565" s="126">
        <v>132.4</v>
      </c>
      <c r="F565">
        <v>133.80000000000001</v>
      </c>
      <c r="G565" s="321">
        <v>0.7873</v>
      </c>
      <c r="H565" s="123">
        <f t="shared" si="34"/>
        <v>471.73284786312468</v>
      </c>
      <c r="I565" s="123">
        <f t="shared" si="35"/>
        <v>472.44651329105687</v>
      </c>
      <c r="J565" s="123">
        <f t="shared" si="36"/>
        <v>472.44651329105687</v>
      </c>
      <c r="K565" s="123">
        <f t="shared" si="37"/>
        <v>477.44217128658164</v>
      </c>
      <c r="L565" s="176">
        <f t="shared" si="38"/>
        <v>473.51701143295503</v>
      </c>
      <c r="M565" s="227"/>
      <c r="N565" s="275"/>
    </row>
    <row r="566" spans="1:14" ht="21.75" customHeight="1">
      <c r="A566" t="s">
        <v>874</v>
      </c>
      <c r="B566" s="245">
        <v>41215</v>
      </c>
      <c r="C566" s="126">
        <v>129.30000000000001</v>
      </c>
      <c r="D566" s="126">
        <v>128.69999999999999</v>
      </c>
      <c r="E566" s="126">
        <v>130.9</v>
      </c>
      <c r="F566">
        <v>128.9</v>
      </c>
      <c r="G566" s="321">
        <v>0.7873</v>
      </c>
      <c r="H566" s="123">
        <f t="shared" si="34"/>
        <v>461.38469915810913</v>
      </c>
      <c r="I566" s="123">
        <f t="shared" si="35"/>
        <v>459.2437028743127</v>
      </c>
      <c r="J566" s="123">
        <f t="shared" si="36"/>
        <v>467.09402258156604</v>
      </c>
      <c r="K566" s="123">
        <f t="shared" si="37"/>
        <v>459.9573683022449</v>
      </c>
      <c r="L566" s="176">
        <f t="shared" si="38"/>
        <v>461.91994822905821</v>
      </c>
      <c r="M566" s="227"/>
      <c r="N566" s="275"/>
    </row>
    <row r="567" spans="1:14" ht="21.75" customHeight="1">
      <c r="A567" t="s">
        <v>875</v>
      </c>
      <c r="B567" s="245">
        <v>41215</v>
      </c>
      <c r="C567" s="126">
        <v>123.9</v>
      </c>
      <c r="D567" s="126">
        <v>125.6</v>
      </c>
      <c r="E567" s="126">
        <v>124.3</v>
      </c>
      <c r="F567">
        <v>124.5</v>
      </c>
      <c r="G567" s="321">
        <v>0.7873</v>
      </c>
      <c r="H567" s="123">
        <f t="shared" si="34"/>
        <v>442.11573260394215</v>
      </c>
      <c r="I567" s="123">
        <f t="shared" si="35"/>
        <v>448.18188874136501</v>
      </c>
      <c r="J567" s="123">
        <f t="shared" si="36"/>
        <v>443.54306345980632</v>
      </c>
      <c r="K567" s="123">
        <f t="shared" si="37"/>
        <v>444.25672888773852</v>
      </c>
      <c r="L567" s="176">
        <f t="shared" si="38"/>
        <v>444.52435342321297</v>
      </c>
      <c r="M567" s="227"/>
      <c r="N567" s="275"/>
    </row>
    <row r="568" spans="1:14" ht="21.75" customHeight="1">
      <c r="A568" t="s">
        <v>876</v>
      </c>
      <c r="B568" s="245">
        <v>41215</v>
      </c>
      <c r="C568" s="126">
        <v>125.8</v>
      </c>
      <c r="D568" s="126">
        <v>124.6</v>
      </c>
      <c r="E568" s="126">
        <v>128.69999999999999</v>
      </c>
      <c r="F568">
        <v>125.3</v>
      </c>
      <c r="G568" s="321">
        <v>0.7873</v>
      </c>
      <c r="H568" s="123">
        <f t="shared" si="34"/>
        <v>448.89555416929716</v>
      </c>
      <c r="I568" s="123">
        <f t="shared" si="35"/>
        <v>444.61356160170448</v>
      </c>
      <c r="J568" s="123">
        <f t="shared" si="36"/>
        <v>459.2437028743127</v>
      </c>
      <c r="K568" s="123">
        <f t="shared" si="37"/>
        <v>447.11139059946686</v>
      </c>
      <c r="L568" s="176">
        <f t="shared" si="38"/>
        <v>449.96605231119531</v>
      </c>
      <c r="M568" s="227"/>
      <c r="N568" s="275"/>
    </row>
    <row r="569" spans="1:14" ht="21.75" customHeight="1">
      <c r="A569" t="s">
        <v>878</v>
      </c>
      <c r="B569" s="245">
        <v>41215</v>
      </c>
      <c r="C569" s="126">
        <v>125</v>
      </c>
      <c r="D569" s="126">
        <v>125.3</v>
      </c>
      <c r="E569" s="126">
        <v>125.8</v>
      </c>
      <c r="F569">
        <v>125.4</v>
      </c>
      <c r="G569" s="321">
        <v>0.7873</v>
      </c>
      <c r="H569" s="123">
        <f t="shared" si="34"/>
        <v>446.0408924575687</v>
      </c>
      <c r="I569" s="123">
        <f t="shared" si="35"/>
        <v>447.11139059946686</v>
      </c>
      <c r="J569" s="123">
        <f t="shared" si="36"/>
        <v>448.89555416929716</v>
      </c>
      <c r="K569" s="123">
        <f t="shared" si="37"/>
        <v>447.46822331343304</v>
      </c>
      <c r="L569" s="176">
        <f t="shared" si="38"/>
        <v>447.37901513494148</v>
      </c>
      <c r="M569" s="227">
        <f>AVERAGE(L566:L569)</f>
        <v>450.94734227460202</v>
      </c>
      <c r="N569" s="275">
        <f>STDEV(L566:L569)/M569</f>
        <v>1.6953715276190964E-2</v>
      </c>
    </row>
    <row r="570" spans="1:14" ht="21.75" customHeight="1">
      <c r="A570" t="s">
        <v>879</v>
      </c>
      <c r="B570" s="245">
        <v>41215</v>
      </c>
      <c r="C570" s="126">
        <v>141.69999999999999</v>
      </c>
      <c r="D570" s="126">
        <v>141.4</v>
      </c>
      <c r="E570" s="126">
        <v>142.5</v>
      </c>
      <c r="F570">
        <v>140.9</v>
      </c>
      <c r="G570" s="321">
        <v>0.7873</v>
      </c>
      <c r="H570" s="123">
        <f t="shared" si="34"/>
        <v>505.63195568989983</v>
      </c>
      <c r="I570" s="123">
        <f t="shared" si="35"/>
        <v>504.56145754800178</v>
      </c>
      <c r="J570" s="123">
        <f t="shared" si="36"/>
        <v>508.48661740162839</v>
      </c>
      <c r="K570" s="123">
        <f t="shared" si="37"/>
        <v>502.77729397817149</v>
      </c>
      <c r="L570" s="176">
        <f t="shared" si="38"/>
        <v>505.36433115442537</v>
      </c>
      <c r="M570" s="227"/>
      <c r="N570" s="275"/>
    </row>
    <row r="571" spans="1:14" ht="21.75" customHeight="1">
      <c r="A571" t="s">
        <v>880</v>
      </c>
      <c r="B571" s="245">
        <v>41215</v>
      </c>
      <c r="C571" s="126">
        <v>127.5</v>
      </c>
      <c r="D571" s="126">
        <v>128.30000000000001</v>
      </c>
      <c r="E571" s="126">
        <v>128.19999999999999</v>
      </c>
      <c r="F571">
        <v>127.9</v>
      </c>
      <c r="G571" s="321">
        <v>0.7873</v>
      </c>
      <c r="H571" s="123">
        <f t="shared" si="34"/>
        <v>454.96171030672014</v>
      </c>
      <c r="I571" s="123">
        <f t="shared" si="35"/>
        <v>457.81637201844859</v>
      </c>
      <c r="J571" s="123">
        <f t="shared" si="36"/>
        <v>457.45953930448252</v>
      </c>
      <c r="K571" s="123">
        <f t="shared" si="37"/>
        <v>456.38904116258436</v>
      </c>
      <c r="L571" s="176">
        <f t="shared" si="38"/>
        <v>456.65666569805887</v>
      </c>
      <c r="M571" s="227"/>
      <c r="N571" s="275"/>
    </row>
    <row r="572" spans="1:14" ht="21.75" customHeight="1">
      <c r="A572" t="s">
        <v>881</v>
      </c>
      <c r="B572" s="245">
        <v>41215</v>
      </c>
      <c r="C572" s="126">
        <v>162.4</v>
      </c>
      <c r="D572" s="126">
        <v>166.7</v>
      </c>
      <c r="E572" s="126">
        <v>169.6</v>
      </c>
      <c r="F572">
        <v>166</v>
      </c>
      <c r="G572" s="321">
        <v>0.7873</v>
      </c>
      <c r="H572" s="123">
        <f t="shared" si="34"/>
        <v>579.49632748087333</v>
      </c>
      <c r="I572" s="123">
        <f t="shared" si="35"/>
        <v>594.84013418141365</v>
      </c>
      <c r="J572" s="123">
        <f t="shared" si="36"/>
        <v>605.18828288642919</v>
      </c>
      <c r="K572" s="123">
        <f t="shared" si="37"/>
        <v>592.34230518365132</v>
      </c>
      <c r="L572" s="176">
        <f t="shared" si="38"/>
        <v>592.96676243309184</v>
      </c>
      <c r="M572" s="227"/>
      <c r="N572" s="275"/>
    </row>
    <row r="573" spans="1:14" ht="21.75" customHeight="1">
      <c r="A573" t="s">
        <v>882</v>
      </c>
      <c r="B573" s="245">
        <v>41215</v>
      </c>
      <c r="C573" s="126">
        <v>128.9</v>
      </c>
      <c r="D573" s="126">
        <v>129.5</v>
      </c>
      <c r="E573" s="126">
        <v>129.19999999999999</v>
      </c>
      <c r="F573">
        <v>129.4</v>
      </c>
      <c r="G573" s="321">
        <v>0.7873</v>
      </c>
      <c r="H573" s="123">
        <f t="shared" si="34"/>
        <v>459.9573683022449</v>
      </c>
      <c r="I573" s="123">
        <f t="shared" si="35"/>
        <v>462.09836458604121</v>
      </c>
      <c r="J573" s="123">
        <f t="shared" si="36"/>
        <v>461.027866444143</v>
      </c>
      <c r="K573" s="123">
        <f t="shared" si="37"/>
        <v>461.7415318720752</v>
      </c>
      <c r="L573" s="176">
        <f t="shared" si="38"/>
        <v>461.20628280112606</v>
      </c>
      <c r="M573" s="227">
        <f>AVERAGE(L570:L573)</f>
        <v>504.0485105216755</v>
      </c>
      <c r="N573" s="275">
        <f>STDEV(L570:L573)/M573</f>
        <v>0.12542090596637928</v>
      </c>
    </row>
    <row r="574" spans="1:14" ht="21.75" customHeight="1">
      <c r="A574" t="s">
        <v>883</v>
      </c>
      <c r="B574" s="245">
        <v>41216</v>
      </c>
      <c r="C574" s="126">
        <v>113.8</v>
      </c>
      <c r="D574" s="126">
        <v>114.8</v>
      </c>
      <c r="E574" s="126">
        <v>114.3</v>
      </c>
      <c r="F574">
        <v>114.5</v>
      </c>
      <c r="G574" s="321">
        <v>0.7873</v>
      </c>
      <c r="H574" s="123">
        <f t="shared" si="34"/>
        <v>406.07562849337057</v>
      </c>
      <c r="I574" s="123">
        <f t="shared" si="35"/>
        <v>409.64395563303111</v>
      </c>
      <c r="J574" s="123">
        <f t="shared" si="36"/>
        <v>407.85979206320087</v>
      </c>
      <c r="K574" s="123">
        <f t="shared" si="37"/>
        <v>408.57345749113296</v>
      </c>
      <c r="L574" s="176">
        <f t="shared" si="38"/>
        <v>408.03820842018388</v>
      </c>
      <c r="M574" s="227"/>
      <c r="N574" s="275"/>
    </row>
    <row r="575" spans="1:14" ht="21.75" customHeight="1">
      <c r="A575" t="s">
        <v>885</v>
      </c>
      <c r="B575" s="245">
        <v>41216</v>
      </c>
      <c r="C575" s="126">
        <v>118.1</v>
      </c>
      <c r="D575" s="126">
        <v>118.2</v>
      </c>
      <c r="E575" s="126">
        <v>118.6</v>
      </c>
      <c r="F575">
        <v>118.6</v>
      </c>
      <c r="G575" s="321">
        <v>0.7873</v>
      </c>
      <c r="H575" s="123">
        <f t="shared" si="34"/>
        <v>421.41943519391089</v>
      </c>
      <c r="I575" s="123">
        <f t="shared" si="35"/>
        <v>421.77626790787707</v>
      </c>
      <c r="J575" s="123">
        <f t="shared" si="36"/>
        <v>423.20359876374118</v>
      </c>
      <c r="K575" s="123">
        <f t="shared" si="37"/>
        <v>423.20359876374118</v>
      </c>
      <c r="L575" s="176">
        <f t="shared" si="38"/>
        <v>422.40072515731759</v>
      </c>
      <c r="M575" s="227"/>
      <c r="N575" s="275"/>
    </row>
    <row r="576" spans="1:14" ht="21.75" customHeight="1">
      <c r="A576" t="s">
        <v>886</v>
      </c>
      <c r="B576" s="245">
        <v>41216</v>
      </c>
      <c r="C576" s="126">
        <v>117</v>
      </c>
      <c r="D576" s="126">
        <v>116.4</v>
      </c>
      <c r="E576" s="126">
        <v>117.6</v>
      </c>
      <c r="F576">
        <v>117.4</v>
      </c>
      <c r="G576" s="321">
        <v>0.7873</v>
      </c>
      <c r="H576" s="123">
        <f t="shared" si="34"/>
        <v>417.49427534028439</v>
      </c>
      <c r="I576" s="123">
        <f t="shared" si="35"/>
        <v>415.35327905648802</v>
      </c>
      <c r="J576" s="123">
        <f t="shared" si="36"/>
        <v>419.63527162408064</v>
      </c>
      <c r="K576" s="123">
        <f t="shared" si="37"/>
        <v>418.92160619614862</v>
      </c>
      <c r="L576" s="176">
        <f t="shared" si="38"/>
        <v>417.8511080542504</v>
      </c>
      <c r="M576" s="227"/>
      <c r="N576" s="275"/>
    </row>
    <row r="577" spans="1:14" ht="21.75" customHeight="1">
      <c r="A577" t="s">
        <v>887</v>
      </c>
      <c r="B577" s="245">
        <v>41216</v>
      </c>
      <c r="C577" s="126">
        <v>119.8</v>
      </c>
      <c r="D577" s="126">
        <v>120.4</v>
      </c>
      <c r="E577" s="126">
        <v>120.3</v>
      </c>
      <c r="F577">
        <v>120.8</v>
      </c>
      <c r="G577" s="321">
        <v>0.7873</v>
      </c>
      <c r="H577" s="123">
        <f t="shared" si="34"/>
        <v>427.48559133133386</v>
      </c>
      <c r="I577" s="123">
        <f t="shared" si="35"/>
        <v>429.62658761513018</v>
      </c>
      <c r="J577" s="123">
        <f t="shared" si="36"/>
        <v>429.26975490116416</v>
      </c>
      <c r="K577" s="123">
        <f t="shared" si="37"/>
        <v>431.0539184709944</v>
      </c>
      <c r="L577" s="176">
        <f t="shared" si="38"/>
        <v>429.35896307965567</v>
      </c>
      <c r="M577" s="227">
        <f>AVERAGE(L574:L577)</f>
        <v>419.41225117785194</v>
      </c>
      <c r="N577" s="275">
        <f>STDEV(L574:L577)/M577</f>
        <v>2.1311243272326391E-2</v>
      </c>
    </row>
    <row r="578" spans="1:14" ht="21.75" customHeight="1">
      <c r="A578" t="s">
        <v>888</v>
      </c>
      <c r="B578" s="245">
        <v>41220</v>
      </c>
      <c r="C578" s="126">
        <v>157.1</v>
      </c>
      <c r="D578" s="126">
        <v>157.30000000000001</v>
      </c>
      <c r="E578" s="126">
        <v>152.5</v>
      </c>
      <c r="F578">
        <v>153.5</v>
      </c>
      <c r="G578" s="321">
        <v>0.7873</v>
      </c>
      <c r="H578" s="123">
        <f t="shared" ref="H578:H641" si="39">(C578*(PI()/LN(2)))*$G578</f>
        <v>560.58419364067231</v>
      </c>
      <c r="I578" s="123">
        <f t="shared" ref="I578:I641" si="40">(D578*(PI()/LN(2)))*$G578</f>
        <v>561.29785906860457</v>
      </c>
      <c r="J578" s="123">
        <f t="shared" ref="J578:J641" si="41">(E578*(PI()/LN(2)))*$G578</f>
        <v>544.16988879823384</v>
      </c>
      <c r="K578" s="123">
        <f t="shared" si="37"/>
        <v>547.73821593789444</v>
      </c>
      <c r="L578" s="176">
        <f t="shared" si="38"/>
        <v>553.44753936135135</v>
      </c>
      <c r="M578" s="227"/>
      <c r="N578" s="275"/>
    </row>
    <row r="579" spans="1:14" ht="21.75" customHeight="1">
      <c r="A579" t="s">
        <v>890</v>
      </c>
      <c r="B579" s="245">
        <v>41220</v>
      </c>
      <c r="C579" s="126">
        <v>145.6</v>
      </c>
      <c r="D579" s="126">
        <v>149.1</v>
      </c>
      <c r="E579" s="126">
        <v>147.4</v>
      </c>
      <c r="F579">
        <v>147.1</v>
      </c>
      <c r="G579" s="321">
        <v>0.7873</v>
      </c>
      <c r="H579" s="123">
        <f t="shared" si="39"/>
        <v>519.54843153457603</v>
      </c>
      <c r="I579" s="123">
        <f t="shared" si="40"/>
        <v>532.03757652338788</v>
      </c>
      <c r="J579" s="123">
        <f t="shared" si="41"/>
        <v>525.97142038596508</v>
      </c>
      <c r="K579" s="123">
        <f t="shared" si="37"/>
        <v>524.90092224406692</v>
      </c>
      <c r="L579" s="176">
        <f t="shared" si="38"/>
        <v>525.61458767199895</v>
      </c>
      <c r="M579" s="227"/>
      <c r="N579" s="275"/>
    </row>
    <row r="580" spans="1:14" ht="21.75" customHeight="1">
      <c r="A580" t="s">
        <v>891</v>
      </c>
      <c r="B580" s="245">
        <v>41220</v>
      </c>
      <c r="C580" s="126">
        <v>120.8</v>
      </c>
      <c r="D580" s="126">
        <v>121.2</v>
      </c>
      <c r="E580" s="126">
        <v>119.6</v>
      </c>
      <c r="F580">
        <v>120.2</v>
      </c>
      <c r="G580" s="321">
        <v>0.7873</v>
      </c>
      <c r="H580" s="123">
        <f t="shared" si="39"/>
        <v>431.0539184709944</v>
      </c>
      <c r="I580" s="123">
        <f t="shared" si="40"/>
        <v>432.48124932685863</v>
      </c>
      <c r="J580" s="123">
        <f t="shared" si="41"/>
        <v>426.77192590340172</v>
      </c>
      <c r="K580" s="123">
        <f t="shared" si="37"/>
        <v>428.91292218719809</v>
      </c>
      <c r="L580" s="176">
        <f t="shared" si="38"/>
        <v>429.80500397211324</v>
      </c>
      <c r="M580" s="227"/>
      <c r="N580" s="275"/>
    </row>
    <row r="581" spans="1:14" ht="21.75" customHeight="1">
      <c r="A581" t="s">
        <v>892</v>
      </c>
      <c r="B581" s="245">
        <v>41220</v>
      </c>
      <c r="C581" s="126">
        <v>130.9</v>
      </c>
      <c r="D581" s="126">
        <v>132.19999999999999</v>
      </c>
      <c r="E581" s="126">
        <v>130.9</v>
      </c>
      <c r="F581">
        <v>130.80000000000001</v>
      </c>
      <c r="G581" s="321">
        <v>0.7873</v>
      </c>
      <c r="H581" s="123">
        <f t="shared" si="39"/>
        <v>467.09402258156604</v>
      </c>
      <c r="I581" s="123">
        <f t="shared" si="40"/>
        <v>471.73284786312468</v>
      </c>
      <c r="J581" s="123">
        <f t="shared" si="41"/>
        <v>467.09402258156604</v>
      </c>
      <c r="K581" s="123">
        <f t="shared" si="37"/>
        <v>466.73718986759997</v>
      </c>
      <c r="L581" s="176">
        <f t="shared" si="38"/>
        <v>468.16452072346414</v>
      </c>
      <c r="M581" s="227">
        <f>AVERAGE(L578:L581)</f>
        <v>494.25791293223199</v>
      </c>
      <c r="N581" s="275">
        <f>STDEV(L578:L581)/M581</f>
        <v>0.11278028772434151</v>
      </c>
    </row>
    <row r="582" spans="1:14" ht="21.75" customHeight="1">
      <c r="A582" t="s">
        <v>893</v>
      </c>
      <c r="B582" s="245">
        <v>41221</v>
      </c>
      <c r="C582" s="126">
        <v>179.5</v>
      </c>
      <c r="D582" s="126">
        <v>179.2</v>
      </c>
      <c r="E582" s="126">
        <v>180.2</v>
      </c>
      <c r="F582">
        <v>180</v>
      </c>
      <c r="G582" s="321">
        <v>0.7873</v>
      </c>
      <c r="H582" s="123">
        <f t="shared" si="39"/>
        <v>640.51472156906868</v>
      </c>
      <c r="I582" s="123">
        <f t="shared" si="40"/>
        <v>639.44422342717053</v>
      </c>
      <c r="J582" s="123">
        <f t="shared" si="41"/>
        <v>643.01255056683101</v>
      </c>
      <c r="K582" s="123">
        <f t="shared" si="37"/>
        <v>642.29888513889898</v>
      </c>
      <c r="L582" s="176">
        <f t="shared" si="38"/>
        <v>641.31759517549233</v>
      </c>
      <c r="M582" s="227"/>
      <c r="N582" s="275"/>
    </row>
    <row r="583" spans="1:14" ht="21.75" customHeight="1">
      <c r="A583" t="s">
        <v>894</v>
      </c>
      <c r="B583" s="245">
        <v>41221</v>
      </c>
      <c r="C583" s="126">
        <v>179</v>
      </c>
      <c r="D583" s="126">
        <v>179.3</v>
      </c>
      <c r="E583" s="126">
        <v>180.4</v>
      </c>
      <c r="F583">
        <v>181.1</v>
      </c>
      <c r="G583" s="321">
        <v>0.7873</v>
      </c>
      <c r="H583" s="123">
        <f t="shared" si="39"/>
        <v>638.73055799923839</v>
      </c>
      <c r="I583" s="123">
        <f t="shared" si="40"/>
        <v>639.80105614113666</v>
      </c>
      <c r="J583" s="123">
        <f t="shared" si="41"/>
        <v>643.72621599476327</v>
      </c>
      <c r="K583" s="123">
        <f t="shared" si="37"/>
        <v>646.22404499252548</v>
      </c>
      <c r="L583" s="176">
        <f t="shared" si="38"/>
        <v>642.12046878191586</v>
      </c>
      <c r="M583" s="227"/>
      <c r="N583" s="275"/>
    </row>
    <row r="584" spans="1:14" ht="21.75" customHeight="1">
      <c r="A584" t="s">
        <v>895</v>
      </c>
      <c r="B584" s="245">
        <v>41221</v>
      </c>
      <c r="C584" s="126">
        <v>171</v>
      </c>
      <c r="D584" s="126">
        <v>171.3</v>
      </c>
      <c r="E584" s="126">
        <v>170.7</v>
      </c>
      <c r="F584">
        <v>171.3</v>
      </c>
      <c r="G584" s="321">
        <v>0.7873</v>
      </c>
      <c r="H584" s="123">
        <f t="shared" si="39"/>
        <v>610.18394088195407</v>
      </c>
      <c r="I584" s="123">
        <f t="shared" si="40"/>
        <v>611.25443902385223</v>
      </c>
      <c r="J584" s="123">
        <f t="shared" si="41"/>
        <v>609.1134427400558</v>
      </c>
      <c r="K584" s="123">
        <f t="shared" si="37"/>
        <v>611.25443902385223</v>
      </c>
      <c r="L584" s="176">
        <f t="shared" si="38"/>
        <v>610.45156541742858</v>
      </c>
      <c r="M584" s="227"/>
      <c r="N584" s="275"/>
    </row>
    <row r="585" spans="1:14" ht="21.75" customHeight="1">
      <c r="A585" t="s">
        <v>896</v>
      </c>
      <c r="B585" s="245">
        <v>41221</v>
      </c>
      <c r="C585" s="126">
        <v>181.5</v>
      </c>
      <c r="D585" s="126">
        <v>180.4</v>
      </c>
      <c r="E585" s="126">
        <v>182.9</v>
      </c>
      <c r="F585">
        <v>191.8</v>
      </c>
      <c r="G585" s="321">
        <v>0.7873</v>
      </c>
      <c r="H585" s="123">
        <f t="shared" si="39"/>
        <v>647.65137584838988</v>
      </c>
      <c r="I585" s="123">
        <f t="shared" si="40"/>
        <v>643.72621599476327</v>
      </c>
      <c r="J585" s="123">
        <f t="shared" si="41"/>
        <v>652.64703384391464</v>
      </c>
      <c r="K585" s="123">
        <f t="shared" si="37"/>
        <v>684.40514538689342</v>
      </c>
      <c r="L585" s="176">
        <f t="shared" si="38"/>
        <v>657.10744276849027</v>
      </c>
      <c r="M585" s="227">
        <f>AVERAGE(L582:L585)</f>
        <v>637.74926803583185</v>
      </c>
      <c r="N585" s="275">
        <f>STDEV(L582:L585)/M585</f>
        <v>3.0723264170074132E-2</v>
      </c>
    </row>
    <row r="586" spans="1:14" ht="21.75" customHeight="1">
      <c r="A586" t="s">
        <v>897</v>
      </c>
      <c r="B586" s="245">
        <v>41222</v>
      </c>
      <c r="C586" s="126">
        <v>120.5</v>
      </c>
      <c r="D586" s="126">
        <v>120</v>
      </c>
      <c r="E586" s="126">
        <v>119.5</v>
      </c>
      <c r="F586">
        <v>119.8</v>
      </c>
      <c r="G586" s="321">
        <v>0.7873</v>
      </c>
      <c r="H586" s="123">
        <f t="shared" si="39"/>
        <v>429.98342032909625</v>
      </c>
      <c r="I586" s="123">
        <f t="shared" si="40"/>
        <v>428.19925675926595</v>
      </c>
      <c r="J586" s="123">
        <f t="shared" si="41"/>
        <v>426.41509318943571</v>
      </c>
      <c r="K586" s="123">
        <f t="shared" si="37"/>
        <v>427.48559133133386</v>
      </c>
      <c r="L586" s="176">
        <f t="shared" si="38"/>
        <v>428.02084040228294</v>
      </c>
      <c r="M586" s="227"/>
      <c r="N586" s="275"/>
    </row>
    <row r="587" spans="1:14" ht="21.75" customHeight="1">
      <c r="A587" t="s">
        <v>900</v>
      </c>
      <c r="B587" s="245">
        <v>41222</v>
      </c>
      <c r="C587" s="126">
        <v>60.9</v>
      </c>
      <c r="D587" s="126">
        <v>61.3</v>
      </c>
      <c r="E587" s="126">
        <v>60.8</v>
      </c>
      <c r="F587">
        <v>61</v>
      </c>
      <c r="G587" s="321">
        <v>0.7873</v>
      </c>
      <c r="H587" s="123">
        <f t="shared" si="39"/>
        <v>217.3111228053275</v>
      </c>
      <c r="I587" s="123">
        <f t="shared" si="40"/>
        <v>218.73845366119173</v>
      </c>
      <c r="J587" s="123">
        <f t="shared" si="41"/>
        <v>216.95429009136143</v>
      </c>
      <c r="K587" s="123">
        <f t="shared" si="37"/>
        <v>217.66795551929354</v>
      </c>
      <c r="L587" s="176">
        <f t="shared" si="38"/>
        <v>217.66795551929354</v>
      </c>
      <c r="M587" s="227"/>
      <c r="N587" s="275"/>
    </row>
    <row r="588" spans="1:14" ht="21.75" customHeight="1">
      <c r="A588" t="s">
        <v>901</v>
      </c>
      <c r="B588" s="245">
        <v>41222</v>
      </c>
      <c r="C588" s="126">
        <v>118.7</v>
      </c>
      <c r="D588" s="126">
        <v>119.7</v>
      </c>
      <c r="E588" s="126">
        <v>120.5</v>
      </c>
      <c r="F588">
        <v>119.5</v>
      </c>
      <c r="G588" s="321">
        <v>0.7873</v>
      </c>
      <c r="H588" s="123">
        <f t="shared" si="39"/>
        <v>423.56043147770731</v>
      </c>
      <c r="I588" s="123">
        <f t="shared" si="40"/>
        <v>427.12875861736779</v>
      </c>
      <c r="J588" s="123">
        <f t="shared" si="41"/>
        <v>429.98342032909625</v>
      </c>
      <c r="K588" s="123">
        <f t="shared" si="37"/>
        <v>426.41509318943571</v>
      </c>
      <c r="L588" s="176">
        <f t="shared" si="38"/>
        <v>426.77192590340178</v>
      </c>
      <c r="M588" s="227"/>
      <c r="N588" s="275"/>
    </row>
    <row r="589" spans="1:14" ht="21.75" customHeight="1">
      <c r="A589" t="s">
        <v>902</v>
      </c>
      <c r="B589" s="245">
        <v>41222</v>
      </c>
      <c r="C589" s="126">
        <v>118.8</v>
      </c>
      <c r="D589" s="126">
        <v>119.6</v>
      </c>
      <c r="E589" s="126">
        <v>119.7</v>
      </c>
      <c r="F589">
        <v>119.8</v>
      </c>
      <c r="G589" s="321">
        <v>0.7873</v>
      </c>
      <c r="H589" s="123">
        <f t="shared" si="39"/>
        <v>423.91726419167327</v>
      </c>
      <c r="I589" s="123">
        <f t="shared" si="40"/>
        <v>426.77192590340172</v>
      </c>
      <c r="J589" s="123">
        <f t="shared" si="41"/>
        <v>427.12875861736779</v>
      </c>
      <c r="K589" s="123">
        <f t="shared" si="37"/>
        <v>427.48559133133386</v>
      </c>
      <c r="L589" s="176">
        <f t="shared" si="38"/>
        <v>426.32588501094415</v>
      </c>
      <c r="M589" s="227">
        <f>AVERAGE(L586,L588,L589)</f>
        <v>427.03955043887635</v>
      </c>
      <c r="N589" s="275">
        <f>STDEV(L586,L588,L589)/M589</f>
        <v>2.0574175478997713E-3</v>
      </c>
    </row>
    <row r="590" spans="1:14" ht="21.75" customHeight="1">
      <c r="A590" t="s">
        <v>903</v>
      </c>
      <c r="B590" s="245">
        <v>41232</v>
      </c>
      <c r="C590" s="126">
        <v>11.02</v>
      </c>
      <c r="D590" s="126">
        <v>10.9</v>
      </c>
      <c r="E590" s="126">
        <v>11</v>
      </c>
      <c r="F590">
        <v>10.85</v>
      </c>
      <c r="G590" s="321">
        <v>0.7873</v>
      </c>
      <c r="H590" s="123">
        <f t="shared" si="39"/>
        <v>39.322965079059259</v>
      </c>
      <c r="I590" s="123">
        <f t="shared" si="40"/>
        <v>38.894765822299995</v>
      </c>
      <c r="J590" s="123">
        <f t="shared" si="41"/>
        <v>39.251598536266044</v>
      </c>
      <c r="K590" s="123">
        <f t="shared" si="37"/>
        <v>38.716349465316966</v>
      </c>
      <c r="L590" s="176">
        <f t="shared" si="38"/>
        <v>39.046419725735568</v>
      </c>
      <c r="M590" s="227"/>
      <c r="N590" s="275"/>
    </row>
    <row r="591" spans="1:14" ht="21.75" customHeight="1">
      <c r="A591" t="s">
        <v>904</v>
      </c>
      <c r="B591" s="245">
        <v>41232</v>
      </c>
      <c r="C591" s="126">
        <v>11.03</v>
      </c>
      <c r="D591" s="126">
        <v>10.98</v>
      </c>
      <c r="E591" s="126">
        <v>11.14</v>
      </c>
      <c r="F591">
        <v>10.91</v>
      </c>
      <c r="G591" s="321">
        <v>0.7873</v>
      </c>
      <c r="H591" s="123">
        <f t="shared" si="39"/>
        <v>39.358648350455866</v>
      </c>
      <c r="I591" s="123">
        <f t="shared" si="40"/>
        <v>39.180231993472844</v>
      </c>
      <c r="J591" s="123">
        <f t="shared" si="41"/>
        <v>39.75116433581853</v>
      </c>
      <c r="K591" s="123">
        <f t="shared" si="37"/>
        <v>38.930449093696595</v>
      </c>
      <c r="L591" s="176">
        <f t="shared" si="38"/>
        <v>39.305123443360955</v>
      </c>
      <c r="M591" s="227"/>
      <c r="N591" s="275"/>
    </row>
    <row r="592" spans="1:14" ht="21.75" customHeight="1">
      <c r="A592" t="s">
        <v>905</v>
      </c>
      <c r="B592" s="245">
        <v>41232</v>
      </c>
      <c r="C592" s="126">
        <v>10.91</v>
      </c>
      <c r="D592" s="126">
        <v>10.9</v>
      </c>
      <c r="E592" s="126">
        <v>10.96</v>
      </c>
      <c r="F592">
        <v>10.9</v>
      </c>
      <c r="G592" s="321">
        <v>0.7873</v>
      </c>
      <c r="H592" s="123">
        <f t="shared" si="39"/>
        <v>38.930449093696595</v>
      </c>
      <c r="I592" s="123">
        <f t="shared" si="40"/>
        <v>38.894765822299995</v>
      </c>
      <c r="J592" s="123">
        <f t="shared" si="41"/>
        <v>39.10886545067963</v>
      </c>
      <c r="K592" s="123">
        <f t="shared" si="37"/>
        <v>38.894765822299995</v>
      </c>
      <c r="L592" s="176">
        <f t="shared" si="38"/>
        <v>38.95721154724405</v>
      </c>
      <c r="M592" s="227"/>
      <c r="N592" s="275"/>
    </row>
    <row r="593" spans="1:14" ht="21.75" customHeight="1">
      <c r="A593" t="s">
        <v>906</v>
      </c>
      <c r="B593" s="245">
        <v>41232</v>
      </c>
      <c r="C593" s="126">
        <v>13.11</v>
      </c>
      <c r="D593" s="126">
        <v>13</v>
      </c>
      <c r="E593" s="126">
        <v>13.1</v>
      </c>
      <c r="F593">
        <v>13</v>
      </c>
      <c r="G593" s="321">
        <v>0.7873</v>
      </c>
      <c r="H593" s="123">
        <f t="shared" si="39"/>
        <v>46.780768800949808</v>
      </c>
      <c r="I593" s="123">
        <f t="shared" si="40"/>
        <v>46.388252815587151</v>
      </c>
      <c r="J593" s="123">
        <f t="shared" si="41"/>
        <v>46.745085529553201</v>
      </c>
      <c r="K593" s="123">
        <f t="shared" si="37"/>
        <v>46.388252815587151</v>
      </c>
      <c r="L593" s="176">
        <f t="shared" si="38"/>
        <v>46.575589990419324</v>
      </c>
      <c r="M593" s="227">
        <f>AVERAGE(L590,L592,L593)</f>
        <v>41.526407087799647</v>
      </c>
      <c r="N593" s="275">
        <f>STDEV(L590,L592,L593)/M593</f>
        <v>0.10530523721066502</v>
      </c>
    </row>
    <row r="594" spans="1:14" ht="21.75" customHeight="1">
      <c r="A594" t="s">
        <v>907</v>
      </c>
      <c r="B594" s="245">
        <v>41240</v>
      </c>
      <c r="C594" s="126">
        <v>131.1</v>
      </c>
      <c r="D594" s="126">
        <v>129.80000000000001</v>
      </c>
      <c r="E594" s="126">
        <v>130.19999999999999</v>
      </c>
      <c r="F594">
        <v>130.19999999999999</v>
      </c>
      <c r="G594" s="321">
        <v>0.7873</v>
      </c>
      <c r="H594" s="123">
        <f t="shared" si="39"/>
        <v>467.80768800949807</v>
      </c>
      <c r="I594" s="123">
        <f t="shared" si="40"/>
        <v>463.16886272793943</v>
      </c>
      <c r="J594" s="123">
        <f t="shared" si="41"/>
        <v>464.59619358380354</v>
      </c>
      <c r="K594" s="123">
        <f t="shared" si="37"/>
        <v>464.59619358380354</v>
      </c>
      <c r="L594" s="176">
        <f t="shared" si="38"/>
        <v>465.04223447626117</v>
      </c>
      <c r="M594" s="227"/>
      <c r="N594" s="275"/>
    </row>
    <row r="595" spans="1:14" ht="21.75" customHeight="1">
      <c r="A595" t="s">
        <v>908</v>
      </c>
      <c r="B595" s="245">
        <v>41240</v>
      </c>
      <c r="C595" s="126">
        <v>125.9</v>
      </c>
      <c r="D595" s="126">
        <v>127.3</v>
      </c>
      <c r="E595" s="126">
        <v>126.3</v>
      </c>
      <c r="F595">
        <v>127.8</v>
      </c>
      <c r="G595" s="321">
        <v>0.7873</v>
      </c>
      <c r="H595" s="123">
        <f t="shared" si="39"/>
        <v>449.25238688326328</v>
      </c>
      <c r="I595" s="123">
        <f t="shared" si="40"/>
        <v>454.24804487878799</v>
      </c>
      <c r="J595" s="123">
        <f t="shared" si="41"/>
        <v>450.67971773912745</v>
      </c>
      <c r="K595" s="123">
        <f t="shared" si="37"/>
        <v>456.03220844861829</v>
      </c>
      <c r="L595" s="176">
        <f t="shared" si="38"/>
        <v>452.55308948744926</v>
      </c>
      <c r="M595" s="227"/>
      <c r="N595" s="275"/>
    </row>
    <row r="596" spans="1:14" ht="21.75" customHeight="1">
      <c r="A596" t="s">
        <v>910</v>
      </c>
      <c r="B596" s="245">
        <v>41240</v>
      </c>
      <c r="C596" s="126">
        <v>153.1</v>
      </c>
      <c r="D596" s="126">
        <v>150.4</v>
      </c>
      <c r="E596" s="126">
        <v>152.4</v>
      </c>
      <c r="F596">
        <v>148.9</v>
      </c>
      <c r="G596" s="321">
        <v>0.7873</v>
      </c>
      <c r="H596" s="123">
        <f t="shared" si="39"/>
        <v>546.31088508203015</v>
      </c>
      <c r="I596" s="123">
        <f t="shared" si="40"/>
        <v>536.67640180494675</v>
      </c>
      <c r="J596" s="123">
        <f t="shared" si="41"/>
        <v>543.81305608426783</v>
      </c>
      <c r="K596" s="123">
        <f t="shared" si="37"/>
        <v>531.32391109545597</v>
      </c>
      <c r="L596" s="176">
        <f t="shared" si="38"/>
        <v>539.5310635166752</v>
      </c>
      <c r="M596" s="227"/>
      <c r="N596" s="275"/>
    </row>
    <row r="597" spans="1:14" ht="21.75" customHeight="1">
      <c r="A597" t="s">
        <v>911</v>
      </c>
      <c r="B597" s="245">
        <v>41240</v>
      </c>
      <c r="C597" s="126">
        <v>129.4</v>
      </c>
      <c r="D597" s="126">
        <v>132.4</v>
      </c>
      <c r="E597" s="126">
        <v>129.4</v>
      </c>
      <c r="F597">
        <v>129.69999999999999</v>
      </c>
      <c r="G597" s="321">
        <v>0.7873</v>
      </c>
      <c r="H597" s="123">
        <f t="shared" si="39"/>
        <v>461.7415318720752</v>
      </c>
      <c r="I597" s="123">
        <f t="shared" si="40"/>
        <v>472.44651329105687</v>
      </c>
      <c r="J597" s="123">
        <f t="shared" si="41"/>
        <v>461.7415318720752</v>
      </c>
      <c r="K597" s="123">
        <f t="shared" si="37"/>
        <v>462.81203001397324</v>
      </c>
      <c r="L597" s="176">
        <f t="shared" si="38"/>
        <v>464.68540176229516</v>
      </c>
      <c r="M597" s="227">
        <f>AVERAGE(L594,L596,L597)</f>
        <v>489.75289991841055</v>
      </c>
      <c r="N597" s="275">
        <f>STDEV(L594,L596,L597)/M597</f>
        <v>8.8023008015592208E-2</v>
      </c>
    </row>
    <row r="598" spans="1:14" ht="21.75" customHeight="1">
      <c r="A598" t="s">
        <v>912</v>
      </c>
      <c r="B598" s="245">
        <v>41241</v>
      </c>
      <c r="C598" s="126">
        <v>274.89999999999998</v>
      </c>
      <c r="D598" s="126">
        <v>266.8</v>
      </c>
      <c r="E598" s="126">
        <v>331</v>
      </c>
      <c r="F598">
        <v>280</v>
      </c>
      <c r="G598" s="321">
        <v>0.7873</v>
      </c>
      <c r="H598" s="123">
        <f t="shared" si="39"/>
        <v>980.93313069268504</v>
      </c>
      <c r="I598" s="123">
        <f t="shared" si="40"/>
        <v>952.02968086143471</v>
      </c>
      <c r="J598" s="123">
        <f t="shared" si="41"/>
        <v>1181.116283227642</v>
      </c>
      <c r="K598" s="123">
        <f t="shared" si="37"/>
        <v>999.13159910495392</v>
      </c>
      <c r="L598" s="176">
        <f t="shared" si="38"/>
        <v>1028.3026734716789</v>
      </c>
      <c r="M598" s="227"/>
      <c r="N598" s="275"/>
    </row>
    <row r="599" spans="1:14" ht="21.75" customHeight="1">
      <c r="A599" t="s">
        <v>914</v>
      </c>
      <c r="B599" s="245">
        <v>41241</v>
      </c>
      <c r="C599" s="126">
        <v>316</v>
      </c>
      <c r="D599" s="126">
        <v>306</v>
      </c>
      <c r="E599" s="126">
        <v>304</v>
      </c>
      <c r="F599">
        <v>325</v>
      </c>
      <c r="G599" s="321">
        <v>0.7873</v>
      </c>
      <c r="H599" s="123">
        <f t="shared" si="39"/>
        <v>1127.5913761327338</v>
      </c>
      <c r="I599" s="123">
        <f t="shared" si="40"/>
        <v>1091.9081047361283</v>
      </c>
      <c r="J599" s="123">
        <f t="shared" si="41"/>
        <v>1084.7714504568071</v>
      </c>
      <c r="K599" s="123">
        <f t="shared" si="37"/>
        <v>1159.7063203896787</v>
      </c>
      <c r="L599" s="176">
        <f t="shared" si="38"/>
        <v>1115.994312928837</v>
      </c>
      <c r="M599" s="227"/>
      <c r="N599" s="275"/>
    </row>
    <row r="600" spans="1:14" ht="21.75" customHeight="1">
      <c r="A600" t="s">
        <v>915</v>
      </c>
      <c r="B600" s="245">
        <v>41241</v>
      </c>
      <c r="C600" s="126">
        <v>326</v>
      </c>
      <c r="D600" s="126">
        <v>295</v>
      </c>
      <c r="E600" s="126">
        <v>297</v>
      </c>
      <c r="F600">
        <v>292</v>
      </c>
      <c r="G600" s="321">
        <v>0.7873</v>
      </c>
      <c r="H600" s="123">
        <f t="shared" si="39"/>
        <v>1163.2746475293393</v>
      </c>
      <c r="I600" s="123">
        <f t="shared" si="40"/>
        <v>1052.6565061998622</v>
      </c>
      <c r="J600" s="123">
        <f t="shared" si="41"/>
        <v>1059.7931604791834</v>
      </c>
      <c r="K600" s="123">
        <f t="shared" si="37"/>
        <v>1041.9515247808806</v>
      </c>
      <c r="L600" s="176">
        <f t="shared" si="38"/>
        <v>1079.4189597473164</v>
      </c>
      <c r="M600" s="227"/>
      <c r="N600" s="275"/>
    </row>
    <row r="601" spans="1:14" ht="21.75" customHeight="1">
      <c r="A601" t="s">
        <v>916</v>
      </c>
      <c r="B601" s="245">
        <v>41241</v>
      </c>
      <c r="C601" s="126">
        <v>302</v>
      </c>
      <c r="D601" s="126">
        <v>303</v>
      </c>
      <c r="E601" s="126">
        <v>299</v>
      </c>
      <c r="F601">
        <v>295</v>
      </c>
      <c r="G601" s="321">
        <v>0.7873</v>
      </c>
      <c r="H601" s="123">
        <f t="shared" si="39"/>
        <v>1077.6347961774861</v>
      </c>
      <c r="I601" s="123">
        <f t="shared" si="40"/>
        <v>1081.2031233171465</v>
      </c>
      <c r="J601" s="123">
        <f t="shared" si="41"/>
        <v>1066.9298147585046</v>
      </c>
      <c r="K601" s="123">
        <f t="shared" si="37"/>
        <v>1052.6565061998622</v>
      </c>
      <c r="L601" s="176">
        <f t="shared" si="38"/>
        <v>1069.6060601132499</v>
      </c>
      <c r="M601" s="227">
        <f>AVERAGE(L598,L600,L601)</f>
        <v>1059.1092311107484</v>
      </c>
      <c r="N601" s="275">
        <f>STDEV(L598,L600,L601)/M601</f>
        <v>2.5612722055658607E-2</v>
      </c>
    </row>
    <row r="602" spans="1:14" ht="21.75" customHeight="1">
      <c r="A602" t="s">
        <v>912</v>
      </c>
      <c r="B602" s="245">
        <v>41241</v>
      </c>
      <c r="C602" s="126">
        <v>127.5</v>
      </c>
      <c r="D602" s="126">
        <v>125.6</v>
      </c>
      <c r="E602" s="126">
        <v>126.1</v>
      </c>
      <c r="F602">
        <v>128</v>
      </c>
      <c r="G602" s="321">
        <v>0.7873</v>
      </c>
      <c r="H602" s="123">
        <f t="shared" si="39"/>
        <v>454.96171030672014</v>
      </c>
      <c r="I602" s="123">
        <f t="shared" si="40"/>
        <v>448.18188874136501</v>
      </c>
      <c r="J602" s="123">
        <f t="shared" si="41"/>
        <v>449.96605231119531</v>
      </c>
      <c r="K602" s="123">
        <f t="shared" si="37"/>
        <v>456.74587387655038</v>
      </c>
      <c r="L602" s="176">
        <f t="shared" si="38"/>
        <v>452.46388130895775</v>
      </c>
      <c r="M602" s="227"/>
      <c r="N602" s="275"/>
    </row>
    <row r="603" spans="1:14" ht="21.75" customHeight="1">
      <c r="A603" t="s">
        <v>914</v>
      </c>
      <c r="B603" s="245">
        <v>41241</v>
      </c>
      <c r="C603" s="126">
        <v>139.19999999999999</v>
      </c>
      <c r="D603" s="126">
        <v>141.1</v>
      </c>
      <c r="E603" s="126">
        <v>138.80000000000001</v>
      </c>
      <c r="F603">
        <v>139.80000000000001</v>
      </c>
      <c r="G603" s="321">
        <v>0.7873</v>
      </c>
      <c r="H603" s="123">
        <f t="shared" si="39"/>
        <v>496.71113784074851</v>
      </c>
      <c r="I603" s="123">
        <f t="shared" si="40"/>
        <v>503.49095940610363</v>
      </c>
      <c r="J603" s="123">
        <f t="shared" si="41"/>
        <v>495.28380698488439</v>
      </c>
      <c r="K603" s="123">
        <f t="shared" si="37"/>
        <v>498.85213412454493</v>
      </c>
      <c r="L603" s="176">
        <f t="shared" si="38"/>
        <v>498.58450958907042</v>
      </c>
      <c r="M603" s="227"/>
      <c r="N603" s="275"/>
    </row>
    <row r="604" spans="1:14" ht="21.75" customHeight="1">
      <c r="A604" t="s">
        <v>915</v>
      </c>
      <c r="B604" s="245">
        <v>41241</v>
      </c>
      <c r="C604" s="126">
        <v>139.96</v>
      </c>
      <c r="D604" s="126">
        <v>141.30000000000001</v>
      </c>
      <c r="E604" s="126">
        <v>140</v>
      </c>
      <c r="F604">
        <v>140.80000000000001</v>
      </c>
      <c r="G604" s="321">
        <v>0.7873</v>
      </c>
      <c r="H604" s="123">
        <f t="shared" si="39"/>
        <v>499.42306646689059</v>
      </c>
      <c r="I604" s="123">
        <f t="shared" si="40"/>
        <v>504.20462483403571</v>
      </c>
      <c r="J604" s="123">
        <f t="shared" si="41"/>
        <v>499.56579955247696</v>
      </c>
      <c r="K604" s="123">
        <f t="shared" si="37"/>
        <v>502.42046126420541</v>
      </c>
      <c r="L604" s="176">
        <f t="shared" si="38"/>
        <v>501.40348802940213</v>
      </c>
      <c r="M604" s="227"/>
      <c r="N604" s="275"/>
    </row>
    <row r="605" spans="1:14" ht="21.75" customHeight="1">
      <c r="A605" t="s">
        <v>916</v>
      </c>
      <c r="B605" s="245">
        <v>41241</v>
      </c>
      <c r="C605" s="126">
        <v>138.69999999999999</v>
      </c>
      <c r="D605" s="126">
        <v>139.6</v>
      </c>
      <c r="E605" s="126">
        <v>139.9</v>
      </c>
      <c r="F605">
        <v>140</v>
      </c>
      <c r="G605" s="321">
        <v>0.7873</v>
      </c>
      <c r="H605" s="123">
        <f t="shared" si="39"/>
        <v>494.92697427091827</v>
      </c>
      <c r="I605" s="123">
        <f t="shared" si="40"/>
        <v>498.13846869661273</v>
      </c>
      <c r="J605" s="123">
        <f t="shared" si="41"/>
        <v>499.20896683851095</v>
      </c>
      <c r="K605" s="123">
        <f t="shared" si="37"/>
        <v>499.56579955247696</v>
      </c>
      <c r="L605" s="176">
        <f t="shared" si="38"/>
        <v>497.96005233962978</v>
      </c>
      <c r="M605" s="227">
        <f>AVERAGE(L602,L604,L605)</f>
        <v>483.9424738926632</v>
      </c>
      <c r="N605" s="275">
        <f>STDEV(L602,L604,L605)/M605</f>
        <v>5.6443847779238054E-2</v>
      </c>
    </row>
    <row r="606" spans="1:14" ht="21.75" customHeight="1">
      <c r="A606" t="s">
        <v>917</v>
      </c>
      <c r="B606" s="245">
        <v>41242</v>
      </c>
      <c r="C606" s="126">
        <v>127.4</v>
      </c>
      <c r="D606" s="126">
        <v>125.9</v>
      </c>
      <c r="E606" s="126">
        <v>127.5</v>
      </c>
      <c r="F606">
        <v>127.5</v>
      </c>
      <c r="G606" s="321">
        <v>0.7873</v>
      </c>
      <c r="H606" s="123">
        <f t="shared" si="39"/>
        <v>454.60487759275406</v>
      </c>
      <c r="I606" s="123">
        <f t="shared" si="40"/>
        <v>449.25238688326328</v>
      </c>
      <c r="J606" s="123">
        <f t="shared" si="41"/>
        <v>454.96171030672014</v>
      </c>
      <c r="K606" s="123">
        <f t="shared" si="37"/>
        <v>454.96171030672014</v>
      </c>
      <c r="L606" s="176">
        <f t="shared" si="38"/>
        <v>453.44517127236441</v>
      </c>
      <c r="M606" s="227"/>
      <c r="N606" s="275"/>
    </row>
    <row r="607" spans="1:14" ht="21.75" customHeight="1">
      <c r="A607" t="s">
        <v>918</v>
      </c>
      <c r="B607" s="245">
        <v>41242</v>
      </c>
      <c r="C607" s="126">
        <v>122.2</v>
      </c>
      <c r="D607" s="126">
        <v>121.8</v>
      </c>
      <c r="E607" s="126">
        <v>121.7</v>
      </c>
      <c r="F607">
        <v>122.2</v>
      </c>
      <c r="G607" s="321">
        <v>0.7873</v>
      </c>
      <c r="H607" s="123">
        <f t="shared" si="39"/>
        <v>436.04957646651923</v>
      </c>
      <c r="I607" s="123">
        <f t="shared" si="40"/>
        <v>434.622245610655</v>
      </c>
      <c r="J607" s="123">
        <f t="shared" si="41"/>
        <v>434.26541289668893</v>
      </c>
      <c r="K607" s="123">
        <f t="shared" si="37"/>
        <v>436.04957646651923</v>
      </c>
      <c r="L607" s="176">
        <f t="shared" si="38"/>
        <v>435.24670286009564</v>
      </c>
      <c r="M607" s="227"/>
      <c r="N607" s="275"/>
    </row>
    <row r="608" spans="1:14" ht="21.75" customHeight="1">
      <c r="A608" t="s">
        <v>919</v>
      </c>
      <c r="B608" s="245">
        <v>41242</v>
      </c>
      <c r="C608" s="126">
        <v>120.3</v>
      </c>
      <c r="D608" s="126">
        <v>120.4</v>
      </c>
      <c r="E608" s="126">
        <v>122.2</v>
      </c>
      <c r="F608">
        <v>121.9</v>
      </c>
      <c r="G608" s="321">
        <v>0.7873</v>
      </c>
      <c r="H608" s="123">
        <f t="shared" si="39"/>
        <v>429.26975490116416</v>
      </c>
      <c r="I608" s="123">
        <f t="shared" si="40"/>
        <v>429.62658761513018</v>
      </c>
      <c r="J608" s="123">
        <f t="shared" si="41"/>
        <v>436.04957646651923</v>
      </c>
      <c r="K608" s="123">
        <f t="shared" si="37"/>
        <v>434.97907832462107</v>
      </c>
      <c r="L608" s="176">
        <f t="shared" si="38"/>
        <v>432.48124932685863</v>
      </c>
      <c r="M608" s="227"/>
      <c r="N608" s="275"/>
    </row>
    <row r="609" spans="1:14" ht="21.75" customHeight="1">
      <c r="A609" t="s">
        <v>920</v>
      </c>
      <c r="B609" s="245">
        <v>41242</v>
      </c>
      <c r="C609" s="126">
        <v>122</v>
      </c>
      <c r="D609" s="126">
        <v>122</v>
      </c>
      <c r="E609" s="126">
        <v>123</v>
      </c>
      <c r="F609">
        <v>124.1</v>
      </c>
      <c r="G609" s="321">
        <v>0.7873</v>
      </c>
      <c r="H609" s="123">
        <f t="shared" si="39"/>
        <v>435.33591103858708</v>
      </c>
      <c r="I609" s="123">
        <f t="shared" si="40"/>
        <v>435.33591103858708</v>
      </c>
      <c r="J609" s="123">
        <f t="shared" si="41"/>
        <v>438.90423817824768</v>
      </c>
      <c r="K609" s="123">
        <f t="shared" si="37"/>
        <v>442.82939803187418</v>
      </c>
      <c r="L609" s="176">
        <f t="shared" si="38"/>
        <v>438.10136457182404</v>
      </c>
      <c r="M609" s="227">
        <f>AVERAGE(L606,L608,L609)</f>
        <v>441.34259505701567</v>
      </c>
      <c r="N609" s="275">
        <f>STDEV(L606,L608,L609)/M609</f>
        <v>2.4587019222199587E-2</v>
      </c>
    </row>
    <row r="610" spans="1:14" ht="21.75" customHeight="1">
      <c r="A610" t="s">
        <v>921</v>
      </c>
      <c r="B610" s="245">
        <v>41243</v>
      </c>
      <c r="C610" s="126">
        <v>167.8</v>
      </c>
      <c r="D610" s="126">
        <v>167.1</v>
      </c>
      <c r="E610" s="126">
        <v>166.8</v>
      </c>
      <c r="F610">
        <v>167.9</v>
      </c>
      <c r="G610" s="321">
        <v>0.7873</v>
      </c>
      <c r="H610" s="123">
        <f t="shared" si="39"/>
        <v>598.76529403504026</v>
      </c>
      <c r="I610" s="123">
        <f t="shared" si="40"/>
        <v>596.26746503727793</v>
      </c>
      <c r="J610" s="123">
        <f t="shared" si="41"/>
        <v>595.19696689537977</v>
      </c>
      <c r="K610" s="123">
        <f t="shared" si="37"/>
        <v>599.12212674900638</v>
      </c>
      <c r="L610" s="176">
        <f t="shared" si="38"/>
        <v>597.33796317917609</v>
      </c>
      <c r="M610" s="227"/>
      <c r="N610" s="275"/>
    </row>
    <row r="611" spans="1:14" ht="21.75" customHeight="1">
      <c r="A611" t="s">
        <v>922</v>
      </c>
      <c r="B611" s="245">
        <v>41243</v>
      </c>
      <c r="C611" s="126">
        <v>252.5</v>
      </c>
      <c r="D611" s="126">
        <v>248.2</v>
      </c>
      <c r="E611" s="126">
        <v>255.8</v>
      </c>
      <c r="F611">
        <v>249.1</v>
      </c>
      <c r="G611" s="321">
        <v>0.7873</v>
      </c>
      <c r="H611" s="123">
        <f t="shared" si="39"/>
        <v>901.00260276428878</v>
      </c>
      <c r="I611" s="123">
        <f t="shared" si="40"/>
        <v>885.65879606374835</v>
      </c>
      <c r="J611" s="123">
        <f t="shared" si="41"/>
        <v>912.77808232516873</v>
      </c>
      <c r="K611" s="123">
        <f t="shared" si="37"/>
        <v>888.87029048944294</v>
      </c>
      <c r="L611" s="176">
        <f t="shared" si="38"/>
        <v>897.07744291066217</v>
      </c>
      <c r="M611" s="227"/>
      <c r="N611" s="275"/>
    </row>
    <row r="612" spans="1:14" ht="21.75" customHeight="1">
      <c r="A612" t="s">
        <v>923</v>
      </c>
      <c r="B612" s="245">
        <v>41243</v>
      </c>
      <c r="C612" s="126">
        <v>194.9</v>
      </c>
      <c r="D612" s="126">
        <v>196.3</v>
      </c>
      <c r="E612" s="126">
        <v>195.6</v>
      </c>
      <c r="F612">
        <v>195.5</v>
      </c>
      <c r="G612" s="321">
        <v>0.7873</v>
      </c>
      <c r="H612" s="123">
        <f t="shared" si="39"/>
        <v>695.46695951984123</v>
      </c>
      <c r="I612" s="123">
        <f t="shared" si="40"/>
        <v>700.46261751536599</v>
      </c>
      <c r="J612" s="123">
        <f t="shared" si="41"/>
        <v>697.96478851760355</v>
      </c>
      <c r="K612" s="123">
        <f t="shared" si="37"/>
        <v>697.60795580363742</v>
      </c>
      <c r="L612" s="176">
        <f t="shared" si="38"/>
        <v>697.87558033911205</v>
      </c>
      <c r="M612" s="227"/>
      <c r="N612" s="275"/>
    </row>
    <row r="613" spans="1:14" ht="21.75" customHeight="1">
      <c r="A613" t="s">
        <v>924</v>
      </c>
      <c r="B613" s="245">
        <v>41243</v>
      </c>
      <c r="C613" s="126">
        <v>260.5</v>
      </c>
      <c r="D613" s="126">
        <v>260.2</v>
      </c>
      <c r="E613" s="126">
        <v>261.2</v>
      </c>
      <c r="F613">
        <v>257.89999999999998</v>
      </c>
      <c r="G613" s="321">
        <v>0.7873</v>
      </c>
      <c r="H613" s="123">
        <f t="shared" si="39"/>
        <v>929.54921988157332</v>
      </c>
      <c r="I613" s="123">
        <f t="shared" si="40"/>
        <v>928.47872173967494</v>
      </c>
      <c r="J613" s="123">
        <f t="shared" si="41"/>
        <v>932.04704887933553</v>
      </c>
      <c r="K613" s="123">
        <f t="shared" si="37"/>
        <v>920.2715693184557</v>
      </c>
      <c r="L613" s="176">
        <f t="shared" si="38"/>
        <v>927.5866399547599</v>
      </c>
      <c r="M613" s="227">
        <f>AVERAGE(L610,L612,L613)</f>
        <v>740.93339449101597</v>
      </c>
      <c r="N613" s="275">
        <f>STDEV(L610,L612,L613)/M613</f>
        <v>0.22847180928686081</v>
      </c>
    </row>
    <row r="614" spans="1:14" ht="21.75" customHeight="1">
      <c r="A614" t="s">
        <v>925</v>
      </c>
      <c r="B614" s="245">
        <v>41250</v>
      </c>
      <c r="C614" s="126">
        <v>123.5</v>
      </c>
      <c r="D614" s="126">
        <v>122.4</v>
      </c>
      <c r="E614" s="126">
        <v>122.3</v>
      </c>
      <c r="F614">
        <v>124.7</v>
      </c>
      <c r="G614" s="321">
        <v>0.7873</v>
      </c>
      <c r="H614" s="123">
        <f t="shared" si="39"/>
        <v>440.68840174807792</v>
      </c>
      <c r="I614" s="123">
        <f t="shared" si="40"/>
        <v>436.76324189445131</v>
      </c>
      <c r="J614" s="123">
        <f t="shared" si="41"/>
        <v>436.4064091804853</v>
      </c>
      <c r="K614" s="123">
        <f t="shared" si="37"/>
        <v>444.9703943156706</v>
      </c>
      <c r="L614" s="176">
        <f t="shared" si="38"/>
        <v>439.70711178467127</v>
      </c>
      <c r="M614" s="227"/>
      <c r="N614" s="275"/>
    </row>
    <row r="615" spans="1:14" ht="21.75" customHeight="1">
      <c r="A615" t="s">
        <v>927</v>
      </c>
      <c r="B615" s="245">
        <v>41250</v>
      </c>
      <c r="C615" s="126">
        <v>121.6</v>
      </c>
      <c r="D615" s="126">
        <v>122.5</v>
      </c>
      <c r="E615" s="126">
        <v>122</v>
      </c>
      <c r="F615">
        <v>122.7</v>
      </c>
      <c r="G615" s="321">
        <v>0.7873</v>
      </c>
      <c r="H615" s="123">
        <f t="shared" si="39"/>
        <v>433.90858018272286</v>
      </c>
      <c r="I615" s="123">
        <f t="shared" si="40"/>
        <v>437.12007460841738</v>
      </c>
      <c r="J615" s="123">
        <f t="shared" si="41"/>
        <v>435.33591103858708</v>
      </c>
      <c r="K615" s="123">
        <f t="shared" si="37"/>
        <v>437.83374003634947</v>
      </c>
      <c r="L615" s="176">
        <f t="shared" si="38"/>
        <v>436.04957646651917</v>
      </c>
      <c r="M615" s="227"/>
      <c r="N615" s="275"/>
    </row>
    <row r="616" spans="1:14" ht="21.75" customHeight="1">
      <c r="A616" t="s">
        <v>928</v>
      </c>
      <c r="B616" s="245">
        <v>41250</v>
      </c>
      <c r="C616" s="126">
        <v>82.8</v>
      </c>
      <c r="D616" s="126">
        <v>82.6</v>
      </c>
      <c r="E616" s="126">
        <v>83</v>
      </c>
      <c r="F616">
        <v>82.6</v>
      </c>
      <c r="G616" s="321">
        <v>0.7873</v>
      </c>
      <c r="H616" s="123">
        <f t="shared" si="39"/>
        <v>295.45748716389352</v>
      </c>
      <c r="I616" s="123">
        <f t="shared" si="40"/>
        <v>294.74382173596143</v>
      </c>
      <c r="J616" s="123">
        <f t="shared" si="41"/>
        <v>296.17115259182566</v>
      </c>
      <c r="K616" s="123">
        <f t="shared" si="37"/>
        <v>294.74382173596143</v>
      </c>
      <c r="L616" s="176">
        <f t="shared" si="38"/>
        <v>295.27907080691045</v>
      </c>
      <c r="M616" s="227"/>
      <c r="N616" s="275"/>
    </row>
    <row r="617" spans="1:14" ht="21.75" customHeight="1">
      <c r="A617" t="s">
        <v>929</v>
      </c>
      <c r="B617" s="245">
        <v>41250</v>
      </c>
      <c r="C617" s="126">
        <v>122.5</v>
      </c>
      <c r="D617" s="126">
        <v>122.9</v>
      </c>
      <c r="E617" s="126">
        <v>122.8</v>
      </c>
      <c r="F617">
        <v>122.3</v>
      </c>
      <c r="G617" s="321">
        <v>0.7873</v>
      </c>
      <c r="H617" s="123">
        <f t="shared" si="39"/>
        <v>437.12007460841738</v>
      </c>
      <c r="I617" s="123">
        <f t="shared" si="40"/>
        <v>438.54740546428161</v>
      </c>
      <c r="J617" s="123">
        <f t="shared" si="41"/>
        <v>438.19057275031554</v>
      </c>
      <c r="K617" s="123">
        <f t="shared" si="37"/>
        <v>436.4064091804853</v>
      </c>
      <c r="L617" s="176">
        <f t="shared" si="38"/>
        <v>437.56611550087496</v>
      </c>
      <c r="M617" s="227">
        <f>MEDIAN(L614,L615,L616,L617)</f>
        <v>436.80784598369706</v>
      </c>
      <c r="N617" s="275">
        <f>(PERCENTILE(L614:L617,0.75)-PERCENTILE(L614:L617,0.25))/M617</f>
        <v>8.5264985193505685E-2</v>
      </c>
    </row>
    <row r="618" spans="1:14" ht="21.75" customHeight="1">
      <c r="A618" t="s">
        <v>930</v>
      </c>
      <c r="B618" s="245">
        <v>41253</v>
      </c>
      <c r="C618" s="126">
        <v>292.60000000000002</v>
      </c>
      <c r="D618" s="126">
        <v>301.39999999999998</v>
      </c>
      <c r="E618" s="126">
        <v>294</v>
      </c>
      <c r="F618">
        <v>288.7</v>
      </c>
      <c r="G618" s="321">
        <v>0.7873</v>
      </c>
      <c r="H618" s="123">
        <f t="shared" si="39"/>
        <v>1044.0925210646772</v>
      </c>
      <c r="I618" s="123">
        <f t="shared" si="40"/>
        <v>1075.4937998936896</v>
      </c>
      <c r="J618" s="123">
        <f t="shared" si="41"/>
        <v>1049.0881790602016</v>
      </c>
      <c r="K618" s="123">
        <f t="shared" si="37"/>
        <v>1030.1760452200008</v>
      </c>
      <c r="L618" s="176">
        <f t="shared" si="38"/>
        <v>1049.7126363096422</v>
      </c>
      <c r="M618" s="227"/>
      <c r="N618" s="275"/>
    </row>
    <row r="619" spans="1:14" ht="21.75" customHeight="1">
      <c r="A619" t="s">
        <v>932</v>
      </c>
      <c r="B619" s="245">
        <v>41253</v>
      </c>
      <c r="C619" s="126">
        <v>290.60000000000002</v>
      </c>
      <c r="D619" s="126">
        <v>294.5</v>
      </c>
      <c r="E619" s="126">
        <v>298.60000000000002</v>
      </c>
      <c r="F619">
        <v>294.39999999999998</v>
      </c>
      <c r="G619" s="321">
        <v>0.7873</v>
      </c>
      <c r="H619" s="123">
        <f t="shared" si="39"/>
        <v>1036.955866785356</v>
      </c>
      <c r="I619" s="123">
        <f t="shared" si="40"/>
        <v>1050.8723426300319</v>
      </c>
      <c r="J619" s="123">
        <f t="shared" si="41"/>
        <v>1065.5024839026403</v>
      </c>
      <c r="K619" s="123">
        <f t="shared" si="37"/>
        <v>1050.5155099160659</v>
      </c>
      <c r="L619" s="176">
        <f t="shared" si="38"/>
        <v>1050.9615508085235</v>
      </c>
      <c r="M619" s="227"/>
      <c r="N619" s="275"/>
    </row>
    <row r="620" spans="1:14" ht="21.75" customHeight="1">
      <c r="A620" t="s">
        <v>933</v>
      </c>
      <c r="B620" s="245">
        <v>41253</v>
      </c>
      <c r="C620" s="126">
        <v>290.8</v>
      </c>
      <c r="D620" s="126">
        <v>289.3</v>
      </c>
      <c r="E620" s="126">
        <v>294.8</v>
      </c>
      <c r="F620">
        <v>292.89999999999998</v>
      </c>
      <c r="G620" s="321">
        <v>0.7873</v>
      </c>
      <c r="H620" s="123">
        <f t="shared" si="39"/>
        <v>1037.669532213288</v>
      </c>
      <c r="I620" s="123">
        <f t="shared" si="40"/>
        <v>1032.3170415037971</v>
      </c>
      <c r="J620" s="123">
        <f t="shared" si="41"/>
        <v>1051.9428407719302</v>
      </c>
      <c r="K620" s="123">
        <f t="shared" si="37"/>
        <v>1045.163019206575</v>
      </c>
      <c r="L620" s="176">
        <f t="shared" si="38"/>
        <v>1041.7731084238976</v>
      </c>
      <c r="M620" s="227"/>
      <c r="N620" s="275"/>
    </row>
    <row r="621" spans="1:14" ht="21.75" customHeight="1">
      <c r="A621" t="s">
        <v>934</v>
      </c>
      <c r="B621" s="245">
        <v>41253</v>
      </c>
      <c r="C621" s="126">
        <v>213.6</v>
      </c>
      <c r="D621" s="126">
        <v>215</v>
      </c>
      <c r="E621" s="126">
        <v>231.5</v>
      </c>
      <c r="F621">
        <v>212.1</v>
      </c>
      <c r="G621" s="321">
        <v>0.7873</v>
      </c>
      <c r="H621" s="123">
        <f t="shared" si="39"/>
        <v>762.19467703149337</v>
      </c>
      <c r="I621" s="123">
        <f t="shared" si="40"/>
        <v>767.19033502701825</v>
      </c>
      <c r="J621" s="123">
        <f t="shared" si="41"/>
        <v>826.06773283141729</v>
      </c>
      <c r="K621" s="123">
        <f t="shared" si="37"/>
        <v>756.8421863220027</v>
      </c>
      <c r="L621" s="176">
        <f t="shared" si="38"/>
        <v>778.07373280298293</v>
      </c>
      <c r="M621" s="227">
        <f>MEDIAN(L618,L619,L620,L621)</f>
        <v>1045.7428723667699</v>
      </c>
      <c r="N621" s="275">
        <f>(PERCENTILE(L618:L621,0.75)-PERCENTILE(L618:L621,0.25))/M621</f>
        <v>7.0931968436766871E-2</v>
      </c>
    </row>
    <row r="622" spans="1:14" ht="21.75" customHeight="1">
      <c r="A622" t="s">
        <v>930</v>
      </c>
      <c r="B622" s="245">
        <v>41255</v>
      </c>
      <c r="C622" s="126">
        <v>143</v>
      </c>
      <c r="D622" s="126">
        <v>143.69999999999999</v>
      </c>
      <c r="E622" s="126">
        <v>143</v>
      </c>
      <c r="F622">
        <v>144.6</v>
      </c>
      <c r="G622" s="321">
        <v>0.7873</v>
      </c>
      <c r="H622" s="123">
        <f t="shared" si="39"/>
        <v>510.27078097145869</v>
      </c>
      <c r="I622" s="123">
        <f t="shared" si="40"/>
        <v>512.76860996922096</v>
      </c>
      <c r="J622" s="123">
        <f t="shared" si="41"/>
        <v>510.27078097145869</v>
      </c>
      <c r="K622" s="123">
        <f t="shared" si="37"/>
        <v>515.98010439491554</v>
      </c>
      <c r="L622" s="176">
        <f t="shared" si="38"/>
        <v>512.32256907676344</v>
      </c>
      <c r="M622" s="227"/>
      <c r="N622" s="275"/>
    </row>
    <row r="623" spans="1:14" ht="21.75" customHeight="1">
      <c r="A623" t="s">
        <v>932</v>
      </c>
      <c r="B623" s="245">
        <v>41255</v>
      </c>
      <c r="C623" s="126">
        <v>143</v>
      </c>
      <c r="D623" s="126">
        <v>144.1</v>
      </c>
      <c r="E623" s="126">
        <v>134.6</v>
      </c>
      <c r="F623">
        <v>143.1</v>
      </c>
      <c r="G623" s="321">
        <v>0.7873</v>
      </c>
      <c r="H623" s="123">
        <f t="shared" si="39"/>
        <v>510.27078097145869</v>
      </c>
      <c r="I623" s="123">
        <f t="shared" si="40"/>
        <v>514.19594082508524</v>
      </c>
      <c r="J623" s="123">
        <f t="shared" si="41"/>
        <v>480.29683299831004</v>
      </c>
      <c r="K623" s="123">
        <f t="shared" si="37"/>
        <v>510.62761368542465</v>
      </c>
      <c r="L623" s="176">
        <f t="shared" si="38"/>
        <v>503.84779212006964</v>
      </c>
      <c r="M623" s="227"/>
      <c r="N623" s="275"/>
    </row>
    <row r="624" spans="1:14" ht="21.75" customHeight="1">
      <c r="A624" t="s">
        <v>933</v>
      </c>
      <c r="B624" s="245">
        <v>41255</v>
      </c>
      <c r="C624" s="126">
        <v>142.6</v>
      </c>
      <c r="D624" s="126">
        <v>142.4</v>
      </c>
      <c r="E624" s="126">
        <v>145.30000000000001</v>
      </c>
      <c r="F624">
        <v>144.1</v>
      </c>
      <c r="G624" s="321">
        <v>0.7873</v>
      </c>
      <c r="H624" s="123">
        <f t="shared" si="39"/>
        <v>508.84345011559435</v>
      </c>
      <c r="I624" s="123">
        <f t="shared" si="40"/>
        <v>508.12978468766232</v>
      </c>
      <c r="J624" s="123">
        <f t="shared" si="41"/>
        <v>518.47793339267798</v>
      </c>
      <c r="K624" s="123">
        <f t="shared" si="37"/>
        <v>514.19594082508524</v>
      </c>
      <c r="L624" s="176">
        <f t="shared" si="38"/>
        <v>512.41177725525495</v>
      </c>
      <c r="M624" s="227"/>
      <c r="N624" s="275"/>
    </row>
    <row r="625" spans="1:14" ht="21.75" customHeight="1">
      <c r="A625" t="s">
        <v>934</v>
      </c>
      <c r="B625" s="245">
        <v>41255</v>
      </c>
      <c r="C625" s="126">
        <v>98.8</v>
      </c>
      <c r="D625" s="126">
        <v>98.7</v>
      </c>
      <c r="E625" s="126">
        <v>100.3</v>
      </c>
      <c r="F625">
        <v>99.6</v>
      </c>
      <c r="G625" s="321">
        <v>0.7873</v>
      </c>
      <c r="H625" s="123">
        <f t="shared" si="39"/>
        <v>352.55072139846231</v>
      </c>
      <c r="I625" s="123">
        <f t="shared" si="40"/>
        <v>352.1938886844963</v>
      </c>
      <c r="J625" s="123">
        <f t="shared" si="41"/>
        <v>357.90321210795315</v>
      </c>
      <c r="K625" s="123">
        <f t="shared" si="37"/>
        <v>355.40538311019071</v>
      </c>
      <c r="L625" s="176">
        <f t="shared" si="38"/>
        <v>354.51330132527562</v>
      </c>
      <c r="M625" s="227">
        <f>MEDIAN(L622,L623,L624,L625)</f>
        <v>508.08518059841651</v>
      </c>
      <c r="N625" s="275">
        <f>(PERCENTILE(L622:L625,0.75)-PERCENTILE(L622:L625,0.25))/M625</f>
        <v>9.0202791677640157E-2</v>
      </c>
    </row>
    <row r="626" spans="1:14" ht="21.75" customHeight="1">
      <c r="A626" t="s">
        <v>935</v>
      </c>
      <c r="B626" s="245">
        <v>41255</v>
      </c>
      <c r="C626" s="126">
        <v>132.9</v>
      </c>
      <c r="D626" s="126">
        <v>133.30000000000001</v>
      </c>
      <c r="E626" s="126">
        <v>132.80000000000001</v>
      </c>
      <c r="F626">
        <v>134.80000000000001</v>
      </c>
      <c r="G626" s="321">
        <v>0.7873</v>
      </c>
      <c r="H626" s="123">
        <f t="shared" si="39"/>
        <v>474.23067686088706</v>
      </c>
      <c r="I626" s="123">
        <f t="shared" si="40"/>
        <v>475.6580077167514</v>
      </c>
      <c r="J626" s="123">
        <f t="shared" si="41"/>
        <v>473.8738441469211</v>
      </c>
      <c r="K626" s="123">
        <f t="shared" ref="K626:K689" si="42">(F626*(PI()/LN(2)))*$G626</f>
        <v>481.01049842624212</v>
      </c>
      <c r="L626" s="176">
        <f t="shared" ref="L626:L689" si="43">AVERAGE(H626:K626)</f>
        <v>476.19325678770042</v>
      </c>
      <c r="M626" s="227"/>
      <c r="N626" s="275"/>
    </row>
    <row r="627" spans="1:14" ht="21.75" customHeight="1">
      <c r="A627" t="s">
        <v>937</v>
      </c>
      <c r="B627" s="245">
        <v>41255</v>
      </c>
      <c r="C627" s="126">
        <v>120.3</v>
      </c>
      <c r="D627" s="126">
        <v>122.5</v>
      </c>
      <c r="E627" s="126">
        <v>120.4</v>
      </c>
      <c r="F627">
        <v>120.6</v>
      </c>
      <c r="G627" s="321">
        <v>0.7873</v>
      </c>
      <c r="H627" s="123">
        <f t="shared" si="39"/>
        <v>429.26975490116416</v>
      </c>
      <c r="I627" s="123">
        <f t="shared" si="40"/>
        <v>437.12007460841738</v>
      </c>
      <c r="J627" s="123">
        <f t="shared" si="41"/>
        <v>429.62658761513018</v>
      </c>
      <c r="K627" s="123">
        <f t="shared" si="42"/>
        <v>430.34025304306232</v>
      </c>
      <c r="L627" s="176">
        <f t="shared" si="43"/>
        <v>431.58916754194354</v>
      </c>
      <c r="M627" s="227"/>
      <c r="N627" s="275"/>
    </row>
    <row r="628" spans="1:14" ht="21.75" customHeight="1">
      <c r="A628" t="s">
        <v>938</v>
      </c>
      <c r="B628" s="245">
        <v>41255</v>
      </c>
      <c r="C628" s="126">
        <v>129.80000000000001</v>
      </c>
      <c r="D628" s="126">
        <v>132.1</v>
      </c>
      <c r="E628" s="126">
        <v>132.4</v>
      </c>
      <c r="F628">
        <v>132.4</v>
      </c>
      <c r="G628" s="321">
        <v>0.7873</v>
      </c>
      <c r="H628" s="123">
        <f t="shared" si="39"/>
        <v>463.16886272793943</v>
      </c>
      <c r="I628" s="123">
        <f t="shared" si="40"/>
        <v>471.3760151491586</v>
      </c>
      <c r="J628" s="123">
        <f t="shared" si="41"/>
        <v>472.44651329105687</v>
      </c>
      <c r="K628" s="123">
        <f t="shared" si="42"/>
        <v>472.44651329105687</v>
      </c>
      <c r="L628" s="176">
        <f t="shared" si="43"/>
        <v>469.85947611480293</v>
      </c>
      <c r="M628" s="227"/>
      <c r="N628" s="275"/>
    </row>
    <row r="629" spans="1:14" ht="21.75" customHeight="1">
      <c r="A629" t="s">
        <v>940</v>
      </c>
      <c r="B629" s="245">
        <v>41255</v>
      </c>
      <c r="C629" s="126">
        <v>119.8</v>
      </c>
      <c r="D629" s="126">
        <v>120.1</v>
      </c>
      <c r="E629" s="126">
        <v>120.7</v>
      </c>
      <c r="F629">
        <v>121</v>
      </c>
      <c r="G629" s="321">
        <v>0.7873</v>
      </c>
      <c r="H629" s="123">
        <f t="shared" si="39"/>
        <v>427.48559133133386</v>
      </c>
      <c r="I629" s="123">
        <f t="shared" si="40"/>
        <v>428.55608947323202</v>
      </c>
      <c r="J629" s="123">
        <f t="shared" si="41"/>
        <v>430.69708575702839</v>
      </c>
      <c r="K629" s="123">
        <f t="shared" si="42"/>
        <v>431.76758389892655</v>
      </c>
      <c r="L629" s="176">
        <f t="shared" si="43"/>
        <v>429.62658761513023</v>
      </c>
      <c r="M629" s="227">
        <f>MEDIAN(L626,L627,L628,L629)</f>
        <v>450.72432182837326</v>
      </c>
      <c r="N629" s="275">
        <f>(PERCENTILE(L626:L629,0.75)-PERCENTILE(L626:L629,0.25))/M629</f>
        <v>8.9510143493320149E-2</v>
      </c>
    </row>
    <row r="630" spans="1:14" ht="21.75" customHeight="1">
      <c r="A630" t="s">
        <v>930</v>
      </c>
      <c r="B630" s="245">
        <v>41257</v>
      </c>
      <c r="C630" s="126">
        <v>145.69999999999999</v>
      </c>
      <c r="D630" s="126">
        <v>144.6</v>
      </c>
      <c r="E630" s="126">
        <v>144.30000000000001</v>
      </c>
      <c r="F630">
        <v>144.69999999999999</v>
      </c>
      <c r="G630" s="321">
        <v>0.7873</v>
      </c>
      <c r="H630" s="123">
        <f t="shared" si="39"/>
        <v>519.90526424854215</v>
      </c>
      <c r="I630" s="123">
        <f t="shared" si="40"/>
        <v>515.98010439491554</v>
      </c>
      <c r="J630" s="123">
        <f t="shared" si="41"/>
        <v>514.90960625301739</v>
      </c>
      <c r="K630" s="123">
        <f t="shared" si="42"/>
        <v>516.33693710888156</v>
      </c>
      <c r="L630" s="176">
        <f t="shared" si="43"/>
        <v>516.78297800133919</v>
      </c>
      <c r="M630" s="227"/>
      <c r="N630" s="275"/>
    </row>
    <row r="631" spans="1:14" ht="21.75" customHeight="1">
      <c r="A631" t="s">
        <v>932</v>
      </c>
      <c r="B631" s="245">
        <v>41257</v>
      </c>
      <c r="C631" s="126">
        <v>144.30000000000001</v>
      </c>
      <c r="D631" s="126">
        <v>144.69999999999999</v>
      </c>
      <c r="E631" s="126">
        <v>146.4</v>
      </c>
      <c r="F631">
        <v>145.80000000000001</v>
      </c>
      <c r="G631" s="321">
        <v>0.7873</v>
      </c>
      <c r="H631" s="123">
        <f t="shared" si="39"/>
        <v>514.90960625301739</v>
      </c>
      <c r="I631" s="123">
        <f t="shared" si="40"/>
        <v>516.33693710888156</v>
      </c>
      <c r="J631" s="123">
        <f t="shared" si="41"/>
        <v>522.40309324630448</v>
      </c>
      <c r="K631" s="123">
        <f t="shared" si="42"/>
        <v>520.26209696250828</v>
      </c>
      <c r="L631" s="176">
        <f t="shared" si="43"/>
        <v>518.47793339267798</v>
      </c>
      <c r="M631" s="227"/>
      <c r="N631" s="275"/>
    </row>
    <row r="632" spans="1:14" ht="21.75" customHeight="1">
      <c r="A632" t="s">
        <v>933</v>
      </c>
      <c r="B632" s="245">
        <v>41260</v>
      </c>
      <c r="C632" s="126">
        <v>144.80000000000001</v>
      </c>
      <c r="D632" s="126">
        <v>143.6</v>
      </c>
      <c r="E632" s="126">
        <v>144.19999999999999</v>
      </c>
      <c r="F632">
        <v>145.30000000000001</v>
      </c>
      <c r="G632" s="321">
        <v>0.7873</v>
      </c>
      <c r="H632" s="123">
        <f t="shared" si="39"/>
        <v>516.69376982284768</v>
      </c>
      <c r="I632" s="123">
        <f t="shared" si="40"/>
        <v>512.41177725525495</v>
      </c>
      <c r="J632" s="123">
        <f t="shared" si="41"/>
        <v>514.55277353905126</v>
      </c>
      <c r="K632" s="123">
        <f t="shared" si="42"/>
        <v>518.47793339267798</v>
      </c>
      <c r="L632" s="176">
        <f t="shared" si="43"/>
        <v>515.53406350245791</v>
      </c>
      <c r="M632" s="227"/>
      <c r="N632" s="275"/>
    </row>
    <row r="633" spans="1:14" ht="21.75" customHeight="1">
      <c r="A633" t="s">
        <v>934</v>
      </c>
      <c r="B633" s="245">
        <v>41260</v>
      </c>
      <c r="C633" s="126">
        <v>103.5</v>
      </c>
      <c r="D633" s="126">
        <v>102.4</v>
      </c>
      <c r="E633" s="126">
        <v>100.9</v>
      </c>
      <c r="F633">
        <v>101</v>
      </c>
      <c r="G633" s="321">
        <v>0.7873</v>
      </c>
      <c r="H633" s="123">
        <f t="shared" si="39"/>
        <v>369.32185895486691</v>
      </c>
      <c r="I633" s="123">
        <f t="shared" si="40"/>
        <v>365.3966991012403</v>
      </c>
      <c r="J633" s="123">
        <f t="shared" si="41"/>
        <v>360.04420839174952</v>
      </c>
      <c r="K633" s="123">
        <f t="shared" si="42"/>
        <v>360.40104110571554</v>
      </c>
      <c r="L633" s="176">
        <f t="shared" si="43"/>
        <v>363.79095188839312</v>
      </c>
      <c r="M633" s="227"/>
      <c r="N633" s="275"/>
    </row>
    <row r="634" spans="1:14" ht="21.75" customHeight="1">
      <c r="A634" t="s">
        <v>950</v>
      </c>
      <c r="B634" s="245">
        <v>41278</v>
      </c>
      <c r="C634" s="126">
        <v>183.4</v>
      </c>
      <c r="D634" s="126">
        <v>182.9</v>
      </c>
      <c r="E634" s="126">
        <v>178.4</v>
      </c>
      <c r="F634">
        <v>181.6</v>
      </c>
      <c r="G634" s="321">
        <v>0.7873</v>
      </c>
      <c r="H634" s="123">
        <f t="shared" si="39"/>
        <v>654.43119741374494</v>
      </c>
      <c r="I634" s="123">
        <f t="shared" si="40"/>
        <v>652.64703384391464</v>
      </c>
      <c r="J634" s="123">
        <f t="shared" si="41"/>
        <v>636.58956171544207</v>
      </c>
      <c r="K634" s="123">
        <f t="shared" si="42"/>
        <v>648.00820856235578</v>
      </c>
      <c r="L634" s="176">
        <f t="shared" si="43"/>
        <v>647.91900038386439</v>
      </c>
      <c r="M634" s="227"/>
      <c r="N634" s="275"/>
    </row>
    <row r="635" spans="1:14" ht="21.75" customHeight="1">
      <c r="A635" t="s">
        <v>952</v>
      </c>
      <c r="B635" s="245">
        <v>41278</v>
      </c>
      <c r="C635" s="126">
        <v>169.7</v>
      </c>
      <c r="D635" s="126">
        <v>170</v>
      </c>
      <c r="E635" s="126">
        <v>169.3</v>
      </c>
      <c r="F635">
        <v>169.4</v>
      </c>
      <c r="G635" s="321">
        <v>0.7873</v>
      </c>
      <c r="H635" s="123">
        <f t="shared" si="39"/>
        <v>605.54511560039532</v>
      </c>
      <c r="I635" s="123">
        <f t="shared" si="40"/>
        <v>606.61561374229348</v>
      </c>
      <c r="J635" s="123">
        <f t="shared" si="41"/>
        <v>604.11778474453115</v>
      </c>
      <c r="K635" s="123">
        <f t="shared" si="42"/>
        <v>604.47461745849716</v>
      </c>
      <c r="L635" s="176">
        <f t="shared" si="43"/>
        <v>605.18828288642919</v>
      </c>
      <c r="M635" s="227"/>
      <c r="N635" s="275"/>
    </row>
    <row r="636" spans="1:14" ht="21.75" customHeight="1">
      <c r="A636" t="s">
        <v>953</v>
      </c>
      <c r="B636" s="245">
        <v>41278</v>
      </c>
      <c r="C636" s="126">
        <v>186.2</v>
      </c>
      <c r="D636" s="126">
        <v>188.8</v>
      </c>
      <c r="E636" s="126">
        <v>188.9</v>
      </c>
      <c r="F636">
        <v>185.9</v>
      </c>
      <c r="G636" s="321">
        <v>0.7873</v>
      </c>
      <c r="H636" s="123">
        <f t="shared" si="39"/>
        <v>664.42251340479436</v>
      </c>
      <c r="I636" s="123">
        <f t="shared" si="40"/>
        <v>673.70016396791186</v>
      </c>
      <c r="J636" s="123">
        <f t="shared" si="41"/>
        <v>674.05699668187788</v>
      </c>
      <c r="K636" s="123">
        <f t="shared" si="42"/>
        <v>663.3520152628962</v>
      </c>
      <c r="L636" s="176">
        <f t="shared" si="43"/>
        <v>668.8829223293701</v>
      </c>
      <c r="M636" s="227"/>
      <c r="N636" s="275"/>
    </row>
    <row r="637" spans="1:14" ht="21.75" customHeight="1">
      <c r="A637" t="s">
        <v>954</v>
      </c>
      <c r="B637" s="245">
        <v>41278</v>
      </c>
      <c r="C637" s="126">
        <v>168.8</v>
      </c>
      <c r="D637" s="126">
        <v>168</v>
      </c>
      <c r="E637" s="126">
        <v>168.3</v>
      </c>
      <c r="F637">
        <v>166.5</v>
      </c>
      <c r="G637" s="321">
        <v>0.7873</v>
      </c>
      <c r="H637" s="123">
        <f t="shared" si="39"/>
        <v>602.33362117470085</v>
      </c>
      <c r="I637" s="123">
        <f t="shared" si="40"/>
        <v>599.4789594629724</v>
      </c>
      <c r="J637" s="123">
        <f t="shared" si="41"/>
        <v>600.54945760487055</v>
      </c>
      <c r="K637" s="123">
        <f t="shared" si="42"/>
        <v>594.12646875348162</v>
      </c>
      <c r="L637" s="176">
        <f t="shared" si="43"/>
        <v>599.12212674900638</v>
      </c>
      <c r="M637" s="227">
        <f>MEDIAN(L634,L635,L636,L637)</f>
        <v>626.55364163514673</v>
      </c>
      <c r="N637" s="275">
        <f>(PERCENTILE(L634:L637,0.75)-PERCENTILE(L634:L637,0.25))/M637</f>
        <v>7.8984836619918924E-2</v>
      </c>
    </row>
    <row r="638" spans="1:14" ht="21.75" customHeight="1">
      <c r="A638" t="s">
        <v>955</v>
      </c>
      <c r="B638" s="245">
        <v>41280</v>
      </c>
      <c r="C638" s="126">
        <v>101.4</v>
      </c>
      <c r="D638" s="126">
        <v>102</v>
      </c>
      <c r="E638" s="126">
        <v>102.4</v>
      </c>
      <c r="F638">
        <v>102</v>
      </c>
      <c r="G638" s="321">
        <v>0.7873</v>
      </c>
      <c r="H638" s="123">
        <f t="shared" si="39"/>
        <v>361.82837196157982</v>
      </c>
      <c r="I638" s="123">
        <f t="shared" si="40"/>
        <v>363.96936824537607</v>
      </c>
      <c r="J638" s="123">
        <f t="shared" si="41"/>
        <v>365.3966991012403</v>
      </c>
      <c r="K638" s="123">
        <f t="shared" si="42"/>
        <v>363.96936824537607</v>
      </c>
      <c r="L638" s="176">
        <f t="shared" si="43"/>
        <v>363.79095188839307</v>
      </c>
      <c r="M638" s="227"/>
      <c r="N638" s="275"/>
    </row>
    <row r="639" spans="1:14" ht="21.75" customHeight="1">
      <c r="A639" t="s">
        <v>957</v>
      </c>
      <c r="B639" s="245">
        <v>41280</v>
      </c>
      <c r="C639" s="126">
        <v>101.8</v>
      </c>
      <c r="D639" s="126">
        <v>102.3</v>
      </c>
      <c r="E639" s="126">
        <v>102.3</v>
      </c>
      <c r="F639">
        <v>102.3</v>
      </c>
      <c r="G639" s="321">
        <v>0.7873</v>
      </c>
      <c r="H639" s="123">
        <f t="shared" si="39"/>
        <v>363.25570281744399</v>
      </c>
      <c r="I639" s="123">
        <f t="shared" si="40"/>
        <v>365.03986638727429</v>
      </c>
      <c r="J639" s="123">
        <f t="shared" si="41"/>
        <v>365.03986638727429</v>
      </c>
      <c r="K639" s="123">
        <f t="shared" si="42"/>
        <v>365.03986638727429</v>
      </c>
      <c r="L639" s="176">
        <f t="shared" si="43"/>
        <v>364.59382549481671</v>
      </c>
      <c r="M639" s="227"/>
      <c r="N639" s="275"/>
    </row>
    <row r="640" spans="1:14" ht="21.75" customHeight="1">
      <c r="A640" t="s">
        <v>958</v>
      </c>
      <c r="B640" s="245">
        <v>41280</v>
      </c>
      <c r="C640" s="126">
        <v>102.8</v>
      </c>
      <c r="D640" s="126">
        <v>103.4</v>
      </c>
      <c r="E640" s="126">
        <v>103.1</v>
      </c>
      <c r="F640">
        <v>104.7</v>
      </c>
      <c r="G640" s="321">
        <v>0.7873</v>
      </c>
      <c r="H640" s="123">
        <f t="shared" si="39"/>
        <v>366.82402995710453</v>
      </c>
      <c r="I640" s="123">
        <f t="shared" si="40"/>
        <v>368.9650262409009</v>
      </c>
      <c r="J640" s="123">
        <f t="shared" si="41"/>
        <v>367.89452809900268</v>
      </c>
      <c r="K640" s="123">
        <f t="shared" si="42"/>
        <v>373.60385152245959</v>
      </c>
      <c r="L640" s="176">
        <f t="shared" si="43"/>
        <v>369.32185895486691</v>
      </c>
      <c r="M640" s="227"/>
      <c r="N640" s="275"/>
    </row>
    <row r="641" spans="1:14" ht="21.75" customHeight="1">
      <c r="A641" t="s">
        <v>959</v>
      </c>
      <c r="B641" s="245">
        <v>41280</v>
      </c>
      <c r="C641" s="126">
        <v>62.4</v>
      </c>
      <c r="D641" s="126">
        <v>62.9</v>
      </c>
      <c r="E641" s="126">
        <v>62.7</v>
      </c>
      <c r="F641">
        <v>63.4</v>
      </c>
      <c r="G641" s="321">
        <v>0.7873</v>
      </c>
      <c r="H641" s="123">
        <f t="shared" si="39"/>
        <v>222.66361351481831</v>
      </c>
      <c r="I641" s="123">
        <f t="shared" si="40"/>
        <v>224.44777708464858</v>
      </c>
      <c r="J641" s="123">
        <f t="shared" si="41"/>
        <v>223.73411165671652</v>
      </c>
      <c r="K641" s="123">
        <f t="shared" si="42"/>
        <v>226.23194065447885</v>
      </c>
      <c r="L641" s="176">
        <f t="shared" si="43"/>
        <v>224.26936072766557</v>
      </c>
      <c r="M641" s="227">
        <f>MEDIAN(L638,L639,L640,L641)</f>
        <v>364.19238869160489</v>
      </c>
      <c r="N641" s="275">
        <f>(PERCENTILE(L638:L641,0.75)-PERCENTILE(L638:L641,0.25))/M641</f>
        <v>0.10122473974280469</v>
      </c>
    </row>
    <row r="642" spans="1:14" ht="21.75" customHeight="1">
      <c r="A642" t="s">
        <v>912</v>
      </c>
      <c r="B642" s="245">
        <v>41284</v>
      </c>
      <c r="C642" s="126">
        <v>133.30000000000001</v>
      </c>
      <c r="D642" s="126"/>
      <c r="E642" s="126"/>
      <c r="G642" s="321">
        <v>0.7873</v>
      </c>
      <c r="H642" s="123">
        <f t="shared" ref="H642:H705" si="44">(C642*(PI()/LN(2)))*$G642</f>
        <v>475.6580077167514</v>
      </c>
      <c r="I642" s="123">
        <f t="shared" ref="I642:I705" si="45">(D642*(PI()/LN(2)))*$G642</f>
        <v>0</v>
      </c>
      <c r="J642" s="123">
        <f t="shared" ref="J642:J705" si="46">(E642*(PI()/LN(2)))*$G642</f>
        <v>0</v>
      </c>
      <c r="K642" s="123">
        <f t="shared" si="42"/>
        <v>0</v>
      </c>
      <c r="L642" s="176">
        <f t="shared" si="43"/>
        <v>118.91450192918785</v>
      </c>
      <c r="M642" s="227"/>
      <c r="N642" s="275"/>
    </row>
    <row r="643" spans="1:14" ht="21.75" customHeight="1">
      <c r="A643" t="s">
        <v>914</v>
      </c>
      <c r="B643" s="245">
        <v>41284</v>
      </c>
      <c r="C643" s="126">
        <v>149.1</v>
      </c>
      <c r="D643" s="126"/>
      <c r="E643" s="126"/>
      <c r="G643" s="321">
        <v>0.7873</v>
      </c>
      <c r="H643" s="123">
        <f t="shared" si="44"/>
        <v>532.03757652338788</v>
      </c>
      <c r="I643" s="123">
        <f t="shared" si="45"/>
        <v>0</v>
      </c>
      <c r="J643" s="123">
        <f t="shared" si="46"/>
        <v>0</v>
      </c>
      <c r="K643" s="123">
        <f t="shared" si="42"/>
        <v>0</v>
      </c>
      <c r="L643" s="176">
        <f t="shared" si="43"/>
        <v>133.00939413084697</v>
      </c>
      <c r="M643" s="227"/>
      <c r="N643" s="275"/>
    </row>
    <row r="644" spans="1:14" ht="21.75" customHeight="1">
      <c r="A644" t="s">
        <v>916</v>
      </c>
      <c r="B644" s="245">
        <v>41284</v>
      </c>
      <c r="C644" s="126">
        <v>150.4</v>
      </c>
      <c r="D644" s="126"/>
      <c r="E644" s="126"/>
      <c r="G644" s="321">
        <v>0.7873</v>
      </c>
      <c r="H644" s="123">
        <f t="shared" si="44"/>
        <v>536.67640180494675</v>
      </c>
      <c r="I644" s="123">
        <f t="shared" si="45"/>
        <v>0</v>
      </c>
      <c r="J644" s="123">
        <f t="shared" si="46"/>
        <v>0</v>
      </c>
      <c r="K644" s="123">
        <f t="shared" si="42"/>
        <v>0</v>
      </c>
      <c r="L644" s="176">
        <f t="shared" si="43"/>
        <v>134.16910045123669</v>
      </c>
      <c r="M644" s="227"/>
      <c r="N644" s="275"/>
    </row>
    <row r="645" spans="1:14" ht="21.75" customHeight="1">
      <c r="A645" t="s">
        <v>919</v>
      </c>
      <c r="B645" s="245">
        <v>41284</v>
      </c>
      <c r="C645" s="126">
        <v>131</v>
      </c>
      <c r="D645" s="126"/>
      <c r="E645" s="126"/>
      <c r="G645" s="321">
        <v>0.7873</v>
      </c>
      <c r="H645" s="123">
        <f t="shared" si="44"/>
        <v>467.45085529553211</v>
      </c>
      <c r="I645" s="123">
        <f t="shared" si="45"/>
        <v>0</v>
      </c>
      <c r="J645" s="123">
        <f t="shared" si="46"/>
        <v>0</v>
      </c>
      <c r="K645" s="123">
        <f t="shared" si="42"/>
        <v>0</v>
      </c>
      <c r="L645" s="176">
        <f t="shared" si="43"/>
        <v>116.86271382388303</v>
      </c>
      <c r="M645" s="227"/>
      <c r="N645" s="275"/>
    </row>
    <row r="646" spans="1:14" ht="21.75" customHeight="1">
      <c r="A646" t="s">
        <v>960</v>
      </c>
      <c r="B646" s="245">
        <v>40926</v>
      </c>
      <c r="C646" s="126">
        <v>164.7</v>
      </c>
      <c r="D646" s="126">
        <v>163.80000000000001</v>
      </c>
      <c r="E646" s="126">
        <v>167</v>
      </c>
      <c r="F646">
        <v>162.30000000000001</v>
      </c>
      <c r="G646" s="321">
        <v>0.7873</v>
      </c>
      <c r="H646" s="123">
        <f t="shared" si="44"/>
        <v>587.70347990209257</v>
      </c>
      <c r="I646" s="123">
        <f t="shared" si="45"/>
        <v>584.4919854763981</v>
      </c>
      <c r="J646" s="123">
        <f t="shared" si="46"/>
        <v>595.9106323233118</v>
      </c>
      <c r="K646" s="123">
        <f t="shared" si="42"/>
        <v>579.13949476690732</v>
      </c>
      <c r="L646" s="176">
        <f t="shared" si="43"/>
        <v>586.81139811717742</v>
      </c>
      <c r="M646" s="227"/>
      <c r="N646" s="275"/>
    </row>
    <row r="647" spans="1:14" ht="21.75" customHeight="1">
      <c r="A647" t="s">
        <v>963</v>
      </c>
      <c r="B647" s="245">
        <v>40926</v>
      </c>
      <c r="C647" s="126">
        <v>170.5</v>
      </c>
      <c r="D647" s="126">
        <v>170.5</v>
      </c>
      <c r="E647" s="126">
        <v>171.3</v>
      </c>
      <c r="F647">
        <v>169.4</v>
      </c>
      <c r="G647" s="321">
        <v>0.7873</v>
      </c>
      <c r="H647" s="123">
        <f t="shared" si="44"/>
        <v>608.39977731212377</v>
      </c>
      <c r="I647" s="123">
        <f t="shared" si="45"/>
        <v>608.39977731212377</v>
      </c>
      <c r="J647" s="123">
        <f t="shared" si="46"/>
        <v>611.25443902385223</v>
      </c>
      <c r="K647" s="123">
        <f t="shared" si="42"/>
        <v>604.47461745849716</v>
      </c>
      <c r="L647" s="176">
        <f t="shared" si="43"/>
        <v>608.13215277664926</v>
      </c>
      <c r="M647" s="227"/>
      <c r="N647" s="275"/>
    </row>
    <row r="648" spans="1:14" ht="21.75" customHeight="1">
      <c r="A648" t="s">
        <v>964</v>
      </c>
      <c r="B648" s="245">
        <v>40926</v>
      </c>
      <c r="C648" s="126">
        <v>173.9</v>
      </c>
      <c r="D648" s="126">
        <v>175.9</v>
      </c>
      <c r="E648" s="126">
        <v>174.9</v>
      </c>
      <c r="F648">
        <v>173.7</v>
      </c>
      <c r="G648" s="321">
        <v>0.7873</v>
      </c>
      <c r="H648" s="123">
        <f t="shared" si="44"/>
        <v>620.53208958696962</v>
      </c>
      <c r="I648" s="123">
        <f t="shared" si="45"/>
        <v>627.66874386629081</v>
      </c>
      <c r="J648" s="123">
        <f t="shared" si="46"/>
        <v>624.10041672663021</v>
      </c>
      <c r="K648" s="123">
        <f t="shared" si="42"/>
        <v>619.81842415903748</v>
      </c>
      <c r="L648" s="176">
        <f t="shared" si="43"/>
        <v>623.02991858473206</v>
      </c>
      <c r="M648" s="227">
        <f>MEDIAN(L646,L647,L648)</f>
        <v>608.13215277664926</v>
      </c>
      <c r="N648" s="275">
        <f>(PERCENTILE(L646:L648,0.75)-PERCENTILE(L646:L648,0.25))/M648</f>
        <v>2.9778494939122734E-2</v>
      </c>
    </row>
    <row r="649" spans="1:14" ht="21.75" customHeight="1">
      <c r="A649" t="s">
        <v>965</v>
      </c>
      <c r="B649" s="245">
        <v>40930</v>
      </c>
      <c r="C649" s="126">
        <v>57.3</v>
      </c>
      <c r="D649" s="126">
        <v>57.1</v>
      </c>
      <c r="E649" s="126">
        <v>57.6</v>
      </c>
      <c r="F649">
        <v>57.8</v>
      </c>
      <c r="G649" s="321">
        <v>0.7873</v>
      </c>
      <c r="H649" s="123">
        <f t="shared" si="44"/>
        <v>204.46514510254951</v>
      </c>
      <c r="I649" s="123">
        <f t="shared" si="45"/>
        <v>203.7514796746174</v>
      </c>
      <c r="J649" s="123">
        <f t="shared" si="46"/>
        <v>205.53564324444767</v>
      </c>
      <c r="K649" s="123">
        <f t="shared" si="42"/>
        <v>206.24930867237978</v>
      </c>
      <c r="L649" s="176">
        <f t="shared" si="43"/>
        <v>205.00039417349859</v>
      </c>
      <c r="M649" s="227"/>
      <c r="N649" s="275"/>
    </row>
    <row r="650" spans="1:14" ht="21.75" customHeight="1">
      <c r="A650" t="s">
        <v>966</v>
      </c>
      <c r="B650" s="245">
        <v>40930</v>
      </c>
      <c r="C650" s="126">
        <v>56.4</v>
      </c>
      <c r="D650" s="126">
        <v>56.8</v>
      </c>
      <c r="E650" s="126">
        <v>56.3</v>
      </c>
      <c r="F650">
        <v>56.5</v>
      </c>
      <c r="G650" s="321">
        <v>0.7873</v>
      </c>
      <c r="H650" s="123">
        <f t="shared" si="44"/>
        <v>201.25365067685502</v>
      </c>
      <c r="I650" s="123">
        <f t="shared" si="45"/>
        <v>202.68098153271922</v>
      </c>
      <c r="J650" s="123">
        <f t="shared" si="46"/>
        <v>200.89681796288895</v>
      </c>
      <c r="K650" s="123">
        <f t="shared" si="42"/>
        <v>201.61048339082106</v>
      </c>
      <c r="L650" s="176">
        <f t="shared" si="43"/>
        <v>201.61048339082106</v>
      </c>
      <c r="M650" s="227"/>
      <c r="N650" s="275"/>
    </row>
    <row r="651" spans="1:14" ht="21.75" customHeight="1">
      <c r="A651" t="s">
        <v>967</v>
      </c>
      <c r="B651" s="245">
        <v>41303</v>
      </c>
      <c r="C651" s="126">
        <v>121.6</v>
      </c>
      <c r="D651" s="126">
        <v>121.4</v>
      </c>
      <c r="E651" s="126">
        <v>122.8</v>
      </c>
      <c r="F651">
        <v>122.1</v>
      </c>
      <c r="G651" s="321">
        <v>0.7873</v>
      </c>
      <c r="H651" s="123">
        <f t="shared" si="44"/>
        <v>433.90858018272286</v>
      </c>
      <c r="I651" s="123">
        <f t="shared" si="45"/>
        <v>433.19491475479077</v>
      </c>
      <c r="J651" s="123">
        <f t="shared" si="46"/>
        <v>438.19057275031554</v>
      </c>
      <c r="K651" s="123">
        <f t="shared" si="42"/>
        <v>435.69274375255316</v>
      </c>
      <c r="L651" s="176">
        <f t="shared" si="43"/>
        <v>435.24670286009564</v>
      </c>
      <c r="M651" s="227"/>
      <c r="N651" s="275"/>
    </row>
    <row r="652" spans="1:14" ht="21.75" customHeight="1">
      <c r="A652" t="s">
        <v>968</v>
      </c>
      <c r="B652" s="245">
        <v>41303</v>
      </c>
      <c r="C652" s="126">
        <v>119.6</v>
      </c>
      <c r="D652" s="126">
        <v>120.4</v>
      </c>
      <c r="E652" s="126">
        <v>119.5</v>
      </c>
      <c r="F652">
        <v>120.9</v>
      </c>
      <c r="G652" s="321">
        <v>0.7873</v>
      </c>
      <c r="H652" s="123">
        <f t="shared" si="44"/>
        <v>426.77192590340172</v>
      </c>
      <c r="I652" s="123">
        <f t="shared" si="45"/>
        <v>429.62658761513018</v>
      </c>
      <c r="J652" s="123">
        <f t="shared" si="46"/>
        <v>426.41509318943571</v>
      </c>
      <c r="K652" s="123">
        <f t="shared" si="42"/>
        <v>431.41075118496047</v>
      </c>
      <c r="L652" s="176">
        <f t="shared" si="43"/>
        <v>428.55608947323202</v>
      </c>
      <c r="M652" s="227"/>
      <c r="N652" s="275"/>
    </row>
    <row r="653" spans="1:14" ht="21.75" customHeight="1">
      <c r="A653" t="s">
        <v>969</v>
      </c>
      <c r="B653" s="245">
        <v>41303</v>
      </c>
      <c r="C653" s="126">
        <v>112.7</v>
      </c>
      <c r="D653" s="126">
        <v>114.2</v>
      </c>
      <c r="E653" s="126">
        <v>112.6</v>
      </c>
      <c r="F653">
        <v>114.2</v>
      </c>
      <c r="G653" s="321">
        <v>0.7873</v>
      </c>
      <c r="H653" s="123">
        <f t="shared" si="44"/>
        <v>402.15046863974396</v>
      </c>
      <c r="I653" s="123">
        <f t="shared" si="45"/>
        <v>407.5029593492348</v>
      </c>
      <c r="J653" s="123">
        <f t="shared" si="46"/>
        <v>401.79363592577789</v>
      </c>
      <c r="K653" s="123">
        <f t="shared" si="42"/>
        <v>407.5029593492348</v>
      </c>
      <c r="L653" s="176">
        <f t="shared" si="43"/>
        <v>404.73750581599785</v>
      </c>
      <c r="M653" s="227"/>
      <c r="N653" s="275"/>
    </row>
    <row r="654" spans="1:14" ht="21.75" customHeight="1">
      <c r="A654" t="s">
        <v>970</v>
      </c>
      <c r="B654" s="245">
        <v>41303</v>
      </c>
      <c r="C654" s="126">
        <v>225.4</v>
      </c>
      <c r="D654" s="126">
        <v>227.5</v>
      </c>
      <c r="E654" s="126">
        <v>227.6</v>
      </c>
      <c r="F654">
        <v>228.6</v>
      </c>
      <c r="G654" s="321">
        <v>0.7873</v>
      </c>
      <c r="H654" s="123">
        <f t="shared" si="44"/>
        <v>804.30093727948793</v>
      </c>
      <c r="I654" s="123">
        <f t="shared" si="45"/>
        <v>811.79442427277513</v>
      </c>
      <c r="J654" s="123">
        <f t="shared" si="46"/>
        <v>812.15125698674115</v>
      </c>
      <c r="K654" s="123">
        <f t="shared" si="42"/>
        <v>815.71958412640174</v>
      </c>
      <c r="L654" s="176">
        <f t="shared" si="43"/>
        <v>810.99155066635149</v>
      </c>
      <c r="M654" s="227"/>
      <c r="N654" s="275"/>
    </row>
    <row r="655" spans="1:14" ht="21.75" customHeight="1">
      <c r="A655" t="s">
        <v>971</v>
      </c>
      <c r="B655" s="245">
        <v>41303</v>
      </c>
      <c r="C655" s="126">
        <v>132.4</v>
      </c>
      <c r="D655" s="126">
        <v>132.5</v>
      </c>
      <c r="E655" s="126">
        <v>132.9</v>
      </c>
      <c r="F655">
        <v>132.1</v>
      </c>
      <c r="G655" s="321">
        <v>0.7873</v>
      </c>
      <c r="H655" s="123">
        <f t="shared" si="44"/>
        <v>472.44651329105687</v>
      </c>
      <c r="I655" s="123">
        <f t="shared" si="45"/>
        <v>472.80334600502283</v>
      </c>
      <c r="J655" s="123">
        <f t="shared" si="46"/>
        <v>474.23067686088706</v>
      </c>
      <c r="K655" s="123">
        <f t="shared" si="42"/>
        <v>471.3760151491586</v>
      </c>
      <c r="L655" s="176">
        <f t="shared" si="43"/>
        <v>472.71413782653133</v>
      </c>
      <c r="M655" s="227"/>
      <c r="N655" s="275"/>
    </row>
    <row r="656" spans="1:14" ht="21.75" customHeight="1">
      <c r="A656" t="s">
        <v>972</v>
      </c>
      <c r="B656" s="245">
        <v>41303</v>
      </c>
      <c r="C656" s="126">
        <v>140.80000000000001</v>
      </c>
      <c r="D656" s="126">
        <v>140.69999999999999</v>
      </c>
      <c r="E656" s="126">
        <v>140.1</v>
      </c>
      <c r="F656">
        <v>140.1</v>
      </c>
      <c r="G656" s="321">
        <v>0.7873</v>
      </c>
      <c r="H656" s="123">
        <f t="shared" si="44"/>
        <v>502.42046126420541</v>
      </c>
      <c r="I656" s="123">
        <f t="shared" si="45"/>
        <v>502.0636285502394</v>
      </c>
      <c r="J656" s="123">
        <f t="shared" si="46"/>
        <v>499.92263226644303</v>
      </c>
      <c r="K656" s="123">
        <f t="shared" si="42"/>
        <v>499.92263226644303</v>
      </c>
      <c r="L656" s="176">
        <f t="shared" si="43"/>
        <v>501.08233858683275</v>
      </c>
      <c r="M656" s="227"/>
      <c r="N656" s="275"/>
    </row>
    <row r="657" spans="1:14" ht="21.75" customHeight="1">
      <c r="A657" t="s">
        <v>973</v>
      </c>
      <c r="B657" s="245">
        <v>41303</v>
      </c>
      <c r="C657" s="126">
        <v>136.19999999999999</v>
      </c>
      <c r="D657" s="126">
        <v>137</v>
      </c>
      <c r="E657" s="126">
        <v>137.80000000000001</v>
      </c>
      <c r="F657">
        <v>137.1</v>
      </c>
      <c r="G657" s="321">
        <v>0.7873</v>
      </c>
      <c r="H657" s="123">
        <f t="shared" si="44"/>
        <v>486.00615642176683</v>
      </c>
      <c r="I657" s="123">
        <f t="shared" si="45"/>
        <v>488.8608181334954</v>
      </c>
      <c r="J657" s="123">
        <f t="shared" si="46"/>
        <v>491.71547984522385</v>
      </c>
      <c r="K657" s="123">
        <f t="shared" si="42"/>
        <v>489.21765084746136</v>
      </c>
      <c r="L657" s="176">
        <f t="shared" si="43"/>
        <v>488.95002631198685</v>
      </c>
      <c r="M657" s="227">
        <f>MEDIAN(L655,L656,L657)</f>
        <v>488.95002631198685</v>
      </c>
      <c r="N657" s="275">
        <f>(PERCENTILE(L655:L657,0.75)-PERCENTILE(L655:L657,0.25))/M657</f>
        <v>2.9009304871374004E-2</v>
      </c>
    </row>
    <row r="658" spans="1:14" ht="21.75" customHeight="1">
      <c r="A658" t="s">
        <v>974</v>
      </c>
      <c r="B658" s="245">
        <v>41303</v>
      </c>
      <c r="C658" s="126">
        <v>52.3</v>
      </c>
      <c r="D658" s="126">
        <v>51.5</v>
      </c>
      <c r="E658" s="126">
        <v>52.2</v>
      </c>
      <c r="F658">
        <v>52.1</v>
      </c>
      <c r="G658" s="321">
        <v>0.7873</v>
      </c>
      <c r="H658" s="123">
        <f t="shared" si="44"/>
        <v>186.62350940424676</v>
      </c>
      <c r="I658" s="123">
        <f t="shared" si="45"/>
        <v>183.76884769251834</v>
      </c>
      <c r="J658" s="123">
        <f t="shared" si="46"/>
        <v>186.26667669028072</v>
      </c>
      <c r="K658" s="123">
        <f t="shared" si="42"/>
        <v>185.90984397631468</v>
      </c>
      <c r="L658" s="176">
        <f t="shared" si="43"/>
        <v>185.64221944084011</v>
      </c>
      <c r="M658" s="227"/>
      <c r="N658" s="275"/>
    </row>
    <row r="659" spans="1:14" ht="21.75" customHeight="1">
      <c r="A659" t="s">
        <v>976</v>
      </c>
      <c r="B659" s="245">
        <v>41303</v>
      </c>
      <c r="C659" s="126">
        <v>60.9</v>
      </c>
      <c r="D659" s="126">
        <v>91.5</v>
      </c>
      <c r="E659" s="126">
        <v>91.7</v>
      </c>
      <c r="F659">
        <v>91.6</v>
      </c>
      <c r="G659" s="321">
        <v>0.7873</v>
      </c>
      <c r="H659" s="123">
        <f t="shared" si="44"/>
        <v>217.3111228053275</v>
      </c>
      <c r="I659" s="123">
        <f t="shared" si="45"/>
        <v>326.50193327894033</v>
      </c>
      <c r="J659" s="123">
        <f t="shared" si="46"/>
        <v>327.21559870687247</v>
      </c>
      <c r="K659" s="123">
        <f t="shared" si="42"/>
        <v>326.85876599290634</v>
      </c>
      <c r="L659" s="176">
        <f t="shared" si="43"/>
        <v>299.47185519601169</v>
      </c>
      <c r="M659" s="227"/>
      <c r="N659" s="275"/>
    </row>
    <row r="660" spans="1:14" ht="21.75" customHeight="1">
      <c r="A660" t="s">
        <v>977</v>
      </c>
      <c r="B660" s="245">
        <v>41303</v>
      </c>
      <c r="C660" s="126">
        <v>62.1</v>
      </c>
      <c r="D660" s="126">
        <v>63.1</v>
      </c>
      <c r="E660" s="126">
        <v>62.7</v>
      </c>
      <c r="F660">
        <v>62</v>
      </c>
      <c r="G660" s="321">
        <v>0.7873</v>
      </c>
      <c r="H660" s="123">
        <f t="shared" si="44"/>
        <v>221.59311537292018</v>
      </c>
      <c r="I660" s="123">
        <f t="shared" si="45"/>
        <v>225.16144251258069</v>
      </c>
      <c r="J660" s="123">
        <f t="shared" si="46"/>
        <v>223.73411165671652</v>
      </c>
      <c r="K660" s="123">
        <f t="shared" si="42"/>
        <v>221.23628265895411</v>
      </c>
      <c r="L660" s="176">
        <f t="shared" si="43"/>
        <v>222.93123805029288</v>
      </c>
      <c r="M660" s="227"/>
      <c r="N660" s="275"/>
    </row>
    <row r="661" spans="1:14" ht="21.75" customHeight="1">
      <c r="A661" t="s">
        <v>978</v>
      </c>
      <c r="B661" s="245">
        <v>41303</v>
      </c>
      <c r="C661" s="126">
        <v>55.7</v>
      </c>
      <c r="D661" s="126">
        <v>56</v>
      </c>
      <c r="E661" s="126">
        <v>55.9</v>
      </c>
      <c r="F661">
        <v>56</v>
      </c>
      <c r="G661" s="321">
        <v>0.7873</v>
      </c>
      <c r="H661" s="123">
        <f t="shared" si="44"/>
        <v>198.75582167909266</v>
      </c>
      <c r="I661" s="123">
        <f t="shared" si="45"/>
        <v>199.82631982099079</v>
      </c>
      <c r="J661" s="123">
        <f t="shared" si="46"/>
        <v>199.46948710702475</v>
      </c>
      <c r="K661" s="123">
        <f t="shared" si="42"/>
        <v>199.82631982099079</v>
      </c>
      <c r="L661" s="176">
        <f t="shared" si="43"/>
        <v>199.46948710702475</v>
      </c>
      <c r="M661" s="227">
        <f>MEDIAN(L658,L660,L661)</f>
        <v>199.46948710702475</v>
      </c>
      <c r="N661" s="275"/>
    </row>
    <row r="662" spans="1:14" ht="21.75" customHeight="1">
      <c r="A662" t="s">
        <v>979</v>
      </c>
      <c r="B662" s="245">
        <v>41304</v>
      </c>
      <c r="C662" s="126">
        <v>69.8</v>
      </c>
      <c r="D662" s="126">
        <v>69.7</v>
      </c>
      <c r="E662" s="126">
        <v>69.5</v>
      </c>
      <c r="F662">
        <v>70</v>
      </c>
      <c r="G662" s="321">
        <v>0.7873</v>
      </c>
      <c r="H662" s="123">
        <f t="shared" si="44"/>
        <v>249.06923434830637</v>
      </c>
      <c r="I662" s="123">
        <f t="shared" si="45"/>
        <v>248.71240163434032</v>
      </c>
      <c r="J662" s="123">
        <f t="shared" si="46"/>
        <v>247.99873620640821</v>
      </c>
      <c r="K662" s="123">
        <f t="shared" si="42"/>
        <v>249.78289977623848</v>
      </c>
      <c r="L662" s="176">
        <f t="shared" si="43"/>
        <v>248.89081799132333</v>
      </c>
      <c r="M662" s="227"/>
      <c r="N662" s="275"/>
    </row>
    <row r="663" spans="1:14" ht="21.75" customHeight="1">
      <c r="A663" t="s">
        <v>980</v>
      </c>
      <c r="B663" s="245">
        <v>41304</v>
      </c>
      <c r="C663" s="126">
        <v>68</v>
      </c>
      <c r="D663" s="126">
        <v>68.7</v>
      </c>
      <c r="E663" s="126">
        <v>69.099999999999994</v>
      </c>
      <c r="F663">
        <v>67.7</v>
      </c>
      <c r="G663" s="321">
        <v>0.7873</v>
      </c>
      <c r="H663" s="123">
        <f t="shared" si="44"/>
        <v>242.6462454969174</v>
      </c>
      <c r="I663" s="123">
        <f t="shared" si="45"/>
        <v>245.14407449467981</v>
      </c>
      <c r="J663" s="123">
        <f t="shared" si="46"/>
        <v>246.57140535054398</v>
      </c>
      <c r="K663" s="123">
        <f t="shared" si="42"/>
        <v>241.57574735501925</v>
      </c>
      <c r="L663" s="176">
        <f t="shared" si="43"/>
        <v>243.98436817429013</v>
      </c>
      <c r="M663" s="227"/>
      <c r="N663" s="275"/>
    </row>
    <row r="664" spans="1:14" ht="21.75" customHeight="1">
      <c r="A664" t="s">
        <v>981</v>
      </c>
      <c r="B664" s="245">
        <v>41304</v>
      </c>
      <c r="C664" s="126">
        <v>98.3</v>
      </c>
      <c r="D664" s="126">
        <v>99.1</v>
      </c>
      <c r="E664" s="126">
        <v>98.6</v>
      </c>
      <c r="F664">
        <v>98.4</v>
      </c>
      <c r="G664" s="321">
        <v>0.7873</v>
      </c>
      <c r="H664" s="123">
        <f t="shared" si="44"/>
        <v>350.76655782863207</v>
      </c>
      <c r="I664" s="123">
        <f t="shared" si="45"/>
        <v>353.62121954036047</v>
      </c>
      <c r="J664" s="123">
        <f t="shared" si="46"/>
        <v>351.83705597053023</v>
      </c>
      <c r="K664" s="123">
        <f t="shared" si="42"/>
        <v>351.12339054259814</v>
      </c>
      <c r="L664" s="176">
        <f t="shared" si="43"/>
        <v>351.83705597053023</v>
      </c>
      <c r="M664" s="227"/>
      <c r="N664" s="275"/>
    </row>
    <row r="665" spans="1:14" ht="21.75" customHeight="1">
      <c r="A665" t="s">
        <v>982</v>
      </c>
      <c r="B665" s="245">
        <v>41304</v>
      </c>
      <c r="C665" s="126">
        <v>73.8</v>
      </c>
      <c r="D665" s="126">
        <v>73.400000000000006</v>
      </c>
      <c r="E665" s="126">
        <v>73.099999999999994</v>
      </c>
      <c r="F665">
        <v>73.7</v>
      </c>
      <c r="G665" s="321">
        <v>0.7873</v>
      </c>
      <c r="H665" s="123">
        <f t="shared" si="44"/>
        <v>263.34254290694861</v>
      </c>
      <c r="I665" s="123">
        <f t="shared" si="45"/>
        <v>261.91521205108438</v>
      </c>
      <c r="J665" s="123">
        <f t="shared" si="46"/>
        <v>260.84471390918617</v>
      </c>
      <c r="K665" s="123">
        <f t="shared" si="42"/>
        <v>262.98571019298254</v>
      </c>
      <c r="L665" s="176">
        <f t="shared" si="43"/>
        <v>262.2720447650504</v>
      </c>
      <c r="M665" s="227"/>
      <c r="N665" s="275"/>
    </row>
    <row r="666" spans="1:14" ht="21.75" customHeight="1">
      <c r="A666" t="s">
        <v>983</v>
      </c>
      <c r="B666" s="245">
        <v>41304</v>
      </c>
      <c r="C666" s="126">
        <v>102.7</v>
      </c>
      <c r="D666" s="126">
        <v>103.2</v>
      </c>
      <c r="E666" s="126">
        <v>103</v>
      </c>
      <c r="F666">
        <v>102.1</v>
      </c>
      <c r="G666" s="321">
        <v>0.7873</v>
      </c>
      <c r="H666" s="123">
        <f t="shared" si="44"/>
        <v>366.46719724313846</v>
      </c>
      <c r="I666" s="123">
        <f t="shared" si="45"/>
        <v>368.25136081296876</v>
      </c>
      <c r="J666" s="123">
        <f t="shared" si="46"/>
        <v>367.53769538503667</v>
      </c>
      <c r="K666" s="123">
        <f t="shared" si="42"/>
        <v>364.32620095934215</v>
      </c>
      <c r="L666" s="176">
        <f t="shared" si="43"/>
        <v>366.64561360012146</v>
      </c>
      <c r="M666" s="227"/>
      <c r="N666" s="275"/>
    </row>
    <row r="667" spans="1:14" ht="21.75" customHeight="1">
      <c r="A667" t="s">
        <v>984</v>
      </c>
      <c r="B667" s="245">
        <v>41304</v>
      </c>
      <c r="C667" s="126">
        <v>113.6</v>
      </c>
      <c r="D667" s="126">
        <v>112.9</v>
      </c>
      <c r="E667" s="126">
        <v>112.8</v>
      </c>
      <c r="F667">
        <v>113.7</v>
      </c>
      <c r="G667" s="321">
        <v>0.7873</v>
      </c>
      <c r="H667" s="123">
        <f t="shared" si="44"/>
        <v>405.36196306543843</v>
      </c>
      <c r="I667" s="123">
        <f t="shared" si="45"/>
        <v>402.8641340676761</v>
      </c>
      <c r="J667" s="123">
        <f t="shared" si="46"/>
        <v>402.50730135371003</v>
      </c>
      <c r="K667" s="123">
        <f t="shared" si="42"/>
        <v>405.7187957794045</v>
      </c>
      <c r="L667" s="176">
        <f t="shared" si="43"/>
        <v>404.11304856655727</v>
      </c>
      <c r="M667" s="227"/>
      <c r="N667" s="275"/>
    </row>
    <row r="668" spans="1:14" ht="21.75" customHeight="1">
      <c r="A668" t="s">
        <v>985</v>
      </c>
      <c r="B668" s="245">
        <v>41304</v>
      </c>
      <c r="C668" s="126">
        <v>105.2</v>
      </c>
      <c r="D668" s="126">
        <v>102.2</v>
      </c>
      <c r="E668" s="126">
        <v>104.5</v>
      </c>
      <c r="F668">
        <v>102.4</v>
      </c>
      <c r="G668" s="321">
        <v>0.7873</v>
      </c>
      <c r="H668" s="123">
        <f t="shared" si="44"/>
        <v>375.38801509228983</v>
      </c>
      <c r="I668" s="123">
        <f t="shared" si="45"/>
        <v>364.68303367330822</v>
      </c>
      <c r="J668" s="123">
        <f t="shared" si="46"/>
        <v>372.89018609452745</v>
      </c>
      <c r="K668" s="123">
        <f t="shared" si="42"/>
        <v>365.3966991012403</v>
      </c>
      <c r="L668" s="176">
        <f t="shared" si="43"/>
        <v>369.58948349034148</v>
      </c>
      <c r="M668" s="227"/>
      <c r="N668" s="275"/>
    </row>
    <row r="669" spans="1:14" ht="21.75" customHeight="1">
      <c r="A669" t="s">
        <v>986</v>
      </c>
      <c r="B669" s="245">
        <v>41304</v>
      </c>
      <c r="C669" s="126">
        <v>151.6</v>
      </c>
      <c r="D669" s="126">
        <v>151.6</v>
      </c>
      <c r="E669" s="126">
        <v>150.6</v>
      </c>
      <c r="F669">
        <v>150.80000000000001</v>
      </c>
      <c r="G669" s="321">
        <v>0.7873</v>
      </c>
      <c r="H669" s="123">
        <f t="shared" si="44"/>
        <v>540.95839437253937</v>
      </c>
      <c r="I669" s="123">
        <f t="shared" si="45"/>
        <v>540.95839437253937</v>
      </c>
      <c r="J669" s="123">
        <f t="shared" si="46"/>
        <v>537.39006723287878</v>
      </c>
      <c r="K669" s="123">
        <f t="shared" si="42"/>
        <v>538.10373266081103</v>
      </c>
      <c r="L669" s="176">
        <f t="shared" si="43"/>
        <v>539.3526471596922</v>
      </c>
      <c r="M669" s="227"/>
      <c r="N669" s="275"/>
    </row>
    <row r="670" spans="1:14" ht="21.75" customHeight="1">
      <c r="A670" t="s">
        <v>995</v>
      </c>
      <c r="B670" s="245">
        <v>41306</v>
      </c>
      <c r="C670" s="126">
        <v>161.1</v>
      </c>
      <c r="D670" s="126">
        <v>160.6</v>
      </c>
      <c r="E670" s="126">
        <v>160.69999999999999</v>
      </c>
      <c r="F670">
        <v>160.4</v>
      </c>
      <c r="G670" s="321">
        <v>0.7873</v>
      </c>
      <c r="H670" s="123">
        <f t="shared" si="44"/>
        <v>574.85750219931458</v>
      </c>
      <c r="I670" s="123">
        <f t="shared" si="45"/>
        <v>573.07333862948428</v>
      </c>
      <c r="J670" s="123">
        <f t="shared" si="46"/>
        <v>573.4301713434503</v>
      </c>
      <c r="K670" s="123">
        <f t="shared" si="42"/>
        <v>572.35967320155225</v>
      </c>
      <c r="L670" s="176">
        <f t="shared" si="43"/>
        <v>573.4301713434503</v>
      </c>
      <c r="M670" s="227"/>
      <c r="N670" s="275"/>
    </row>
    <row r="671" spans="1:14" ht="21.75" customHeight="1">
      <c r="A671" t="s">
        <v>996</v>
      </c>
      <c r="B671" s="245">
        <v>41306</v>
      </c>
      <c r="C671" s="126">
        <v>163</v>
      </c>
      <c r="D671" s="126">
        <v>165.1</v>
      </c>
      <c r="E671" s="126">
        <v>164.2</v>
      </c>
      <c r="F671">
        <v>164.8</v>
      </c>
      <c r="G671" s="321">
        <v>0.7873</v>
      </c>
      <c r="H671" s="123">
        <f t="shared" si="44"/>
        <v>581.63732376466965</v>
      </c>
      <c r="I671" s="123">
        <f t="shared" si="45"/>
        <v>589.13081075795674</v>
      </c>
      <c r="J671" s="123">
        <f t="shared" si="46"/>
        <v>585.91931633226227</v>
      </c>
      <c r="K671" s="123">
        <f t="shared" si="42"/>
        <v>588.0603126160587</v>
      </c>
      <c r="L671" s="176">
        <f t="shared" si="43"/>
        <v>586.18694086773689</v>
      </c>
      <c r="M671" s="227"/>
      <c r="N671" s="275"/>
    </row>
    <row r="672" spans="1:14" ht="21.75" customHeight="1">
      <c r="A672" t="s">
        <v>997</v>
      </c>
      <c r="B672" s="245">
        <v>41306</v>
      </c>
      <c r="C672" s="126">
        <v>160.69999999999999</v>
      </c>
      <c r="D672" s="126">
        <v>162.9</v>
      </c>
      <c r="E672" s="126">
        <v>161.19999999999999</v>
      </c>
      <c r="F672">
        <v>161.19999999999999</v>
      </c>
      <c r="G672" s="321">
        <v>0.7873</v>
      </c>
      <c r="H672" s="123">
        <f t="shared" si="44"/>
        <v>573.4301713434503</v>
      </c>
      <c r="I672" s="123">
        <f t="shared" si="45"/>
        <v>581.28049105070363</v>
      </c>
      <c r="J672" s="123">
        <f t="shared" si="46"/>
        <v>575.2143349132806</v>
      </c>
      <c r="K672" s="123">
        <f t="shared" si="42"/>
        <v>575.2143349132806</v>
      </c>
      <c r="L672" s="176">
        <f t="shared" si="43"/>
        <v>576.28483305517886</v>
      </c>
      <c r="M672" s="227"/>
      <c r="N672" s="275"/>
    </row>
    <row r="673" spans="1:14" ht="21.75" customHeight="1">
      <c r="A673" t="s">
        <v>998</v>
      </c>
      <c r="B673" s="245">
        <v>41306</v>
      </c>
      <c r="C673" s="126">
        <v>162.80000000000001</v>
      </c>
      <c r="D673" s="126">
        <v>162.69999999999999</v>
      </c>
      <c r="E673" s="126">
        <v>163.80000000000001</v>
      </c>
      <c r="F673">
        <v>163.9</v>
      </c>
      <c r="G673" s="321">
        <v>0.7873</v>
      </c>
      <c r="H673" s="123">
        <f t="shared" si="44"/>
        <v>580.92365833673762</v>
      </c>
      <c r="I673" s="123">
        <f t="shared" si="45"/>
        <v>580.56682562277138</v>
      </c>
      <c r="J673" s="123">
        <f t="shared" si="46"/>
        <v>584.4919854763981</v>
      </c>
      <c r="K673" s="123">
        <f t="shared" si="42"/>
        <v>584.84881819036423</v>
      </c>
      <c r="L673" s="176">
        <f t="shared" si="43"/>
        <v>582.70782190656791</v>
      </c>
      <c r="M673" s="227"/>
      <c r="N673" s="275"/>
    </row>
    <row r="674" spans="1:14" ht="21.75" customHeight="1">
      <c r="A674" t="s">
        <v>999</v>
      </c>
      <c r="B674" s="245">
        <v>41309</v>
      </c>
      <c r="C674" s="126">
        <v>135.80000000000001</v>
      </c>
      <c r="D674" s="126">
        <v>135.5</v>
      </c>
      <c r="E674" s="126">
        <v>134.80000000000001</v>
      </c>
      <c r="F674">
        <v>136.5</v>
      </c>
      <c r="G674" s="321">
        <v>0.7873</v>
      </c>
      <c r="H674" s="123">
        <f t="shared" si="44"/>
        <v>484.57882556590272</v>
      </c>
      <c r="I674" s="123">
        <f t="shared" si="45"/>
        <v>483.50832742400456</v>
      </c>
      <c r="J674" s="123">
        <f t="shared" si="46"/>
        <v>481.01049842624212</v>
      </c>
      <c r="K674" s="123">
        <f t="shared" si="42"/>
        <v>487.0766545636651</v>
      </c>
      <c r="L674" s="176">
        <f t="shared" si="43"/>
        <v>484.04357649495364</v>
      </c>
      <c r="M674" s="227"/>
      <c r="N674" s="275"/>
    </row>
    <row r="675" spans="1:14" ht="21.75" customHeight="1">
      <c r="A675" t="s">
        <v>1000</v>
      </c>
      <c r="B675" s="245">
        <v>41309</v>
      </c>
      <c r="C675" s="126">
        <v>136.69999999999999</v>
      </c>
      <c r="D675" s="126">
        <v>137.4</v>
      </c>
      <c r="E675" s="126">
        <v>137.1</v>
      </c>
      <c r="F675">
        <v>136.80000000000001</v>
      </c>
      <c r="G675" s="321">
        <v>0.7873</v>
      </c>
      <c r="H675" s="123">
        <f t="shared" si="44"/>
        <v>487.79031999159713</v>
      </c>
      <c r="I675" s="123">
        <f t="shared" si="45"/>
        <v>490.28814898935963</v>
      </c>
      <c r="J675" s="123">
        <f t="shared" si="46"/>
        <v>489.21765084746136</v>
      </c>
      <c r="K675" s="123">
        <f t="shared" si="42"/>
        <v>488.14715270556326</v>
      </c>
      <c r="L675" s="176">
        <f t="shared" si="43"/>
        <v>488.86081813349534</v>
      </c>
      <c r="M675" s="227"/>
      <c r="N675" s="275"/>
    </row>
    <row r="676" spans="1:14" ht="21.75" customHeight="1">
      <c r="A676" t="s">
        <v>1001</v>
      </c>
      <c r="B676" s="245">
        <v>41309</v>
      </c>
      <c r="C676" s="126">
        <v>99.6</v>
      </c>
      <c r="D676" s="126">
        <v>99.5</v>
      </c>
      <c r="E676" s="126">
        <v>99.3</v>
      </c>
      <c r="F676">
        <v>99.2</v>
      </c>
      <c r="G676" s="321">
        <v>0.7873</v>
      </c>
      <c r="H676" s="123">
        <f t="shared" si="44"/>
        <v>355.40538311019071</v>
      </c>
      <c r="I676" s="123">
        <f t="shared" si="45"/>
        <v>355.0485503962247</v>
      </c>
      <c r="J676" s="123">
        <f t="shared" si="46"/>
        <v>354.33488496829261</v>
      </c>
      <c r="K676" s="123">
        <f t="shared" si="42"/>
        <v>353.97805225432654</v>
      </c>
      <c r="L676" s="176">
        <f t="shared" si="43"/>
        <v>354.69171768225863</v>
      </c>
      <c r="M676" s="227"/>
      <c r="N676" s="275"/>
    </row>
    <row r="677" spans="1:14" ht="21.75" customHeight="1">
      <c r="A677" t="s">
        <v>1002</v>
      </c>
      <c r="B677" s="245">
        <v>41309</v>
      </c>
      <c r="C677" s="126">
        <v>137.9</v>
      </c>
      <c r="D677" s="126">
        <v>138.19999999999999</v>
      </c>
      <c r="E677" s="126">
        <v>138.1</v>
      </c>
      <c r="F677">
        <v>138.6</v>
      </c>
      <c r="G677" s="321">
        <v>0.7873</v>
      </c>
      <c r="H677" s="123">
        <f t="shared" si="44"/>
        <v>492.07231255918987</v>
      </c>
      <c r="I677" s="123">
        <f t="shared" si="45"/>
        <v>493.14281070108797</v>
      </c>
      <c r="J677" s="123">
        <f t="shared" si="46"/>
        <v>492.7859779871219</v>
      </c>
      <c r="K677" s="123">
        <f t="shared" si="42"/>
        <v>494.57014155695219</v>
      </c>
      <c r="L677" s="176">
        <f t="shared" si="43"/>
        <v>493.14281070108797</v>
      </c>
      <c r="M677" s="227"/>
      <c r="N677" s="275"/>
    </row>
    <row r="678" spans="1:14" ht="21.75" customHeight="1">
      <c r="A678" t="s">
        <v>987</v>
      </c>
      <c r="B678" s="245">
        <v>41310</v>
      </c>
      <c r="C678" s="126">
        <v>108.7</v>
      </c>
      <c r="D678" s="126">
        <v>108.8</v>
      </c>
      <c r="E678" s="126">
        <v>108.7</v>
      </c>
      <c r="F678">
        <v>109.3</v>
      </c>
      <c r="G678" s="321">
        <v>0.7873</v>
      </c>
      <c r="H678" s="123">
        <f t="shared" si="44"/>
        <v>387.87716008110181</v>
      </c>
      <c r="I678" s="123">
        <f t="shared" si="45"/>
        <v>388.23399279506782</v>
      </c>
      <c r="J678" s="123">
        <f t="shared" si="46"/>
        <v>387.87716008110181</v>
      </c>
      <c r="K678" s="123">
        <f t="shared" si="42"/>
        <v>390.01815636489812</v>
      </c>
      <c r="L678" s="176">
        <f t="shared" si="43"/>
        <v>388.50161733054233</v>
      </c>
      <c r="M678" s="227"/>
      <c r="N678" s="275"/>
    </row>
    <row r="679" spans="1:14" ht="21.75" customHeight="1">
      <c r="A679" t="s">
        <v>988</v>
      </c>
      <c r="B679" s="245">
        <v>41310</v>
      </c>
      <c r="C679" s="126">
        <v>57.4</v>
      </c>
      <c r="D679" s="126">
        <v>57.1</v>
      </c>
      <c r="E679" s="126">
        <v>58</v>
      </c>
      <c r="F679">
        <v>56.2</v>
      </c>
      <c r="G679" s="321">
        <v>0.7873</v>
      </c>
      <c r="H679" s="123">
        <f t="shared" si="44"/>
        <v>204.82197781651556</v>
      </c>
      <c r="I679" s="123">
        <f t="shared" si="45"/>
        <v>203.7514796746174</v>
      </c>
      <c r="J679" s="123">
        <f t="shared" si="46"/>
        <v>206.9629741003119</v>
      </c>
      <c r="K679" s="123">
        <f t="shared" si="42"/>
        <v>200.5399852489229</v>
      </c>
      <c r="L679" s="176">
        <f t="shared" si="43"/>
        <v>204.01910421009194</v>
      </c>
      <c r="M679" s="227"/>
      <c r="N679" s="275"/>
    </row>
    <row r="680" spans="1:14" ht="21.75" customHeight="1">
      <c r="A680" t="s">
        <v>989</v>
      </c>
      <c r="B680" s="245">
        <v>41310</v>
      </c>
      <c r="C680" s="126">
        <v>32</v>
      </c>
      <c r="D680" s="126">
        <v>60.2</v>
      </c>
      <c r="E680" s="126">
        <v>31</v>
      </c>
      <c r="F680">
        <v>56</v>
      </c>
      <c r="G680" s="321">
        <v>0.7873</v>
      </c>
      <c r="H680" s="123">
        <f t="shared" si="44"/>
        <v>114.18646846913759</v>
      </c>
      <c r="I680" s="123">
        <f t="shared" si="45"/>
        <v>214.81329380756509</v>
      </c>
      <c r="J680" s="123">
        <f t="shared" si="46"/>
        <v>110.61814132947706</v>
      </c>
      <c r="K680" s="123">
        <f t="shared" si="42"/>
        <v>199.82631982099079</v>
      </c>
      <c r="L680" s="176">
        <f t="shared" si="43"/>
        <v>159.86105585679263</v>
      </c>
      <c r="M680" s="227"/>
      <c r="N680" s="275"/>
    </row>
    <row r="681" spans="1:14" ht="21.75" customHeight="1">
      <c r="A681" t="s">
        <v>990</v>
      </c>
      <c r="B681" s="245">
        <v>41310</v>
      </c>
      <c r="C681" s="126">
        <v>55</v>
      </c>
      <c r="D681" s="126">
        <v>50</v>
      </c>
      <c r="E681" s="126">
        <v>56</v>
      </c>
      <c r="F681">
        <v>59</v>
      </c>
      <c r="G681" s="321">
        <v>0.7873</v>
      </c>
      <c r="H681" s="123">
        <f t="shared" si="44"/>
        <v>196.25799268133025</v>
      </c>
      <c r="I681" s="123">
        <f t="shared" si="45"/>
        <v>178.4163569830275</v>
      </c>
      <c r="J681" s="123">
        <f t="shared" si="46"/>
        <v>199.82631982099079</v>
      </c>
      <c r="K681" s="123">
        <f t="shared" si="42"/>
        <v>210.53130123997246</v>
      </c>
      <c r="L681" s="176">
        <f t="shared" si="43"/>
        <v>196.25799268133025</v>
      </c>
      <c r="M681" s="227"/>
      <c r="N681" s="275"/>
    </row>
    <row r="682" spans="1:14" ht="21.75" customHeight="1">
      <c r="A682" t="s">
        <v>991</v>
      </c>
      <c r="B682" s="245">
        <v>41310</v>
      </c>
      <c r="C682" s="126">
        <v>60.4</v>
      </c>
      <c r="D682" s="126">
        <v>60</v>
      </c>
      <c r="E682" s="126">
        <v>60.1</v>
      </c>
      <c r="F682">
        <v>60.3</v>
      </c>
      <c r="G682" s="321">
        <v>0.7873</v>
      </c>
      <c r="H682" s="123">
        <f t="shared" si="44"/>
        <v>215.5269592354972</v>
      </c>
      <c r="I682" s="123">
        <f t="shared" si="45"/>
        <v>214.09962837963297</v>
      </c>
      <c r="J682" s="123">
        <f t="shared" si="46"/>
        <v>214.45646109359905</v>
      </c>
      <c r="K682" s="123">
        <f t="shared" si="42"/>
        <v>215.17012652153116</v>
      </c>
      <c r="L682" s="176">
        <f t="shared" si="43"/>
        <v>214.81329380756509</v>
      </c>
      <c r="M682" s="227"/>
      <c r="N682" s="275"/>
    </row>
    <row r="683" spans="1:14" ht="21.75" customHeight="1">
      <c r="A683" t="s">
        <v>992</v>
      </c>
      <c r="B683" s="245">
        <v>41310</v>
      </c>
      <c r="C683" s="126">
        <v>84</v>
      </c>
      <c r="D683" s="126">
        <v>84.5</v>
      </c>
      <c r="E683" s="126">
        <v>84.2</v>
      </c>
      <c r="F683">
        <v>84.2</v>
      </c>
      <c r="G683" s="321">
        <v>0.7873</v>
      </c>
      <c r="H683" s="123">
        <f t="shared" si="44"/>
        <v>299.7394797314862</v>
      </c>
      <c r="I683" s="123">
        <f t="shared" si="45"/>
        <v>301.5236433013165</v>
      </c>
      <c r="J683" s="123">
        <f t="shared" si="46"/>
        <v>300.45314515941834</v>
      </c>
      <c r="K683" s="123">
        <f t="shared" si="42"/>
        <v>300.45314515941834</v>
      </c>
      <c r="L683" s="176">
        <f t="shared" si="43"/>
        <v>300.54235333790984</v>
      </c>
      <c r="M683" s="227"/>
      <c r="N683" s="275"/>
    </row>
    <row r="684" spans="1:14" ht="21.75" customHeight="1">
      <c r="A684" t="s">
        <v>993</v>
      </c>
      <c r="B684" s="245">
        <v>41310</v>
      </c>
      <c r="C684" s="126">
        <v>62.6</v>
      </c>
      <c r="D684" s="126">
        <v>62.5</v>
      </c>
      <c r="E684" s="126">
        <v>62.3</v>
      </c>
      <c r="F684">
        <v>63.2</v>
      </c>
      <c r="G684" s="321">
        <v>0.7873</v>
      </c>
      <c r="H684" s="123">
        <f t="shared" si="44"/>
        <v>223.37727894275045</v>
      </c>
      <c r="I684" s="123">
        <f t="shared" si="45"/>
        <v>223.02044622878435</v>
      </c>
      <c r="J684" s="123">
        <f t="shared" si="46"/>
        <v>222.30678080085224</v>
      </c>
      <c r="K684" s="123">
        <f t="shared" si="42"/>
        <v>225.51827522654673</v>
      </c>
      <c r="L684" s="176">
        <f t="shared" si="43"/>
        <v>223.55569529973346</v>
      </c>
      <c r="M684" s="227"/>
      <c r="N684" s="275"/>
    </row>
    <row r="685" spans="1:14" ht="21.75" customHeight="1">
      <c r="A685" t="s">
        <v>994</v>
      </c>
      <c r="B685" s="245">
        <v>41310</v>
      </c>
      <c r="C685" s="126">
        <v>64.599999999999994</v>
      </c>
      <c r="D685" s="126">
        <v>63.8</v>
      </c>
      <c r="E685" s="126">
        <v>64.3</v>
      </c>
      <c r="F685">
        <v>63.8</v>
      </c>
      <c r="G685" s="321">
        <v>0.7873</v>
      </c>
      <c r="H685" s="123">
        <f t="shared" si="44"/>
        <v>230.5139332220715</v>
      </c>
      <c r="I685" s="123">
        <f t="shared" si="45"/>
        <v>227.65927151034307</v>
      </c>
      <c r="J685" s="123">
        <f t="shared" si="46"/>
        <v>229.44343508017337</v>
      </c>
      <c r="K685" s="123">
        <f t="shared" si="42"/>
        <v>227.65927151034307</v>
      </c>
      <c r="L685" s="176">
        <f t="shared" si="43"/>
        <v>228.81897783073273</v>
      </c>
      <c r="M685" s="227"/>
      <c r="N685" s="275"/>
    </row>
    <row r="686" spans="1:14" ht="21.75" customHeight="1">
      <c r="A686" t="s">
        <v>1003</v>
      </c>
      <c r="B686" s="245">
        <v>41318</v>
      </c>
      <c r="C686" s="126">
        <v>54.8</v>
      </c>
      <c r="D686" s="126">
        <v>54.9</v>
      </c>
      <c r="E686" s="126">
        <v>54.7</v>
      </c>
      <c r="F686">
        <v>55.2</v>
      </c>
      <c r="G686" s="321">
        <v>0.7873</v>
      </c>
      <c r="H686" s="123">
        <f t="shared" si="44"/>
        <v>195.54432725339811</v>
      </c>
      <c r="I686" s="123">
        <f t="shared" si="45"/>
        <v>195.90115996736418</v>
      </c>
      <c r="J686" s="123">
        <f t="shared" si="46"/>
        <v>195.18749453943209</v>
      </c>
      <c r="K686" s="123">
        <f t="shared" si="42"/>
        <v>196.97165810926236</v>
      </c>
      <c r="L686" s="176">
        <f t="shared" si="43"/>
        <v>195.90115996736421</v>
      </c>
      <c r="M686" s="227"/>
      <c r="N686" s="275"/>
    </row>
    <row r="687" spans="1:14" ht="21.75" customHeight="1">
      <c r="A687" t="s">
        <v>1006</v>
      </c>
      <c r="B687" s="245">
        <v>41318</v>
      </c>
      <c r="C687" s="126">
        <v>67.8</v>
      </c>
      <c r="D687" s="126">
        <v>67.900000000000006</v>
      </c>
      <c r="E687" s="126">
        <v>67.7</v>
      </c>
      <c r="F687">
        <v>67.900000000000006</v>
      </c>
      <c r="G687" s="321">
        <v>0.7873</v>
      </c>
      <c r="H687" s="123">
        <f t="shared" si="44"/>
        <v>241.93258006898529</v>
      </c>
      <c r="I687" s="123">
        <f t="shared" si="45"/>
        <v>242.28941278295136</v>
      </c>
      <c r="J687" s="123">
        <f t="shared" si="46"/>
        <v>241.57574735501925</v>
      </c>
      <c r="K687" s="123">
        <f t="shared" si="42"/>
        <v>242.28941278295136</v>
      </c>
      <c r="L687" s="176">
        <f t="shared" si="43"/>
        <v>242.02178824747682</v>
      </c>
      <c r="M687" s="227"/>
      <c r="N687" s="275"/>
    </row>
    <row r="688" spans="1:14" ht="21.75" customHeight="1">
      <c r="A688" t="s">
        <v>1008</v>
      </c>
      <c r="B688" s="245">
        <v>41318</v>
      </c>
      <c r="C688" s="126">
        <v>54.8</v>
      </c>
      <c r="D688" s="126">
        <v>55.2</v>
      </c>
      <c r="E688" s="126">
        <v>55.1</v>
      </c>
      <c r="F688">
        <v>55.2</v>
      </c>
      <c r="G688" s="321">
        <v>0.7873</v>
      </c>
      <c r="H688" s="123">
        <f t="shared" si="44"/>
        <v>195.54432725339811</v>
      </c>
      <c r="I688" s="123">
        <f t="shared" si="45"/>
        <v>196.97165810926236</v>
      </c>
      <c r="J688" s="123">
        <f t="shared" si="46"/>
        <v>196.61482539529632</v>
      </c>
      <c r="K688" s="123">
        <f t="shared" si="42"/>
        <v>196.97165810926236</v>
      </c>
      <c r="L688" s="176">
        <f t="shared" si="43"/>
        <v>196.52561721680479</v>
      </c>
      <c r="M688" s="227"/>
      <c r="N688" s="275"/>
    </row>
    <row r="689" spans="1:14" ht="21.75" customHeight="1">
      <c r="A689" t="s">
        <v>1009</v>
      </c>
      <c r="B689" s="245">
        <v>41318</v>
      </c>
      <c r="C689" s="126">
        <v>68.7</v>
      </c>
      <c r="D689" s="126">
        <v>68.599999999999994</v>
      </c>
      <c r="E689" s="126">
        <v>68.5</v>
      </c>
      <c r="F689">
        <v>68.599999999999994</v>
      </c>
      <c r="G689" s="321">
        <v>0.7873</v>
      </c>
      <c r="H689" s="123">
        <f t="shared" si="44"/>
        <v>245.14407449467981</v>
      </c>
      <c r="I689" s="123">
        <f t="shared" si="45"/>
        <v>244.78724178071371</v>
      </c>
      <c r="J689" s="123">
        <f t="shared" si="46"/>
        <v>244.4304090667477</v>
      </c>
      <c r="K689" s="123">
        <f t="shared" si="42"/>
        <v>244.78724178071371</v>
      </c>
      <c r="L689" s="176">
        <f t="shared" si="43"/>
        <v>244.78724178071371</v>
      </c>
      <c r="M689" s="227"/>
      <c r="N689" s="275"/>
    </row>
    <row r="690" spans="1:14" ht="21.75" customHeight="1">
      <c r="A690" t="s">
        <v>1011</v>
      </c>
      <c r="B690" s="245">
        <v>41319</v>
      </c>
      <c r="C690" s="126">
        <v>62</v>
      </c>
      <c r="D690" s="126">
        <v>62.2</v>
      </c>
      <c r="E690" s="126">
        <v>62.2</v>
      </c>
      <c r="F690">
        <v>62</v>
      </c>
      <c r="G690" s="321">
        <v>0.7873</v>
      </c>
      <c r="H690" s="123">
        <f t="shared" si="44"/>
        <v>221.23628265895411</v>
      </c>
      <c r="I690" s="123">
        <f t="shared" si="45"/>
        <v>221.94994808688622</v>
      </c>
      <c r="J690" s="123">
        <f t="shared" si="46"/>
        <v>221.94994808688622</v>
      </c>
      <c r="K690" s="123">
        <f t="shared" ref="K690:K723" si="47">(F690*(PI()/LN(2)))*$G690</f>
        <v>221.23628265895411</v>
      </c>
      <c r="L690" s="176">
        <f t="shared" ref="L690:L753" si="48">AVERAGE(H690:K690)</f>
        <v>221.59311537292018</v>
      </c>
      <c r="M690" s="227"/>
      <c r="N690" s="275"/>
    </row>
    <row r="691" spans="1:14" ht="21.75" customHeight="1">
      <c r="A691" t="s">
        <v>1013</v>
      </c>
      <c r="B691" s="245">
        <v>41319</v>
      </c>
      <c r="C691" s="126">
        <v>64.2</v>
      </c>
      <c r="D691" s="126">
        <v>63.9</v>
      </c>
      <c r="E691" s="126">
        <v>64.7</v>
      </c>
      <c r="F691">
        <v>65.3</v>
      </c>
      <c r="G691" s="321">
        <v>0.7873</v>
      </c>
      <c r="H691" s="123">
        <f t="shared" si="44"/>
        <v>229.0866023662073</v>
      </c>
      <c r="I691" s="123">
        <f t="shared" si="45"/>
        <v>228.01610422430915</v>
      </c>
      <c r="J691" s="123">
        <f t="shared" si="46"/>
        <v>230.8707659360376</v>
      </c>
      <c r="K691" s="123">
        <f t="shared" si="47"/>
        <v>233.01176221983388</v>
      </c>
      <c r="L691" s="176">
        <f t="shared" si="48"/>
        <v>230.24630868659699</v>
      </c>
      <c r="M691" s="227"/>
      <c r="N691" s="275"/>
    </row>
    <row r="692" spans="1:14" ht="21.75" customHeight="1">
      <c r="A692" t="s">
        <v>1014</v>
      </c>
      <c r="B692" s="245">
        <v>41319</v>
      </c>
      <c r="C692" s="126">
        <v>65.900000000000006</v>
      </c>
      <c r="D692" s="126">
        <v>65.5</v>
      </c>
      <c r="E692" s="126">
        <v>65.8</v>
      </c>
      <c r="F692">
        <v>65.5</v>
      </c>
      <c r="G692" s="321">
        <v>0.7873</v>
      </c>
      <c r="H692" s="123">
        <f t="shared" si="44"/>
        <v>235.15275850363028</v>
      </c>
      <c r="I692" s="123">
        <f t="shared" si="45"/>
        <v>233.72542764776605</v>
      </c>
      <c r="J692" s="123">
        <f t="shared" si="46"/>
        <v>234.79592578966418</v>
      </c>
      <c r="K692" s="123">
        <f t="shared" si="47"/>
        <v>233.72542764776605</v>
      </c>
      <c r="L692" s="176">
        <f t="shared" si="48"/>
        <v>234.34988489720666</v>
      </c>
      <c r="M692" s="227"/>
      <c r="N692" s="275"/>
    </row>
    <row r="693" spans="1:14" ht="21.75" customHeight="1">
      <c r="A693" t="s">
        <v>1015</v>
      </c>
      <c r="B693" s="245">
        <v>41319</v>
      </c>
      <c r="C693" s="126">
        <v>53.6</v>
      </c>
      <c r="D693" s="126">
        <v>53.7</v>
      </c>
      <c r="E693" s="126">
        <v>54</v>
      </c>
      <c r="F693">
        <v>54.1</v>
      </c>
      <c r="G693" s="321">
        <v>0.7873</v>
      </c>
      <c r="H693" s="123">
        <f t="shared" si="44"/>
        <v>191.26233468580548</v>
      </c>
      <c r="I693" s="123">
        <f t="shared" si="45"/>
        <v>191.61916739977156</v>
      </c>
      <c r="J693" s="123">
        <f t="shared" si="46"/>
        <v>192.68966554166968</v>
      </c>
      <c r="K693" s="123">
        <f t="shared" si="47"/>
        <v>193.04649825563575</v>
      </c>
      <c r="L693" s="176">
        <f t="shared" si="48"/>
        <v>192.15441647072061</v>
      </c>
      <c r="M693" s="227"/>
      <c r="N693" s="275"/>
    </row>
    <row r="694" spans="1:14" ht="21.75" customHeight="1">
      <c r="A694" t="s">
        <v>1016</v>
      </c>
      <c r="B694" s="245">
        <v>41320</v>
      </c>
      <c r="C694" s="126">
        <v>68.8</v>
      </c>
      <c r="D694" s="126">
        <v>69.2</v>
      </c>
      <c r="E694" s="126">
        <v>69.900000000000006</v>
      </c>
      <c r="F694">
        <v>69.5</v>
      </c>
      <c r="G694" s="321">
        <v>0.7873</v>
      </c>
      <c r="H694" s="123">
        <f t="shared" si="44"/>
        <v>245.50090720864583</v>
      </c>
      <c r="I694" s="123">
        <f t="shared" si="45"/>
        <v>246.92823806451008</v>
      </c>
      <c r="J694" s="123">
        <f t="shared" si="46"/>
        <v>249.42606706227247</v>
      </c>
      <c r="K694" s="123">
        <f t="shared" si="47"/>
        <v>247.99873620640821</v>
      </c>
      <c r="L694" s="176">
        <f t="shared" si="48"/>
        <v>247.46348713545916</v>
      </c>
      <c r="M694" s="227"/>
      <c r="N694" s="275"/>
    </row>
    <row r="695" spans="1:14" ht="21.75" customHeight="1">
      <c r="A695" t="s">
        <v>1017</v>
      </c>
      <c r="B695" s="245">
        <v>41320</v>
      </c>
      <c r="C695" s="126">
        <v>68.099999999999994</v>
      </c>
      <c r="D695" s="126">
        <v>67.400000000000006</v>
      </c>
      <c r="E695" s="126">
        <v>68.2</v>
      </c>
      <c r="F695">
        <v>67.099999999999994</v>
      </c>
      <c r="G695" s="321">
        <v>0.7873</v>
      </c>
      <c r="H695" s="123">
        <f t="shared" si="44"/>
        <v>243.00307821088342</v>
      </c>
      <c r="I695" s="123">
        <f t="shared" si="45"/>
        <v>240.50524921312106</v>
      </c>
      <c r="J695" s="123">
        <f t="shared" si="46"/>
        <v>243.35991092484952</v>
      </c>
      <c r="K695" s="123">
        <f t="shared" si="47"/>
        <v>239.43475107122291</v>
      </c>
      <c r="L695" s="176">
        <f t="shared" si="48"/>
        <v>241.57574735501922</v>
      </c>
      <c r="M695" s="227"/>
      <c r="N695" s="275"/>
    </row>
    <row r="696" spans="1:14" ht="21.75" customHeight="1">
      <c r="A696" t="s">
        <v>1018</v>
      </c>
      <c r="B696" s="245">
        <v>41320</v>
      </c>
      <c r="C696" s="126">
        <v>67</v>
      </c>
      <c r="D696" s="126">
        <v>67.2</v>
      </c>
      <c r="E696" s="126">
        <v>68.400000000000006</v>
      </c>
      <c r="F696">
        <v>67</v>
      </c>
      <c r="G696" s="321">
        <v>0.7873</v>
      </c>
      <c r="H696" s="123">
        <f t="shared" si="44"/>
        <v>239.07791835725683</v>
      </c>
      <c r="I696" s="123">
        <f t="shared" si="45"/>
        <v>239.79158378518895</v>
      </c>
      <c r="J696" s="123">
        <f t="shared" si="46"/>
        <v>244.07357635278163</v>
      </c>
      <c r="K696" s="123">
        <f t="shared" si="47"/>
        <v>239.07791835725683</v>
      </c>
      <c r="L696" s="176">
        <f t="shared" si="48"/>
        <v>240.50524921312106</v>
      </c>
      <c r="M696" s="227"/>
      <c r="N696" s="275"/>
    </row>
    <row r="697" spans="1:14" ht="21.75" customHeight="1">
      <c r="A697" t="s">
        <v>1019</v>
      </c>
      <c r="B697" s="245">
        <v>41320</v>
      </c>
      <c r="C697" s="126">
        <v>67.900000000000006</v>
      </c>
      <c r="D697" s="126">
        <v>67.8</v>
      </c>
      <c r="E697" s="126">
        <v>67.5</v>
      </c>
      <c r="F697">
        <v>67.7</v>
      </c>
      <c r="G697" s="321">
        <v>0.7873</v>
      </c>
      <c r="H697" s="123">
        <f t="shared" si="44"/>
        <v>242.28941278295136</v>
      </c>
      <c r="I697" s="123">
        <f t="shared" si="45"/>
        <v>241.93258006898529</v>
      </c>
      <c r="J697" s="123">
        <f t="shared" si="46"/>
        <v>240.86208192708713</v>
      </c>
      <c r="K697" s="123">
        <f t="shared" si="47"/>
        <v>241.57574735501925</v>
      </c>
      <c r="L697" s="176">
        <f t="shared" si="48"/>
        <v>241.66495553351075</v>
      </c>
      <c r="M697" s="227"/>
      <c r="N697" s="275"/>
    </row>
    <row r="698" spans="1:14" ht="21.75" customHeight="1">
      <c r="A698" t="s">
        <v>1020</v>
      </c>
      <c r="B698" s="245">
        <v>41323</v>
      </c>
      <c r="C698" s="126">
        <v>85.8</v>
      </c>
      <c r="D698" s="126">
        <v>85.6</v>
      </c>
      <c r="E698" s="126">
        <v>85.5</v>
      </c>
      <c r="F698">
        <v>86.4</v>
      </c>
      <c r="G698" s="321">
        <v>0.7873</v>
      </c>
      <c r="H698" s="123">
        <f t="shared" si="44"/>
        <v>306.16246858287519</v>
      </c>
      <c r="I698" s="123">
        <f t="shared" si="45"/>
        <v>305.44880315494305</v>
      </c>
      <c r="J698" s="123">
        <f t="shared" si="46"/>
        <v>305.09197044097704</v>
      </c>
      <c r="K698" s="123">
        <f t="shared" si="47"/>
        <v>308.3034648666715</v>
      </c>
      <c r="L698" s="176">
        <f t="shared" si="48"/>
        <v>306.2516767613667</v>
      </c>
      <c r="M698" s="227"/>
      <c r="N698" s="275"/>
    </row>
    <row r="699" spans="1:14" ht="21.75" customHeight="1">
      <c r="A699" t="s">
        <v>1022</v>
      </c>
      <c r="B699" s="245">
        <v>41323</v>
      </c>
      <c r="C699" s="126">
        <v>60.5</v>
      </c>
      <c r="D699" s="126">
        <v>60.5</v>
      </c>
      <c r="E699" s="126">
        <v>61</v>
      </c>
      <c r="F699">
        <v>60.4</v>
      </c>
      <c r="G699" s="321">
        <v>0.7873</v>
      </c>
      <c r="H699" s="123">
        <f t="shared" si="44"/>
        <v>215.88379194946327</v>
      </c>
      <c r="I699" s="123">
        <f t="shared" si="45"/>
        <v>215.88379194946327</v>
      </c>
      <c r="J699" s="123">
        <f t="shared" si="46"/>
        <v>217.66795551929354</v>
      </c>
      <c r="K699" s="123">
        <f t="shared" si="47"/>
        <v>215.5269592354972</v>
      </c>
      <c r="L699" s="176">
        <f t="shared" si="48"/>
        <v>216.24062466342932</v>
      </c>
      <c r="M699" s="227"/>
      <c r="N699" s="275"/>
    </row>
    <row r="700" spans="1:14" ht="21.75" customHeight="1">
      <c r="A700" t="s">
        <v>1024</v>
      </c>
      <c r="B700" s="245">
        <v>41323</v>
      </c>
      <c r="C700" s="126">
        <v>88.8</v>
      </c>
      <c r="D700" s="126">
        <v>90</v>
      </c>
      <c r="E700" s="126">
        <v>89.2</v>
      </c>
      <c r="F700">
        <v>88.9</v>
      </c>
      <c r="G700" s="321">
        <v>0.7873</v>
      </c>
      <c r="H700" s="123">
        <f t="shared" si="44"/>
        <v>316.86745000185681</v>
      </c>
      <c r="I700" s="123">
        <f t="shared" si="45"/>
        <v>321.14944256944949</v>
      </c>
      <c r="J700" s="123">
        <f t="shared" si="46"/>
        <v>318.29478085772104</v>
      </c>
      <c r="K700" s="123">
        <f t="shared" si="47"/>
        <v>317.22428271582294</v>
      </c>
      <c r="L700" s="176">
        <f t="shared" si="48"/>
        <v>318.38398903621254</v>
      </c>
      <c r="M700" s="227"/>
      <c r="N700" s="275"/>
    </row>
    <row r="701" spans="1:14" ht="21.75" customHeight="1">
      <c r="A701" t="s">
        <v>1025</v>
      </c>
      <c r="B701" s="245">
        <v>41323</v>
      </c>
      <c r="C701" s="126">
        <v>58.7</v>
      </c>
      <c r="D701" s="126">
        <v>58.6</v>
      </c>
      <c r="E701" s="126">
        <v>58.7</v>
      </c>
      <c r="F701">
        <v>58.8</v>
      </c>
      <c r="G701" s="321">
        <v>0.7873</v>
      </c>
      <c r="H701" s="123">
        <f t="shared" si="44"/>
        <v>209.46080309807431</v>
      </c>
      <c r="I701" s="123">
        <f t="shared" si="45"/>
        <v>209.10397038410824</v>
      </c>
      <c r="J701" s="123">
        <f t="shared" si="46"/>
        <v>209.46080309807431</v>
      </c>
      <c r="K701" s="123">
        <f t="shared" si="47"/>
        <v>209.81763581204032</v>
      </c>
      <c r="L701" s="176">
        <f t="shared" si="48"/>
        <v>209.46080309807428</v>
      </c>
      <c r="M701" s="227"/>
      <c r="N701" s="275"/>
    </row>
    <row r="702" spans="1:14" ht="21.75" customHeight="1">
      <c r="A702" t="s">
        <v>1026</v>
      </c>
      <c r="B702" s="245">
        <v>41326</v>
      </c>
      <c r="C702" s="126">
        <v>105.5</v>
      </c>
      <c r="D702" s="126">
        <v>107</v>
      </c>
      <c r="E702" s="126">
        <v>106.2</v>
      </c>
      <c r="F702">
        <v>108.2</v>
      </c>
      <c r="G702" s="321">
        <v>0.7873</v>
      </c>
      <c r="H702" s="123">
        <f t="shared" si="44"/>
        <v>376.45851323418805</v>
      </c>
      <c r="I702" s="123">
        <f t="shared" si="45"/>
        <v>381.81100394367888</v>
      </c>
      <c r="J702" s="123">
        <f t="shared" si="46"/>
        <v>378.95634223195043</v>
      </c>
      <c r="K702" s="123">
        <f t="shared" si="47"/>
        <v>386.09299651127151</v>
      </c>
      <c r="L702" s="176">
        <f t="shared" si="48"/>
        <v>380.82971398027223</v>
      </c>
      <c r="M702" s="227"/>
      <c r="N702" s="275"/>
    </row>
    <row r="703" spans="1:14" ht="21.75" customHeight="1">
      <c r="A703" t="s">
        <v>1027</v>
      </c>
      <c r="B703" s="245">
        <v>41326</v>
      </c>
      <c r="C703" s="126">
        <v>65.099999999999994</v>
      </c>
      <c r="D703" s="126">
        <v>65.900000000000006</v>
      </c>
      <c r="E703" s="126">
        <v>65.400000000000006</v>
      </c>
      <c r="F703">
        <v>65.599999999999994</v>
      </c>
      <c r="G703" s="321">
        <v>0.7873</v>
      </c>
      <c r="H703" s="123">
        <f t="shared" si="44"/>
        <v>232.29809679190177</v>
      </c>
      <c r="I703" s="123">
        <f t="shared" si="45"/>
        <v>235.15275850363028</v>
      </c>
      <c r="J703" s="123">
        <f t="shared" si="46"/>
        <v>233.36859493379998</v>
      </c>
      <c r="K703" s="123">
        <f t="shared" si="47"/>
        <v>234.08226036173207</v>
      </c>
      <c r="L703" s="176">
        <f t="shared" si="48"/>
        <v>233.72542764776603</v>
      </c>
      <c r="M703" s="227"/>
      <c r="N703" s="275"/>
    </row>
    <row r="704" spans="1:14" ht="21.75" customHeight="1">
      <c r="A704" t="s">
        <v>1028</v>
      </c>
      <c r="B704" s="245">
        <v>41326</v>
      </c>
      <c r="C704" s="126">
        <v>94.9</v>
      </c>
      <c r="D704" s="126">
        <v>95.4</v>
      </c>
      <c r="E704" s="126">
        <v>94.3</v>
      </c>
      <c r="F704">
        <v>94.7</v>
      </c>
      <c r="G704" s="321">
        <v>0.7873</v>
      </c>
      <c r="H704" s="123">
        <f t="shared" si="44"/>
        <v>338.63424555378623</v>
      </c>
      <c r="I704" s="123">
        <f t="shared" si="45"/>
        <v>340.41840912361653</v>
      </c>
      <c r="J704" s="123">
        <f t="shared" si="46"/>
        <v>336.49324926998986</v>
      </c>
      <c r="K704" s="123">
        <f t="shared" si="47"/>
        <v>337.92058012585409</v>
      </c>
      <c r="L704" s="176">
        <f t="shared" si="48"/>
        <v>338.36662101831166</v>
      </c>
      <c r="M704" s="227"/>
      <c r="N704" s="275"/>
    </row>
    <row r="705" spans="1:14" ht="21.75" customHeight="1">
      <c r="A705" t="s">
        <v>1029</v>
      </c>
      <c r="B705" s="245">
        <v>41326</v>
      </c>
      <c r="C705" s="126">
        <v>65.099999999999994</v>
      </c>
      <c r="D705" s="126">
        <v>63.5</v>
      </c>
      <c r="E705" s="126">
        <v>64.8</v>
      </c>
      <c r="F705">
        <v>63.4</v>
      </c>
      <c r="G705" s="321">
        <v>0.7873</v>
      </c>
      <c r="H705" s="123">
        <f t="shared" si="44"/>
        <v>232.29809679190177</v>
      </c>
      <c r="I705" s="123">
        <f t="shared" si="45"/>
        <v>226.58877336844492</v>
      </c>
      <c r="J705" s="123">
        <f t="shared" si="46"/>
        <v>231.22759865000364</v>
      </c>
      <c r="K705" s="123">
        <f t="shared" si="47"/>
        <v>226.23194065447885</v>
      </c>
      <c r="L705" s="176">
        <f t="shared" si="48"/>
        <v>229.0866023662073</v>
      </c>
      <c r="M705" s="227"/>
      <c r="N705" s="275"/>
    </row>
    <row r="706" spans="1:14" ht="21.75" customHeight="1">
      <c r="A706" t="s">
        <v>1030</v>
      </c>
      <c r="B706" s="245">
        <v>41326</v>
      </c>
      <c r="C706" s="126">
        <v>108.4</v>
      </c>
      <c r="D706" s="126">
        <v>108.9</v>
      </c>
      <c r="E706" s="126">
        <v>109.5</v>
      </c>
      <c r="F706">
        <v>109.6</v>
      </c>
      <c r="G706" s="321">
        <v>0.7873</v>
      </c>
      <c r="H706" s="123">
        <f t="shared" ref="H706:H723" si="49">(C706*(PI()/LN(2)))*$G706</f>
        <v>386.80666193920365</v>
      </c>
      <c r="I706" s="123">
        <f t="shared" ref="I706:I723" si="50">(D706*(PI()/LN(2)))*$G706</f>
        <v>388.59082550903389</v>
      </c>
      <c r="J706" s="123">
        <f t="shared" ref="J706:J723" si="51">(E706*(PI()/LN(2)))*$G706</f>
        <v>390.7318217928302</v>
      </c>
      <c r="K706" s="123">
        <f t="shared" si="47"/>
        <v>391.08865450679622</v>
      </c>
      <c r="L706" s="176">
        <f t="shared" si="48"/>
        <v>389.30449093696603</v>
      </c>
      <c r="M706" s="227"/>
      <c r="N706" s="275"/>
    </row>
    <row r="707" spans="1:14" ht="21.75" customHeight="1">
      <c r="A707" t="s">
        <v>1031</v>
      </c>
      <c r="B707" s="245">
        <v>41326</v>
      </c>
      <c r="C707" s="126">
        <v>84.7</v>
      </c>
      <c r="D707" s="126">
        <v>85.9</v>
      </c>
      <c r="E707" s="126">
        <v>84.9</v>
      </c>
      <c r="F707">
        <v>85.3</v>
      </c>
      <c r="G707" s="321">
        <v>0.7873</v>
      </c>
      <c r="H707" s="123">
        <f t="shared" si="49"/>
        <v>302.23730872924858</v>
      </c>
      <c r="I707" s="123">
        <f t="shared" si="50"/>
        <v>306.51930129684126</v>
      </c>
      <c r="J707" s="123">
        <f t="shared" si="51"/>
        <v>302.95097415718072</v>
      </c>
      <c r="K707" s="123">
        <f t="shared" si="47"/>
        <v>304.37830501304489</v>
      </c>
      <c r="L707" s="176">
        <f t="shared" si="48"/>
        <v>304.02147229907888</v>
      </c>
      <c r="M707" s="227"/>
      <c r="N707" s="275"/>
    </row>
    <row r="708" spans="1:14" ht="21.75" customHeight="1">
      <c r="A708" t="s">
        <v>1032</v>
      </c>
      <c r="B708" s="245">
        <v>41326</v>
      </c>
      <c r="C708" s="126">
        <v>114</v>
      </c>
      <c r="D708" s="126">
        <v>113.9</v>
      </c>
      <c r="E708" s="126">
        <v>114.5</v>
      </c>
      <c r="F708">
        <v>115</v>
      </c>
      <c r="G708" s="321">
        <v>0.7873</v>
      </c>
      <c r="H708" s="123">
        <f t="shared" si="49"/>
        <v>406.78929392130266</v>
      </c>
      <c r="I708" s="123">
        <f t="shared" si="50"/>
        <v>406.43246120733664</v>
      </c>
      <c r="J708" s="123">
        <f t="shared" si="51"/>
        <v>408.57345749113296</v>
      </c>
      <c r="K708" s="123">
        <f t="shared" si="47"/>
        <v>410.35762106096325</v>
      </c>
      <c r="L708" s="176">
        <f t="shared" si="48"/>
        <v>408.03820842018388</v>
      </c>
      <c r="M708" s="227"/>
      <c r="N708" s="275"/>
    </row>
    <row r="709" spans="1:14" ht="21.75" customHeight="1">
      <c r="A709" t="s">
        <v>1033</v>
      </c>
      <c r="B709" s="245">
        <v>41326</v>
      </c>
      <c r="C709" s="126">
        <v>87.8</v>
      </c>
      <c r="D709" s="126">
        <v>87.5</v>
      </c>
      <c r="E709" s="126">
        <v>86.8</v>
      </c>
      <c r="F709">
        <v>88.3</v>
      </c>
      <c r="G709" s="321">
        <v>0.7873</v>
      </c>
      <c r="H709" s="123">
        <f t="shared" si="49"/>
        <v>313.29912286219627</v>
      </c>
      <c r="I709" s="123">
        <f t="shared" si="50"/>
        <v>312.22862472029811</v>
      </c>
      <c r="J709" s="123">
        <f t="shared" si="51"/>
        <v>309.73079572253573</v>
      </c>
      <c r="K709" s="123">
        <f t="shared" si="47"/>
        <v>315.08328643202657</v>
      </c>
      <c r="L709" s="176">
        <f t="shared" si="48"/>
        <v>312.58545743426419</v>
      </c>
      <c r="M709" s="227"/>
      <c r="N709" s="275"/>
    </row>
    <row r="710" spans="1:14" ht="21.75" customHeight="1">
      <c r="A710" t="s">
        <v>1034</v>
      </c>
      <c r="B710" s="245">
        <v>41330</v>
      </c>
      <c r="C710" s="126">
        <v>203.8</v>
      </c>
      <c r="D710" s="126">
        <v>204.4</v>
      </c>
      <c r="E710" s="126">
        <v>206.8</v>
      </c>
      <c r="F710">
        <v>204</v>
      </c>
      <c r="G710" s="321">
        <v>0.7873</v>
      </c>
      <c r="H710" s="123">
        <f t="shared" si="49"/>
        <v>727.22507106282012</v>
      </c>
      <c r="I710" s="123">
        <f t="shared" si="50"/>
        <v>729.36606734661643</v>
      </c>
      <c r="J710" s="123">
        <f t="shared" si="51"/>
        <v>737.93005248180179</v>
      </c>
      <c r="K710" s="123">
        <f t="shared" si="47"/>
        <v>727.93873649075215</v>
      </c>
      <c r="L710" s="176">
        <f t="shared" si="48"/>
        <v>730.6149818454976</v>
      </c>
      <c r="M710" s="227"/>
      <c r="N710" s="275"/>
    </row>
    <row r="711" spans="1:14" ht="21.75" customHeight="1">
      <c r="A711" t="s">
        <v>1036</v>
      </c>
      <c r="B711" s="245">
        <v>41330</v>
      </c>
      <c r="C711" s="126">
        <v>155.30000000000001</v>
      </c>
      <c r="D711" s="126">
        <v>153.69999999999999</v>
      </c>
      <c r="E711" s="126">
        <v>154.69999999999999</v>
      </c>
      <c r="F711">
        <v>154.30000000000001</v>
      </c>
      <c r="G711" s="321">
        <v>0.7873</v>
      </c>
      <c r="H711" s="123">
        <f t="shared" si="49"/>
        <v>554.16120478928349</v>
      </c>
      <c r="I711" s="123">
        <f t="shared" si="50"/>
        <v>548.45188136582658</v>
      </c>
      <c r="J711" s="123">
        <f t="shared" si="51"/>
        <v>552.02020850548695</v>
      </c>
      <c r="K711" s="123">
        <f t="shared" si="47"/>
        <v>550.59287764962289</v>
      </c>
      <c r="L711" s="176">
        <f t="shared" si="48"/>
        <v>551.30654307755503</v>
      </c>
      <c r="M711" s="227"/>
      <c r="N711" s="275"/>
    </row>
    <row r="712" spans="1:14" ht="21.75" customHeight="1">
      <c r="A712" t="s">
        <v>1037</v>
      </c>
      <c r="B712" s="245">
        <v>41330</v>
      </c>
      <c r="C712" s="126">
        <v>216.6</v>
      </c>
      <c r="D712" s="126">
        <v>219.1</v>
      </c>
      <c r="E712" s="126">
        <v>217.2</v>
      </c>
      <c r="F712">
        <v>218.8</v>
      </c>
      <c r="G712" s="321">
        <v>0.7873</v>
      </c>
      <c r="H712" s="123">
        <f t="shared" si="49"/>
        <v>772.89965845047516</v>
      </c>
      <c r="I712" s="123">
        <f t="shared" si="50"/>
        <v>781.82047629962653</v>
      </c>
      <c r="J712" s="123">
        <f t="shared" si="51"/>
        <v>775.04065473427147</v>
      </c>
      <c r="K712" s="123">
        <f t="shared" si="47"/>
        <v>780.74997815772838</v>
      </c>
      <c r="L712" s="176">
        <f t="shared" si="48"/>
        <v>777.62769191052541</v>
      </c>
      <c r="M712" s="227"/>
      <c r="N712" s="275"/>
    </row>
    <row r="713" spans="1:14" ht="21.75" customHeight="1">
      <c r="A713" t="s">
        <v>1038</v>
      </c>
      <c r="B713" s="245">
        <v>41330</v>
      </c>
      <c r="C713" s="126">
        <v>168.4</v>
      </c>
      <c r="D713" s="126">
        <v>167.7</v>
      </c>
      <c r="E713" s="126">
        <v>167.5</v>
      </c>
      <c r="F713">
        <v>170.1</v>
      </c>
      <c r="G713" s="321">
        <v>0.7873</v>
      </c>
      <c r="H713" s="123">
        <f t="shared" si="49"/>
        <v>600.90629031883668</v>
      </c>
      <c r="I713" s="123">
        <f t="shared" si="50"/>
        <v>598.40846132107413</v>
      </c>
      <c r="J713" s="123">
        <f t="shared" si="51"/>
        <v>597.6947958931421</v>
      </c>
      <c r="K713" s="123">
        <f t="shared" si="47"/>
        <v>606.97244645625949</v>
      </c>
      <c r="L713" s="176">
        <f t="shared" si="48"/>
        <v>600.99549849732807</v>
      </c>
      <c r="M713" s="227"/>
      <c r="N713" s="275"/>
    </row>
    <row r="714" spans="1:14" ht="21.75" customHeight="1">
      <c r="A714" t="s">
        <v>1039</v>
      </c>
      <c r="B714" s="245">
        <v>41331</v>
      </c>
      <c r="C714" s="126">
        <v>141.9</v>
      </c>
      <c r="D714" s="126">
        <v>142</v>
      </c>
      <c r="E714" s="126">
        <v>143.1</v>
      </c>
      <c r="F714">
        <v>142.5</v>
      </c>
      <c r="G714" s="321">
        <v>0.7873</v>
      </c>
      <c r="H714" s="123">
        <f t="shared" si="49"/>
        <v>506.34562111783208</v>
      </c>
      <c r="I714" s="123">
        <f t="shared" si="50"/>
        <v>506.7024538317981</v>
      </c>
      <c r="J714" s="123">
        <f t="shared" si="51"/>
        <v>510.62761368542465</v>
      </c>
      <c r="K714" s="123">
        <f t="shared" si="47"/>
        <v>508.48661740162839</v>
      </c>
      <c r="L714" s="176">
        <f t="shared" si="48"/>
        <v>508.04057650917082</v>
      </c>
      <c r="M714" s="227"/>
      <c r="N714" s="275"/>
    </row>
    <row r="715" spans="1:14" ht="21.75" customHeight="1">
      <c r="A715" t="s">
        <v>1040</v>
      </c>
      <c r="B715" s="245">
        <v>41331</v>
      </c>
      <c r="C715" s="126">
        <v>144.9</v>
      </c>
      <c r="D715" s="126">
        <v>145.4</v>
      </c>
      <c r="E715" s="126">
        <v>147</v>
      </c>
      <c r="F715">
        <v>146.1</v>
      </c>
      <c r="G715" s="321">
        <v>0.7873</v>
      </c>
      <c r="H715" s="123">
        <f t="shared" si="49"/>
        <v>517.0506025368137</v>
      </c>
      <c r="I715" s="123">
        <f t="shared" si="50"/>
        <v>518.834766106644</v>
      </c>
      <c r="J715" s="123">
        <f t="shared" si="51"/>
        <v>524.54408953010079</v>
      </c>
      <c r="K715" s="123">
        <f t="shared" si="47"/>
        <v>521.33259510440632</v>
      </c>
      <c r="L715" s="176">
        <f t="shared" si="48"/>
        <v>520.44051331949117</v>
      </c>
      <c r="M715" s="227"/>
      <c r="N715" s="275"/>
    </row>
    <row r="716" spans="1:14" ht="21.75" customHeight="1">
      <c r="A716" t="s">
        <v>1041</v>
      </c>
      <c r="B716" s="245">
        <v>41332</v>
      </c>
      <c r="C716" s="126">
        <v>164</v>
      </c>
      <c r="D716" s="126">
        <v>163.1</v>
      </c>
      <c r="E716" s="126">
        <v>165</v>
      </c>
      <c r="F716">
        <v>163.30000000000001</v>
      </c>
      <c r="G716" s="321">
        <v>0.7873</v>
      </c>
      <c r="H716" s="123">
        <f t="shared" si="49"/>
        <v>585.20565090433013</v>
      </c>
      <c r="I716" s="123">
        <f t="shared" si="50"/>
        <v>581.99415647863566</v>
      </c>
      <c r="J716" s="123">
        <f t="shared" si="51"/>
        <v>588.77397804399072</v>
      </c>
      <c r="K716" s="123">
        <f t="shared" si="47"/>
        <v>582.7078219065678</v>
      </c>
      <c r="L716" s="176">
        <f t="shared" si="48"/>
        <v>584.67040183338111</v>
      </c>
      <c r="M716" s="227"/>
      <c r="N716" s="275"/>
    </row>
    <row r="717" spans="1:14" ht="21.75" customHeight="1">
      <c r="A717" t="s">
        <v>1043</v>
      </c>
      <c r="B717" s="245">
        <v>41332</v>
      </c>
      <c r="C717" s="126">
        <v>146.19999999999999</v>
      </c>
      <c r="D717" s="126">
        <v>143.69999999999999</v>
      </c>
      <c r="E717" s="126">
        <v>143.5</v>
      </c>
      <c r="F717">
        <v>143.9</v>
      </c>
      <c r="G717" s="321">
        <v>0.7873</v>
      </c>
      <c r="H717" s="123">
        <f t="shared" si="49"/>
        <v>521.68942781837234</v>
      </c>
      <c r="I717" s="123">
        <f t="shared" si="50"/>
        <v>512.76860996922096</v>
      </c>
      <c r="J717" s="123">
        <f t="shared" si="51"/>
        <v>512.05494454128893</v>
      </c>
      <c r="K717" s="123">
        <f t="shared" si="47"/>
        <v>513.48227539715322</v>
      </c>
      <c r="L717" s="176">
        <f t="shared" si="48"/>
        <v>514.99881443150889</v>
      </c>
      <c r="M717" s="227"/>
      <c r="N717" s="275"/>
    </row>
    <row r="718" spans="1:14" ht="21.75" customHeight="1">
      <c r="A718" t="s">
        <v>1045</v>
      </c>
      <c r="B718" s="245">
        <v>41332</v>
      </c>
      <c r="C718" s="126">
        <v>232.9</v>
      </c>
      <c r="D718" s="126">
        <v>231.4</v>
      </c>
      <c r="E718" s="126">
        <v>232.3</v>
      </c>
      <c r="F718">
        <v>233.5</v>
      </c>
      <c r="G718" s="321">
        <v>0.7873</v>
      </c>
      <c r="H718" s="123">
        <f t="shared" si="49"/>
        <v>831.06339082694217</v>
      </c>
      <c r="I718" s="123">
        <f t="shared" si="50"/>
        <v>825.71090011745127</v>
      </c>
      <c r="J718" s="123">
        <f t="shared" si="51"/>
        <v>828.92239454314574</v>
      </c>
      <c r="K718" s="123">
        <f t="shared" si="47"/>
        <v>833.20438711073848</v>
      </c>
      <c r="L718" s="176">
        <f t="shared" si="48"/>
        <v>829.72526814956939</v>
      </c>
      <c r="M718" s="227"/>
      <c r="N718" s="275"/>
    </row>
    <row r="719" spans="1:14" ht="21.75" customHeight="1">
      <c r="A719" t="s">
        <v>1046</v>
      </c>
      <c r="B719" s="245">
        <v>41332</v>
      </c>
      <c r="C719" s="126">
        <v>85.4</v>
      </c>
      <c r="D719" s="126">
        <v>85.1</v>
      </c>
      <c r="E719" s="126">
        <v>85.3</v>
      </c>
      <c r="F719">
        <v>85.5</v>
      </c>
      <c r="G719" s="321">
        <v>0.7873</v>
      </c>
      <c r="H719" s="123">
        <f t="shared" si="49"/>
        <v>304.73513772701102</v>
      </c>
      <c r="I719" s="123">
        <f t="shared" si="50"/>
        <v>303.66463958511281</v>
      </c>
      <c r="J719" s="123">
        <f t="shared" si="51"/>
        <v>304.37830501304489</v>
      </c>
      <c r="K719" s="123">
        <f t="shared" si="47"/>
        <v>305.09197044097704</v>
      </c>
      <c r="L719" s="176">
        <f t="shared" si="48"/>
        <v>304.46751319153645</v>
      </c>
      <c r="M719" s="227"/>
      <c r="N719" s="275"/>
    </row>
    <row r="720" spans="1:14" ht="21.75" customHeight="1">
      <c r="A720" t="s">
        <v>1048</v>
      </c>
      <c r="B720" s="245">
        <v>41335</v>
      </c>
      <c r="C720" s="126">
        <v>176.8</v>
      </c>
      <c r="D720" s="126">
        <v>179.1</v>
      </c>
      <c r="E720" s="126">
        <v>179.9</v>
      </c>
      <c r="F720">
        <v>179.4</v>
      </c>
      <c r="G720" s="321">
        <v>0.7873</v>
      </c>
      <c r="H720" s="123">
        <f t="shared" si="49"/>
        <v>630.88023829198528</v>
      </c>
      <c r="I720" s="123">
        <f t="shared" si="50"/>
        <v>639.08739071320451</v>
      </c>
      <c r="J720" s="123">
        <f t="shared" si="51"/>
        <v>641.94205242493297</v>
      </c>
      <c r="K720" s="123">
        <f t="shared" si="47"/>
        <v>640.15788885510267</v>
      </c>
      <c r="L720" s="176">
        <f t="shared" si="48"/>
        <v>638.01689257130636</v>
      </c>
      <c r="M720" s="227"/>
      <c r="N720" s="275"/>
    </row>
    <row r="721" spans="1:14" ht="21.75" customHeight="1">
      <c r="A721" t="s">
        <v>1050</v>
      </c>
      <c r="B721" s="245">
        <v>41335</v>
      </c>
      <c r="C721" s="126">
        <v>90.5</v>
      </c>
      <c r="D721" s="126">
        <v>90.9</v>
      </c>
      <c r="E721" s="126">
        <v>90.9</v>
      </c>
      <c r="F721">
        <v>90</v>
      </c>
      <c r="G721" s="321">
        <v>0.7873</v>
      </c>
      <c r="H721" s="123">
        <f t="shared" si="49"/>
        <v>322.93360613927979</v>
      </c>
      <c r="I721" s="123">
        <f t="shared" si="50"/>
        <v>324.36093699514402</v>
      </c>
      <c r="J721" s="123">
        <f t="shared" si="51"/>
        <v>324.36093699514402</v>
      </c>
      <c r="K721" s="123">
        <f t="shared" si="47"/>
        <v>321.14944256944949</v>
      </c>
      <c r="L721" s="176">
        <f t="shared" si="48"/>
        <v>323.2012306747543</v>
      </c>
      <c r="M721" s="227"/>
      <c r="N721" s="275"/>
    </row>
    <row r="722" spans="1:14" ht="21.75" customHeight="1">
      <c r="A722" t="s">
        <v>1052</v>
      </c>
      <c r="B722" s="245">
        <v>41335</v>
      </c>
      <c r="C722" s="126">
        <v>168.5</v>
      </c>
      <c r="D722" s="126">
        <v>169.7</v>
      </c>
      <c r="E722" s="126">
        <v>169</v>
      </c>
      <c r="F722">
        <v>170</v>
      </c>
      <c r="G722" s="321">
        <v>0.7873</v>
      </c>
      <c r="H722" s="123">
        <f t="shared" si="49"/>
        <v>601.2631230328027</v>
      </c>
      <c r="I722" s="123">
        <f t="shared" si="50"/>
        <v>605.54511560039532</v>
      </c>
      <c r="J722" s="123">
        <f t="shared" si="51"/>
        <v>603.04728660263299</v>
      </c>
      <c r="K722" s="123">
        <f t="shared" si="47"/>
        <v>606.61561374229348</v>
      </c>
      <c r="L722" s="176">
        <f t="shared" si="48"/>
        <v>604.11778474453115</v>
      </c>
      <c r="M722" s="227"/>
      <c r="N722" s="275"/>
    </row>
    <row r="723" spans="1:14" ht="21.75" customHeight="1">
      <c r="A723" t="s">
        <v>1053</v>
      </c>
      <c r="B723" s="245">
        <v>41335</v>
      </c>
      <c r="C723" s="126">
        <v>106.7</v>
      </c>
      <c r="D723" s="126">
        <v>105.6</v>
      </c>
      <c r="E723" s="126">
        <v>105.1</v>
      </c>
      <c r="F723">
        <v>106.4</v>
      </c>
      <c r="G723" s="321">
        <v>0.7873</v>
      </c>
      <c r="H723" s="123">
        <f t="shared" si="49"/>
        <v>380.74050580178067</v>
      </c>
      <c r="I723" s="123">
        <f t="shared" si="50"/>
        <v>376.81534594815406</v>
      </c>
      <c r="J723" s="123">
        <f t="shared" si="51"/>
        <v>375.03118237832382</v>
      </c>
      <c r="K723" s="123">
        <f t="shared" si="47"/>
        <v>379.67000765988251</v>
      </c>
      <c r="L723" s="176">
        <f t="shared" si="48"/>
        <v>378.06426044703522</v>
      </c>
      <c r="M723" s="227"/>
      <c r="N723" s="275"/>
    </row>
    <row r="724" spans="1:14" ht="21.75" customHeight="1">
      <c r="A724" t="s">
        <v>1054</v>
      </c>
      <c r="B724" s="245">
        <v>41338</v>
      </c>
      <c r="C724" s="126">
        <v>6.1</v>
      </c>
      <c r="D724" s="126"/>
      <c r="E724" s="126"/>
      <c r="G724" s="321">
        <v>0.7873</v>
      </c>
      <c r="H724" s="123">
        <f t="shared" ref="H724:H755" si="52">(C724*(PI()/LN(2)))*$G724</f>
        <v>21.766795551929352</v>
      </c>
      <c r="I724" s="123"/>
      <c r="J724" s="123"/>
      <c r="K724" s="123"/>
      <c r="L724" s="176"/>
      <c r="M724" s="227"/>
      <c r="N724" s="275"/>
    </row>
    <row r="725" spans="1:14" ht="21.75" customHeight="1">
      <c r="A725" t="s">
        <v>1056</v>
      </c>
      <c r="B725" s="245">
        <v>41338</v>
      </c>
      <c r="C725" s="126">
        <v>6.1</v>
      </c>
      <c r="D725" s="126"/>
      <c r="E725" s="126"/>
      <c r="G725" s="321">
        <v>0.7873</v>
      </c>
      <c r="H725" s="123">
        <f t="shared" si="52"/>
        <v>21.766795551929352</v>
      </c>
      <c r="I725" s="123"/>
      <c r="J725" s="123"/>
      <c r="K725" s="123"/>
      <c r="L725" s="176"/>
      <c r="M725" s="227"/>
      <c r="N725" s="275"/>
    </row>
    <row r="726" spans="1:14" ht="21.75" customHeight="1">
      <c r="A726" t="s">
        <v>1058</v>
      </c>
      <c r="B726" s="245">
        <v>41339</v>
      </c>
      <c r="C726" s="126">
        <v>95.9</v>
      </c>
      <c r="D726" s="126">
        <v>96.4</v>
      </c>
      <c r="E726" s="126">
        <v>97</v>
      </c>
      <c r="F726">
        <v>96.7</v>
      </c>
      <c r="G726" s="321">
        <v>0.7873</v>
      </c>
      <c r="H726" s="123">
        <f t="shared" si="52"/>
        <v>342.20257269344671</v>
      </c>
      <c r="I726" s="123">
        <f t="shared" ref="I726:I762" si="53">(D726*(PI()/LN(2)))*$G726</f>
        <v>343.98673626327701</v>
      </c>
      <c r="J726" s="123">
        <f t="shared" ref="J726:J762" si="54">(E726*(PI()/LN(2)))*$G726</f>
        <v>346.12773254707338</v>
      </c>
      <c r="K726" s="123">
        <f t="shared" ref="K726:K762" si="55">(F726*(PI()/LN(2)))*$G726</f>
        <v>345.05723440517517</v>
      </c>
      <c r="L726" s="176">
        <f t="shared" ref="L726:L734" si="56">AVERAGE(H726:K726)</f>
        <v>344.34356897724308</v>
      </c>
      <c r="M726" s="227"/>
      <c r="N726" s="275"/>
    </row>
    <row r="727" spans="1:14" ht="21.75" customHeight="1">
      <c r="A727" t="s">
        <v>1060</v>
      </c>
      <c r="B727" s="245">
        <v>41339</v>
      </c>
      <c r="C727" s="126">
        <v>73.900000000000006</v>
      </c>
      <c r="D727" s="126">
        <v>74.8</v>
      </c>
      <c r="E727" s="126">
        <v>74.099999999999994</v>
      </c>
      <c r="F727">
        <v>75</v>
      </c>
      <c r="G727" s="321">
        <v>0.7873</v>
      </c>
      <c r="H727" s="123">
        <f t="shared" si="52"/>
        <v>263.69937562091462</v>
      </c>
      <c r="I727" s="123">
        <f t="shared" si="53"/>
        <v>266.91087004660909</v>
      </c>
      <c r="J727" s="123">
        <f t="shared" si="54"/>
        <v>264.41304104884671</v>
      </c>
      <c r="K727" s="123">
        <f t="shared" si="55"/>
        <v>267.62453547454129</v>
      </c>
      <c r="L727" s="176">
        <f t="shared" si="56"/>
        <v>265.66195554772793</v>
      </c>
      <c r="M727" s="227"/>
      <c r="N727" s="275"/>
    </row>
    <row r="728" spans="1:14" ht="21.75" customHeight="1">
      <c r="A728" t="s">
        <v>1062</v>
      </c>
      <c r="B728" s="245">
        <v>41339</v>
      </c>
      <c r="C728" s="126">
        <v>92.3</v>
      </c>
      <c r="D728" s="126">
        <v>93</v>
      </c>
      <c r="E728" s="126">
        <v>92.4</v>
      </c>
      <c r="F728">
        <v>93.2</v>
      </c>
      <c r="G728" s="321">
        <v>0.7873</v>
      </c>
      <c r="H728" s="123">
        <f t="shared" si="52"/>
        <v>329.35659499066878</v>
      </c>
      <c r="I728" s="123">
        <f t="shared" si="53"/>
        <v>331.85442398843117</v>
      </c>
      <c r="J728" s="123">
        <f t="shared" si="54"/>
        <v>329.71342770463485</v>
      </c>
      <c r="K728" s="123">
        <f t="shared" si="55"/>
        <v>332.56808941636325</v>
      </c>
      <c r="L728" s="176">
        <f t="shared" si="56"/>
        <v>330.87313402502446</v>
      </c>
      <c r="M728" s="227"/>
      <c r="N728" s="275"/>
    </row>
    <row r="729" spans="1:14" ht="21.75" customHeight="1">
      <c r="A729" t="s">
        <v>1063</v>
      </c>
      <c r="B729" s="245">
        <v>41339</v>
      </c>
      <c r="C729" s="126">
        <v>64.8</v>
      </c>
      <c r="D729" s="126">
        <v>64.400000000000006</v>
      </c>
      <c r="E729" s="126">
        <v>64.400000000000006</v>
      </c>
      <c r="F729">
        <v>64.3</v>
      </c>
      <c r="G729" s="321">
        <v>0.7873</v>
      </c>
      <c r="H729" s="123">
        <f t="shared" si="52"/>
        <v>231.22759865000364</v>
      </c>
      <c r="I729" s="123">
        <f t="shared" si="53"/>
        <v>229.80026779413942</v>
      </c>
      <c r="J729" s="123">
        <f t="shared" si="54"/>
        <v>229.80026779413942</v>
      </c>
      <c r="K729" s="123">
        <f t="shared" si="55"/>
        <v>229.44343508017337</v>
      </c>
      <c r="L729" s="176">
        <f t="shared" si="56"/>
        <v>230.06789232961395</v>
      </c>
      <c r="M729" s="227"/>
      <c r="N729" s="275"/>
    </row>
    <row r="730" spans="1:14" ht="21.75" customHeight="1">
      <c r="A730" t="s">
        <v>1064</v>
      </c>
      <c r="B730" s="245">
        <v>41345</v>
      </c>
      <c r="C730" s="126">
        <v>1.93</v>
      </c>
      <c r="D730" s="126">
        <v>1.9</v>
      </c>
      <c r="E730" s="126">
        <v>1.95</v>
      </c>
      <c r="F730">
        <v>1.89</v>
      </c>
      <c r="G730" s="321">
        <v>0.7873</v>
      </c>
      <c r="H730" s="123">
        <f t="shared" si="52"/>
        <v>6.8868713795448615</v>
      </c>
      <c r="I730" s="123">
        <f t="shared" si="53"/>
        <v>6.7798215653550447</v>
      </c>
      <c r="J730" s="123">
        <f t="shared" si="54"/>
        <v>6.9582379223380721</v>
      </c>
      <c r="K730" s="123">
        <f t="shared" si="55"/>
        <v>6.7441382939584384</v>
      </c>
      <c r="L730" s="176">
        <f t="shared" si="56"/>
        <v>6.8422672902991044</v>
      </c>
      <c r="M730" s="227"/>
      <c r="N730" s="275"/>
    </row>
    <row r="731" spans="1:14" ht="21.75" customHeight="1">
      <c r="A731" t="s">
        <v>1066</v>
      </c>
      <c r="B731" s="245">
        <v>41345</v>
      </c>
      <c r="C731" s="126">
        <v>2.1</v>
      </c>
      <c r="D731" s="126">
        <v>2.0699999999999998</v>
      </c>
      <c r="E731" s="126">
        <v>2.04</v>
      </c>
      <c r="F731">
        <v>2.0699999999999998</v>
      </c>
      <c r="G731" s="321">
        <v>0.7873</v>
      </c>
      <c r="H731" s="123">
        <f t="shared" si="52"/>
        <v>7.4934869932871546</v>
      </c>
      <c r="I731" s="123">
        <f t="shared" si="53"/>
        <v>7.3864371790973387</v>
      </c>
      <c r="J731" s="123">
        <f t="shared" si="54"/>
        <v>7.2793873649075218</v>
      </c>
      <c r="K731" s="123">
        <f t="shared" si="55"/>
        <v>7.3864371790973387</v>
      </c>
      <c r="L731" s="176">
        <f t="shared" si="56"/>
        <v>7.3864371790973387</v>
      </c>
      <c r="M731" s="227"/>
      <c r="N731" s="275"/>
    </row>
    <row r="732" spans="1:14" ht="21.75" customHeight="1">
      <c r="A732" t="s">
        <v>1068</v>
      </c>
      <c r="B732" s="245">
        <v>41345</v>
      </c>
      <c r="C732" s="126">
        <v>2.6</v>
      </c>
      <c r="D732" s="126">
        <v>2.4700000000000002</v>
      </c>
      <c r="E732" s="126">
        <v>2.69</v>
      </c>
      <c r="F732">
        <v>2.52</v>
      </c>
      <c r="G732" s="321">
        <v>0.7873</v>
      </c>
      <c r="H732" s="123">
        <f t="shared" si="52"/>
        <v>9.2776505631174295</v>
      </c>
      <c r="I732" s="123">
        <f t="shared" si="53"/>
        <v>8.8137680349615604</v>
      </c>
      <c r="J732" s="123">
        <f t="shared" si="54"/>
        <v>9.5988000056868792</v>
      </c>
      <c r="K732" s="123">
        <f t="shared" si="55"/>
        <v>8.992184391944587</v>
      </c>
      <c r="L732" s="176">
        <f t="shared" si="56"/>
        <v>9.1706007489276136</v>
      </c>
      <c r="M732" s="227"/>
      <c r="N732" s="275"/>
    </row>
    <row r="733" spans="1:14" ht="21.75" customHeight="1">
      <c r="A733" t="s">
        <v>1070</v>
      </c>
      <c r="B733" s="245">
        <v>41345</v>
      </c>
      <c r="C733" s="126">
        <v>1.98</v>
      </c>
      <c r="D733" s="126">
        <v>2</v>
      </c>
      <c r="E733" s="126">
        <v>1.99</v>
      </c>
      <c r="F733">
        <v>1.99</v>
      </c>
      <c r="G733" s="321">
        <v>0.7873</v>
      </c>
      <c r="H733" s="123">
        <f t="shared" si="52"/>
        <v>7.0652877365278881</v>
      </c>
      <c r="I733" s="123">
        <f t="shared" si="53"/>
        <v>7.1366542793210996</v>
      </c>
      <c r="J733" s="123">
        <f t="shared" si="54"/>
        <v>7.1009710079244952</v>
      </c>
      <c r="K733" s="123">
        <f t="shared" si="55"/>
        <v>7.1009710079244952</v>
      </c>
      <c r="L733" s="176">
        <f t="shared" si="56"/>
        <v>7.1009710079244952</v>
      </c>
      <c r="M733" s="227"/>
      <c r="N733" s="275"/>
    </row>
    <row r="734" spans="1:14" ht="21.75" customHeight="1">
      <c r="A734" t="s">
        <v>1072</v>
      </c>
      <c r="B734" s="245">
        <v>41345</v>
      </c>
      <c r="C734" s="126">
        <v>2.38</v>
      </c>
      <c r="D734" s="126">
        <v>2.37</v>
      </c>
      <c r="E734" s="126">
        <v>2.4</v>
      </c>
      <c r="F734">
        <v>2.4</v>
      </c>
      <c r="G734" s="321">
        <v>0.7873</v>
      </c>
      <c r="H734" s="123">
        <f t="shared" si="52"/>
        <v>8.4926185923921089</v>
      </c>
      <c r="I734" s="123">
        <f t="shared" si="53"/>
        <v>8.4569353209955036</v>
      </c>
      <c r="J734" s="123">
        <f t="shared" si="54"/>
        <v>8.5639851351853196</v>
      </c>
      <c r="K734" s="123">
        <f t="shared" si="55"/>
        <v>8.5639851351853196</v>
      </c>
      <c r="L734" s="176">
        <f t="shared" si="56"/>
        <v>8.5193810459395625</v>
      </c>
      <c r="M734" s="227"/>
      <c r="N734" s="275"/>
    </row>
    <row r="735" spans="1:14" ht="21.75" customHeight="1">
      <c r="A735" t="s">
        <v>1074</v>
      </c>
      <c r="B735" s="245">
        <v>40981</v>
      </c>
      <c r="C735" s="126">
        <v>70.3</v>
      </c>
      <c r="D735" s="126">
        <v>69.400000000000006</v>
      </c>
      <c r="E735" s="126">
        <v>70</v>
      </c>
      <c r="G735" s="321">
        <v>0.7873</v>
      </c>
      <c r="H735" s="123">
        <f t="shared" si="52"/>
        <v>250.85339791813666</v>
      </c>
      <c r="I735" s="123">
        <f t="shared" si="53"/>
        <v>247.6419034924422</v>
      </c>
      <c r="J735" s="123">
        <f t="shared" si="54"/>
        <v>249.78289977623848</v>
      </c>
      <c r="K735" s="123">
        <f t="shared" si="55"/>
        <v>0</v>
      </c>
      <c r="L735" s="176">
        <f t="shared" ref="L735:L740" si="57">AVERAGE(H735:J735)</f>
        <v>249.42606706227244</v>
      </c>
      <c r="M735" s="227"/>
      <c r="N735" s="275"/>
    </row>
    <row r="736" spans="1:14" ht="21.75" customHeight="1">
      <c r="A736" t="s">
        <v>1076</v>
      </c>
      <c r="B736" s="245">
        <v>40981</v>
      </c>
      <c r="C736" s="126">
        <v>75.2</v>
      </c>
      <c r="D736" s="126">
        <v>74.3</v>
      </c>
      <c r="E736" s="126">
        <v>74.3</v>
      </c>
      <c r="G736" s="321">
        <v>0.7873</v>
      </c>
      <c r="H736" s="123">
        <f t="shared" si="52"/>
        <v>268.33820090247337</v>
      </c>
      <c r="I736" s="123">
        <f t="shared" si="53"/>
        <v>265.12670647677885</v>
      </c>
      <c r="J736" s="123">
        <f t="shared" si="54"/>
        <v>265.12670647677885</v>
      </c>
      <c r="K736" s="123">
        <f t="shared" si="55"/>
        <v>0</v>
      </c>
      <c r="L736" s="176">
        <f t="shared" si="57"/>
        <v>266.19720461867706</v>
      </c>
      <c r="M736" s="227"/>
      <c r="N736" s="275"/>
    </row>
    <row r="737" spans="1:14" ht="21.75" customHeight="1">
      <c r="A737" t="s">
        <v>1077</v>
      </c>
      <c r="B737" s="245">
        <v>40981</v>
      </c>
      <c r="C737" s="126">
        <v>81.2</v>
      </c>
      <c r="D737" s="126">
        <v>82.6</v>
      </c>
      <c r="E737" s="126">
        <v>81.7</v>
      </c>
      <c r="G737" s="321">
        <v>0.7873</v>
      </c>
      <c r="H737" s="123">
        <f t="shared" si="52"/>
        <v>289.74816374043667</v>
      </c>
      <c r="I737" s="123">
        <f t="shared" si="53"/>
        <v>294.74382173596143</v>
      </c>
      <c r="J737" s="123">
        <f t="shared" si="54"/>
        <v>291.53232731026696</v>
      </c>
      <c r="K737" s="123">
        <f t="shared" si="55"/>
        <v>0</v>
      </c>
      <c r="L737" s="176">
        <f t="shared" si="57"/>
        <v>292.00810426222171</v>
      </c>
      <c r="M737" s="227"/>
      <c r="N737" s="275"/>
    </row>
    <row r="738" spans="1:14" ht="21.75" customHeight="1">
      <c r="A738" t="s">
        <v>1078</v>
      </c>
      <c r="B738" s="245">
        <v>40981</v>
      </c>
      <c r="C738" s="126">
        <v>76</v>
      </c>
      <c r="D738" s="126">
        <v>75.2</v>
      </c>
      <c r="E738" s="126">
        <v>76</v>
      </c>
      <c r="G738" s="321">
        <v>0.7873</v>
      </c>
      <c r="H738" s="123">
        <f t="shared" si="52"/>
        <v>271.19286261420177</v>
      </c>
      <c r="I738" s="123">
        <f t="shared" si="53"/>
        <v>268.33820090247337</v>
      </c>
      <c r="J738" s="123">
        <f t="shared" si="54"/>
        <v>271.19286261420177</v>
      </c>
      <c r="K738" s="123">
        <f t="shared" si="55"/>
        <v>0</v>
      </c>
      <c r="L738" s="176">
        <f t="shared" si="57"/>
        <v>270.24130871029234</v>
      </c>
      <c r="M738" s="227"/>
      <c r="N738" s="275"/>
    </row>
    <row r="739" spans="1:14" ht="21.75" customHeight="1">
      <c r="A739" t="s">
        <v>1079</v>
      </c>
      <c r="B739" s="245">
        <v>40981</v>
      </c>
      <c r="C739" s="126">
        <v>75</v>
      </c>
      <c r="D739" s="126">
        <v>76</v>
      </c>
      <c r="E739" s="126">
        <v>75.3</v>
      </c>
      <c r="G739" s="321">
        <v>0.7873</v>
      </c>
      <c r="H739" s="123">
        <f t="shared" si="52"/>
        <v>267.62453547454129</v>
      </c>
      <c r="I739" s="123">
        <f t="shared" si="53"/>
        <v>271.19286261420177</v>
      </c>
      <c r="J739" s="123">
        <f t="shared" si="54"/>
        <v>268.69503361643939</v>
      </c>
      <c r="K739" s="123">
        <f t="shared" si="55"/>
        <v>0</v>
      </c>
      <c r="L739" s="176">
        <f t="shared" si="57"/>
        <v>269.17081056839419</v>
      </c>
      <c r="M739" s="227"/>
      <c r="N739" s="275"/>
    </row>
    <row r="740" spans="1:14" ht="21.75" customHeight="1">
      <c r="A740" t="s">
        <v>1080</v>
      </c>
      <c r="B740" s="245">
        <v>40981</v>
      </c>
      <c r="C740" s="126">
        <v>83.8</v>
      </c>
      <c r="D740" s="126">
        <v>83.9</v>
      </c>
      <c r="E740" s="126">
        <v>83.5</v>
      </c>
      <c r="G740" s="321">
        <v>0.7873</v>
      </c>
      <c r="H740" s="123">
        <f t="shared" si="52"/>
        <v>299.02581430355411</v>
      </c>
      <c r="I740" s="123">
        <f t="shared" si="53"/>
        <v>299.38264701752013</v>
      </c>
      <c r="J740" s="123">
        <f t="shared" si="54"/>
        <v>297.9553161616559</v>
      </c>
      <c r="K740" s="123">
        <f t="shared" si="55"/>
        <v>0</v>
      </c>
      <c r="L740" s="176">
        <f t="shared" si="57"/>
        <v>298.78792582757671</v>
      </c>
      <c r="M740" s="227"/>
      <c r="N740" s="275"/>
    </row>
    <row r="741" spans="1:14" ht="21.75" customHeight="1">
      <c r="A741" t="s">
        <v>1081</v>
      </c>
      <c r="B741" s="245">
        <v>41350</v>
      </c>
      <c r="C741" s="126">
        <v>139.5</v>
      </c>
      <c r="D741" s="126">
        <v>139.80000000000001</v>
      </c>
      <c r="E741" s="126">
        <v>140.19999999999999</v>
      </c>
      <c r="F741">
        <v>139.30000000000001</v>
      </c>
      <c r="G741" s="321">
        <v>0.7873</v>
      </c>
      <c r="H741" s="123">
        <f t="shared" si="52"/>
        <v>497.78163598264672</v>
      </c>
      <c r="I741" s="123">
        <f t="shared" si="53"/>
        <v>498.85213412454493</v>
      </c>
      <c r="J741" s="123">
        <f t="shared" si="54"/>
        <v>500.2794649804091</v>
      </c>
      <c r="K741" s="123">
        <f t="shared" si="55"/>
        <v>497.06797055471469</v>
      </c>
      <c r="L741" s="176">
        <f t="shared" ref="L741:L762" si="58">AVERAGE(H741:K741)</f>
        <v>498.49530141057886</v>
      </c>
      <c r="M741" s="227"/>
      <c r="N741" s="275"/>
    </row>
    <row r="742" spans="1:14" ht="21.75" customHeight="1">
      <c r="A742" t="s">
        <v>1084</v>
      </c>
      <c r="B742" s="245">
        <v>41350</v>
      </c>
      <c r="C742" s="126">
        <v>137.4</v>
      </c>
      <c r="D742" s="126">
        <v>138.1</v>
      </c>
      <c r="E742" s="126">
        <v>137.9</v>
      </c>
      <c r="F742">
        <v>137.4</v>
      </c>
      <c r="G742" s="321">
        <v>0.7873</v>
      </c>
      <c r="H742" s="123">
        <f t="shared" si="52"/>
        <v>490.28814898935963</v>
      </c>
      <c r="I742" s="123">
        <f t="shared" si="53"/>
        <v>492.7859779871219</v>
      </c>
      <c r="J742" s="123">
        <f t="shared" si="54"/>
        <v>492.07231255918987</v>
      </c>
      <c r="K742" s="123">
        <f t="shared" si="55"/>
        <v>490.28814898935963</v>
      </c>
      <c r="L742" s="176">
        <f t="shared" si="58"/>
        <v>491.35864713125773</v>
      </c>
      <c r="M742" s="227"/>
      <c r="N742" s="275"/>
    </row>
    <row r="743" spans="1:14" ht="21.75" customHeight="1">
      <c r="A743" t="s">
        <v>1086</v>
      </c>
      <c r="B743" s="245">
        <v>41350</v>
      </c>
      <c r="C743" s="126">
        <v>87.8</v>
      </c>
      <c r="D743" s="126">
        <v>89.5</v>
      </c>
      <c r="E743" s="126">
        <v>87.7</v>
      </c>
      <c r="F743">
        <v>89.7</v>
      </c>
      <c r="G743" s="321">
        <v>0.7873</v>
      </c>
      <c r="H743" s="123">
        <f t="shared" si="52"/>
        <v>313.29912286219627</v>
      </c>
      <c r="I743" s="123">
        <f t="shared" si="53"/>
        <v>319.36527899961919</v>
      </c>
      <c r="J743" s="123">
        <f t="shared" si="54"/>
        <v>312.94229014823026</v>
      </c>
      <c r="K743" s="123">
        <f t="shared" si="55"/>
        <v>320.07894442755133</v>
      </c>
      <c r="L743" s="176">
        <f t="shared" si="58"/>
        <v>316.42140910939924</v>
      </c>
      <c r="M743" s="227"/>
      <c r="N743" s="275"/>
    </row>
    <row r="744" spans="1:14" ht="21.75" customHeight="1">
      <c r="A744" t="s">
        <v>1088</v>
      </c>
      <c r="B744" s="245">
        <v>41350</v>
      </c>
      <c r="C744" s="126">
        <v>139.9</v>
      </c>
      <c r="D744" s="126">
        <v>139.19999999999999</v>
      </c>
      <c r="E744" s="126">
        <v>139.5</v>
      </c>
      <c r="F744">
        <v>139.69999999999999</v>
      </c>
      <c r="G744" s="321">
        <v>0.7873</v>
      </c>
      <c r="H744" s="123">
        <f t="shared" si="52"/>
        <v>499.20896683851095</v>
      </c>
      <c r="I744" s="123">
        <f t="shared" si="53"/>
        <v>496.71113784074851</v>
      </c>
      <c r="J744" s="123">
        <f t="shared" si="54"/>
        <v>497.78163598264672</v>
      </c>
      <c r="K744" s="123">
        <f t="shared" si="55"/>
        <v>498.4953014105788</v>
      </c>
      <c r="L744" s="176">
        <f t="shared" si="58"/>
        <v>498.04926051812123</v>
      </c>
      <c r="M744" s="227"/>
      <c r="N744" s="275"/>
    </row>
    <row r="745" spans="1:14" ht="21.75" customHeight="1">
      <c r="A745" t="s">
        <v>1089</v>
      </c>
      <c r="B745" s="245">
        <v>41350</v>
      </c>
      <c r="C745" s="126">
        <v>139.6</v>
      </c>
      <c r="D745" s="126">
        <v>139.69999999999999</v>
      </c>
      <c r="E745" s="126">
        <v>139.30000000000001</v>
      </c>
      <c r="F745">
        <v>139.6</v>
      </c>
      <c r="G745" s="321">
        <v>0.7873</v>
      </c>
      <c r="H745" s="123">
        <f t="shared" si="52"/>
        <v>498.13846869661273</v>
      </c>
      <c r="I745" s="123">
        <f t="shared" si="53"/>
        <v>498.4953014105788</v>
      </c>
      <c r="J745" s="123">
        <f t="shared" si="54"/>
        <v>497.06797055471469</v>
      </c>
      <c r="K745" s="123">
        <f t="shared" si="55"/>
        <v>498.13846869661273</v>
      </c>
      <c r="L745" s="176">
        <f t="shared" si="58"/>
        <v>497.96005233962978</v>
      </c>
      <c r="M745" s="227"/>
      <c r="N745" s="275"/>
    </row>
    <row r="746" spans="1:14" ht="21.75" customHeight="1">
      <c r="A746" t="s">
        <v>1090</v>
      </c>
      <c r="B746" s="245">
        <v>41350</v>
      </c>
      <c r="C746" s="126">
        <v>99.3</v>
      </c>
      <c r="D746" s="126">
        <v>100</v>
      </c>
      <c r="E746" s="126">
        <v>98.9</v>
      </c>
      <c r="F746">
        <v>99</v>
      </c>
      <c r="G746" s="321">
        <v>0.7873</v>
      </c>
      <c r="H746" s="123">
        <f t="shared" si="52"/>
        <v>354.33488496829261</v>
      </c>
      <c r="I746" s="123">
        <f t="shared" si="53"/>
        <v>356.832713966055</v>
      </c>
      <c r="J746" s="123">
        <f t="shared" si="54"/>
        <v>352.90755411242844</v>
      </c>
      <c r="K746" s="123">
        <f t="shared" si="55"/>
        <v>353.26438682639446</v>
      </c>
      <c r="L746" s="176">
        <f t="shared" si="58"/>
        <v>354.33488496829261</v>
      </c>
      <c r="M746" s="227"/>
      <c r="N746" s="275"/>
    </row>
    <row r="747" spans="1:14" ht="21.75" customHeight="1">
      <c r="A747" t="s">
        <v>1091</v>
      </c>
      <c r="C747" s="126"/>
      <c r="D747" s="126"/>
      <c r="E747" s="126"/>
      <c r="G747" s="321">
        <v>0.7873</v>
      </c>
      <c r="H747" s="123">
        <f t="shared" si="52"/>
        <v>0</v>
      </c>
      <c r="I747" s="123">
        <f t="shared" si="53"/>
        <v>0</v>
      </c>
      <c r="J747" s="123">
        <f t="shared" si="54"/>
        <v>0</v>
      </c>
      <c r="K747" s="123">
        <f t="shared" si="55"/>
        <v>0</v>
      </c>
      <c r="L747" s="176">
        <f t="shared" si="58"/>
        <v>0</v>
      </c>
      <c r="M747" s="227"/>
      <c r="N747" s="275"/>
    </row>
    <row r="748" spans="1:14" ht="21.75" customHeight="1">
      <c r="A748" t="s">
        <v>1093</v>
      </c>
      <c r="C748" s="126"/>
      <c r="D748" s="126"/>
      <c r="E748" s="126"/>
      <c r="G748" s="321">
        <v>0.7873</v>
      </c>
      <c r="H748" s="123">
        <f t="shared" si="52"/>
        <v>0</v>
      </c>
      <c r="I748" s="123">
        <f t="shared" si="53"/>
        <v>0</v>
      </c>
      <c r="J748" s="123">
        <f t="shared" si="54"/>
        <v>0</v>
      </c>
      <c r="K748" s="123">
        <f t="shared" si="55"/>
        <v>0</v>
      </c>
      <c r="L748" s="176">
        <f t="shared" si="58"/>
        <v>0</v>
      </c>
      <c r="M748" s="227"/>
      <c r="N748" s="275"/>
    </row>
    <row r="749" spans="1:14" ht="21.75" customHeight="1">
      <c r="A749" t="s">
        <v>1095</v>
      </c>
      <c r="C749" s="126"/>
      <c r="D749" s="126"/>
      <c r="E749" s="126"/>
      <c r="G749" s="321">
        <v>0.7873</v>
      </c>
      <c r="H749" s="123">
        <f t="shared" si="52"/>
        <v>0</v>
      </c>
      <c r="I749" s="123">
        <f t="shared" si="53"/>
        <v>0</v>
      </c>
      <c r="J749" s="123">
        <f t="shared" si="54"/>
        <v>0</v>
      </c>
      <c r="K749" s="123">
        <f t="shared" si="55"/>
        <v>0</v>
      </c>
      <c r="L749" s="176">
        <f t="shared" si="58"/>
        <v>0</v>
      </c>
      <c r="M749" s="227"/>
      <c r="N749" s="275"/>
    </row>
    <row r="750" spans="1:14" ht="21.75" customHeight="1">
      <c r="A750" t="s">
        <v>1096</v>
      </c>
      <c r="C750" s="126"/>
      <c r="D750" s="126"/>
      <c r="E750" s="126"/>
      <c r="G750" s="321">
        <v>0.7873</v>
      </c>
      <c r="H750" s="123">
        <f t="shared" si="52"/>
        <v>0</v>
      </c>
      <c r="I750" s="123">
        <f t="shared" si="53"/>
        <v>0</v>
      </c>
      <c r="J750" s="123">
        <f t="shared" si="54"/>
        <v>0</v>
      </c>
      <c r="K750" s="123">
        <f t="shared" si="55"/>
        <v>0</v>
      </c>
      <c r="L750" s="176">
        <f t="shared" si="58"/>
        <v>0</v>
      </c>
      <c r="M750" s="227"/>
      <c r="N750" s="275"/>
    </row>
    <row r="751" spans="1:14" ht="21.75" customHeight="1">
      <c r="A751" t="s">
        <v>1097</v>
      </c>
      <c r="B751" s="245">
        <v>41351</v>
      </c>
      <c r="C751" s="126">
        <v>168.3</v>
      </c>
      <c r="D751" s="126">
        <v>167.8</v>
      </c>
      <c r="E751" s="126">
        <v>168.7</v>
      </c>
      <c r="F751">
        <v>167.8</v>
      </c>
      <c r="G751" s="321">
        <v>0.7873</v>
      </c>
      <c r="H751" s="123">
        <f t="shared" si="52"/>
        <v>600.54945760487055</v>
      </c>
      <c r="I751" s="123">
        <f t="shared" si="53"/>
        <v>598.76529403504026</v>
      </c>
      <c r="J751" s="123">
        <f t="shared" si="54"/>
        <v>601.97678846073472</v>
      </c>
      <c r="K751" s="123">
        <f t="shared" si="55"/>
        <v>598.76529403504026</v>
      </c>
      <c r="L751" s="176">
        <f t="shared" si="58"/>
        <v>600.01420853392142</v>
      </c>
      <c r="M751" s="227"/>
      <c r="N751" s="275"/>
    </row>
    <row r="752" spans="1:14" ht="21.75" customHeight="1">
      <c r="A752" t="s">
        <v>1099</v>
      </c>
      <c r="B752" s="245">
        <v>41351</v>
      </c>
      <c r="C752" s="126">
        <v>166.9</v>
      </c>
      <c r="D752" s="126">
        <v>167.5</v>
      </c>
      <c r="E752" s="126">
        <v>167.5</v>
      </c>
      <c r="F752">
        <v>167.1</v>
      </c>
      <c r="G752" s="321">
        <v>0.7873</v>
      </c>
      <c r="H752" s="123">
        <f t="shared" si="52"/>
        <v>595.55379960934579</v>
      </c>
      <c r="I752" s="123">
        <f t="shared" si="53"/>
        <v>597.6947958931421</v>
      </c>
      <c r="J752" s="123">
        <f t="shared" si="54"/>
        <v>597.6947958931421</v>
      </c>
      <c r="K752" s="123">
        <f t="shared" si="55"/>
        <v>596.26746503727793</v>
      </c>
      <c r="L752" s="176">
        <f t="shared" si="58"/>
        <v>596.80271410822695</v>
      </c>
      <c r="M752" s="227"/>
      <c r="N752" s="275"/>
    </row>
    <row r="753" spans="1:14" ht="21.75" customHeight="1">
      <c r="A753" t="s">
        <v>1100</v>
      </c>
      <c r="B753" s="245">
        <v>41351</v>
      </c>
      <c r="C753" s="126">
        <v>144.4</v>
      </c>
      <c r="D753" s="126">
        <v>145.4</v>
      </c>
      <c r="E753" s="126">
        <v>146.69999999999999</v>
      </c>
      <c r="F753">
        <v>144.4</v>
      </c>
      <c r="G753" s="321">
        <v>0.7873</v>
      </c>
      <c r="H753" s="123">
        <f t="shared" si="52"/>
        <v>515.26643896698351</v>
      </c>
      <c r="I753" s="123">
        <f t="shared" si="53"/>
        <v>518.834766106644</v>
      </c>
      <c r="J753" s="123">
        <f t="shared" si="54"/>
        <v>523.47359138820264</v>
      </c>
      <c r="K753" s="123">
        <f t="shared" si="55"/>
        <v>515.26643896698351</v>
      </c>
      <c r="L753" s="176">
        <f t="shared" si="58"/>
        <v>518.21030885720347</v>
      </c>
      <c r="M753" s="227"/>
      <c r="N753" s="275"/>
    </row>
    <row r="754" spans="1:14" ht="21.75" customHeight="1">
      <c r="A754" t="s">
        <v>1102</v>
      </c>
      <c r="B754" s="245">
        <v>41351</v>
      </c>
      <c r="C754" s="126">
        <v>170.3</v>
      </c>
      <c r="D754" s="126">
        <v>169.9</v>
      </c>
      <c r="E754" s="126">
        <v>170.2</v>
      </c>
      <c r="F754">
        <v>171.3</v>
      </c>
      <c r="G754" s="321">
        <v>0.7873</v>
      </c>
      <c r="H754" s="123">
        <f t="shared" si="52"/>
        <v>607.68611188419175</v>
      </c>
      <c r="I754" s="123">
        <f t="shared" si="53"/>
        <v>606.25878102832746</v>
      </c>
      <c r="J754" s="123">
        <f t="shared" si="54"/>
        <v>607.32927917022562</v>
      </c>
      <c r="K754" s="123">
        <f t="shared" si="55"/>
        <v>611.25443902385223</v>
      </c>
      <c r="L754" s="176">
        <f t="shared" si="58"/>
        <v>608.13215277664926</v>
      </c>
      <c r="M754" s="227"/>
      <c r="N754" s="275"/>
    </row>
    <row r="755" spans="1:14" ht="21.75" customHeight="1">
      <c r="A755" t="s">
        <v>1103</v>
      </c>
      <c r="B755" s="245">
        <v>41351</v>
      </c>
      <c r="C755" s="126">
        <v>168.6</v>
      </c>
      <c r="D755" s="126">
        <v>168.6</v>
      </c>
      <c r="E755" s="126">
        <v>168</v>
      </c>
      <c r="F755">
        <v>169.4</v>
      </c>
      <c r="G755" s="321">
        <v>0.7873</v>
      </c>
      <c r="H755" s="123">
        <f t="shared" si="52"/>
        <v>601.61995574676871</v>
      </c>
      <c r="I755" s="123">
        <f t="shared" si="53"/>
        <v>601.61995574676871</v>
      </c>
      <c r="J755" s="123">
        <f t="shared" si="54"/>
        <v>599.4789594629724</v>
      </c>
      <c r="K755" s="123">
        <f t="shared" si="55"/>
        <v>604.47461745849716</v>
      </c>
      <c r="L755" s="176">
        <f t="shared" si="58"/>
        <v>601.79837210375172</v>
      </c>
      <c r="M755" s="227"/>
      <c r="N755" s="275"/>
    </row>
    <row r="756" spans="1:14" ht="21.75" customHeight="1">
      <c r="A756" t="s">
        <v>1104</v>
      </c>
      <c r="B756" s="245">
        <v>41351</v>
      </c>
      <c r="C756" s="126">
        <v>144.69999999999999</v>
      </c>
      <c r="D756" s="126">
        <v>144.69999999999999</v>
      </c>
      <c r="E756" s="126">
        <v>145.19999999999999</v>
      </c>
      <c r="F756">
        <v>145</v>
      </c>
      <c r="G756" s="321">
        <v>0.7873</v>
      </c>
      <c r="H756" s="123">
        <f t="shared" ref="H756:H787" si="59">(C756*(PI()/LN(2)))*$G756</f>
        <v>516.33693710888156</v>
      </c>
      <c r="I756" s="123">
        <f t="shared" si="53"/>
        <v>516.33693710888156</v>
      </c>
      <c r="J756" s="123">
        <f t="shared" si="54"/>
        <v>518.12110067871185</v>
      </c>
      <c r="K756" s="123">
        <f t="shared" si="55"/>
        <v>517.40743525077971</v>
      </c>
      <c r="L756" s="176">
        <f t="shared" si="58"/>
        <v>517.0506025368137</v>
      </c>
      <c r="M756" s="227"/>
      <c r="N756" s="275"/>
    </row>
    <row r="757" spans="1:14" ht="21.75" customHeight="1">
      <c r="A757" t="s">
        <v>1106</v>
      </c>
      <c r="B757" s="245">
        <v>41361</v>
      </c>
      <c r="C757">
        <v>168.8</v>
      </c>
      <c r="D757">
        <v>170</v>
      </c>
      <c r="E757">
        <v>169.4</v>
      </c>
      <c r="F757">
        <v>169.8</v>
      </c>
      <c r="G757" s="321">
        <v>0.7873</v>
      </c>
      <c r="H757" s="123">
        <f t="shared" si="59"/>
        <v>602.33362117470085</v>
      </c>
      <c r="I757" s="123">
        <f t="shared" si="53"/>
        <v>606.61561374229348</v>
      </c>
      <c r="J757" s="123">
        <f t="shared" si="54"/>
        <v>604.47461745849716</v>
      </c>
      <c r="K757" s="123">
        <f t="shared" si="55"/>
        <v>605.90194831436145</v>
      </c>
      <c r="L757" s="176">
        <f t="shared" si="58"/>
        <v>604.83145017246329</v>
      </c>
      <c r="M757" s="227"/>
      <c r="N757" s="275"/>
    </row>
    <row r="758" spans="1:14" ht="21.75" customHeight="1">
      <c r="A758" t="s">
        <v>1107</v>
      </c>
      <c r="B758" s="245">
        <v>41361</v>
      </c>
      <c r="C758">
        <v>167.9</v>
      </c>
      <c r="D758">
        <v>168</v>
      </c>
      <c r="E758">
        <v>168</v>
      </c>
      <c r="F758">
        <v>169</v>
      </c>
      <c r="G758" s="321">
        <v>0.7873</v>
      </c>
      <c r="H758" s="123">
        <f t="shared" si="59"/>
        <v>599.12212674900638</v>
      </c>
      <c r="I758" s="123">
        <f t="shared" si="53"/>
        <v>599.4789594629724</v>
      </c>
      <c r="J758" s="123">
        <f t="shared" si="54"/>
        <v>599.4789594629724</v>
      </c>
      <c r="K758" s="123">
        <f t="shared" si="55"/>
        <v>603.04728660263299</v>
      </c>
      <c r="L758" s="176">
        <f t="shared" si="58"/>
        <v>600.28183306939604</v>
      </c>
      <c r="M758" s="227"/>
      <c r="N758" s="275"/>
    </row>
    <row r="759" spans="1:14" ht="21.75" customHeight="1">
      <c r="A759" t="s">
        <v>1108</v>
      </c>
      <c r="B759" s="245">
        <v>41361</v>
      </c>
      <c r="C759" s="126">
        <v>143.5</v>
      </c>
      <c r="D759" s="126">
        <v>143.80000000000001</v>
      </c>
      <c r="E759" s="126">
        <v>145.30000000000001</v>
      </c>
      <c r="F759">
        <v>145.30000000000001</v>
      </c>
      <c r="G759" s="321">
        <v>0.7873</v>
      </c>
      <c r="H759" s="123">
        <f t="shared" si="59"/>
        <v>512.05494454128893</v>
      </c>
      <c r="I759" s="123">
        <f t="shared" si="53"/>
        <v>513.12544268318709</v>
      </c>
      <c r="J759" s="123">
        <f t="shared" si="54"/>
        <v>518.47793339267798</v>
      </c>
      <c r="K759" s="123">
        <f t="shared" si="55"/>
        <v>518.47793339267798</v>
      </c>
      <c r="L759" s="176">
        <f t="shared" si="58"/>
        <v>515.53406350245803</v>
      </c>
      <c r="M759" s="227"/>
      <c r="N759" s="275"/>
    </row>
    <row r="760" spans="1:14" ht="21.75" customHeight="1">
      <c r="A760" t="s">
        <v>1109</v>
      </c>
      <c r="B760" s="245">
        <v>41361</v>
      </c>
      <c r="C760" s="126">
        <v>164.9</v>
      </c>
      <c r="D760" s="126">
        <v>166.7</v>
      </c>
      <c r="E760" s="126">
        <v>167.3</v>
      </c>
      <c r="F760">
        <v>165.3</v>
      </c>
      <c r="G760" s="321">
        <v>0.7873</v>
      </c>
      <c r="H760" s="123">
        <f t="shared" si="59"/>
        <v>588.41714533002471</v>
      </c>
      <c r="I760" s="123">
        <f t="shared" si="53"/>
        <v>594.84013418141365</v>
      </c>
      <c r="J760" s="123">
        <f t="shared" si="54"/>
        <v>596.98113046521007</v>
      </c>
      <c r="K760" s="123">
        <f t="shared" si="55"/>
        <v>589.84447618588899</v>
      </c>
      <c r="L760" s="176">
        <f t="shared" si="58"/>
        <v>592.52072154063433</v>
      </c>
      <c r="M760" s="227"/>
      <c r="N760" s="275"/>
    </row>
    <row r="761" spans="1:14" ht="21.75" customHeight="1">
      <c r="A761" t="s">
        <v>1110</v>
      </c>
      <c r="B761" s="245">
        <v>41361</v>
      </c>
      <c r="C761" s="126">
        <v>164</v>
      </c>
      <c r="D761" s="126">
        <v>164.1</v>
      </c>
      <c r="E761" s="126">
        <v>166.2</v>
      </c>
      <c r="F761">
        <v>165.6</v>
      </c>
      <c r="G761" s="321">
        <v>0.7873</v>
      </c>
      <c r="H761" s="123">
        <f t="shared" si="59"/>
        <v>585.20565090433013</v>
      </c>
      <c r="I761" s="123">
        <f t="shared" si="53"/>
        <v>585.56248361829626</v>
      </c>
      <c r="J761" s="123">
        <f t="shared" si="54"/>
        <v>593.05597061158335</v>
      </c>
      <c r="K761" s="123">
        <f t="shared" si="55"/>
        <v>590.91497432778704</v>
      </c>
      <c r="L761" s="176">
        <f t="shared" si="58"/>
        <v>588.68476986549922</v>
      </c>
      <c r="M761" s="227"/>
      <c r="N761" s="275"/>
    </row>
    <row r="762" spans="1:14" ht="21.75" customHeight="1">
      <c r="A762" t="s">
        <v>1111</v>
      </c>
      <c r="B762" s="245">
        <v>41361</v>
      </c>
      <c r="C762" s="126">
        <v>145.4</v>
      </c>
      <c r="D762" s="126">
        <v>147</v>
      </c>
      <c r="E762" s="126">
        <v>145.5</v>
      </c>
      <c r="F762">
        <v>145.30000000000001</v>
      </c>
      <c r="G762" s="321">
        <v>0.7873</v>
      </c>
      <c r="H762" s="123">
        <f t="shared" si="59"/>
        <v>518.834766106644</v>
      </c>
      <c r="I762" s="123">
        <f t="shared" si="53"/>
        <v>524.54408953010079</v>
      </c>
      <c r="J762" s="123">
        <f t="shared" si="54"/>
        <v>519.19159882061001</v>
      </c>
      <c r="K762" s="123">
        <f t="shared" si="55"/>
        <v>518.47793339267798</v>
      </c>
      <c r="L762" s="176">
        <f t="shared" si="58"/>
        <v>520.26209696250828</v>
      </c>
      <c r="M762" s="227"/>
      <c r="N762" s="275"/>
    </row>
    <row r="763" spans="1:14" ht="21.75" customHeight="1">
      <c r="A763" t="s">
        <v>1112</v>
      </c>
      <c r="C763" s="126">
        <v>68.959999999999994</v>
      </c>
      <c r="D763" s="126">
        <v>68.709999999999994</v>
      </c>
      <c r="E763" s="126">
        <v>68.459999999999994</v>
      </c>
      <c r="G763" s="321">
        <v>0.7873</v>
      </c>
      <c r="H763" s="123">
        <f t="shared" si="59"/>
        <v>246.07183955099148</v>
      </c>
      <c r="I763" s="123">
        <f t="shared" ref="I763:I794" si="60">(D763*(PI()/LN(2)))*$G763</f>
        <v>245.17975776607636</v>
      </c>
      <c r="J763" s="123">
        <f t="shared" ref="J763:J794" si="61">(E763*(PI()/LN(2)))*$G763</f>
        <v>244.28767598116121</v>
      </c>
      <c r="K763" s="123"/>
      <c r="L763" s="176">
        <f t="shared" ref="L763:L768" si="62">AVERAGE(H763:J763)</f>
        <v>245.17975776607636</v>
      </c>
      <c r="M763" s="227"/>
      <c r="N763" s="275"/>
    </row>
    <row r="764" spans="1:14" ht="21.75" customHeight="1">
      <c r="A764" t="s">
        <v>1113</v>
      </c>
      <c r="C764" s="126">
        <v>70.8</v>
      </c>
      <c r="D764" s="126">
        <v>70.55</v>
      </c>
      <c r="E764" s="126">
        <v>70.59</v>
      </c>
      <c r="G764" s="321">
        <v>0.7873</v>
      </c>
      <c r="H764" s="123">
        <f t="shared" si="59"/>
        <v>252.63756148796693</v>
      </c>
      <c r="I764" s="123">
        <f t="shared" si="60"/>
        <v>251.74547970305181</v>
      </c>
      <c r="J764" s="123">
        <f t="shared" si="61"/>
        <v>251.88821278863824</v>
      </c>
      <c r="K764" s="123"/>
      <c r="L764" s="176">
        <f t="shared" si="62"/>
        <v>252.09041799321901</v>
      </c>
      <c r="M764" s="227"/>
      <c r="N764" s="275"/>
    </row>
    <row r="765" spans="1:14" ht="21.75" customHeight="1">
      <c r="A765" t="s">
        <v>1114</v>
      </c>
      <c r="C765" s="126"/>
      <c r="D765" s="126"/>
      <c r="E765" s="126"/>
      <c r="G765" s="321">
        <v>0.7873</v>
      </c>
      <c r="H765" s="123">
        <f t="shared" si="59"/>
        <v>0</v>
      </c>
      <c r="I765" s="123">
        <f t="shared" si="60"/>
        <v>0</v>
      </c>
      <c r="J765" s="123">
        <f t="shared" si="61"/>
        <v>0</v>
      </c>
      <c r="K765" s="123"/>
      <c r="L765" s="176">
        <f t="shared" si="62"/>
        <v>0</v>
      </c>
      <c r="M765" s="227"/>
      <c r="N765" s="275"/>
    </row>
    <row r="766" spans="1:14" ht="21.75" customHeight="1">
      <c r="A766" t="s">
        <v>1115</v>
      </c>
      <c r="C766" s="126">
        <v>69.8</v>
      </c>
      <c r="D766" s="126">
        <v>70.5</v>
      </c>
      <c r="E766" s="126">
        <v>70.599999999999994</v>
      </c>
      <c r="G766" s="321">
        <v>0.7873</v>
      </c>
      <c r="H766" s="123">
        <f t="shared" si="59"/>
        <v>249.06923434830637</v>
      </c>
      <c r="I766" s="123">
        <f t="shared" si="60"/>
        <v>251.56706334606878</v>
      </c>
      <c r="J766" s="123">
        <f t="shared" si="61"/>
        <v>251.92389606003479</v>
      </c>
      <c r="K766" s="123"/>
      <c r="L766" s="176">
        <f t="shared" si="62"/>
        <v>250.85339791813666</v>
      </c>
      <c r="M766" s="227"/>
      <c r="N766" s="275"/>
    </row>
    <row r="767" spans="1:14" ht="21.75" customHeight="1">
      <c r="A767" t="s">
        <v>1116</v>
      </c>
      <c r="C767" s="126">
        <v>79.45</v>
      </c>
      <c r="D767" s="126">
        <v>80</v>
      </c>
      <c r="E767" s="126">
        <v>79.75</v>
      </c>
      <c r="G767" s="321">
        <v>0.7873</v>
      </c>
      <c r="H767" s="123">
        <f t="shared" si="59"/>
        <v>283.50359124603068</v>
      </c>
      <c r="I767" s="123">
        <f t="shared" si="60"/>
        <v>285.46617117284399</v>
      </c>
      <c r="J767" s="123">
        <f t="shared" si="61"/>
        <v>284.57408938792884</v>
      </c>
      <c r="K767" s="123"/>
      <c r="L767" s="176">
        <f t="shared" si="62"/>
        <v>284.5146172689345</v>
      </c>
      <c r="M767" s="227"/>
      <c r="N767" s="275"/>
    </row>
    <row r="768" spans="1:14" ht="21.75" customHeight="1">
      <c r="A768" t="s">
        <v>1117</v>
      </c>
      <c r="C768" s="126">
        <v>71.75</v>
      </c>
      <c r="D768" s="126">
        <v>72.09</v>
      </c>
      <c r="E768" s="126">
        <v>71.95</v>
      </c>
      <c r="G768" s="321">
        <v>0.7873</v>
      </c>
      <c r="H768" s="123">
        <f t="shared" si="59"/>
        <v>256.02747227064447</v>
      </c>
      <c r="I768" s="123">
        <f t="shared" si="60"/>
        <v>257.24070349812905</v>
      </c>
      <c r="J768" s="123">
        <f t="shared" si="61"/>
        <v>256.74113769857661</v>
      </c>
      <c r="K768" s="123"/>
      <c r="L768" s="176">
        <f t="shared" si="62"/>
        <v>256.66977115578339</v>
      </c>
      <c r="M768" s="227"/>
      <c r="N768" s="275"/>
    </row>
    <row r="769" spans="1:14" ht="21.75" customHeight="1">
      <c r="A769" t="s">
        <v>1118</v>
      </c>
      <c r="B769" s="245">
        <v>41358</v>
      </c>
      <c r="C769" s="126">
        <v>296.2</v>
      </c>
      <c r="D769" s="126">
        <v>297.60000000000002</v>
      </c>
      <c r="E769" s="126">
        <v>297.2</v>
      </c>
      <c r="F769">
        <v>297.3</v>
      </c>
      <c r="G769" s="321">
        <v>0.7873</v>
      </c>
      <c r="H769" s="123">
        <f t="shared" si="59"/>
        <v>1056.938498767455</v>
      </c>
      <c r="I769" s="123">
        <f t="shared" si="60"/>
        <v>1061.9341567629797</v>
      </c>
      <c r="J769" s="123">
        <f t="shared" si="61"/>
        <v>1060.5068259071154</v>
      </c>
      <c r="K769" s="123">
        <f t="shared" ref="K769:K799" si="63">(F769*(PI()/LN(2)))*$G769</f>
        <v>1060.8636586210816</v>
      </c>
      <c r="L769" s="176">
        <f t="shared" ref="L769:L832" si="64">AVERAGE(H769:K769)</f>
        <v>1060.060785014658</v>
      </c>
      <c r="M769" s="227"/>
      <c r="N769" s="275"/>
    </row>
    <row r="770" spans="1:14" ht="21.75" customHeight="1">
      <c r="A770" t="s">
        <v>1120</v>
      </c>
      <c r="B770" s="245">
        <v>41358</v>
      </c>
      <c r="C770" s="126">
        <v>130.69999999999999</v>
      </c>
      <c r="D770" s="126">
        <v>128.30000000000001</v>
      </c>
      <c r="E770" s="126">
        <v>132.4</v>
      </c>
      <c r="F770">
        <v>129.19999999999999</v>
      </c>
      <c r="G770" s="321">
        <v>0.7873</v>
      </c>
      <c r="H770" s="123">
        <f t="shared" si="59"/>
        <v>466.38035715363384</v>
      </c>
      <c r="I770" s="123">
        <f t="shared" si="60"/>
        <v>457.81637201844859</v>
      </c>
      <c r="J770" s="123">
        <f t="shared" si="61"/>
        <v>472.44651329105687</v>
      </c>
      <c r="K770" s="123">
        <f t="shared" si="63"/>
        <v>461.027866444143</v>
      </c>
      <c r="L770" s="176">
        <f t="shared" si="64"/>
        <v>464.41777722682059</v>
      </c>
      <c r="M770" s="227"/>
      <c r="N770" s="275"/>
    </row>
    <row r="771" spans="1:14" ht="21.75" customHeight="1">
      <c r="A771" t="s">
        <v>1121</v>
      </c>
      <c r="C771" s="126"/>
      <c r="D771" s="126"/>
      <c r="E771" s="126"/>
      <c r="G771" s="321">
        <v>0.7873</v>
      </c>
      <c r="H771" s="123">
        <f t="shared" si="59"/>
        <v>0</v>
      </c>
      <c r="I771" s="123">
        <f t="shared" si="60"/>
        <v>0</v>
      </c>
      <c r="J771" s="123">
        <f t="shared" si="61"/>
        <v>0</v>
      </c>
      <c r="K771" s="123">
        <f t="shared" si="63"/>
        <v>0</v>
      </c>
      <c r="L771" s="176">
        <f t="shared" si="64"/>
        <v>0</v>
      </c>
      <c r="M771" s="227"/>
      <c r="N771" s="275"/>
    </row>
    <row r="772" spans="1:14" ht="21.75" customHeight="1">
      <c r="A772" t="s">
        <v>1123</v>
      </c>
      <c r="C772" s="126"/>
      <c r="D772" s="126"/>
      <c r="E772" s="126"/>
      <c r="G772" s="321">
        <v>0.7873</v>
      </c>
      <c r="H772" s="123">
        <f t="shared" si="59"/>
        <v>0</v>
      </c>
      <c r="I772" s="123">
        <f t="shared" si="60"/>
        <v>0</v>
      </c>
      <c r="J772" s="123">
        <f t="shared" si="61"/>
        <v>0</v>
      </c>
      <c r="K772" s="123">
        <f t="shared" si="63"/>
        <v>0</v>
      </c>
      <c r="L772" s="176">
        <f t="shared" si="64"/>
        <v>0</v>
      </c>
      <c r="M772" s="227"/>
      <c r="N772" s="275"/>
    </row>
    <row r="773" spans="1:14" ht="21.75" customHeight="1">
      <c r="A773" t="s">
        <v>1124</v>
      </c>
      <c r="B773" s="245">
        <v>41359</v>
      </c>
      <c r="C773" s="126">
        <v>164.8</v>
      </c>
      <c r="D773" s="126">
        <v>164</v>
      </c>
      <c r="E773" s="126">
        <v>167.6</v>
      </c>
      <c r="F773">
        <v>165.9</v>
      </c>
      <c r="G773" s="321">
        <v>0.7873</v>
      </c>
      <c r="H773" s="123">
        <f t="shared" si="59"/>
        <v>588.0603126160587</v>
      </c>
      <c r="I773" s="123">
        <f t="shared" si="60"/>
        <v>585.20565090433013</v>
      </c>
      <c r="J773" s="123">
        <f t="shared" si="61"/>
        <v>598.05162860710823</v>
      </c>
      <c r="K773" s="123">
        <f t="shared" si="63"/>
        <v>591.98547246968519</v>
      </c>
      <c r="L773" s="176">
        <f t="shared" si="64"/>
        <v>590.82576614929553</v>
      </c>
      <c r="M773" s="227"/>
      <c r="N773" s="275"/>
    </row>
    <row r="774" spans="1:14" ht="21.75" customHeight="1">
      <c r="A774" t="s">
        <v>1126</v>
      </c>
      <c r="B774" s="245">
        <v>41359</v>
      </c>
      <c r="C774" s="126">
        <v>157.5</v>
      </c>
      <c r="D774" s="126">
        <v>157.4</v>
      </c>
      <c r="E774" s="126">
        <v>157.30000000000001</v>
      </c>
      <c r="F774">
        <v>161.9</v>
      </c>
      <c r="G774" s="321">
        <v>0.7873</v>
      </c>
      <c r="H774" s="123">
        <f t="shared" si="59"/>
        <v>562.01152449653659</v>
      </c>
      <c r="I774" s="123">
        <f t="shared" si="60"/>
        <v>561.65469178257058</v>
      </c>
      <c r="J774" s="123">
        <f t="shared" si="61"/>
        <v>561.29785906860457</v>
      </c>
      <c r="K774" s="123">
        <f t="shared" si="63"/>
        <v>577.71216391104304</v>
      </c>
      <c r="L774" s="176">
        <f t="shared" si="64"/>
        <v>565.66905981468869</v>
      </c>
      <c r="M774" s="227"/>
      <c r="N774" s="275"/>
    </row>
    <row r="775" spans="1:14" ht="21.75" customHeight="1">
      <c r="A775" t="s">
        <v>1127</v>
      </c>
      <c r="B775" s="245">
        <v>41359</v>
      </c>
      <c r="C775" s="126">
        <v>163.30000000000001</v>
      </c>
      <c r="D775" s="126">
        <v>162.5</v>
      </c>
      <c r="E775" s="126">
        <v>163.19999999999999</v>
      </c>
      <c r="F775">
        <v>163.19999999999999</v>
      </c>
      <c r="G775" s="321">
        <v>0.7873</v>
      </c>
      <c r="H775" s="123">
        <f t="shared" si="59"/>
        <v>582.7078219065678</v>
      </c>
      <c r="I775" s="123">
        <f t="shared" si="60"/>
        <v>579.85316019483935</v>
      </c>
      <c r="J775" s="123">
        <f t="shared" si="61"/>
        <v>582.35098919260167</v>
      </c>
      <c r="K775" s="123">
        <f t="shared" si="63"/>
        <v>582.35098919260167</v>
      </c>
      <c r="L775" s="176">
        <f t="shared" si="64"/>
        <v>581.81574012165265</v>
      </c>
      <c r="M775" s="227"/>
      <c r="N775" s="275"/>
    </row>
    <row r="776" spans="1:14" ht="21.75" customHeight="1">
      <c r="A776" t="s">
        <v>1129</v>
      </c>
      <c r="B776" s="245">
        <v>41359</v>
      </c>
      <c r="C776" s="126">
        <v>161.4</v>
      </c>
      <c r="D776" s="126">
        <v>160.80000000000001</v>
      </c>
      <c r="E776" s="126">
        <v>160.30000000000001</v>
      </c>
      <c r="F776">
        <v>160.4</v>
      </c>
      <c r="G776" s="321">
        <v>0.7873</v>
      </c>
      <c r="H776" s="123">
        <f t="shared" si="59"/>
        <v>575.92800034121274</v>
      </c>
      <c r="I776" s="123">
        <f t="shared" si="60"/>
        <v>573.78700405741642</v>
      </c>
      <c r="J776" s="123">
        <f t="shared" si="61"/>
        <v>572.00284048758613</v>
      </c>
      <c r="K776" s="123">
        <f t="shared" si="63"/>
        <v>572.35967320155225</v>
      </c>
      <c r="L776" s="176">
        <f t="shared" si="64"/>
        <v>573.51937952194191</v>
      </c>
      <c r="M776" s="227"/>
      <c r="N776" s="275"/>
    </row>
    <row r="777" spans="1:14" ht="21.75" customHeight="1">
      <c r="A777" t="s">
        <v>1130</v>
      </c>
      <c r="B777" s="245">
        <v>41359</v>
      </c>
      <c r="C777" s="126">
        <v>152.30000000000001</v>
      </c>
      <c r="D777" s="126">
        <v>148.1</v>
      </c>
      <c r="E777" s="126">
        <v>152.69999999999999</v>
      </c>
      <c r="F777">
        <v>148.4</v>
      </c>
      <c r="G777" s="321">
        <v>0.7873</v>
      </c>
      <c r="H777" s="123">
        <f t="shared" si="59"/>
        <v>543.45622337030181</v>
      </c>
      <c r="I777" s="123">
        <f t="shared" si="60"/>
        <v>528.46924938372752</v>
      </c>
      <c r="J777" s="123">
        <f t="shared" si="61"/>
        <v>544.88355422616598</v>
      </c>
      <c r="K777" s="123">
        <f t="shared" si="63"/>
        <v>529.53974752562567</v>
      </c>
      <c r="L777" s="176">
        <f t="shared" si="64"/>
        <v>536.58719362645525</v>
      </c>
      <c r="M777" s="227"/>
      <c r="N777" s="275"/>
    </row>
    <row r="778" spans="1:14" ht="21.75" customHeight="1">
      <c r="A778" t="s">
        <v>1131</v>
      </c>
      <c r="B778" s="245">
        <v>41359</v>
      </c>
      <c r="C778" s="126">
        <v>141.4</v>
      </c>
      <c r="D778" s="126">
        <v>137.69999999999999</v>
      </c>
      <c r="E778" s="126">
        <v>141.69999999999999</v>
      </c>
      <c r="F778">
        <v>140.9</v>
      </c>
      <c r="G778" s="321">
        <v>0.7873</v>
      </c>
      <c r="H778" s="123">
        <f t="shared" si="59"/>
        <v>504.56145754800178</v>
      </c>
      <c r="I778" s="123">
        <f t="shared" si="60"/>
        <v>491.35864713125767</v>
      </c>
      <c r="J778" s="123">
        <f t="shared" si="61"/>
        <v>505.63195568989983</v>
      </c>
      <c r="K778" s="123">
        <f t="shared" si="63"/>
        <v>502.77729397817149</v>
      </c>
      <c r="L778" s="176">
        <f t="shared" si="64"/>
        <v>501.08233858683269</v>
      </c>
      <c r="M778" s="227"/>
      <c r="N778" s="275"/>
    </row>
    <row r="779" spans="1:14" ht="21.75" customHeight="1">
      <c r="A779" t="s">
        <v>1132</v>
      </c>
      <c r="B779" s="245">
        <v>41360</v>
      </c>
      <c r="C779" s="126">
        <v>159.69999999999999</v>
      </c>
      <c r="D779" s="126">
        <v>157.19999999999999</v>
      </c>
      <c r="E779" s="126">
        <v>161.69999999999999</v>
      </c>
      <c r="F779">
        <v>156.4</v>
      </c>
      <c r="G779" s="321">
        <v>0.7873</v>
      </c>
      <c r="H779" s="123">
        <f t="shared" si="59"/>
        <v>569.86184420378981</v>
      </c>
      <c r="I779" s="123">
        <f t="shared" si="60"/>
        <v>560.94102635463844</v>
      </c>
      <c r="J779" s="123">
        <f t="shared" si="61"/>
        <v>576.99849848311089</v>
      </c>
      <c r="K779" s="123">
        <f t="shared" si="63"/>
        <v>558.0863646429101</v>
      </c>
      <c r="L779" s="176">
        <f t="shared" si="64"/>
        <v>566.47193342111234</v>
      </c>
      <c r="M779" s="227"/>
      <c r="N779" s="275"/>
    </row>
    <row r="780" spans="1:14" ht="21.75" customHeight="1">
      <c r="A780" t="s">
        <v>1133</v>
      </c>
      <c r="B780" s="245">
        <v>41360</v>
      </c>
      <c r="C780" s="126">
        <v>155.19999999999999</v>
      </c>
      <c r="D780" s="126">
        <v>156</v>
      </c>
      <c r="E780" s="126">
        <v>157.69999999999999</v>
      </c>
      <c r="F780">
        <v>157.1</v>
      </c>
      <c r="G780" s="321">
        <v>0.7873</v>
      </c>
      <c r="H780" s="123">
        <f t="shared" si="59"/>
        <v>553.80437207531725</v>
      </c>
      <c r="I780" s="123">
        <f t="shared" si="60"/>
        <v>556.65903378704581</v>
      </c>
      <c r="J780" s="123">
        <f t="shared" si="61"/>
        <v>562.72518992446874</v>
      </c>
      <c r="K780" s="123">
        <f t="shared" si="63"/>
        <v>560.58419364067231</v>
      </c>
      <c r="L780" s="176">
        <f t="shared" si="64"/>
        <v>558.443197356876</v>
      </c>
      <c r="M780" s="227"/>
      <c r="N780" s="275"/>
    </row>
    <row r="781" spans="1:14" ht="21.75" customHeight="1">
      <c r="A781" t="s">
        <v>1134</v>
      </c>
      <c r="B781" s="245">
        <v>41360</v>
      </c>
      <c r="C781" s="126">
        <v>151.1</v>
      </c>
      <c r="D781" s="126">
        <v>150.6</v>
      </c>
      <c r="E781" s="126">
        <v>152.69999999999999</v>
      </c>
      <c r="F781">
        <v>150.30000000000001</v>
      </c>
      <c r="G781" s="321">
        <v>0.7873</v>
      </c>
      <c r="H781" s="123">
        <f t="shared" si="59"/>
        <v>539.17423080270908</v>
      </c>
      <c r="I781" s="123">
        <f t="shared" si="60"/>
        <v>537.39006723287878</v>
      </c>
      <c r="J781" s="123">
        <f t="shared" si="61"/>
        <v>544.88355422616598</v>
      </c>
      <c r="K781" s="123">
        <f t="shared" si="63"/>
        <v>536.31956909098074</v>
      </c>
      <c r="L781" s="176">
        <f t="shared" si="64"/>
        <v>539.44185533818359</v>
      </c>
      <c r="M781" s="227"/>
      <c r="N781" s="275"/>
    </row>
    <row r="782" spans="1:14" ht="21.75" customHeight="1">
      <c r="A782" t="s">
        <v>1135</v>
      </c>
      <c r="B782" s="245">
        <v>41360</v>
      </c>
      <c r="C782" s="126">
        <v>156.6</v>
      </c>
      <c r="D782" s="126">
        <v>154.1</v>
      </c>
      <c r="E782" s="126">
        <v>154.6</v>
      </c>
      <c r="F782">
        <v>155.30000000000001</v>
      </c>
      <c r="G782" s="321">
        <v>0.7873</v>
      </c>
      <c r="H782" s="123">
        <f t="shared" si="59"/>
        <v>558.80003007084213</v>
      </c>
      <c r="I782" s="123">
        <f t="shared" si="60"/>
        <v>549.87921222169075</v>
      </c>
      <c r="J782" s="123">
        <f t="shared" si="61"/>
        <v>551.66337579152105</v>
      </c>
      <c r="K782" s="123">
        <f t="shared" si="63"/>
        <v>554.16120478928349</v>
      </c>
      <c r="L782" s="176">
        <f t="shared" si="64"/>
        <v>553.62595571833435</v>
      </c>
      <c r="M782" s="227"/>
      <c r="N782" s="275"/>
    </row>
    <row r="783" spans="1:14" ht="21.75" customHeight="1">
      <c r="A783" t="s">
        <v>1136</v>
      </c>
      <c r="B783" s="245">
        <v>41360</v>
      </c>
      <c r="C783" s="126">
        <v>134.69999999999999</v>
      </c>
      <c r="D783" s="126">
        <v>134.4</v>
      </c>
      <c r="E783" s="126">
        <v>136.6</v>
      </c>
      <c r="F783">
        <v>134.6</v>
      </c>
      <c r="G783" s="321">
        <v>0.7873</v>
      </c>
      <c r="H783" s="123">
        <f t="shared" si="59"/>
        <v>480.65366571227599</v>
      </c>
      <c r="I783" s="123">
        <f t="shared" si="60"/>
        <v>479.5831675703779</v>
      </c>
      <c r="J783" s="123">
        <f t="shared" si="61"/>
        <v>487.43348727763106</v>
      </c>
      <c r="K783" s="123">
        <f t="shared" si="63"/>
        <v>480.29683299831004</v>
      </c>
      <c r="L783" s="176">
        <f t="shared" si="64"/>
        <v>481.99178838964872</v>
      </c>
      <c r="M783" s="227"/>
      <c r="N783" s="275"/>
    </row>
    <row r="784" spans="1:14" ht="21.75" customHeight="1">
      <c r="A784" t="s">
        <v>1137</v>
      </c>
      <c r="B784" s="245">
        <v>41360</v>
      </c>
      <c r="C784" s="126">
        <v>134.1</v>
      </c>
      <c r="D784" s="126">
        <v>133.1</v>
      </c>
      <c r="E784" s="126">
        <v>133.69999999999999</v>
      </c>
      <c r="F784">
        <v>134.19999999999999</v>
      </c>
      <c r="G784" s="321">
        <v>0.7873</v>
      </c>
      <c r="H784" s="123">
        <f t="shared" si="59"/>
        <v>478.51266942847974</v>
      </c>
      <c r="I784" s="123">
        <f t="shared" si="60"/>
        <v>474.9443422888192</v>
      </c>
      <c r="J784" s="123">
        <f t="shared" si="61"/>
        <v>477.08533857261551</v>
      </c>
      <c r="K784" s="123">
        <f t="shared" si="63"/>
        <v>478.86950214244581</v>
      </c>
      <c r="L784" s="176">
        <f t="shared" si="64"/>
        <v>477.35296310809002</v>
      </c>
      <c r="M784" s="227"/>
      <c r="N784" s="275"/>
    </row>
    <row r="785" spans="1:14" ht="21.75" customHeight="1">
      <c r="A785" t="s">
        <v>1138</v>
      </c>
      <c r="B785" s="245">
        <v>41360</v>
      </c>
      <c r="C785" s="126">
        <v>92.3</v>
      </c>
      <c r="D785" s="126">
        <v>92.4</v>
      </c>
      <c r="E785" s="126">
        <v>92.1</v>
      </c>
      <c r="F785">
        <v>92.9</v>
      </c>
      <c r="G785" s="321">
        <v>0.7873</v>
      </c>
      <c r="H785" s="123">
        <f t="shared" si="59"/>
        <v>329.35659499066878</v>
      </c>
      <c r="I785" s="123">
        <f t="shared" si="60"/>
        <v>329.71342770463485</v>
      </c>
      <c r="J785" s="123">
        <f t="shared" si="61"/>
        <v>328.64292956273664</v>
      </c>
      <c r="K785" s="123">
        <f t="shared" si="63"/>
        <v>331.49759127446509</v>
      </c>
      <c r="L785" s="176">
        <f t="shared" si="64"/>
        <v>329.8026358831263</v>
      </c>
      <c r="M785" s="227"/>
      <c r="N785" s="275"/>
    </row>
    <row r="786" spans="1:14" ht="21.75" customHeight="1">
      <c r="A786" t="s">
        <v>1140</v>
      </c>
      <c r="B786" s="245">
        <v>41360</v>
      </c>
      <c r="C786" s="126">
        <v>91.1</v>
      </c>
      <c r="D786" s="126">
        <v>90</v>
      </c>
      <c r="E786" s="126">
        <v>90.1</v>
      </c>
      <c r="F786">
        <v>89.8</v>
      </c>
      <c r="G786" s="321">
        <v>0.7873</v>
      </c>
      <c r="H786" s="123">
        <f t="shared" si="59"/>
        <v>325.0746024230761</v>
      </c>
      <c r="I786" s="123">
        <f t="shared" si="60"/>
        <v>321.14944256944949</v>
      </c>
      <c r="J786" s="123">
        <f t="shared" si="61"/>
        <v>321.5062752834155</v>
      </c>
      <c r="K786" s="123">
        <f t="shared" si="63"/>
        <v>320.43577714151741</v>
      </c>
      <c r="L786" s="176">
        <f t="shared" si="64"/>
        <v>322.04152435436458</v>
      </c>
      <c r="M786" s="227"/>
      <c r="N786" s="275"/>
    </row>
    <row r="787" spans="1:14" ht="21.75" customHeight="1">
      <c r="A787" t="s">
        <v>1141</v>
      </c>
      <c r="B787" s="245">
        <v>41362</v>
      </c>
      <c r="C787" s="126">
        <v>102.3</v>
      </c>
      <c r="D787" s="126">
        <v>100.1</v>
      </c>
      <c r="E787" s="126">
        <v>101.1</v>
      </c>
      <c r="F787">
        <v>99.5</v>
      </c>
      <c r="G787" s="321">
        <v>0.7873</v>
      </c>
      <c r="H787" s="123">
        <f t="shared" si="59"/>
        <v>365.03986638727429</v>
      </c>
      <c r="I787" s="123">
        <f t="shared" si="60"/>
        <v>357.18954668002101</v>
      </c>
      <c r="J787" s="123">
        <f t="shared" si="61"/>
        <v>360.75787381968161</v>
      </c>
      <c r="K787" s="123">
        <f t="shared" si="63"/>
        <v>355.0485503962247</v>
      </c>
      <c r="L787" s="176">
        <f t="shared" si="64"/>
        <v>359.50895932080044</v>
      </c>
      <c r="M787" s="227"/>
      <c r="N787" s="275"/>
    </row>
    <row r="788" spans="1:14" ht="21.75" customHeight="1">
      <c r="A788" t="s">
        <v>1142</v>
      </c>
      <c r="B788" s="245">
        <v>41362</v>
      </c>
      <c r="C788" s="126">
        <v>101.1</v>
      </c>
      <c r="D788" s="126">
        <v>101.4</v>
      </c>
      <c r="E788" s="126">
        <v>102.3</v>
      </c>
      <c r="F788">
        <v>101.9</v>
      </c>
      <c r="G788" s="321">
        <v>0.7873</v>
      </c>
      <c r="H788" s="123">
        <f t="shared" ref="H788:H814" si="65">(C788*(PI()/LN(2)))*$G788</f>
        <v>360.75787381968161</v>
      </c>
      <c r="I788" s="123">
        <f t="shared" si="60"/>
        <v>361.82837196157982</v>
      </c>
      <c r="J788" s="123">
        <f t="shared" si="61"/>
        <v>365.03986638727429</v>
      </c>
      <c r="K788" s="123">
        <f t="shared" si="63"/>
        <v>363.61253553141006</v>
      </c>
      <c r="L788" s="176">
        <f t="shared" si="64"/>
        <v>362.80966192498641</v>
      </c>
      <c r="M788" s="227"/>
      <c r="N788" s="275"/>
    </row>
    <row r="789" spans="1:14" ht="21.75" customHeight="1">
      <c r="A789" t="s">
        <v>1143</v>
      </c>
      <c r="B789" s="245">
        <v>41362</v>
      </c>
      <c r="C789" s="126">
        <v>111.5</v>
      </c>
      <c r="D789" s="126">
        <v>111.3</v>
      </c>
      <c r="E789" s="126">
        <v>110.9</v>
      </c>
      <c r="F789">
        <v>111.4</v>
      </c>
      <c r="G789" s="321">
        <v>0.7873</v>
      </c>
      <c r="H789" s="123">
        <f t="shared" si="65"/>
        <v>397.86847607215134</v>
      </c>
      <c r="I789" s="123">
        <f t="shared" si="60"/>
        <v>397.1548106442192</v>
      </c>
      <c r="J789" s="123">
        <f t="shared" si="61"/>
        <v>395.72747978835503</v>
      </c>
      <c r="K789" s="123">
        <f t="shared" si="63"/>
        <v>397.51164335818532</v>
      </c>
      <c r="L789" s="176">
        <f t="shared" si="64"/>
        <v>397.06560246572769</v>
      </c>
      <c r="M789" s="227"/>
      <c r="N789" s="275"/>
    </row>
    <row r="790" spans="1:14" ht="21.75" customHeight="1">
      <c r="A790" t="s">
        <v>1145</v>
      </c>
      <c r="B790" s="245">
        <v>41362</v>
      </c>
      <c r="C790" s="126">
        <v>111.9</v>
      </c>
      <c r="D790" s="126">
        <v>112.2</v>
      </c>
      <c r="E790" s="126">
        <v>112.7</v>
      </c>
      <c r="F790">
        <v>112.8</v>
      </c>
      <c r="G790" s="321">
        <v>0.7873</v>
      </c>
      <c r="H790" s="123">
        <f t="shared" si="65"/>
        <v>399.29580692801557</v>
      </c>
      <c r="I790" s="123">
        <f t="shared" si="60"/>
        <v>400.36630506991372</v>
      </c>
      <c r="J790" s="123">
        <f t="shared" si="61"/>
        <v>402.15046863974396</v>
      </c>
      <c r="K790" s="123">
        <f t="shared" si="63"/>
        <v>402.50730135371003</v>
      </c>
      <c r="L790" s="176">
        <f t="shared" si="64"/>
        <v>401.07997049784586</v>
      </c>
      <c r="M790" s="227"/>
      <c r="N790" s="275"/>
    </row>
    <row r="791" spans="1:14" ht="21.75" customHeight="1">
      <c r="A791" t="s">
        <v>1146</v>
      </c>
      <c r="B791" s="245">
        <v>41364</v>
      </c>
      <c r="C791" s="126">
        <v>104.2</v>
      </c>
      <c r="D791" s="126">
        <v>103.4</v>
      </c>
      <c r="E791" s="126">
        <v>103.3</v>
      </c>
      <c r="F791">
        <v>103.1</v>
      </c>
      <c r="G791" s="321">
        <v>0.7873</v>
      </c>
      <c r="H791" s="123">
        <f t="shared" si="65"/>
        <v>371.81968795262935</v>
      </c>
      <c r="I791" s="123">
        <f t="shared" si="60"/>
        <v>368.9650262409009</v>
      </c>
      <c r="J791" s="123">
        <f t="shared" si="61"/>
        <v>368.60819352693477</v>
      </c>
      <c r="K791" s="123">
        <f t="shared" si="63"/>
        <v>367.89452809900268</v>
      </c>
      <c r="L791" s="176">
        <f t="shared" si="64"/>
        <v>369.32185895486691</v>
      </c>
      <c r="M791" s="227"/>
      <c r="N791" s="275"/>
    </row>
    <row r="792" spans="1:14" ht="21.75" customHeight="1">
      <c r="A792" t="s">
        <v>1148</v>
      </c>
      <c r="B792" s="245">
        <v>41364</v>
      </c>
      <c r="C792" s="126">
        <v>85.6</v>
      </c>
      <c r="D792" s="126">
        <v>86.4</v>
      </c>
      <c r="E792" s="126">
        <v>85.9</v>
      </c>
      <c r="F792">
        <v>85.8</v>
      </c>
      <c r="G792" s="321">
        <v>0.7873</v>
      </c>
      <c r="H792" s="123">
        <f t="shared" si="65"/>
        <v>305.44880315494305</v>
      </c>
      <c r="I792" s="123">
        <f t="shared" si="60"/>
        <v>308.3034648666715</v>
      </c>
      <c r="J792" s="123">
        <f t="shared" si="61"/>
        <v>306.51930129684126</v>
      </c>
      <c r="K792" s="123">
        <f t="shared" si="63"/>
        <v>306.16246858287519</v>
      </c>
      <c r="L792" s="176">
        <f t="shared" si="64"/>
        <v>306.60850947533277</v>
      </c>
      <c r="M792" s="227"/>
      <c r="N792" s="275"/>
    </row>
    <row r="793" spans="1:14" ht="21.75" customHeight="1">
      <c r="A793" t="s">
        <v>1150</v>
      </c>
      <c r="B793" s="245">
        <v>41364</v>
      </c>
      <c r="C793" s="126">
        <v>82.7</v>
      </c>
      <c r="D793" s="126">
        <v>83.8</v>
      </c>
      <c r="E793" s="126">
        <v>82.3</v>
      </c>
      <c r="F793">
        <v>82.1</v>
      </c>
      <c r="G793" s="321">
        <v>0.7873</v>
      </c>
      <c r="H793" s="123">
        <f t="shared" si="65"/>
        <v>295.10065444992745</v>
      </c>
      <c r="I793" s="123">
        <f t="shared" si="60"/>
        <v>299.02581430355411</v>
      </c>
      <c r="J793" s="123">
        <f t="shared" si="61"/>
        <v>293.67332359406328</v>
      </c>
      <c r="K793" s="123">
        <f t="shared" si="63"/>
        <v>292.95965816613113</v>
      </c>
      <c r="L793" s="176">
        <f t="shared" si="64"/>
        <v>295.18986262841895</v>
      </c>
      <c r="M793" s="227"/>
      <c r="N793" s="275"/>
    </row>
    <row r="794" spans="1:14" ht="21.75" customHeight="1">
      <c r="A794" t="s">
        <v>1152</v>
      </c>
      <c r="B794" s="245">
        <v>41365</v>
      </c>
      <c r="C794" s="126">
        <v>107.5</v>
      </c>
      <c r="D794" s="126">
        <v>108.6</v>
      </c>
      <c r="E794" s="126">
        <v>108.6</v>
      </c>
      <c r="F794">
        <v>108.6</v>
      </c>
      <c r="G794" s="321">
        <v>0.7873</v>
      </c>
      <c r="H794" s="123">
        <f t="shared" si="65"/>
        <v>383.59516751350913</v>
      </c>
      <c r="I794" s="123">
        <f t="shared" si="60"/>
        <v>387.52032736713574</v>
      </c>
      <c r="J794" s="123">
        <f t="shared" si="61"/>
        <v>387.52032736713574</v>
      </c>
      <c r="K794" s="123">
        <f t="shared" si="63"/>
        <v>387.52032736713574</v>
      </c>
      <c r="L794" s="176">
        <f t="shared" si="64"/>
        <v>386.53903740372908</v>
      </c>
      <c r="M794" s="227"/>
      <c r="N794" s="275"/>
    </row>
    <row r="795" spans="1:14" ht="21.75" customHeight="1">
      <c r="A795" t="s">
        <v>1154</v>
      </c>
      <c r="B795" s="245">
        <v>41365</v>
      </c>
      <c r="C795" s="126">
        <v>90.4</v>
      </c>
      <c r="D795" s="126">
        <v>89.4</v>
      </c>
      <c r="E795" s="126">
        <v>89.3</v>
      </c>
      <c r="F795">
        <v>89.3</v>
      </c>
      <c r="G795" s="321">
        <v>0.7873</v>
      </c>
      <c r="H795" s="123">
        <f t="shared" si="65"/>
        <v>322.57677342531372</v>
      </c>
      <c r="I795" s="123">
        <f t="shared" ref="I795:I814" si="66">(D795*(PI()/LN(2)))*$G795</f>
        <v>319.00844628565324</v>
      </c>
      <c r="J795" s="123">
        <f t="shared" ref="J795:J814" si="67">(E795*(PI()/LN(2)))*$G795</f>
        <v>318.65161357168711</v>
      </c>
      <c r="K795" s="123">
        <f t="shared" si="63"/>
        <v>318.65161357168711</v>
      </c>
      <c r="L795" s="176">
        <f t="shared" si="64"/>
        <v>319.72211171358526</v>
      </c>
      <c r="M795" s="227"/>
      <c r="N795" s="275"/>
    </row>
    <row r="796" spans="1:14" ht="21.75" customHeight="1">
      <c r="A796" t="s">
        <v>1156</v>
      </c>
      <c r="B796" s="245">
        <v>41365</v>
      </c>
      <c r="C796" s="126">
        <v>75.2</v>
      </c>
      <c r="D796" s="126">
        <v>75.400000000000006</v>
      </c>
      <c r="E796" s="126">
        <v>76</v>
      </c>
      <c r="F796">
        <v>77</v>
      </c>
      <c r="G796" s="321">
        <v>0.7873</v>
      </c>
      <c r="H796" s="123">
        <f t="shared" si="65"/>
        <v>268.33820090247337</v>
      </c>
      <c r="I796" s="123">
        <f t="shared" si="66"/>
        <v>269.05186633040552</v>
      </c>
      <c r="J796" s="123">
        <f t="shared" si="67"/>
        <v>271.19286261420177</v>
      </c>
      <c r="K796" s="123">
        <f t="shared" si="63"/>
        <v>274.76118975386237</v>
      </c>
      <c r="L796" s="176">
        <f t="shared" si="64"/>
        <v>270.83602990023576</v>
      </c>
      <c r="M796" s="227"/>
      <c r="N796" s="275"/>
    </row>
    <row r="797" spans="1:14" ht="21.75" customHeight="1">
      <c r="A797" t="s">
        <v>1063</v>
      </c>
      <c r="B797" s="245">
        <v>41365</v>
      </c>
      <c r="C797" s="126">
        <v>122.3</v>
      </c>
      <c r="D797" s="126">
        <v>121</v>
      </c>
      <c r="E797" s="126">
        <v>120.7</v>
      </c>
      <c r="F797">
        <v>122.4</v>
      </c>
      <c r="G797" s="321">
        <v>0.7873</v>
      </c>
      <c r="H797" s="123">
        <f t="shared" si="65"/>
        <v>436.4064091804853</v>
      </c>
      <c r="I797" s="123">
        <f t="shared" si="66"/>
        <v>431.76758389892655</v>
      </c>
      <c r="J797" s="123">
        <f t="shared" si="67"/>
        <v>430.69708575702839</v>
      </c>
      <c r="K797" s="123">
        <f t="shared" si="63"/>
        <v>436.76324189445131</v>
      </c>
      <c r="L797" s="176">
        <f t="shared" si="64"/>
        <v>433.90858018272286</v>
      </c>
      <c r="M797" s="227"/>
      <c r="N797" s="275"/>
    </row>
    <row r="798" spans="1:14" ht="21.75" customHeight="1">
      <c r="A798" t="s">
        <v>1158</v>
      </c>
      <c r="B798" s="245">
        <v>41365</v>
      </c>
      <c r="C798" s="126">
        <v>93.7</v>
      </c>
      <c r="D798" s="126">
        <v>90.9</v>
      </c>
      <c r="E798" s="126">
        <v>91.4</v>
      </c>
      <c r="F798">
        <v>91.1</v>
      </c>
      <c r="G798" s="321">
        <v>0.7873</v>
      </c>
      <c r="H798" s="123">
        <f t="shared" si="65"/>
        <v>334.35225298619355</v>
      </c>
      <c r="I798" s="123">
        <f t="shared" si="66"/>
        <v>324.36093699514402</v>
      </c>
      <c r="J798" s="123">
        <f t="shared" si="67"/>
        <v>326.14510056497431</v>
      </c>
      <c r="K798" s="123">
        <f t="shared" si="63"/>
        <v>325.0746024230761</v>
      </c>
      <c r="L798" s="176">
        <f t="shared" si="64"/>
        <v>327.48322324234698</v>
      </c>
      <c r="M798" s="227"/>
      <c r="N798" s="275"/>
    </row>
    <row r="799" spans="1:14" ht="21.75" customHeight="1">
      <c r="A799" t="s">
        <v>1160</v>
      </c>
      <c r="B799" s="245">
        <v>41365</v>
      </c>
      <c r="C799" s="126">
        <v>91.7</v>
      </c>
      <c r="D799" s="126">
        <v>91.3</v>
      </c>
      <c r="E799" s="126">
        <v>91.4</v>
      </c>
      <c r="F799">
        <v>90.7</v>
      </c>
      <c r="G799" s="321">
        <v>0.7873</v>
      </c>
      <c r="H799" s="123">
        <f t="shared" si="65"/>
        <v>327.21559870687247</v>
      </c>
      <c r="I799" s="123">
        <f t="shared" si="66"/>
        <v>325.78826785100819</v>
      </c>
      <c r="J799" s="123">
        <f t="shared" si="67"/>
        <v>326.14510056497431</v>
      </c>
      <c r="K799" s="123">
        <f t="shared" si="63"/>
        <v>323.64727156721187</v>
      </c>
      <c r="L799" s="176">
        <f t="shared" si="64"/>
        <v>325.69905967251668</v>
      </c>
      <c r="M799" s="227"/>
      <c r="N799" s="275"/>
    </row>
    <row r="800" spans="1:14" ht="21.75" customHeight="1">
      <c r="A800" t="s">
        <v>1162</v>
      </c>
      <c r="B800" s="245">
        <v>41367</v>
      </c>
      <c r="C800" s="126">
        <v>149.30000000000001</v>
      </c>
      <c r="D800" s="126">
        <v>149.35</v>
      </c>
      <c r="E800" s="126">
        <v>148.9</v>
      </c>
      <c r="G800" s="321">
        <v>0.7873</v>
      </c>
      <c r="H800" s="123">
        <f t="shared" si="65"/>
        <v>532.75124195132014</v>
      </c>
      <c r="I800" s="123">
        <f t="shared" si="66"/>
        <v>532.92965830830303</v>
      </c>
      <c r="J800" s="123">
        <f t="shared" si="67"/>
        <v>531.32391109545597</v>
      </c>
      <c r="K800" s="123"/>
      <c r="L800" s="176">
        <f t="shared" si="64"/>
        <v>532.33493711835979</v>
      </c>
      <c r="M800" s="227"/>
      <c r="N800" s="275"/>
    </row>
    <row r="801" spans="1:14" ht="21.75" customHeight="1">
      <c r="A801" t="s">
        <v>1164</v>
      </c>
      <c r="B801" s="245">
        <v>41367</v>
      </c>
      <c r="C801" s="126">
        <v>140.5</v>
      </c>
      <c r="D801" s="126">
        <v>140.4</v>
      </c>
      <c r="E801" s="126">
        <v>141</v>
      </c>
      <c r="G801" s="321">
        <v>0.7873</v>
      </c>
      <c r="H801" s="123">
        <f t="shared" si="65"/>
        <v>501.34996312230726</v>
      </c>
      <c r="I801" s="123">
        <f t="shared" si="66"/>
        <v>500.99313040834119</v>
      </c>
      <c r="J801" s="123">
        <f t="shared" si="67"/>
        <v>503.13412669213756</v>
      </c>
      <c r="K801" s="123"/>
      <c r="L801" s="176">
        <f t="shared" si="64"/>
        <v>501.825740074262</v>
      </c>
      <c r="M801" s="227"/>
      <c r="N801" s="275"/>
    </row>
    <row r="802" spans="1:14" ht="21.75" customHeight="1">
      <c r="A802" t="s">
        <v>1165</v>
      </c>
      <c r="B802" s="245">
        <v>41367</v>
      </c>
      <c r="C802">
        <v>151</v>
      </c>
      <c r="D802" s="126">
        <v>124.2</v>
      </c>
      <c r="E802" s="126">
        <v>151.69999999999999</v>
      </c>
      <c r="F802">
        <v>126.5</v>
      </c>
      <c r="G802" s="321">
        <v>0.7873</v>
      </c>
      <c r="H802" s="123">
        <f t="shared" si="65"/>
        <v>538.81739808874306</v>
      </c>
      <c r="I802" s="123">
        <f t="shared" si="66"/>
        <v>443.18623074584036</v>
      </c>
      <c r="J802" s="123">
        <f t="shared" si="67"/>
        <v>541.31522708650539</v>
      </c>
      <c r="K802" s="123">
        <f>(F802*(PI()/LN(2)))*$G802</f>
        <v>451.39338316705954</v>
      </c>
      <c r="L802" s="176">
        <f t="shared" si="64"/>
        <v>493.6780597720371</v>
      </c>
      <c r="M802" s="227"/>
      <c r="N802" s="275"/>
    </row>
    <row r="803" spans="1:14" ht="21.75" customHeight="1">
      <c r="A803" t="s">
        <v>1166</v>
      </c>
      <c r="B803" s="245">
        <v>41367</v>
      </c>
      <c r="C803">
        <v>131</v>
      </c>
      <c r="D803" s="126">
        <v>134.19999999999999</v>
      </c>
      <c r="E803" s="126">
        <v>133.5</v>
      </c>
      <c r="G803" s="321">
        <v>0.7873</v>
      </c>
      <c r="H803" s="123">
        <f t="shared" si="65"/>
        <v>467.45085529553211</v>
      </c>
      <c r="I803" s="123">
        <f t="shared" si="66"/>
        <v>478.86950214244581</v>
      </c>
      <c r="J803" s="123">
        <f t="shared" si="67"/>
        <v>476.37167314468343</v>
      </c>
      <c r="K803" s="123"/>
      <c r="L803" s="176">
        <f t="shared" si="64"/>
        <v>474.23067686088712</v>
      </c>
      <c r="M803" s="227"/>
      <c r="N803" s="275"/>
    </row>
    <row r="804" spans="1:14" ht="21.75" customHeight="1">
      <c r="A804" t="s">
        <v>1167</v>
      </c>
      <c r="B804" s="245">
        <v>41370</v>
      </c>
      <c r="C804" s="126">
        <v>117.3</v>
      </c>
      <c r="D804" s="126">
        <v>118.8</v>
      </c>
      <c r="E804" s="126">
        <v>118</v>
      </c>
      <c r="F804">
        <v>118.7</v>
      </c>
      <c r="G804" s="321">
        <v>0.7873</v>
      </c>
      <c r="H804" s="123">
        <f t="shared" si="65"/>
        <v>418.56477348218255</v>
      </c>
      <c r="I804" s="123">
        <f t="shared" si="66"/>
        <v>423.91726419167327</v>
      </c>
      <c r="J804" s="123">
        <f t="shared" si="67"/>
        <v>421.06260247994493</v>
      </c>
      <c r="K804" s="123">
        <f t="shared" ref="K804:K815" si="68">(F804*(PI()/LN(2)))*$G804</f>
        <v>423.56043147770731</v>
      </c>
      <c r="L804" s="176">
        <f t="shared" si="64"/>
        <v>421.77626790787701</v>
      </c>
      <c r="M804" s="227"/>
      <c r="N804" s="275"/>
    </row>
    <row r="805" spans="1:14" ht="21.75" customHeight="1">
      <c r="A805" t="s">
        <v>1169</v>
      </c>
      <c r="B805" s="245">
        <v>41370</v>
      </c>
      <c r="C805" s="126">
        <v>123.7</v>
      </c>
      <c r="D805" s="126">
        <v>123.8</v>
      </c>
      <c r="E805" s="126">
        <v>121.8</v>
      </c>
      <c r="F805">
        <v>123</v>
      </c>
      <c r="G805" s="321">
        <v>0.7873</v>
      </c>
      <c r="H805" s="123">
        <f t="shared" si="65"/>
        <v>441.40206717601006</v>
      </c>
      <c r="I805" s="123">
        <f t="shared" si="66"/>
        <v>441.75889988997614</v>
      </c>
      <c r="J805" s="123">
        <f t="shared" si="67"/>
        <v>434.622245610655</v>
      </c>
      <c r="K805" s="123">
        <f t="shared" si="68"/>
        <v>438.90423817824768</v>
      </c>
      <c r="L805" s="176">
        <f t="shared" si="64"/>
        <v>439.17186271372219</v>
      </c>
      <c r="M805" s="227"/>
      <c r="N805" s="275"/>
    </row>
    <row r="806" spans="1:14" ht="21.75" customHeight="1">
      <c r="A806" t="s">
        <v>1170</v>
      </c>
      <c r="B806" s="245">
        <v>41370</v>
      </c>
      <c r="C806" s="126">
        <v>164.6</v>
      </c>
      <c r="D806" s="126">
        <v>165.4</v>
      </c>
      <c r="E806" s="126">
        <v>164.5</v>
      </c>
      <c r="F806">
        <v>164.1</v>
      </c>
      <c r="G806" s="321">
        <v>0.7873</v>
      </c>
      <c r="H806" s="123">
        <f t="shared" si="65"/>
        <v>587.34664718812655</v>
      </c>
      <c r="I806" s="123">
        <f t="shared" si="66"/>
        <v>590.20130889985489</v>
      </c>
      <c r="J806" s="123">
        <f t="shared" si="67"/>
        <v>586.98981447416043</v>
      </c>
      <c r="K806" s="123">
        <f t="shared" si="68"/>
        <v>585.56248361829626</v>
      </c>
      <c r="L806" s="176">
        <f t="shared" si="64"/>
        <v>587.52506354510956</v>
      </c>
      <c r="M806" s="227"/>
      <c r="N806" s="275"/>
    </row>
    <row r="807" spans="1:14" ht="21.75" customHeight="1">
      <c r="A807" t="s">
        <v>1171</v>
      </c>
      <c r="B807" s="245">
        <v>41370</v>
      </c>
      <c r="C807" s="126">
        <v>160</v>
      </c>
      <c r="D807" s="126">
        <v>161.30000000000001</v>
      </c>
      <c r="E807" s="126">
        <v>161.5</v>
      </c>
      <c r="F807">
        <v>161.9</v>
      </c>
      <c r="G807" s="321">
        <v>0.7873</v>
      </c>
      <c r="H807" s="123">
        <f t="shared" si="65"/>
        <v>570.93234234568797</v>
      </c>
      <c r="I807" s="123">
        <f t="shared" si="66"/>
        <v>575.57116762724672</v>
      </c>
      <c r="J807" s="123">
        <f t="shared" si="67"/>
        <v>576.28483305517886</v>
      </c>
      <c r="K807" s="123">
        <f t="shared" si="68"/>
        <v>577.71216391104304</v>
      </c>
      <c r="L807" s="176">
        <f t="shared" si="64"/>
        <v>575.12512673478909</v>
      </c>
      <c r="M807" s="227"/>
      <c r="N807" s="275"/>
    </row>
    <row r="808" spans="1:14" ht="21.75" customHeight="1">
      <c r="A808" t="s">
        <v>1172</v>
      </c>
      <c r="B808" s="245">
        <v>41371</v>
      </c>
      <c r="C808" s="126">
        <v>121.1</v>
      </c>
      <c r="D808" s="126">
        <v>121</v>
      </c>
      <c r="E808" s="126">
        <v>122.3</v>
      </c>
      <c r="F808">
        <v>121.1</v>
      </c>
      <c r="G808" s="321">
        <v>0.7873</v>
      </c>
      <c r="H808" s="123">
        <f t="shared" si="65"/>
        <v>432.12441661289262</v>
      </c>
      <c r="I808" s="123">
        <f t="shared" si="66"/>
        <v>431.76758389892655</v>
      </c>
      <c r="J808" s="123">
        <f t="shared" si="67"/>
        <v>436.4064091804853</v>
      </c>
      <c r="K808" s="123">
        <f t="shared" si="68"/>
        <v>432.12441661289262</v>
      </c>
      <c r="L808" s="176">
        <f t="shared" si="64"/>
        <v>433.10570657629927</v>
      </c>
      <c r="M808" s="227"/>
      <c r="N808" s="275"/>
    </row>
    <row r="809" spans="1:14" ht="21.75" customHeight="1">
      <c r="A809" t="s">
        <v>1174</v>
      </c>
      <c r="B809" s="245">
        <v>41371</v>
      </c>
      <c r="C809" s="126">
        <v>120.8</v>
      </c>
      <c r="D809" s="126">
        <v>121.6</v>
      </c>
      <c r="E809" s="126">
        <v>121</v>
      </c>
      <c r="F809">
        <v>121.6</v>
      </c>
      <c r="G809" s="321">
        <v>0.7873</v>
      </c>
      <c r="H809" s="123">
        <f t="shared" si="65"/>
        <v>431.0539184709944</v>
      </c>
      <c r="I809" s="123">
        <f t="shared" si="66"/>
        <v>433.90858018272286</v>
      </c>
      <c r="J809" s="123">
        <f t="shared" si="67"/>
        <v>431.76758389892655</v>
      </c>
      <c r="K809" s="123">
        <f t="shared" si="68"/>
        <v>433.90858018272286</v>
      </c>
      <c r="L809" s="176">
        <f t="shared" si="64"/>
        <v>432.65966568384169</v>
      </c>
      <c r="M809" s="227"/>
      <c r="N809" s="275"/>
    </row>
    <row r="810" spans="1:14" ht="21.75" customHeight="1">
      <c r="A810" t="s">
        <v>1175</v>
      </c>
      <c r="B810" s="245">
        <v>41371</v>
      </c>
      <c r="C810" s="126">
        <v>193.4</v>
      </c>
      <c r="D810" s="126">
        <v>196.2</v>
      </c>
      <c r="E810" s="126">
        <v>194.4</v>
      </c>
      <c r="F810">
        <v>195.8</v>
      </c>
      <c r="G810" s="321">
        <v>0.7873</v>
      </c>
      <c r="H810" s="123">
        <f t="shared" si="65"/>
        <v>690.11446881035033</v>
      </c>
      <c r="I810" s="123">
        <f t="shared" si="66"/>
        <v>700.10578480139986</v>
      </c>
      <c r="J810" s="123">
        <f t="shared" si="67"/>
        <v>693.68279595001093</v>
      </c>
      <c r="K810" s="123">
        <f t="shared" si="68"/>
        <v>698.67845394553569</v>
      </c>
      <c r="L810" s="176">
        <f t="shared" si="64"/>
        <v>695.64537587682423</v>
      </c>
      <c r="M810" s="227"/>
      <c r="N810" s="275"/>
    </row>
    <row r="811" spans="1:14" ht="21.75" customHeight="1">
      <c r="A811" t="s">
        <v>1176</v>
      </c>
      <c r="B811" s="245">
        <v>41371</v>
      </c>
      <c r="C811" s="126">
        <v>188.5</v>
      </c>
      <c r="D811" s="126">
        <v>189.1</v>
      </c>
      <c r="E811" s="126">
        <v>189.1</v>
      </c>
      <c r="F811">
        <v>190</v>
      </c>
      <c r="G811" s="321">
        <v>0.7873</v>
      </c>
      <c r="H811" s="123">
        <f t="shared" si="65"/>
        <v>672.62966582601371</v>
      </c>
      <c r="I811" s="123">
        <f t="shared" si="66"/>
        <v>674.7706621098099</v>
      </c>
      <c r="J811" s="123">
        <f t="shared" si="67"/>
        <v>674.7706621098099</v>
      </c>
      <c r="K811" s="123">
        <f t="shared" si="68"/>
        <v>677.98215653550449</v>
      </c>
      <c r="L811" s="176">
        <f t="shared" si="64"/>
        <v>675.03828664528453</v>
      </c>
      <c r="M811" s="227"/>
      <c r="N811" s="275"/>
    </row>
    <row r="812" spans="1:14" ht="21.75" customHeight="1">
      <c r="A812" t="s">
        <v>1177</v>
      </c>
      <c r="B812" s="245">
        <v>41374</v>
      </c>
      <c r="C812" s="126">
        <v>175.6</v>
      </c>
      <c r="D812" s="126">
        <v>175.8</v>
      </c>
      <c r="E812" s="126">
        <v>175.8</v>
      </c>
      <c r="F812">
        <v>176.8</v>
      </c>
      <c r="G812" s="321">
        <v>0.7873</v>
      </c>
      <c r="H812" s="123">
        <f t="shared" si="65"/>
        <v>626.59824572439254</v>
      </c>
      <c r="I812" s="123">
        <f t="shared" si="66"/>
        <v>627.31191115232468</v>
      </c>
      <c r="J812" s="123">
        <f t="shared" si="67"/>
        <v>627.31191115232468</v>
      </c>
      <c r="K812" s="123">
        <f t="shared" si="68"/>
        <v>630.88023829198528</v>
      </c>
      <c r="L812" s="176">
        <f t="shared" si="64"/>
        <v>628.02557658025682</v>
      </c>
      <c r="M812" s="227"/>
      <c r="N812" s="275"/>
    </row>
    <row r="813" spans="1:14" ht="21.75" customHeight="1">
      <c r="A813" t="s">
        <v>1179</v>
      </c>
      <c r="B813" s="245">
        <v>41374</v>
      </c>
      <c r="C813" s="126">
        <v>178.3</v>
      </c>
      <c r="D813" s="126">
        <v>178.6</v>
      </c>
      <c r="E813" s="126">
        <v>178.9</v>
      </c>
      <c r="F813">
        <v>178.4</v>
      </c>
      <c r="G813" s="321">
        <v>0.7873</v>
      </c>
      <c r="H813" s="123">
        <f t="shared" si="65"/>
        <v>636.23272900147617</v>
      </c>
      <c r="I813" s="123">
        <f t="shared" si="66"/>
        <v>637.30322714337422</v>
      </c>
      <c r="J813" s="123">
        <f t="shared" si="67"/>
        <v>638.37372528527237</v>
      </c>
      <c r="K813" s="123">
        <f t="shared" si="68"/>
        <v>636.58956171544207</v>
      </c>
      <c r="L813" s="176">
        <f t="shared" si="64"/>
        <v>637.12481078639121</v>
      </c>
      <c r="M813" s="227"/>
      <c r="N813" s="275"/>
    </row>
    <row r="814" spans="1:14" ht="21.75" customHeight="1">
      <c r="A814" t="s">
        <v>1180</v>
      </c>
      <c r="B814" s="245">
        <v>41374</v>
      </c>
      <c r="C814" s="126">
        <v>148.5</v>
      </c>
      <c r="D814" s="126">
        <v>148.30000000000001</v>
      </c>
      <c r="E814" s="126">
        <v>148.6</v>
      </c>
      <c r="F814">
        <v>148.69999999999999</v>
      </c>
      <c r="G814" s="321">
        <v>0.7873</v>
      </c>
      <c r="H814" s="123">
        <f t="shared" si="65"/>
        <v>529.89658023959169</v>
      </c>
      <c r="I814" s="123">
        <f t="shared" si="66"/>
        <v>529.18291481165954</v>
      </c>
      <c r="J814" s="123">
        <f t="shared" si="67"/>
        <v>530.2534129535577</v>
      </c>
      <c r="K814" s="123">
        <f t="shared" si="68"/>
        <v>530.61024566752371</v>
      </c>
      <c r="L814" s="176">
        <f t="shared" si="64"/>
        <v>529.98578841808319</v>
      </c>
      <c r="M814" s="227"/>
      <c r="N814" s="275"/>
    </row>
    <row r="815" spans="1:14" ht="21.75" customHeight="1">
      <c r="A815" t="s">
        <v>1183</v>
      </c>
      <c r="B815" s="245">
        <v>41374</v>
      </c>
      <c r="C815">
        <v>161.4</v>
      </c>
      <c r="D815" s="126">
        <v>159.9</v>
      </c>
      <c r="E815" s="126">
        <v>161.6</v>
      </c>
      <c r="F815" s="126">
        <v>161.19999999999999</v>
      </c>
      <c r="G815" s="321">
        <v>0.7873</v>
      </c>
      <c r="H815" s="123">
        <f>(D815*(PI()/LN(2)))*$G815</f>
        <v>570.57550963172196</v>
      </c>
      <c r="I815" s="123">
        <f>(E815*(PI()/LN(2)))*$G815</f>
        <v>576.64166576914488</v>
      </c>
      <c r="J815" s="123">
        <f>(F815*(PI()/LN(2)))*$G815</f>
        <v>575.2143349132806</v>
      </c>
      <c r="K815" s="123">
        <f t="shared" si="68"/>
        <v>575.2143349132806</v>
      </c>
      <c r="L815" s="176">
        <f t="shared" si="64"/>
        <v>574.41146130685706</v>
      </c>
      <c r="M815" s="227"/>
      <c r="N815" s="275"/>
    </row>
    <row r="816" spans="1:14" ht="21.75" customHeight="1">
      <c r="A816" t="s">
        <v>1185</v>
      </c>
      <c r="B816" s="245">
        <v>41374</v>
      </c>
      <c r="G816" s="321">
        <v>0.7873</v>
      </c>
      <c r="H816" s="123">
        <f>(C817*(PI()/LN(2)))*$G816</f>
        <v>549.52237950772474</v>
      </c>
      <c r="I816" s="123">
        <f>(D817*(PI()/LN(2)))*$G816</f>
        <v>569.5050114898238</v>
      </c>
      <c r="J816" s="123">
        <f>(E817*(PI()/LN(2)))*$G816</f>
        <v>550.59287764962289</v>
      </c>
      <c r="K816" s="123">
        <f>(F817*(PI()/LN(2)))*$G816</f>
        <v>553.44753936135135</v>
      </c>
      <c r="L816" s="176">
        <f t="shared" si="64"/>
        <v>555.76695200213067</v>
      </c>
      <c r="M816" s="227"/>
      <c r="N816" s="275"/>
    </row>
    <row r="817" spans="1:14" ht="21.75" customHeight="1">
      <c r="A817" t="s">
        <v>1187</v>
      </c>
      <c r="B817" s="245">
        <v>41374</v>
      </c>
      <c r="C817" s="126">
        <v>154</v>
      </c>
      <c r="D817" s="126">
        <v>159.6</v>
      </c>
      <c r="E817" s="126">
        <v>154.30000000000001</v>
      </c>
      <c r="F817">
        <v>155.1</v>
      </c>
      <c r="G817" s="321">
        <v>0.7873</v>
      </c>
      <c r="H817" s="123">
        <f t="shared" ref="H817:H848" si="69">(C817*(PI()/LN(2)))*$G817</f>
        <v>549.52237950772474</v>
      </c>
      <c r="I817" s="123">
        <f t="shared" ref="I817:I848" si="70">(D817*(PI()/LN(2)))*$G817</f>
        <v>569.5050114898238</v>
      </c>
      <c r="J817" s="123">
        <f t="shared" ref="J817:J848" si="71">(E817*(PI()/LN(2)))*$G817</f>
        <v>550.59287764962289</v>
      </c>
      <c r="K817" s="123">
        <f t="shared" ref="K817:K848" si="72">(F817*(PI()/LN(2)))*$G817</f>
        <v>553.44753936135135</v>
      </c>
      <c r="L817" s="176">
        <f t="shared" si="64"/>
        <v>555.76695200213067</v>
      </c>
      <c r="M817" s="227"/>
      <c r="N817" s="275"/>
    </row>
    <row r="818" spans="1:14" ht="21.75" customHeight="1">
      <c r="A818" t="s">
        <v>1188</v>
      </c>
      <c r="B818" s="245">
        <v>41374</v>
      </c>
      <c r="C818" s="126">
        <v>130.9</v>
      </c>
      <c r="D818" s="126">
        <v>130.6</v>
      </c>
      <c r="E818" s="126">
        <v>130.5</v>
      </c>
      <c r="F818">
        <v>130.5</v>
      </c>
      <c r="G818" s="321">
        <v>0.7873</v>
      </c>
      <c r="H818" s="123">
        <f t="shared" si="69"/>
        <v>467.09402258156604</v>
      </c>
      <c r="I818" s="123">
        <f t="shared" si="70"/>
        <v>466.02352443966777</v>
      </c>
      <c r="J818" s="123">
        <f t="shared" si="71"/>
        <v>465.66669172570181</v>
      </c>
      <c r="K818" s="123">
        <f t="shared" si="72"/>
        <v>465.66669172570181</v>
      </c>
      <c r="L818" s="176">
        <f t="shared" si="64"/>
        <v>466.11273261815938</v>
      </c>
      <c r="M818" s="227"/>
      <c r="N818" s="275"/>
    </row>
    <row r="819" spans="1:14" ht="21.75" customHeight="1">
      <c r="A819" t="s">
        <v>1189</v>
      </c>
      <c r="B819" s="245">
        <v>41375</v>
      </c>
      <c r="C819" s="126">
        <v>143.4</v>
      </c>
      <c r="D819" s="126">
        <v>142.9</v>
      </c>
      <c r="E819" s="126">
        <v>142.19999999999999</v>
      </c>
      <c r="F819">
        <v>143.69999999999999</v>
      </c>
      <c r="G819" s="321">
        <v>0.7873</v>
      </c>
      <c r="H819" s="123">
        <f t="shared" si="69"/>
        <v>511.69811182732292</v>
      </c>
      <c r="I819" s="123">
        <f t="shared" si="70"/>
        <v>509.91394825749262</v>
      </c>
      <c r="J819" s="123">
        <f t="shared" si="71"/>
        <v>507.41611925973012</v>
      </c>
      <c r="K819" s="123">
        <f t="shared" si="72"/>
        <v>512.76860996922096</v>
      </c>
      <c r="L819" s="176">
        <f t="shared" si="64"/>
        <v>510.44919732844164</v>
      </c>
      <c r="M819" s="227"/>
      <c r="N819" s="275"/>
    </row>
    <row r="820" spans="1:14" ht="21.75" customHeight="1">
      <c r="A820" t="s">
        <v>1192</v>
      </c>
      <c r="B820" s="245">
        <v>41375</v>
      </c>
      <c r="C820" s="126">
        <v>142.9</v>
      </c>
      <c r="D820" s="126">
        <v>142.4</v>
      </c>
      <c r="E820" s="126">
        <v>142.4</v>
      </c>
      <c r="F820">
        <v>142.30000000000001</v>
      </c>
      <c r="G820" s="321">
        <v>0.7873</v>
      </c>
      <c r="H820" s="123">
        <f t="shared" si="69"/>
        <v>509.91394825749262</v>
      </c>
      <c r="I820" s="123">
        <f t="shared" si="70"/>
        <v>508.12978468766232</v>
      </c>
      <c r="J820" s="123">
        <f t="shared" si="71"/>
        <v>508.12978468766232</v>
      </c>
      <c r="K820" s="123">
        <f t="shared" si="72"/>
        <v>507.77295197369625</v>
      </c>
      <c r="L820" s="176">
        <f t="shared" si="64"/>
        <v>508.48661740162839</v>
      </c>
      <c r="M820" s="227"/>
      <c r="N820" s="275"/>
    </row>
    <row r="821" spans="1:14" ht="21.75" customHeight="1">
      <c r="A821" t="s">
        <v>1193</v>
      </c>
      <c r="B821" s="245">
        <v>41375</v>
      </c>
      <c r="C821" s="126">
        <v>120.3</v>
      </c>
      <c r="D821" s="126">
        <v>119.3</v>
      </c>
      <c r="E821" s="126">
        <v>119.3</v>
      </c>
      <c r="F821">
        <v>119.3</v>
      </c>
      <c r="G821" s="321">
        <v>0.7873</v>
      </c>
      <c r="H821" s="123">
        <f t="shared" si="69"/>
        <v>429.26975490116416</v>
      </c>
      <c r="I821" s="123">
        <f t="shared" si="70"/>
        <v>425.70142776150357</v>
      </c>
      <c r="J821" s="123">
        <f t="shared" si="71"/>
        <v>425.70142776150357</v>
      </c>
      <c r="K821" s="123">
        <f t="shared" si="72"/>
        <v>425.70142776150357</v>
      </c>
      <c r="L821" s="176">
        <f t="shared" si="64"/>
        <v>426.59350954641872</v>
      </c>
      <c r="M821" s="227"/>
      <c r="N821" s="275"/>
    </row>
    <row r="822" spans="1:14" ht="21.75" customHeight="1">
      <c r="A822" t="s">
        <v>1194</v>
      </c>
      <c r="B822" s="245">
        <v>41375</v>
      </c>
      <c r="C822" s="126">
        <v>141.69999999999999</v>
      </c>
      <c r="D822" s="126">
        <v>142.80000000000001</v>
      </c>
      <c r="E822" s="126">
        <v>141.6</v>
      </c>
      <c r="F822">
        <v>142.30000000000001</v>
      </c>
      <c r="G822" s="321">
        <v>0.7873</v>
      </c>
      <c r="H822" s="123">
        <f t="shared" si="69"/>
        <v>505.63195568989983</v>
      </c>
      <c r="I822" s="123">
        <f t="shared" si="70"/>
        <v>509.55711554352655</v>
      </c>
      <c r="J822" s="123">
        <f t="shared" si="71"/>
        <v>505.27512297593387</v>
      </c>
      <c r="K822" s="123">
        <f t="shared" si="72"/>
        <v>507.77295197369625</v>
      </c>
      <c r="L822" s="176">
        <f t="shared" si="64"/>
        <v>507.05928654576417</v>
      </c>
      <c r="M822" s="227"/>
      <c r="N822" s="275"/>
    </row>
    <row r="823" spans="1:14" ht="21.75" customHeight="1">
      <c r="A823" t="s">
        <v>1195</v>
      </c>
      <c r="B823" s="245">
        <v>41375</v>
      </c>
      <c r="C823" s="126">
        <v>142.5</v>
      </c>
      <c r="D823" s="126">
        <v>142.80000000000001</v>
      </c>
      <c r="E823" s="126">
        <v>141.9</v>
      </c>
      <c r="F823">
        <v>142.30000000000001</v>
      </c>
      <c r="G823" s="321">
        <v>0.7873</v>
      </c>
      <c r="H823" s="123">
        <f t="shared" si="69"/>
        <v>508.48661740162839</v>
      </c>
      <c r="I823" s="123">
        <f t="shared" si="70"/>
        <v>509.55711554352655</v>
      </c>
      <c r="J823" s="123">
        <f t="shared" si="71"/>
        <v>506.34562111783208</v>
      </c>
      <c r="K823" s="123">
        <f t="shared" si="72"/>
        <v>507.77295197369625</v>
      </c>
      <c r="L823" s="176">
        <f t="shared" si="64"/>
        <v>508.04057650917082</v>
      </c>
      <c r="M823" s="227"/>
      <c r="N823" s="275"/>
    </row>
    <row r="824" spans="1:14" ht="21.75" customHeight="1">
      <c r="A824" t="s">
        <v>1196</v>
      </c>
      <c r="B824" s="245">
        <v>41375</v>
      </c>
      <c r="C824" s="126">
        <v>121.1</v>
      </c>
      <c r="D824" s="126">
        <v>119.2</v>
      </c>
      <c r="E824" s="126">
        <v>119.4</v>
      </c>
      <c r="F824">
        <v>120.9</v>
      </c>
      <c r="G824" s="321">
        <v>0.7873</v>
      </c>
      <c r="H824" s="123">
        <f t="shared" si="69"/>
        <v>432.12441661289262</v>
      </c>
      <c r="I824" s="123">
        <f t="shared" si="70"/>
        <v>425.3445950475375</v>
      </c>
      <c r="J824" s="123">
        <f t="shared" si="71"/>
        <v>426.05826047546975</v>
      </c>
      <c r="K824" s="123">
        <f t="shared" si="72"/>
        <v>431.41075118496047</v>
      </c>
      <c r="L824" s="176">
        <f t="shared" si="64"/>
        <v>428.73450583021508</v>
      </c>
      <c r="M824" s="227"/>
      <c r="N824" s="275"/>
    </row>
    <row r="825" spans="1:14" ht="21.75" customHeight="1">
      <c r="A825" t="s">
        <v>1197</v>
      </c>
      <c r="C825" s="126"/>
      <c r="D825" s="126"/>
      <c r="E825" s="126"/>
      <c r="G825" s="321">
        <v>0.7873</v>
      </c>
      <c r="H825" s="123">
        <f t="shared" si="69"/>
        <v>0</v>
      </c>
      <c r="I825" s="123">
        <f t="shared" si="70"/>
        <v>0</v>
      </c>
      <c r="J825" s="123">
        <f t="shared" si="71"/>
        <v>0</v>
      </c>
      <c r="K825" s="123">
        <f t="shared" si="72"/>
        <v>0</v>
      </c>
      <c r="L825" s="176">
        <f t="shared" si="64"/>
        <v>0</v>
      </c>
      <c r="M825" s="227"/>
      <c r="N825" s="275"/>
    </row>
    <row r="826" spans="1:14" ht="21.75" customHeight="1">
      <c r="A826" t="s">
        <v>1199</v>
      </c>
      <c r="C826" s="126"/>
      <c r="D826" s="126"/>
      <c r="E826" s="126"/>
      <c r="G826" s="321">
        <v>0.7873</v>
      </c>
      <c r="H826" s="123">
        <f t="shared" si="69"/>
        <v>0</v>
      </c>
      <c r="I826" s="123">
        <f t="shared" si="70"/>
        <v>0</v>
      </c>
      <c r="J826" s="123">
        <f t="shared" si="71"/>
        <v>0</v>
      </c>
      <c r="K826" s="123">
        <f t="shared" si="72"/>
        <v>0</v>
      </c>
      <c r="L826" s="176">
        <f t="shared" si="64"/>
        <v>0</v>
      </c>
      <c r="M826" s="227"/>
      <c r="N826" s="275"/>
    </row>
    <row r="827" spans="1:14" ht="21.75" customHeight="1">
      <c r="A827" t="s">
        <v>1200</v>
      </c>
      <c r="C827" s="126"/>
      <c r="D827" s="126"/>
      <c r="E827" s="126"/>
      <c r="G827" s="321">
        <v>0.7873</v>
      </c>
      <c r="H827" s="123">
        <f t="shared" si="69"/>
        <v>0</v>
      </c>
      <c r="I827" s="123">
        <f t="shared" si="70"/>
        <v>0</v>
      </c>
      <c r="J827" s="123">
        <f t="shared" si="71"/>
        <v>0</v>
      </c>
      <c r="K827" s="123">
        <f t="shared" si="72"/>
        <v>0</v>
      </c>
      <c r="L827" s="176">
        <f t="shared" si="64"/>
        <v>0</v>
      </c>
      <c r="M827" s="227"/>
      <c r="N827" s="275"/>
    </row>
    <row r="828" spans="1:14" ht="21.75" customHeight="1">
      <c r="A828" t="s">
        <v>1201</v>
      </c>
      <c r="C828" s="126"/>
      <c r="D828" s="126"/>
      <c r="E828" s="126"/>
      <c r="G828" s="321">
        <v>0.7873</v>
      </c>
      <c r="H828" s="123">
        <f t="shared" si="69"/>
        <v>0</v>
      </c>
      <c r="I828" s="123">
        <f t="shared" si="70"/>
        <v>0</v>
      </c>
      <c r="J828" s="123">
        <f t="shared" si="71"/>
        <v>0</v>
      </c>
      <c r="K828" s="123">
        <f t="shared" si="72"/>
        <v>0</v>
      </c>
      <c r="L828" s="176">
        <f t="shared" si="64"/>
        <v>0</v>
      </c>
      <c r="M828" s="227"/>
      <c r="N828" s="275"/>
    </row>
    <row r="829" spans="1:14" ht="21.75" customHeight="1">
      <c r="A829" t="s">
        <v>1202</v>
      </c>
      <c r="C829" s="126"/>
      <c r="D829" s="126"/>
      <c r="E829" s="126"/>
      <c r="G829" s="321">
        <v>0.7873</v>
      </c>
      <c r="H829" s="123">
        <f t="shared" si="69"/>
        <v>0</v>
      </c>
      <c r="I829" s="123">
        <f t="shared" si="70"/>
        <v>0</v>
      </c>
      <c r="J829" s="123">
        <f t="shared" si="71"/>
        <v>0</v>
      </c>
      <c r="K829" s="123">
        <f t="shared" si="72"/>
        <v>0</v>
      </c>
      <c r="L829" s="176">
        <f t="shared" si="64"/>
        <v>0</v>
      </c>
      <c r="M829" s="227"/>
      <c r="N829" s="275"/>
    </row>
    <row r="830" spans="1:14" ht="21.75" customHeight="1">
      <c r="A830" t="s">
        <v>1203</v>
      </c>
      <c r="C830" s="126">
        <v>22.6</v>
      </c>
      <c r="D830" s="126">
        <v>20.9</v>
      </c>
      <c r="E830" s="126">
        <v>19.8</v>
      </c>
      <c r="F830">
        <v>18.7</v>
      </c>
      <c r="G830" s="321">
        <v>0.7873</v>
      </c>
      <c r="H830" s="123">
        <f t="shared" si="69"/>
        <v>80.644193356328429</v>
      </c>
      <c r="I830" s="123">
        <f t="shared" si="70"/>
        <v>74.578037218905479</v>
      </c>
      <c r="J830" s="123">
        <f t="shared" si="71"/>
        <v>70.652877365278883</v>
      </c>
      <c r="K830" s="123">
        <f t="shared" si="72"/>
        <v>66.727717511652273</v>
      </c>
      <c r="L830" s="176">
        <f t="shared" si="64"/>
        <v>73.150706363041266</v>
      </c>
      <c r="M830" s="227"/>
      <c r="N830" s="275"/>
    </row>
    <row r="831" spans="1:14" ht="21.75" customHeight="1">
      <c r="A831" t="s">
        <v>1205</v>
      </c>
      <c r="C831" s="126"/>
      <c r="D831" s="126"/>
      <c r="E831" s="126"/>
      <c r="G831" s="321">
        <v>0.7873</v>
      </c>
      <c r="H831" s="123">
        <f t="shared" si="69"/>
        <v>0</v>
      </c>
      <c r="I831" s="123">
        <f t="shared" si="70"/>
        <v>0</v>
      </c>
      <c r="J831" s="123">
        <f t="shared" si="71"/>
        <v>0</v>
      </c>
      <c r="K831" s="123">
        <f t="shared" si="72"/>
        <v>0</v>
      </c>
      <c r="L831" s="176">
        <f t="shared" si="64"/>
        <v>0</v>
      </c>
      <c r="M831" s="227"/>
      <c r="N831" s="275"/>
    </row>
    <row r="832" spans="1:14" ht="21.75" customHeight="1">
      <c r="A832" t="s">
        <v>1206</v>
      </c>
      <c r="C832" s="126">
        <v>44.8</v>
      </c>
      <c r="D832" s="126">
        <v>49.8</v>
      </c>
      <c r="E832" s="126">
        <v>44.8</v>
      </c>
      <c r="F832">
        <v>46</v>
      </c>
      <c r="G832" s="321">
        <v>0.7873</v>
      </c>
      <c r="H832" s="123">
        <f t="shared" si="69"/>
        <v>159.86105585679263</v>
      </c>
      <c r="I832" s="123">
        <f t="shared" si="70"/>
        <v>177.70269155509536</v>
      </c>
      <c r="J832" s="123">
        <f t="shared" si="71"/>
        <v>159.86105585679263</v>
      </c>
      <c r="K832" s="123">
        <f t="shared" si="72"/>
        <v>164.14304842438528</v>
      </c>
      <c r="L832" s="176">
        <f t="shared" si="64"/>
        <v>165.39196292326648</v>
      </c>
      <c r="M832" s="227"/>
      <c r="N832" s="275"/>
    </row>
    <row r="833" spans="1:14" ht="21.75" customHeight="1">
      <c r="A833" t="s">
        <v>1207</v>
      </c>
      <c r="C833" s="126">
        <v>16.75</v>
      </c>
      <c r="D833" s="126">
        <v>17.190000000000001</v>
      </c>
      <c r="E833" s="126">
        <v>17.059999999999999</v>
      </c>
      <c r="F833">
        <v>16.7</v>
      </c>
      <c r="G833" s="321">
        <v>0.7873</v>
      </c>
      <c r="H833" s="123">
        <f t="shared" si="69"/>
        <v>59.769479589314209</v>
      </c>
      <c r="I833" s="123">
        <f t="shared" si="70"/>
        <v>61.339543530764857</v>
      </c>
      <c r="J833" s="123">
        <f t="shared" si="71"/>
        <v>60.875661002608979</v>
      </c>
      <c r="K833" s="123">
        <f t="shared" si="72"/>
        <v>59.59106323233118</v>
      </c>
      <c r="L833" s="176">
        <f t="shared" ref="L833:L896" si="73">AVERAGE(H833:K833)</f>
        <v>60.393936838754804</v>
      </c>
      <c r="M833" s="227"/>
      <c r="N833" s="275"/>
    </row>
    <row r="834" spans="1:14" ht="21.75" customHeight="1">
      <c r="A834" t="s">
        <v>1208</v>
      </c>
      <c r="C834" s="126">
        <v>76.849999999999994</v>
      </c>
      <c r="D834" s="126">
        <v>76.8</v>
      </c>
      <c r="E834" s="126">
        <v>76</v>
      </c>
      <c r="F834">
        <v>76.900000000000006</v>
      </c>
      <c r="G834" s="321">
        <v>0.7873</v>
      </c>
      <c r="H834" s="123">
        <f t="shared" si="69"/>
        <v>274.22594068291329</v>
      </c>
      <c r="I834" s="123">
        <f t="shared" si="70"/>
        <v>274.04752432593023</v>
      </c>
      <c r="J834" s="123">
        <f t="shared" si="71"/>
        <v>271.19286261420177</v>
      </c>
      <c r="K834" s="123">
        <f t="shared" si="72"/>
        <v>274.4043570398963</v>
      </c>
      <c r="L834" s="176">
        <f t="shared" si="73"/>
        <v>273.4676711657354</v>
      </c>
      <c r="M834" s="227"/>
      <c r="N834" s="275"/>
    </row>
    <row r="835" spans="1:14" ht="21.75" customHeight="1">
      <c r="A835" t="s">
        <v>1210</v>
      </c>
      <c r="C835" s="126">
        <v>82.4</v>
      </c>
      <c r="D835" s="126">
        <v>82.07</v>
      </c>
      <c r="E835" s="126">
        <v>81.599999999999994</v>
      </c>
      <c r="F835">
        <v>82.1</v>
      </c>
      <c r="G835" s="321">
        <v>0.7873</v>
      </c>
      <c r="H835" s="123">
        <f t="shared" si="69"/>
        <v>294.03015630802935</v>
      </c>
      <c r="I835" s="123">
        <f t="shared" si="70"/>
        <v>292.85260835194129</v>
      </c>
      <c r="J835" s="123">
        <f t="shared" si="71"/>
        <v>291.17549459630084</v>
      </c>
      <c r="K835" s="123">
        <f t="shared" si="72"/>
        <v>292.95965816613113</v>
      </c>
      <c r="L835" s="176">
        <f t="shared" si="73"/>
        <v>292.75447935560067</v>
      </c>
      <c r="M835" s="227"/>
      <c r="N835" s="275"/>
    </row>
    <row r="836" spans="1:14" ht="21.75" customHeight="1">
      <c r="A836" t="s">
        <v>1211</v>
      </c>
      <c r="C836" s="126">
        <v>94.77</v>
      </c>
      <c r="D836" s="126">
        <v>94.31</v>
      </c>
      <c r="E836" s="126">
        <v>93.6</v>
      </c>
      <c r="F836">
        <v>92.89</v>
      </c>
      <c r="G836" s="321">
        <v>0.7873</v>
      </c>
      <c r="H836" s="123">
        <f t="shared" si="69"/>
        <v>338.17036302563031</v>
      </c>
      <c r="I836" s="123">
        <f t="shared" si="70"/>
        <v>336.5289325413865</v>
      </c>
      <c r="J836" s="123">
        <f t="shared" si="71"/>
        <v>333.99542027222742</v>
      </c>
      <c r="K836" s="123">
        <f t="shared" si="72"/>
        <v>331.46190800306852</v>
      </c>
      <c r="L836" s="176">
        <f t="shared" si="73"/>
        <v>335.03915596057823</v>
      </c>
      <c r="M836" s="227"/>
      <c r="N836" s="275"/>
    </row>
    <row r="837" spans="1:14" ht="21.75" customHeight="1">
      <c r="A837" t="s">
        <v>1212</v>
      </c>
      <c r="C837" s="126">
        <v>80.87</v>
      </c>
      <c r="D837" s="126">
        <v>81</v>
      </c>
      <c r="E837" s="126">
        <v>81.55</v>
      </c>
      <c r="F837">
        <v>81.099999999999994</v>
      </c>
      <c r="G837" s="321">
        <v>0.7873</v>
      </c>
      <c r="H837" s="123">
        <f t="shared" si="69"/>
        <v>288.57061578434866</v>
      </c>
      <c r="I837" s="123">
        <f t="shared" si="70"/>
        <v>289.03449831250458</v>
      </c>
      <c r="J837" s="123">
        <f t="shared" si="71"/>
        <v>290.99707823931783</v>
      </c>
      <c r="K837" s="123">
        <f t="shared" si="72"/>
        <v>289.3913310264706</v>
      </c>
      <c r="L837" s="176">
        <f t="shared" si="73"/>
        <v>289.49838084066039</v>
      </c>
      <c r="M837" s="227"/>
      <c r="N837" s="275"/>
    </row>
    <row r="838" spans="1:14" ht="21.75" customHeight="1">
      <c r="A838" t="s">
        <v>1213</v>
      </c>
      <c r="B838" s="245">
        <v>41407</v>
      </c>
      <c r="C838" s="126">
        <v>3.5</v>
      </c>
      <c r="D838" s="126">
        <v>3.5</v>
      </c>
      <c r="E838" s="126">
        <v>3.5</v>
      </c>
      <c r="F838">
        <v>3.5</v>
      </c>
      <c r="G838" s="321">
        <v>0.7873</v>
      </c>
      <c r="H838" s="123">
        <f t="shared" si="69"/>
        <v>12.489144988811924</v>
      </c>
      <c r="I838" s="123">
        <f t="shared" si="70"/>
        <v>12.489144988811924</v>
      </c>
      <c r="J838" s="123">
        <f t="shared" si="71"/>
        <v>12.489144988811924</v>
      </c>
      <c r="K838" s="123">
        <f t="shared" si="72"/>
        <v>12.489144988811924</v>
      </c>
      <c r="L838" s="176">
        <f t="shared" si="73"/>
        <v>12.489144988811924</v>
      </c>
      <c r="M838" s="227"/>
      <c r="N838" s="275"/>
    </row>
    <row r="839" spans="1:14" ht="21.75" customHeight="1">
      <c r="A839" t="s">
        <v>1216</v>
      </c>
      <c r="B839" s="245">
        <v>41407</v>
      </c>
      <c r="C839" s="126">
        <v>3.7</v>
      </c>
      <c r="D839" s="126">
        <v>3.7</v>
      </c>
      <c r="E839" s="126">
        <v>3.7</v>
      </c>
      <c r="F839">
        <v>3.7</v>
      </c>
      <c r="G839" s="321">
        <v>0.7873</v>
      </c>
      <c r="H839" s="123">
        <f t="shared" si="69"/>
        <v>13.202810416744036</v>
      </c>
      <c r="I839" s="123">
        <f t="shared" si="70"/>
        <v>13.202810416744036</v>
      </c>
      <c r="J839" s="123">
        <f t="shared" si="71"/>
        <v>13.202810416744036</v>
      </c>
      <c r="K839" s="123">
        <f t="shared" si="72"/>
        <v>13.202810416744036</v>
      </c>
      <c r="L839" s="176">
        <f t="shared" si="73"/>
        <v>13.202810416744036</v>
      </c>
      <c r="M839" s="227"/>
      <c r="N839" s="275"/>
    </row>
    <row r="840" spans="1:14" ht="21.75" customHeight="1">
      <c r="A840" t="s">
        <v>1217</v>
      </c>
      <c r="B840" s="245">
        <v>41407</v>
      </c>
      <c r="C840" s="126">
        <v>3.6</v>
      </c>
      <c r="D840" s="126">
        <v>3.6</v>
      </c>
      <c r="E840" s="126">
        <v>3.7</v>
      </c>
      <c r="F840">
        <v>3.6</v>
      </c>
      <c r="G840" s="321">
        <v>0.7873</v>
      </c>
      <c r="H840" s="123">
        <f t="shared" si="69"/>
        <v>12.845977702777979</v>
      </c>
      <c r="I840" s="123">
        <f t="shared" si="70"/>
        <v>12.845977702777979</v>
      </c>
      <c r="J840" s="123">
        <f t="shared" si="71"/>
        <v>13.202810416744036</v>
      </c>
      <c r="K840" s="123">
        <f t="shared" si="72"/>
        <v>12.845977702777979</v>
      </c>
      <c r="L840" s="176">
        <f t="shared" si="73"/>
        <v>12.935185881269494</v>
      </c>
      <c r="M840" s="227"/>
      <c r="N840" s="275"/>
    </row>
    <row r="841" spans="1:14" ht="21.75" customHeight="1">
      <c r="A841" t="s">
        <v>1218</v>
      </c>
      <c r="B841" s="245">
        <v>41407</v>
      </c>
      <c r="C841" s="126">
        <v>6</v>
      </c>
      <c r="D841" s="126">
        <v>6</v>
      </c>
      <c r="E841" s="126">
        <v>6.1</v>
      </c>
      <c r="F841">
        <v>6.1</v>
      </c>
      <c r="G841" s="321">
        <v>0.7873</v>
      </c>
      <c r="H841" s="123">
        <f t="shared" si="69"/>
        <v>21.409962837963299</v>
      </c>
      <c r="I841" s="123">
        <f t="shared" si="70"/>
        <v>21.409962837963299</v>
      </c>
      <c r="J841" s="123">
        <f t="shared" si="71"/>
        <v>21.766795551929352</v>
      </c>
      <c r="K841" s="123">
        <f t="shared" si="72"/>
        <v>21.766795551929352</v>
      </c>
      <c r="L841" s="176">
        <f t="shared" si="73"/>
        <v>21.588379194946324</v>
      </c>
      <c r="M841" s="227"/>
      <c r="N841" s="275"/>
    </row>
    <row r="842" spans="1:14" ht="21.75" customHeight="1">
      <c r="A842" t="s">
        <v>1220</v>
      </c>
      <c r="B842" s="245">
        <v>41407</v>
      </c>
      <c r="C842" s="126">
        <v>7.7</v>
      </c>
      <c r="D842" s="126">
        <v>7.7</v>
      </c>
      <c r="E842" s="126">
        <v>7.6</v>
      </c>
      <c r="F842">
        <v>7.7</v>
      </c>
      <c r="G842" s="321">
        <v>0.7873</v>
      </c>
      <c r="H842" s="123">
        <f t="shared" si="69"/>
        <v>27.476118975386235</v>
      </c>
      <c r="I842" s="123">
        <f t="shared" si="70"/>
        <v>27.476118975386235</v>
      </c>
      <c r="J842" s="123">
        <f t="shared" si="71"/>
        <v>27.119286261420179</v>
      </c>
      <c r="K842" s="123">
        <f t="shared" si="72"/>
        <v>27.476118975386235</v>
      </c>
      <c r="L842" s="176">
        <f t="shared" si="73"/>
        <v>27.386910796894725</v>
      </c>
      <c r="M842" s="227"/>
      <c r="N842" s="275"/>
    </row>
    <row r="843" spans="1:14" ht="21.75" customHeight="1">
      <c r="A843" t="s">
        <v>1221</v>
      </c>
      <c r="C843" s="126"/>
      <c r="D843" s="126"/>
      <c r="E843" s="126"/>
      <c r="G843" s="321">
        <v>0.7873</v>
      </c>
      <c r="H843" s="123">
        <f t="shared" si="69"/>
        <v>0</v>
      </c>
      <c r="I843" s="123">
        <f t="shared" si="70"/>
        <v>0</v>
      </c>
      <c r="J843" s="123">
        <f t="shared" si="71"/>
        <v>0</v>
      </c>
      <c r="K843" s="123">
        <f t="shared" si="72"/>
        <v>0</v>
      </c>
      <c r="L843" s="176">
        <f t="shared" si="73"/>
        <v>0</v>
      </c>
      <c r="M843" s="227"/>
      <c r="N843" s="275"/>
    </row>
    <row r="844" spans="1:14" ht="21.75" customHeight="1">
      <c r="A844" t="s">
        <v>1222</v>
      </c>
      <c r="C844" s="126">
        <v>156.6</v>
      </c>
      <c r="D844" s="126">
        <v>156.80000000000001</v>
      </c>
      <c r="E844" s="126">
        <v>156.69999999999999</v>
      </c>
      <c r="F844">
        <v>157.6</v>
      </c>
      <c r="G844" s="321">
        <v>0.7873</v>
      </c>
      <c r="H844" s="123">
        <f t="shared" si="69"/>
        <v>558.80003007084213</v>
      </c>
      <c r="I844" s="123">
        <f t="shared" si="70"/>
        <v>559.51369549877427</v>
      </c>
      <c r="J844" s="123">
        <f t="shared" si="71"/>
        <v>559.15686278480814</v>
      </c>
      <c r="K844" s="123">
        <f t="shared" si="72"/>
        <v>562.36835721050261</v>
      </c>
      <c r="L844" s="176">
        <f t="shared" si="73"/>
        <v>559.9597363912319</v>
      </c>
      <c r="M844" s="227"/>
      <c r="N844" s="275"/>
    </row>
    <row r="845" spans="1:14" ht="21.75" customHeight="1">
      <c r="A845" t="s">
        <v>1223</v>
      </c>
      <c r="C845" s="126">
        <v>128.69999999999999</v>
      </c>
      <c r="D845" s="126">
        <v>128.9</v>
      </c>
      <c r="E845" s="126">
        <v>128.4</v>
      </c>
      <c r="F845">
        <v>128.69999999999999</v>
      </c>
      <c r="G845" s="321">
        <v>0.7873</v>
      </c>
      <c r="H845" s="123">
        <f t="shared" si="69"/>
        <v>459.2437028743127</v>
      </c>
      <c r="I845" s="123">
        <f t="shared" si="70"/>
        <v>459.9573683022449</v>
      </c>
      <c r="J845" s="123">
        <f t="shared" si="71"/>
        <v>458.1732047324146</v>
      </c>
      <c r="K845" s="123">
        <f t="shared" si="72"/>
        <v>459.2437028743127</v>
      </c>
      <c r="L845" s="176">
        <f t="shared" si="73"/>
        <v>459.15449469582126</v>
      </c>
      <c r="M845" s="227"/>
      <c r="N845" s="275"/>
    </row>
    <row r="846" spans="1:14" ht="21.75" customHeight="1">
      <c r="A846" t="s">
        <v>1224</v>
      </c>
      <c r="C846" s="126">
        <v>154.4</v>
      </c>
      <c r="D846" s="126">
        <v>155.19999999999999</v>
      </c>
      <c r="E846" s="126">
        <v>156.19999999999999</v>
      </c>
      <c r="F846">
        <v>154.80000000000001</v>
      </c>
      <c r="G846" s="321">
        <v>0.7873</v>
      </c>
      <c r="H846" s="123">
        <f t="shared" si="69"/>
        <v>550.94971036358891</v>
      </c>
      <c r="I846" s="123">
        <f t="shared" si="70"/>
        <v>553.80437207531725</v>
      </c>
      <c r="J846" s="123">
        <f t="shared" si="71"/>
        <v>557.37269921497784</v>
      </c>
      <c r="K846" s="123">
        <f t="shared" si="72"/>
        <v>552.37704121945319</v>
      </c>
      <c r="L846" s="176">
        <f t="shared" si="73"/>
        <v>553.62595571833424</v>
      </c>
      <c r="M846" s="227"/>
      <c r="N846" s="275"/>
    </row>
    <row r="847" spans="1:14" ht="21.75" customHeight="1">
      <c r="A847" t="s">
        <v>1225</v>
      </c>
      <c r="C847" s="126">
        <v>96.7</v>
      </c>
      <c r="D847" s="126">
        <v>95.8</v>
      </c>
      <c r="E847" s="126">
        <v>96.1</v>
      </c>
      <c r="F847">
        <v>95.9</v>
      </c>
      <c r="G847" s="321">
        <v>0.7873</v>
      </c>
      <c r="H847" s="123">
        <f t="shared" si="69"/>
        <v>345.05723440517517</v>
      </c>
      <c r="I847" s="123">
        <f t="shared" si="70"/>
        <v>341.8457399794807</v>
      </c>
      <c r="J847" s="123">
        <f t="shared" si="71"/>
        <v>342.91623812137885</v>
      </c>
      <c r="K847" s="123">
        <f t="shared" si="72"/>
        <v>342.20257269344671</v>
      </c>
      <c r="L847" s="176">
        <f t="shared" si="73"/>
        <v>343.00544629987036</v>
      </c>
      <c r="M847" s="227"/>
      <c r="N847" s="275"/>
    </row>
    <row r="848" spans="1:14" ht="21.75" customHeight="1">
      <c r="A848" t="s">
        <v>1226</v>
      </c>
      <c r="B848" s="245">
        <v>41407</v>
      </c>
      <c r="C848" s="126">
        <v>144.9</v>
      </c>
      <c r="D848" s="126">
        <v>146.6</v>
      </c>
      <c r="E848" s="126">
        <v>146.9</v>
      </c>
      <c r="F848">
        <v>144.69999999999999</v>
      </c>
      <c r="G848" s="321">
        <v>0.7873</v>
      </c>
      <c r="H848" s="123">
        <f t="shared" si="69"/>
        <v>517.0506025368137</v>
      </c>
      <c r="I848" s="123">
        <f t="shared" si="70"/>
        <v>523.11675867423662</v>
      </c>
      <c r="J848" s="123">
        <f t="shared" si="71"/>
        <v>524.18725681613478</v>
      </c>
      <c r="K848" s="123">
        <f t="shared" si="72"/>
        <v>516.33693710888156</v>
      </c>
      <c r="L848" s="176">
        <f t="shared" si="73"/>
        <v>520.17288878401666</v>
      </c>
      <c r="M848" s="227"/>
      <c r="N848" s="275"/>
    </row>
    <row r="849" spans="1:14" ht="21.75" customHeight="1">
      <c r="A849" t="s">
        <v>1228</v>
      </c>
      <c r="B849" s="245">
        <v>41407</v>
      </c>
      <c r="C849" s="126">
        <v>150.80000000000001</v>
      </c>
      <c r="D849" s="126">
        <v>150.6</v>
      </c>
      <c r="E849" s="126">
        <v>152.30000000000001</v>
      </c>
      <c r="F849">
        <v>152.30000000000001</v>
      </c>
      <c r="G849" s="321">
        <v>0.7873</v>
      </c>
      <c r="H849" s="123">
        <f t="shared" ref="H849:H870" si="74">(C849*(PI()/LN(2)))*$G849</f>
        <v>538.10373266081103</v>
      </c>
      <c r="I849" s="123">
        <f t="shared" ref="I849:I870" si="75">(D849*(PI()/LN(2)))*$G849</f>
        <v>537.39006723287878</v>
      </c>
      <c r="J849" s="123">
        <f t="shared" ref="J849:J870" si="76">(E849*(PI()/LN(2)))*$G849</f>
        <v>543.45622337030181</v>
      </c>
      <c r="K849" s="123">
        <f t="shared" ref="K849:K870" si="77">(F849*(PI()/LN(2)))*$G849</f>
        <v>543.45622337030181</v>
      </c>
      <c r="L849" s="176">
        <f t="shared" si="73"/>
        <v>540.60156165857336</v>
      </c>
      <c r="M849" s="227"/>
      <c r="N849" s="275"/>
    </row>
    <row r="850" spans="1:14" ht="21.75" customHeight="1">
      <c r="A850" t="s">
        <v>1229</v>
      </c>
      <c r="B850" s="245">
        <v>41407</v>
      </c>
      <c r="C850" s="126">
        <v>127.8</v>
      </c>
      <c r="D850" s="126">
        <v>128.9</v>
      </c>
      <c r="E850" s="126">
        <v>127</v>
      </c>
      <c r="F850">
        <v>127.5</v>
      </c>
      <c r="G850" s="321">
        <v>0.7873</v>
      </c>
      <c r="H850" s="123">
        <f t="shared" si="74"/>
        <v>456.03220844861829</v>
      </c>
      <c r="I850" s="123">
        <f t="shared" si="75"/>
        <v>459.9573683022449</v>
      </c>
      <c r="J850" s="123">
        <f t="shared" si="76"/>
        <v>453.17754673688984</v>
      </c>
      <c r="K850" s="123">
        <f t="shared" si="77"/>
        <v>454.96171030672014</v>
      </c>
      <c r="L850" s="176">
        <f t="shared" si="73"/>
        <v>456.03220844861829</v>
      </c>
      <c r="M850" s="227"/>
      <c r="N850" s="275"/>
    </row>
    <row r="851" spans="1:14" ht="21.75" customHeight="1">
      <c r="A851" t="s">
        <v>1230</v>
      </c>
      <c r="B851" s="245">
        <v>41407</v>
      </c>
      <c r="C851" s="126">
        <v>143.69999999999999</v>
      </c>
      <c r="D851" s="126">
        <v>143.30000000000001</v>
      </c>
      <c r="E851" s="126">
        <v>144.6</v>
      </c>
      <c r="F851">
        <v>146.1</v>
      </c>
      <c r="G851" s="321">
        <v>0.7873</v>
      </c>
      <c r="H851" s="123">
        <f t="shared" si="74"/>
        <v>512.76860996922096</v>
      </c>
      <c r="I851" s="123">
        <f t="shared" si="75"/>
        <v>511.34127911335685</v>
      </c>
      <c r="J851" s="123">
        <f t="shared" si="76"/>
        <v>515.98010439491554</v>
      </c>
      <c r="K851" s="123">
        <f t="shared" si="77"/>
        <v>521.33259510440632</v>
      </c>
      <c r="L851" s="176">
        <f t="shared" si="73"/>
        <v>515.3556471454749</v>
      </c>
      <c r="M851" s="227"/>
      <c r="N851" s="275"/>
    </row>
    <row r="852" spans="1:14" ht="21.75" customHeight="1">
      <c r="A852" t="s">
        <v>1231</v>
      </c>
      <c r="B852" s="245">
        <v>41407</v>
      </c>
      <c r="C852" s="126">
        <v>154.1</v>
      </c>
      <c r="D852" s="126">
        <v>154.19999999999999</v>
      </c>
      <c r="E852" s="126">
        <v>153.4</v>
      </c>
      <c r="F852">
        <v>155.9</v>
      </c>
      <c r="G852" s="321">
        <v>0.7873</v>
      </c>
      <c r="H852" s="123">
        <f t="shared" si="74"/>
        <v>549.87921222169075</v>
      </c>
      <c r="I852" s="123">
        <f t="shared" si="75"/>
        <v>550.23604493565676</v>
      </c>
      <c r="J852" s="123">
        <f t="shared" si="76"/>
        <v>547.38138322392831</v>
      </c>
      <c r="K852" s="123">
        <f t="shared" si="77"/>
        <v>556.3022010730798</v>
      </c>
      <c r="L852" s="176">
        <f t="shared" si="73"/>
        <v>550.94971036358891</v>
      </c>
      <c r="M852" s="227"/>
      <c r="N852" s="275"/>
    </row>
    <row r="853" spans="1:14" ht="21.75" customHeight="1">
      <c r="A853" t="s">
        <v>1232</v>
      </c>
      <c r="B853" s="245">
        <v>41407</v>
      </c>
      <c r="C853" s="126">
        <v>85.5</v>
      </c>
      <c r="D853" s="126">
        <v>84.2</v>
      </c>
      <c r="E853" s="126">
        <v>85.7</v>
      </c>
      <c r="F853">
        <v>85.2</v>
      </c>
      <c r="G853" s="321">
        <v>0.7873</v>
      </c>
      <c r="H853" s="123">
        <f t="shared" si="74"/>
        <v>305.09197044097704</v>
      </c>
      <c r="I853" s="123">
        <f t="shared" si="75"/>
        <v>300.45314515941834</v>
      </c>
      <c r="J853" s="123">
        <f t="shared" si="76"/>
        <v>305.80563586890912</v>
      </c>
      <c r="K853" s="123">
        <f t="shared" si="77"/>
        <v>304.02147229907888</v>
      </c>
      <c r="L853" s="176">
        <f t="shared" si="73"/>
        <v>303.84305594209582</v>
      </c>
      <c r="M853" s="227"/>
      <c r="N853" s="275"/>
    </row>
    <row r="854" spans="1:14" ht="21.75" customHeight="1">
      <c r="A854" t="s">
        <v>1233</v>
      </c>
      <c r="C854" s="126"/>
      <c r="D854" s="126"/>
      <c r="E854" s="126"/>
      <c r="G854" s="321">
        <v>0.7873</v>
      </c>
      <c r="H854" s="123">
        <f t="shared" si="74"/>
        <v>0</v>
      </c>
      <c r="I854" s="123">
        <f t="shared" si="75"/>
        <v>0</v>
      </c>
      <c r="J854" s="123">
        <f t="shared" si="76"/>
        <v>0</v>
      </c>
      <c r="K854" s="123">
        <f t="shared" si="77"/>
        <v>0</v>
      </c>
      <c r="L854" s="176">
        <f t="shared" si="73"/>
        <v>0</v>
      </c>
      <c r="M854" s="227"/>
      <c r="N854" s="275"/>
    </row>
    <row r="855" spans="1:14" ht="21.75" customHeight="1">
      <c r="A855" t="s">
        <v>1234</v>
      </c>
      <c r="C855" s="126"/>
      <c r="D855" s="126"/>
      <c r="E855" s="126"/>
      <c r="G855" s="321">
        <v>0.7873</v>
      </c>
      <c r="H855" s="123">
        <f t="shared" si="74"/>
        <v>0</v>
      </c>
      <c r="I855" s="123">
        <f t="shared" si="75"/>
        <v>0</v>
      </c>
      <c r="J855" s="123">
        <f t="shared" si="76"/>
        <v>0</v>
      </c>
      <c r="K855" s="123">
        <f t="shared" si="77"/>
        <v>0</v>
      </c>
      <c r="L855" s="176">
        <f t="shared" si="73"/>
        <v>0</v>
      </c>
      <c r="M855" s="227"/>
      <c r="N855" s="275"/>
    </row>
    <row r="856" spans="1:14" ht="21.75" customHeight="1">
      <c r="A856" t="s">
        <v>1235</v>
      </c>
      <c r="C856" s="126"/>
      <c r="D856" s="126"/>
      <c r="E856" s="126"/>
      <c r="G856" s="321">
        <v>0.7873</v>
      </c>
      <c r="H856" s="123">
        <f t="shared" si="74"/>
        <v>0</v>
      </c>
      <c r="I856" s="123">
        <f t="shared" si="75"/>
        <v>0</v>
      </c>
      <c r="J856" s="123">
        <f t="shared" si="76"/>
        <v>0</v>
      </c>
      <c r="K856" s="123">
        <f t="shared" si="77"/>
        <v>0</v>
      </c>
      <c r="L856" s="176">
        <f t="shared" si="73"/>
        <v>0</v>
      </c>
      <c r="M856" s="227"/>
      <c r="N856" s="275"/>
    </row>
    <row r="857" spans="1:14" ht="21.75" customHeight="1">
      <c r="A857" t="s">
        <v>1236</v>
      </c>
      <c r="C857" s="126"/>
      <c r="D857" s="126"/>
      <c r="E857" s="126"/>
      <c r="G857" s="321">
        <v>0.7873</v>
      </c>
      <c r="H857" s="123">
        <f t="shared" si="74"/>
        <v>0</v>
      </c>
      <c r="I857" s="123">
        <f t="shared" si="75"/>
        <v>0</v>
      </c>
      <c r="J857" s="123">
        <f t="shared" si="76"/>
        <v>0</v>
      </c>
      <c r="K857" s="123">
        <f t="shared" si="77"/>
        <v>0</v>
      </c>
      <c r="L857" s="176">
        <f t="shared" si="73"/>
        <v>0</v>
      </c>
      <c r="M857" s="227"/>
      <c r="N857" s="275"/>
    </row>
    <row r="858" spans="1:14" ht="21.75" customHeight="1">
      <c r="A858" t="s">
        <v>1237</v>
      </c>
      <c r="C858" s="126"/>
      <c r="D858" s="126"/>
      <c r="E858" s="126"/>
      <c r="G858" s="321">
        <v>0.7873</v>
      </c>
      <c r="H858" s="123">
        <f t="shared" si="74"/>
        <v>0</v>
      </c>
      <c r="I858" s="123">
        <f t="shared" si="75"/>
        <v>0</v>
      </c>
      <c r="J858" s="123">
        <f t="shared" si="76"/>
        <v>0</v>
      </c>
      <c r="K858" s="123">
        <f t="shared" si="77"/>
        <v>0</v>
      </c>
      <c r="L858" s="176">
        <f t="shared" si="73"/>
        <v>0</v>
      </c>
      <c r="M858" s="227"/>
      <c r="N858" s="275"/>
    </row>
    <row r="859" spans="1:14" ht="21.75" customHeight="1">
      <c r="A859" t="s">
        <v>1238</v>
      </c>
      <c r="B859" s="245">
        <v>41407</v>
      </c>
      <c r="C859" s="126">
        <v>126.6</v>
      </c>
      <c r="D859" s="126">
        <v>123.9</v>
      </c>
      <c r="E859" s="126">
        <v>125.5</v>
      </c>
      <c r="F859">
        <v>125.5</v>
      </c>
      <c r="G859" s="321">
        <v>0.7873</v>
      </c>
      <c r="H859" s="123">
        <f t="shared" si="74"/>
        <v>451.75021588102561</v>
      </c>
      <c r="I859" s="123">
        <f t="shared" si="75"/>
        <v>442.11573260394215</v>
      </c>
      <c r="J859" s="123">
        <f t="shared" si="76"/>
        <v>447.825056027399</v>
      </c>
      <c r="K859" s="123">
        <f t="shared" si="77"/>
        <v>447.825056027399</v>
      </c>
      <c r="L859" s="176">
        <f t="shared" si="73"/>
        <v>447.37901513494148</v>
      </c>
      <c r="M859" s="227"/>
      <c r="N859" s="275"/>
    </row>
    <row r="860" spans="1:14" ht="21.75" customHeight="1">
      <c r="A860" t="s">
        <v>1239</v>
      </c>
      <c r="B860" s="245">
        <v>41407</v>
      </c>
      <c r="C860" s="126">
        <v>104.5</v>
      </c>
      <c r="D860" s="126">
        <v>103.1</v>
      </c>
      <c r="E860" s="126">
        <v>103.8</v>
      </c>
      <c r="F860">
        <v>101.6</v>
      </c>
      <c r="G860" s="321">
        <v>0.7873</v>
      </c>
      <c r="H860" s="123">
        <f t="shared" si="74"/>
        <v>372.89018609452745</v>
      </c>
      <c r="I860" s="123">
        <f t="shared" si="75"/>
        <v>367.89452809900268</v>
      </c>
      <c r="J860" s="123">
        <f t="shared" si="76"/>
        <v>370.39235709676507</v>
      </c>
      <c r="K860" s="123">
        <f t="shared" si="77"/>
        <v>362.54203738951185</v>
      </c>
      <c r="L860" s="176">
        <f t="shared" si="73"/>
        <v>368.42977716995176</v>
      </c>
      <c r="M860" s="227"/>
      <c r="N860" s="275"/>
    </row>
    <row r="861" spans="1:14" ht="21.75" customHeight="1">
      <c r="A861" t="s">
        <v>1240</v>
      </c>
      <c r="B861" s="245">
        <v>41407</v>
      </c>
      <c r="C861" s="126"/>
      <c r="D861" s="126"/>
      <c r="E861" s="126"/>
      <c r="G861" s="321">
        <v>0.7873</v>
      </c>
      <c r="H861" s="123">
        <f t="shared" si="74"/>
        <v>0</v>
      </c>
      <c r="I861" s="123">
        <f t="shared" si="75"/>
        <v>0</v>
      </c>
      <c r="J861" s="123">
        <f t="shared" si="76"/>
        <v>0</v>
      </c>
      <c r="K861" s="123">
        <f t="shared" si="77"/>
        <v>0</v>
      </c>
      <c r="L861" s="176">
        <f t="shared" si="73"/>
        <v>0</v>
      </c>
      <c r="M861" s="227"/>
      <c r="N861" s="275"/>
    </row>
    <row r="862" spans="1:14" ht="21.75" customHeight="1">
      <c r="A862" t="s">
        <v>1241</v>
      </c>
      <c r="B862" s="245">
        <v>41407</v>
      </c>
      <c r="C862" s="126">
        <v>108.1</v>
      </c>
      <c r="D862" s="126">
        <v>108.4</v>
      </c>
      <c r="E862" s="126">
        <v>107.4</v>
      </c>
      <c r="F862">
        <v>107.1</v>
      </c>
      <c r="G862" s="321">
        <v>0.7873</v>
      </c>
      <c r="H862" s="123">
        <f t="shared" si="74"/>
        <v>385.73616379730544</v>
      </c>
      <c r="I862" s="123">
        <f t="shared" si="75"/>
        <v>386.80666193920365</v>
      </c>
      <c r="J862" s="123">
        <f t="shared" si="76"/>
        <v>383.23833479954311</v>
      </c>
      <c r="K862" s="123">
        <f t="shared" si="77"/>
        <v>382.1678366576449</v>
      </c>
      <c r="L862" s="176">
        <f t="shared" si="73"/>
        <v>384.48724929842422</v>
      </c>
      <c r="M862" s="227"/>
      <c r="N862" s="275"/>
    </row>
    <row r="863" spans="1:14" ht="21.75" customHeight="1">
      <c r="A863" t="s">
        <v>1242</v>
      </c>
      <c r="B863" s="245">
        <v>41407</v>
      </c>
      <c r="C863" s="126">
        <v>128.30000000000001</v>
      </c>
      <c r="D863" s="126">
        <v>128.69999999999999</v>
      </c>
      <c r="E863" s="126">
        <v>128.9</v>
      </c>
      <c r="F863">
        <v>128.69999999999999</v>
      </c>
      <c r="G863" s="321">
        <v>0.7873</v>
      </c>
      <c r="H863" s="123">
        <f t="shared" si="74"/>
        <v>457.81637201844859</v>
      </c>
      <c r="I863" s="123">
        <f t="shared" si="75"/>
        <v>459.2437028743127</v>
      </c>
      <c r="J863" s="123">
        <f t="shared" si="76"/>
        <v>459.9573683022449</v>
      </c>
      <c r="K863" s="123">
        <f t="shared" si="77"/>
        <v>459.2437028743127</v>
      </c>
      <c r="L863" s="176">
        <f t="shared" si="73"/>
        <v>459.06528651732975</v>
      </c>
      <c r="M863" s="227"/>
      <c r="N863" s="275"/>
    </row>
    <row r="864" spans="1:14" ht="21.75" customHeight="1">
      <c r="A864" t="s">
        <v>1243</v>
      </c>
      <c r="B864" s="245">
        <v>41416</v>
      </c>
      <c r="C864" s="126">
        <v>123.3</v>
      </c>
      <c r="D864" s="126">
        <v>123.5</v>
      </c>
      <c r="E864" s="126">
        <v>123</v>
      </c>
      <c r="F864">
        <v>123.1</v>
      </c>
      <c r="G864" s="321">
        <v>0.7873</v>
      </c>
      <c r="H864" s="123">
        <f t="shared" si="74"/>
        <v>439.97473632014584</v>
      </c>
      <c r="I864" s="123">
        <f t="shared" si="75"/>
        <v>440.68840174807792</v>
      </c>
      <c r="J864" s="123">
        <f t="shared" si="76"/>
        <v>438.90423817824768</v>
      </c>
      <c r="K864" s="123">
        <f t="shared" si="77"/>
        <v>439.2610708922137</v>
      </c>
      <c r="L864" s="176">
        <f t="shared" si="73"/>
        <v>439.70711178467127</v>
      </c>
      <c r="M864" s="227"/>
      <c r="N864" s="275"/>
    </row>
    <row r="865" spans="1:14" ht="21.75" customHeight="1">
      <c r="A865" t="s">
        <v>1244</v>
      </c>
      <c r="B865" s="245">
        <v>41416</v>
      </c>
      <c r="C865" s="126">
        <v>120.5</v>
      </c>
      <c r="D865" s="126">
        <v>120.4</v>
      </c>
      <c r="E865" s="126">
        <v>120.2</v>
      </c>
      <c r="F865">
        <v>120.1</v>
      </c>
      <c r="G865" s="321">
        <v>0.7873</v>
      </c>
      <c r="H865" s="123">
        <f t="shared" si="74"/>
        <v>429.98342032909625</v>
      </c>
      <c r="I865" s="123">
        <f t="shared" si="75"/>
        <v>429.62658761513018</v>
      </c>
      <c r="J865" s="123">
        <f t="shared" si="76"/>
        <v>428.91292218719809</v>
      </c>
      <c r="K865" s="123">
        <f t="shared" si="77"/>
        <v>428.55608947323202</v>
      </c>
      <c r="L865" s="176">
        <f t="shared" si="73"/>
        <v>429.26975490116416</v>
      </c>
      <c r="M865" s="227"/>
      <c r="N865" s="275"/>
    </row>
    <row r="866" spans="1:14" ht="21.75" customHeight="1">
      <c r="A866" t="s">
        <v>1245</v>
      </c>
      <c r="B866" s="245">
        <v>41416</v>
      </c>
      <c r="C866" s="126">
        <v>101.6</v>
      </c>
      <c r="D866" s="126">
        <v>102.2</v>
      </c>
      <c r="E866" s="126">
        <v>101.7</v>
      </c>
      <c r="F866">
        <v>102.5</v>
      </c>
      <c r="G866" s="321">
        <v>0.7873</v>
      </c>
      <c r="H866" s="123">
        <f t="shared" si="74"/>
        <v>362.54203738951185</v>
      </c>
      <c r="I866" s="123">
        <f t="shared" si="75"/>
        <v>364.68303367330822</v>
      </c>
      <c r="J866" s="123">
        <f t="shared" si="76"/>
        <v>362.89887010347792</v>
      </c>
      <c r="K866" s="123">
        <f t="shared" si="77"/>
        <v>365.75353181520637</v>
      </c>
      <c r="L866" s="176">
        <f t="shared" si="73"/>
        <v>363.96936824537607</v>
      </c>
      <c r="M866" s="227"/>
      <c r="N866" s="275"/>
    </row>
    <row r="867" spans="1:14" ht="21.75" customHeight="1">
      <c r="A867" t="s">
        <v>1246</v>
      </c>
      <c r="B867" s="245">
        <v>41416</v>
      </c>
      <c r="C867" s="126">
        <v>122.2</v>
      </c>
      <c r="D867" s="126">
        <v>121.5</v>
      </c>
      <c r="E867" s="126">
        <v>122.7</v>
      </c>
      <c r="F867">
        <v>123.2</v>
      </c>
      <c r="G867" s="321">
        <v>0.7873</v>
      </c>
      <c r="H867" s="123">
        <f t="shared" si="74"/>
        <v>436.04957646651923</v>
      </c>
      <c r="I867" s="123">
        <f t="shared" si="75"/>
        <v>433.55174746875684</v>
      </c>
      <c r="J867" s="123">
        <f t="shared" si="76"/>
        <v>437.83374003634947</v>
      </c>
      <c r="K867" s="123">
        <f t="shared" si="77"/>
        <v>439.61790360617977</v>
      </c>
      <c r="L867" s="176">
        <f t="shared" si="73"/>
        <v>436.76324189445131</v>
      </c>
      <c r="M867" s="227"/>
      <c r="N867" s="275"/>
    </row>
    <row r="868" spans="1:14" ht="21.75" customHeight="1">
      <c r="A868" t="s">
        <v>1247</v>
      </c>
      <c r="B868" s="245">
        <v>41416</v>
      </c>
      <c r="C868" s="126">
        <v>123.4</v>
      </c>
      <c r="D868" s="126">
        <v>123.4</v>
      </c>
      <c r="E868" s="126">
        <v>123.8</v>
      </c>
      <c r="F868">
        <v>123.9</v>
      </c>
      <c r="G868" s="321">
        <v>0.7873</v>
      </c>
      <c r="H868" s="123">
        <f t="shared" si="74"/>
        <v>440.33156903411191</v>
      </c>
      <c r="I868" s="123">
        <f t="shared" si="75"/>
        <v>440.33156903411191</v>
      </c>
      <c r="J868" s="123">
        <f t="shared" si="76"/>
        <v>441.75889988997614</v>
      </c>
      <c r="K868" s="123">
        <f t="shared" si="77"/>
        <v>442.11573260394215</v>
      </c>
      <c r="L868" s="176">
        <f t="shared" si="73"/>
        <v>441.13444264053555</v>
      </c>
      <c r="M868" s="227"/>
      <c r="N868" s="275"/>
    </row>
    <row r="869" spans="1:14" ht="21.75" customHeight="1">
      <c r="A869" t="s">
        <v>1248</v>
      </c>
      <c r="B869" s="245">
        <v>41416</v>
      </c>
      <c r="C869" s="126">
        <v>86</v>
      </c>
      <c r="D869" s="126">
        <v>86.4</v>
      </c>
      <c r="E869" s="126">
        <v>87</v>
      </c>
      <c r="F869">
        <v>86.1</v>
      </c>
      <c r="G869" s="321">
        <v>0.7873</v>
      </c>
      <c r="H869" s="123">
        <f t="shared" si="74"/>
        <v>306.87613401080728</v>
      </c>
      <c r="I869" s="123">
        <f t="shared" si="75"/>
        <v>308.3034648666715</v>
      </c>
      <c r="J869" s="123">
        <f t="shared" si="76"/>
        <v>310.44446115046787</v>
      </c>
      <c r="K869" s="123">
        <f t="shared" si="77"/>
        <v>307.23296672477335</v>
      </c>
      <c r="L869" s="176">
        <f t="shared" si="73"/>
        <v>308.21425668818</v>
      </c>
      <c r="M869" s="227"/>
      <c r="N869" s="275"/>
    </row>
    <row r="870" spans="1:14" ht="21.75" customHeight="1">
      <c r="A870" t="s">
        <v>1249</v>
      </c>
      <c r="B870" s="245">
        <v>41417</v>
      </c>
      <c r="C870" s="126">
        <v>122.6</v>
      </c>
      <c r="D870" s="126">
        <v>124.8</v>
      </c>
      <c r="E870" s="126">
        <v>125.6</v>
      </c>
      <c r="F870" s="126">
        <v>126.8</v>
      </c>
      <c r="G870" s="321">
        <v>0.7873</v>
      </c>
      <c r="H870" s="123">
        <f t="shared" si="74"/>
        <v>437.47690732238345</v>
      </c>
      <c r="I870" s="123">
        <f t="shared" si="75"/>
        <v>445.32722702963662</v>
      </c>
      <c r="J870" s="123">
        <f t="shared" si="76"/>
        <v>448.18188874136501</v>
      </c>
      <c r="K870" s="123">
        <f t="shared" si="77"/>
        <v>452.4638813089577</v>
      </c>
      <c r="L870" s="176">
        <f t="shared" si="73"/>
        <v>445.8624761005857</v>
      </c>
      <c r="M870" s="227"/>
      <c r="N870" s="275"/>
    </row>
    <row r="871" spans="1:14" ht="21.75" customHeight="1">
      <c r="A871" t="s">
        <v>1251</v>
      </c>
      <c r="B871" s="245">
        <v>41417</v>
      </c>
      <c r="C871" s="126">
        <v>123.3</v>
      </c>
      <c r="D871" s="126">
        <v>123.7</v>
      </c>
      <c r="E871">
        <v>122.2</v>
      </c>
      <c r="F871">
        <v>122.1</v>
      </c>
      <c r="G871" s="321">
        <v>0.7873</v>
      </c>
      <c r="H871" s="123">
        <f t="shared" ref="H871:H902" si="78">(C871*(PI()/LN(2)))*$G871</f>
        <v>439.97473632014584</v>
      </c>
      <c r="I871" s="123">
        <f>(C871*(PI()/LN(2)))*$G871</f>
        <v>439.97473632014584</v>
      </c>
      <c r="J871" s="123">
        <f>(D871*(PI()/LN(2)))*$G871</f>
        <v>441.40206717601006</v>
      </c>
      <c r="K871" s="123">
        <f t="shared" ref="K871:K902" si="79">(F871*(PI()/LN(2)))*$G871</f>
        <v>435.69274375255316</v>
      </c>
      <c r="L871" s="176">
        <f t="shared" si="73"/>
        <v>439.26107089221375</v>
      </c>
      <c r="M871" s="227"/>
      <c r="N871" s="275"/>
    </row>
    <row r="872" spans="1:14" ht="21.75" customHeight="1">
      <c r="A872" t="s">
        <v>1252</v>
      </c>
      <c r="B872" s="245">
        <v>41417</v>
      </c>
      <c r="C872" s="126">
        <v>102.1</v>
      </c>
      <c r="D872" s="126">
        <v>102.1</v>
      </c>
      <c r="E872" s="126">
        <v>102.6</v>
      </c>
      <c r="F872">
        <v>101.8</v>
      </c>
      <c r="G872" s="321">
        <v>0.7873</v>
      </c>
      <c r="H872" s="123">
        <f t="shared" si="78"/>
        <v>364.32620095934215</v>
      </c>
      <c r="I872" s="123">
        <f t="shared" ref="I872:I903" si="80">(D872*(PI()/LN(2)))*$G872</f>
        <v>364.32620095934215</v>
      </c>
      <c r="J872" s="123">
        <f t="shared" ref="J872:J903" si="81">(E872*(PI()/LN(2)))*$G872</f>
        <v>366.11036452917239</v>
      </c>
      <c r="K872" s="123">
        <f t="shared" si="79"/>
        <v>363.25570281744399</v>
      </c>
      <c r="L872" s="176">
        <f t="shared" si="73"/>
        <v>364.50461731632515</v>
      </c>
      <c r="M872" s="227"/>
      <c r="N872" s="275"/>
    </row>
    <row r="873" spans="1:14" ht="21.75" customHeight="1">
      <c r="A873" t="s">
        <v>1253</v>
      </c>
      <c r="B873" s="245">
        <v>41417</v>
      </c>
      <c r="C873" s="126">
        <v>123.4</v>
      </c>
      <c r="D873" s="126">
        <v>122.7</v>
      </c>
      <c r="E873" s="126">
        <v>122.9</v>
      </c>
      <c r="F873">
        <v>123</v>
      </c>
      <c r="G873" s="321">
        <v>0.7873</v>
      </c>
      <c r="H873" s="123">
        <f t="shared" si="78"/>
        <v>440.33156903411191</v>
      </c>
      <c r="I873" s="123">
        <f t="shared" si="80"/>
        <v>437.83374003634947</v>
      </c>
      <c r="J873" s="123">
        <f t="shared" si="81"/>
        <v>438.54740546428161</v>
      </c>
      <c r="K873" s="123">
        <f t="shared" si="79"/>
        <v>438.90423817824768</v>
      </c>
      <c r="L873" s="176">
        <f t="shared" si="73"/>
        <v>438.90423817824768</v>
      </c>
      <c r="M873" s="227"/>
      <c r="N873" s="275"/>
    </row>
    <row r="874" spans="1:14" ht="21.75" customHeight="1">
      <c r="A874" t="s">
        <v>1254</v>
      </c>
      <c r="B874" s="245">
        <v>41417</v>
      </c>
      <c r="C874" s="126">
        <v>124.2</v>
      </c>
      <c r="D874" s="126">
        <v>123.9</v>
      </c>
      <c r="E874" s="126">
        <v>125</v>
      </c>
      <c r="F874">
        <v>124.3</v>
      </c>
      <c r="G874" s="321">
        <v>0.7873</v>
      </c>
      <c r="H874" s="123">
        <f t="shared" si="78"/>
        <v>443.18623074584036</v>
      </c>
      <c r="I874" s="123">
        <f t="shared" si="80"/>
        <v>442.11573260394215</v>
      </c>
      <c r="J874" s="123">
        <f t="shared" si="81"/>
        <v>446.0408924575687</v>
      </c>
      <c r="K874" s="123">
        <f t="shared" si="79"/>
        <v>443.54306345980632</v>
      </c>
      <c r="L874" s="176">
        <f t="shared" si="73"/>
        <v>443.72147981678933</v>
      </c>
      <c r="M874" s="227"/>
      <c r="N874" s="275"/>
    </row>
    <row r="875" spans="1:14" ht="21.75" customHeight="1">
      <c r="A875" t="s">
        <v>1255</v>
      </c>
      <c r="B875" s="245">
        <v>41417</v>
      </c>
      <c r="C875" s="126">
        <v>78.900000000000006</v>
      </c>
      <c r="D875" s="126">
        <v>79</v>
      </c>
      <c r="E875" s="126">
        <v>79.2</v>
      </c>
      <c r="F875">
        <v>79.3</v>
      </c>
      <c r="G875" s="321">
        <v>0.7873</v>
      </c>
      <c r="H875" s="123">
        <f t="shared" si="78"/>
        <v>281.54101131921743</v>
      </c>
      <c r="I875" s="123">
        <f t="shared" si="80"/>
        <v>281.89784403318345</v>
      </c>
      <c r="J875" s="123">
        <f t="shared" si="81"/>
        <v>282.61150946111553</v>
      </c>
      <c r="K875" s="123">
        <f t="shared" si="79"/>
        <v>282.9683421750816</v>
      </c>
      <c r="L875" s="176">
        <f t="shared" si="73"/>
        <v>282.25467674714946</v>
      </c>
      <c r="M875" s="227"/>
      <c r="N875" s="275"/>
    </row>
    <row r="876" spans="1:14" ht="21.75" customHeight="1">
      <c r="A876" t="s">
        <v>1256</v>
      </c>
      <c r="B876" s="245">
        <v>41418</v>
      </c>
      <c r="C876" s="126">
        <v>89.4</v>
      </c>
      <c r="D876" s="126">
        <v>89.2</v>
      </c>
      <c r="E876" s="126">
        <v>88.8</v>
      </c>
      <c r="F876">
        <v>88.6</v>
      </c>
      <c r="G876" s="321">
        <v>0.7873</v>
      </c>
      <c r="H876" s="123">
        <f t="shared" si="78"/>
        <v>319.00844628565324</v>
      </c>
      <c r="I876" s="123">
        <f t="shared" si="80"/>
        <v>318.29478085772104</v>
      </c>
      <c r="J876" s="123">
        <f t="shared" si="81"/>
        <v>316.86745000185681</v>
      </c>
      <c r="K876" s="123">
        <f t="shared" si="79"/>
        <v>316.15378457392472</v>
      </c>
      <c r="L876" s="176">
        <f t="shared" si="73"/>
        <v>317.58111542978895</v>
      </c>
      <c r="M876" s="227"/>
      <c r="N876" s="275"/>
    </row>
    <row r="877" spans="1:14" ht="21.75" customHeight="1">
      <c r="A877" t="s">
        <v>1257</v>
      </c>
      <c r="B877" s="245">
        <v>41418</v>
      </c>
      <c r="C877" s="126">
        <v>87.8</v>
      </c>
      <c r="D877" s="126">
        <v>87.7</v>
      </c>
      <c r="E877" s="126">
        <v>89.6</v>
      </c>
      <c r="F877">
        <v>88.7</v>
      </c>
      <c r="G877" s="321">
        <v>0.7873</v>
      </c>
      <c r="H877" s="123">
        <f t="shared" si="78"/>
        <v>313.29912286219627</v>
      </c>
      <c r="I877" s="123">
        <f t="shared" si="80"/>
        <v>312.94229014823026</v>
      </c>
      <c r="J877" s="123">
        <f t="shared" si="81"/>
        <v>319.72211171358526</v>
      </c>
      <c r="K877" s="123">
        <f t="shared" si="79"/>
        <v>316.5106172878908</v>
      </c>
      <c r="L877" s="176">
        <f t="shared" si="73"/>
        <v>315.61853550297565</v>
      </c>
      <c r="M877" s="227"/>
      <c r="N877" s="275"/>
    </row>
    <row r="878" spans="1:14" ht="21.75" customHeight="1">
      <c r="A878" t="s">
        <v>1258</v>
      </c>
      <c r="B878" s="245">
        <v>41418</v>
      </c>
      <c r="C878" s="126">
        <v>73.900000000000006</v>
      </c>
      <c r="D878" s="126">
        <v>74.099999999999994</v>
      </c>
      <c r="E878" s="126">
        <v>73.900000000000006</v>
      </c>
      <c r="F878">
        <v>73.900000000000006</v>
      </c>
      <c r="G878" s="321">
        <v>0.7873</v>
      </c>
      <c r="H878" s="123">
        <f t="shared" si="78"/>
        <v>263.69937562091462</v>
      </c>
      <c r="I878" s="123">
        <f t="shared" si="80"/>
        <v>264.41304104884671</v>
      </c>
      <c r="J878" s="123">
        <f t="shared" si="81"/>
        <v>263.69937562091462</v>
      </c>
      <c r="K878" s="123">
        <f t="shared" si="79"/>
        <v>263.69937562091462</v>
      </c>
      <c r="L878" s="176">
        <f t="shared" si="73"/>
        <v>263.87779197789769</v>
      </c>
      <c r="M878" s="227"/>
      <c r="N878" s="275"/>
    </row>
    <row r="879" spans="1:14" ht="21.75" customHeight="1">
      <c r="A879" t="s">
        <v>1259</v>
      </c>
      <c r="B879" s="245">
        <v>41418</v>
      </c>
      <c r="C879" s="126">
        <v>88.9</v>
      </c>
      <c r="D879" s="126">
        <v>89.3</v>
      </c>
      <c r="E879" s="126">
        <v>88.7</v>
      </c>
      <c r="F879">
        <v>88.7</v>
      </c>
      <c r="G879" s="321">
        <v>0.7873</v>
      </c>
      <c r="H879" s="123">
        <f t="shared" si="78"/>
        <v>317.22428271582294</v>
      </c>
      <c r="I879" s="123">
        <f t="shared" si="80"/>
        <v>318.65161357168711</v>
      </c>
      <c r="J879" s="123">
        <f t="shared" si="81"/>
        <v>316.5106172878908</v>
      </c>
      <c r="K879" s="123">
        <f t="shared" si="79"/>
        <v>316.5106172878908</v>
      </c>
      <c r="L879" s="176">
        <f t="shared" si="73"/>
        <v>317.22428271582294</v>
      </c>
      <c r="M879" s="227"/>
      <c r="N879" s="275"/>
    </row>
    <row r="880" spans="1:14" ht="21.75" customHeight="1">
      <c r="A880" t="s">
        <v>1260</v>
      </c>
      <c r="B880" s="245">
        <v>41418</v>
      </c>
      <c r="C880" s="126">
        <v>89.4</v>
      </c>
      <c r="D880" s="126">
        <v>91</v>
      </c>
      <c r="E880" s="126">
        <v>90</v>
      </c>
      <c r="F880">
        <v>89.6</v>
      </c>
      <c r="G880" s="321">
        <v>0.7873</v>
      </c>
      <c r="H880" s="123">
        <f t="shared" si="78"/>
        <v>319.00844628565324</v>
      </c>
      <c r="I880" s="123">
        <f t="shared" si="80"/>
        <v>324.71776970911009</v>
      </c>
      <c r="J880" s="123">
        <f t="shared" si="81"/>
        <v>321.14944256944949</v>
      </c>
      <c r="K880" s="123">
        <f t="shared" si="79"/>
        <v>319.72211171358526</v>
      </c>
      <c r="L880" s="176">
        <f t="shared" si="73"/>
        <v>321.14944256944955</v>
      </c>
      <c r="M880" s="227"/>
      <c r="N880" s="275"/>
    </row>
    <row r="881" spans="1:14" ht="21.75" customHeight="1">
      <c r="A881" t="s">
        <v>1261</v>
      </c>
      <c r="B881" s="245">
        <v>41418</v>
      </c>
      <c r="C881" s="126">
        <v>51.3</v>
      </c>
      <c r="D881" s="126">
        <v>51</v>
      </c>
      <c r="E881" s="126">
        <v>51.5</v>
      </c>
      <c r="F881">
        <v>51.3</v>
      </c>
      <c r="G881" s="321">
        <v>0.7873</v>
      </c>
      <c r="H881" s="123">
        <f t="shared" si="78"/>
        <v>183.05518226458619</v>
      </c>
      <c r="I881" s="123">
        <f t="shared" si="80"/>
        <v>181.98468412268804</v>
      </c>
      <c r="J881" s="123">
        <f t="shared" si="81"/>
        <v>183.76884769251834</v>
      </c>
      <c r="K881" s="123">
        <f t="shared" si="79"/>
        <v>183.05518226458619</v>
      </c>
      <c r="L881" s="176">
        <f t="shared" si="73"/>
        <v>182.96597408609469</v>
      </c>
      <c r="M881" s="227"/>
      <c r="N881" s="275"/>
    </row>
    <row r="882" spans="1:14" ht="21.75" customHeight="1">
      <c r="A882" t="s">
        <v>1262</v>
      </c>
      <c r="B882" s="245">
        <v>41428</v>
      </c>
      <c r="C882" s="126">
        <v>392.5</v>
      </c>
      <c r="D882" s="126">
        <v>396.3</v>
      </c>
      <c r="E882" s="126">
        <v>396.9</v>
      </c>
      <c r="F882">
        <v>397.2</v>
      </c>
      <c r="G882" s="321">
        <v>0.7873</v>
      </c>
      <c r="H882" s="123">
        <f t="shared" si="78"/>
        <v>1400.5684023167657</v>
      </c>
      <c r="I882" s="123">
        <f t="shared" si="80"/>
        <v>1414.1280454474759</v>
      </c>
      <c r="J882" s="123">
        <f t="shared" si="81"/>
        <v>1416.2690417312722</v>
      </c>
      <c r="K882" s="123">
        <f t="shared" si="79"/>
        <v>1417.3395398731705</v>
      </c>
      <c r="L882" s="176">
        <f t="shared" si="73"/>
        <v>1412.0762573421712</v>
      </c>
      <c r="M882" s="227"/>
      <c r="N882" s="275"/>
    </row>
    <row r="883" spans="1:14" ht="21.75" customHeight="1">
      <c r="A883" t="s">
        <v>1264</v>
      </c>
      <c r="B883" s="245">
        <v>41428</v>
      </c>
      <c r="C883" s="126">
        <v>970</v>
      </c>
      <c r="D883" s="126">
        <v>967.9</v>
      </c>
      <c r="E883" s="126">
        <v>972.5</v>
      </c>
      <c r="F883">
        <v>983</v>
      </c>
      <c r="G883" s="321">
        <v>0.7873</v>
      </c>
      <c r="H883" s="123">
        <f t="shared" si="78"/>
        <v>3461.2773254707336</v>
      </c>
      <c r="I883" s="123">
        <f t="shared" si="80"/>
        <v>3453.7838384774459</v>
      </c>
      <c r="J883" s="123">
        <f t="shared" si="81"/>
        <v>3470.1981433198848</v>
      </c>
      <c r="K883" s="123">
        <f t="shared" si="79"/>
        <v>3507.6655782863204</v>
      </c>
      <c r="L883" s="176">
        <f t="shared" si="73"/>
        <v>3473.2312213885962</v>
      </c>
      <c r="M883" s="227"/>
      <c r="N883" s="275"/>
    </row>
    <row r="884" spans="1:14" ht="21.75" customHeight="1">
      <c r="A884" t="s">
        <v>1265</v>
      </c>
      <c r="B884" s="245">
        <v>41428</v>
      </c>
      <c r="C884" s="126">
        <v>166.8</v>
      </c>
      <c r="D884" s="126">
        <v>165.1</v>
      </c>
      <c r="E884" s="126">
        <v>164.4</v>
      </c>
      <c r="F884">
        <v>165.5</v>
      </c>
      <c r="G884" s="321">
        <v>0.7873</v>
      </c>
      <c r="H884" s="123">
        <f t="shared" si="78"/>
        <v>595.19696689537977</v>
      </c>
      <c r="I884" s="123">
        <f t="shared" si="80"/>
        <v>589.13081075795674</v>
      </c>
      <c r="J884" s="123">
        <f t="shared" si="81"/>
        <v>586.63298176019453</v>
      </c>
      <c r="K884" s="123">
        <f t="shared" si="79"/>
        <v>590.55814161382102</v>
      </c>
      <c r="L884" s="176">
        <f t="shared" si="73"/>
        <v>590.37972525683801</v>
      </c>
      <c r="M884" s="227"/>
      <c r="N884" s="275"/>
    </row>
    <row r="885" spans="1:14" ht="21.75" customHeight="1">
      <c r="A885" t="s">
        <v>1266</v>
      </c>
      <c r="B885" s="245">
        <v>41428</v>
      </c>
      <c r="C885" s="126">
        <v>260.89999999999998</v>
      </c>
      <c r="D885" s="126">
        <v>261.2</v>
      </c>
      <c r="E885" s="126">
        <v>260.5</v>
      </c>
      <c r="F885">
        <v>261.3</v>
      </c>
      <c r="G885" s="321">
        <v>0.7873</v>
      </c>
      <c r="H885" s="123">
        <f t="shared" si="78"/>
        <v>930.97655073743738</v>
      </c>
      <c r="I885" s="123">
        <f t="shared" si="80"/>
        <v>932.04704887933553</v>
      </c>
      <c r="J885" s="123">
        <f t="shared" si="81"/>
        <v>929.54921988157332</v>
      </c>
      <c r="K885" s="123">
        <f t="shared" si="79"/>
        <v>932.40388159330178</v>
      </c>
      <c r="L885" s="176">
        <f t="shared" si="73"/>
        <v>931.244175272912</v>
      </c>
      <c r="M885" s="227"/>
      <c r="N885" s="275"/>
    </row>
    <row r="886" spans="1:14" ht="21.75" customHeight="1">
      <c r="A886" t="s">
        <v>1267</v>
      </c>
      <c r="C886" s="126"/>
      <c r="D886" s="126"/>
      <c r="E886" s="126"/>
      <c r="G886" s="321">
        <v>0.7873</v>
      </c>
      <c r="H886" s="123">
        <f t="shared" si="78"/>
        <v>0</v>
      </c>
      <c r="I886" s="123">
        <f t="shared" si="80"/>
        <v>0</v>
      </c>
      <c r="J886" s="123">
        <f t="shared" si="81"/>
        <v>0</v>
      </c>
      <c r="K886" s="123">
        <f t="shared" si="79"/>
        <v>0</v>
      </c>
      <c r="L886" s="176">
        <f t="shared" si="73"/>
        <v>0</v>
      </c>
      <c r="M886" s="227"/>
      <c r="N886" s="275"/>
    </row>
    <row r="887" spans="1:14" ht="21.75" customHeight="1">
      <c r="A887" t="s">
        <v>1268</v>
      </c>
      <c r="C887" s="126"/>
      <c r="D887" s="126"/>
      <c r="E887" s="126"/>
      <c r="G887" s="321">
        <v>0.7873</v>
      </c>
      <c r="H887" s="123">
        <f t="shared" si="78"/>
        <v>0</v>
      </c>
      <c r="I887" s="123">
        <f t="shared" si="80"/>
        <v>0</v>
      </c>
      <c r="J887" s="123">
        <f t="shared" si="81"/>
        <v>0</v>
      </c>
      <c r="K887" s="123">
        <f t="shared" si="79"/>
        <v>0</v>
      </c>
      <c r="L887" s="176">
        <f t="shared" si="73"/>
        <v>0</v>
      </c>
      <c r="M887" s="227"/>
      <c r="N887" s="275"/>
    </row>
    <row r="888" spans="1:14" ht="21.75" customHeight="1">
      <c r="A888" t="s">
        <v>1269</v>
      </c>
      <c r="C888" s="126"/>
      <c r="D888" s="126"/>
      <c r="E888" s="126"/>
      <c r="G888" s="321">
        <v>0.7873</v>
      </c>
      <c r="H888" s="123">
        <f t="shared" si="78"/>
        <v>0</v>
      </c>
      <c r="I888" s="123">
        <f t="shared" si="80"/>
        <v>0</v>
      </c>
      <c r="J888" s="123">
        <f t="shared" si="81"/>
        <v>0</v>
      </c>
      <c r="K888" s="123">
        <f t="shared" si="79"/>
        <v>0</v>
      </c>
      <c r="L888" s="176">
        <f t="shared" si="73"/>
        <v>0</v>
      </c>
      <c r="M888" s="227"/>
      <c r="N888" s="275"/>
    </row>
    <row r="889" spans="1:14" ht="21.75" customHeight="1">
      <c r="A889" t="s">
        <v>1270</v>
      </c>
      <c r="C889" s="126"/>
      <c r="D889" s="126"/>
      <c r="E889" s="126"/>
      <c r="G889" s="321">
        <v>0.7873</v>
      </c>
      <c r="H889" s="123">
        <f t="shared" si="78"/>
        <v>0</v>
      </c>
      <c r="I889" s="123">
        <f t="shared" si="80"/>
        <v>0</v>
      </c>
      <c r="J889" s="123">
        <f t="shared" si="81"/>
        <v>0</v>
      </c>
      <c r="K889" s="123">
        <f t="shared" si="79"/>
        <v>0</v>
      </c>
      <c r="L889" s="176">
        <f t="shared" si="73"/>
        <v>0</v>
      </c>
      <c r="M889" s="227"/>
      <c r="N889" s="275"/>
    </row>
    <row r="890" spans="1:14" ht="21.75" customHeight="1">
      <c r="A890" t="s">
        <v>1271</v>
      </c>
      <c r="C890" s="126"/>
      <c r="D890" s="126"/>
      <c r="E890" s="126"/>
      <c r="G890" s="321">
        <v>0.7873</v>
      </c>
      <c r="H890" s="123">
        <f t="shared" si="78"/>
        <v>0</v>
      </c>
      <c r="I890" s="123">
        <f t="shared" si="80"/>
        <v>0</v>
      </c>
      <c r="J890" s="123">
        <f t="shared" si="81"/>
        <v>0</v>
      </c>
      <c r="K890" s="123">
        <f t="shared" si="79"/>
        <v>0</v>
      </c>
      <c r="L890" s="176">
        <f t="shared" si="73"/>
        <v>0</v>
      </c>
      <c r="M890" s="227"/>
      <c r="N890" s="275"/>
    </row>
    <row r="891" spans="1:14" ht="21.75" customHeight="1">
      <c r="A891" t="s">
        <v>1272</v>
      </c>
      <c r="C891" s="126"/>
      <c r="D891" s="126"/>
      <c r="E891" s="126"/>
      <c r="G891" s="321">
        <v>0.7873</v>
      </c>
      <c r="H891" s="123">
        <f t="shared" si="78"/>
        <v>0</v>
      </c>
      <c r="I891" s="123">
        <f t="shared" si="80"/>
        <v>0</v>
      </c>
      <c r="J891" s="123">
        <f t="shared" si="81"/>
        <v>0</v>
      </c>
      <c r="K891" s="123">
        <f t="shared" si="79"/>
        <v>0</v>
      </c>
      <c r="L891" s="176">
        <f t="shared" si="73"/>
        <v>0</v>
      </c>
      <c r="M891" s="227"/>
      <c r="N891" s="275"/>
    </row>
    <row r="892" spans="1:14" ht="21.75" customHeight="1">
      <c r="A892" t="s">
        <v>1273</v>
      </c>
      <c r="C892" s="126"/>
      <c r="D892" s="126"/>
      <c r="E892" s="126"/>
      <c r="G892" s="321">
        <v>0.7873</v>
      </c>
      <c r="H892" s="123">
        <f t="shared" si="78"/>
        <v>0</v>
      </c>
      <c r="I892" s="123">
        <f t="shared" si="80"/>
        <v>0</v>
      </c>
      <c r="J892" s="123">
        <f t="shared" si="81"/>
        <v>0</v>
      </c>
      <c r="K892" s="123">
        <f t="shared" si="79"/>
        <v>0</v>
      </c>
      <c r="L892" s="176">
        <f t="shared" si="73"/>
        <v>0</v>
      </c>
      <c r="M892" s="227"/>
      <c r="N892" s="275"/>
    </row>
    <row r="893" spans="1:14" ht="21.75" customHeight="1">
      <c r="A893" t="s">
        <v>1274</v>
      </c>
      <c r="C893" s="126"/>
      <c r="D893" s="126"/>
      <c r="E893" s="126"/>
      <c r="G893" s="321">
        <v>0.7873</v>
      </c>
      <c r="H893" s="123">
        <f t="shared" si="78"/>
        <v>0</v>
      </c>
      <c r="I893" s="123">
        <f t="shared" si="80"/>
        <v>0</v>
      </c>
      <c r="J893" s="123">
        <f t="shared" si="81"/>
        <v>0</v>
      </c>
      <c r="K893" s="123">
        <f t="shared" si="79"/>
        <v>0</v>
      </c>
      <c r="L893" s="176">
        <f t="shared" si="73"/>
        <v>0</v>
      </c>
      <c r="M893" s="227"/>
      <c r="N893" s="275"/>
    </row>
    <row r="894" spans="1:14" ht="21.75" customHeight="1">
      <c r="A894" t="s">
        <v>1275</v>
      </c>
      <c r="C894" s="126"/>
      <c r="D894" s="126"/>
      <c r="E894" s="126"/>
      <c r="G894" s="321">
        <v>0.7873</v>
      </c>
      <c r="H894" s="123">
        <f t="shared" si="78"/>
        <v>0</v>
      </c>
      <c r="I894" s="123">
        <f t="shared" si="80"/>
        <v>0</v>
      </c>
      <c r="J894" s="123">
        <f t="shared" si="81"/>
        <v>0</v>
      </c>
      <c r="K894" s="123">
        <f t="shared" si="79"/>
        <v>0</v>
      </c>
      <c r="L894" s="176">
        <f t="shared" si="73"/>
        <v>0</v>
      </c>
      <c r="M894" s="227"/>
      <c r="N894" s="275"/>
    </row>
    <row r="895" spans="1:14" ht="21.75" customHeight="1">
      <c r="A895" t="s">
        <v>1276</v>
      </c>
      <c r="C895" s="126"/>
      <c r="D895" s="126"/>
      <c r="E895" s="126"/>
      <c r="G895" s="321">
        <v>0.7873</v>
      </c>
      <c r="H895" s="123">
        <f t="shared" si="78"/>
        <v>0</v>
      </c>
      <c r="I895" s="123">
        <f t="shared" si="80"/>
        <v>0</v>
      </c>
      <c r="J895" s="123">
        <f t="shared" si="81"/>
        <v>0</v>
      </c>
      <c r="K895" s="123">
        <f t="shared" si="79"/>
        <v>0</v>
      </c>
      <c r="L895" s="176">
        <f t="shared" si="73"/>
        <v>0</v>
      </c>
      <c r="M895" s="227"/>
      <c r="N895" s="275"/>
    </row>
    <row r="896" spans="1:14" ht="21.75" customHeight="1">
      <c r="A896" t="s">
        <v>1277</v>
      </c>
      <c r="C896" s="126"/>
      <c r="D896" s="126"/>
      <c r="E896" s="126"/>
      <c r="G896" s="321">
        <v>0.7873</v>
      </c>
      <c r="H896" s="123">
        <f t="shared" si="78"/>
        <v>0</v>
      </c>
      <c r="I896" s="123">
        <f t="shared" si="80"/>
        <v>0</v>
      </c>
      <c r="J896" s="123">
        <f t="shared" si="81"/>
        <v>0</v>
      </c>
      <c r="K896" s="123">
        <f t="shared" si="79"/>
        <v>0</v>
      </c>
      <c r="L896" s="176">
        <f t="shared" si="73"/>
        <v>0</v>
      </c>
      <c r="M896" s="227"/>
      <c r="N896" s="275"/>
    </row>
    <row r="897" spans="1:14" ht="21.75" customHeight="1">
      <c r="A897" t="s">
        <v>1278</v>
      </c>
      <c r="C897" s="126"/>
      <c r="D897" s="126"/>
      <c r="E897" s="126"/>
      <c r="G897" s="321">
        <v>0.7873</v>
      </c>
      <c r="H897" s="123">
        <f t="shared" si="78"/>
        <v>0</v>
      </c>
      <c r="I897" s="123">
        <f t="shared" si="80"/>
        <v>0</v>
      </c>
      <c r="J897" s="123">
        <f t="shared" si="81"/>
        <v>0</v>
      </c>
      <c r="K897" s="123">
        <f t="shared" si="79"/>
        <v>0</v>
      </c>
      <c r="L897" s="176">
        <f t="shared" ref="L897:L960" si="82">AVERAGE(H897:K897)</f>
        <v>0</v>
      </c>
      <c r="M897" s="227"/>
      <c r="N897" s="275"/>
    </row>
    <row r="898" spans="1:14" ht="21.75" customHeight="1">
      <c r="A898" t="s">
        <v>1279</v>
      </c>
      <c r="C898" s="126"/>
      <c r="D898" s="126"/>
      <c r="E898" s="126"/>
      <c r="G898" s="321">
        <v>0.7873</v>
      </c>
      <c r="H898" s="123">
        <f t="shared" si="78"/>
        <v>0</v>
      </c>
      <c r="I898" s="123">
        <f t="shared" si="80"/>
        <v>0</v>
      </c>
      <c r="J898" s="123">
        <f t="shared" si="81"/>
        <v>0</v>
      </c>
      <c r="K898" s="123">
        <f t="shared" si="79"/>
        <v>0</v>
      </c>
      <c r="L898" s="176">
        <f t="shared" si="82"/>
        <v>0</v>
      </c>
      <c r="M898" s="227"/>
      <c r="N898" s="275"/>
    </row>
    <row r="899" spans="1:14" ht="21.75" customHeight="1">
      <c r="A899" t="s">
        <v>1280</v>
      </c>
      <c r="B899" s="245">
        <v>41450</v>
      </c>
      <c r="C899" s="126">
        <v>123.8</v>
      </c>
      <c r="D899" s="126">
        <v>123.3</v>
      </c>
      <c r="E899" s="126">
        <v>122.3</v>
      </c>
      <c r="F899">
        <v>122.2</v>
      </c>
      <c r="G899" s="321">
        <v>0.7873</v>
      </c>
      <c r="H899" s="123">
        <f t="shared" si="78"/>
        <v>441.75889988997614</v>
      </c>
      <c r="I899" s="123">
        <f t="shared" si="80"/>
        <v>439.97473632014584</v>
      </c>
      <c r="J899" s="123">
        <f t="shared" si="81"/>
        <v>436.4064091804853</v>
      </c>
      <c r="K899" s="123">
        <f t="shared" si="79"/>
        <v>436.04957646651923</v>
      </c>
      <c r="L899" s="176">
        <f t="shared" si="82"/>
        <v>438.54740546428161</v>
      </c>
      <c r="M899" s="227"/>
      <c r="N899" s="275"/>
    </row>
    <row r="900" spans="1:14" ht="21.75" customHeight="1">
      <c r="A900" t="s">
        <v>1282</v>
      </c>
      <c r="B900" s="245">
        <v>41450</v>
      </c>
      <c r="C900" s="126">
        <v>134.19999999999999</v>
      </c>
      <c r="D900" s="126">
        <v>135.5</v>
      </c>
      <c r="E900" s="126">
        <v>134</v>
      </c>
      <c r="F900">
        <v>134.19999999999999</v>
      </c>
      <c r="G900" s="321">
        <v>0.7873</v>
      </c>
      <c r="H900" s="123">
        <f t="shared" si="78"/>
        <v>478.86950214244581</v>
      </c>
      <c r="I900" s="123">
        <f t="shared" si="80"/>
        <v>483.50832742400456</v>
      </c>
      <c r="J900" s="123">
        <f t="shared" si="81"/>
        <v>478.15583671451367</v>
      </c>
      <c r="K900" s="123">
        <f t="shared" si="79"/>
        <v>478.86950214244581</v>
      </c>
      <c r="L900" s="176">
        <f t="shared" si="82"/>
        <v>479.85079210585246</v>
      </c>
      <c r="M900" s="227"/>
      <c r="N900" s="275"/>
    </row>
    <row r="901" spans="1:14" ht="21.75" customHeight="1">
      <c r="A901" t="s">
        <v>1283</v>
      </c>
      <c r="B901" s="245">
        <v>41450</v>
      </c>
      <c r="C901" s="126">
        <v>94.4</v>
      </c>
      <c r="D901" s="126">
        <v>93.7</v>
      </c>
      <c r="E901" s="126">
        <v>95</v>
      </c>
      <c r="F901">
        <v>95</v>
      </c>
      <c r="G901" s="321">
        <v>0.7873</v>
      </c>
      <c r="H901" s="123">
        <f t="shared" si="78"/>
        <v>336.85008198395593</v>
      </c>
      <c r="I901" s="123">
        <f t="shared" si="80"/>
        <v>334.35225298619355</v>
      </c>
      <c r="J901" s="123">
        <f t="shared" si="81"/>
        <v>338.99107826775224</v>
      </c>
      <c r="K901" s="123">
        <f t="shared" si="79"/>
        <v>338.99107826775224</v>
      </c>
      <c r="L901" s="176">
        <f t="shared" si="82"/>
        <v>337.29612287641351</v>
      </c>
      <c r="M901" s="227"/>
      <c r="N901" s="275"/>
    </row>
    <row r="902" spans="1:14" ht="21.75" customHeight="1">
      <c r="A902" t="s">
        <v>1285</v>
      </c>
      <c r="B902" s="245">
        <v>41450</v>
      </c>
      <c r="C902" s="126">
        <v>132.5</v>
      </c>
      <c r="D902" s="126">
        <v>130.6</v>
      </c>
      <c r="E902" s="126">
        <v>131.6</v>
      </c>
      <c r="F902">
        <v>134.4</v>
      </c>
      <c r="G902" s="321">
        <v>0.7873</v>
      </c>
      <c r="H902" s="123">
        <f t="shared" si="78"/>
        <v>472.80334600502283</v>
      </c>
      <c r="I902" s="123">
        <f t="shared" si="80"/>
        <v>466.02352443966777</v>
      </c>
      <c r="J902" s="123">
        <f t="shared" si="81"/>
        <v>469.59185157932836</v>
      </c>
      <c r="K902" s="123">
        <f t="shared" si="79"/>
        <v>479.5831675703779</v>
      </c>
      <c r="L902" s="176">
        <f t="shared" si="82"/>
        <v>472.00047239859919</v>
      </c>
      <c r="M902" s="227"/>
      <c r="N902" s="275"/>
    </row>
    <row r="903" spans="1:14" ht="21.75" customHeight="1">
      <c r="A903" t="s">
        <v>1286</v>
      </c>
      <c r="B903" s="245">
        <v>41450</v>
      </c>
      <c r="C903" s="126">
        <v>132.19999999999999</v>
      </c>
      <c r="D903" s="126">
        <v>130.9</v>
      </c>
      <c r="E903" s="126">
        <v>133.30000000000001</v>
      </c>
      <c r="F903">
        <v>135.5</v>
      </c>
      <c r="G903" s="321">
        <v>0.7873</v>
      </c>
      <c r="H903" s="123">
        <f t="shared" ref="H903:H928" si="83">(C903*(PI()/LN(2)))*$G903</f>
        <v>471.73284786312468</v>
      </c>
      <c r="I903" s="123">
        <f t="shared" si="80"/>
        <v>467.09402258156604</v>
      </c>
      <c r="J903" s="123">
        <f t="shared" si="81"/>
        <v>475.6580077167514</v>
      </c>
      <c r="K903" s="123">
        <f t="shared" ref="K903:K923" si="84">(F903*(PI()/LN(2)))*$G903</f>
        <v>483.50832742400456</v>
      </c>
      <c r="L903" s="176">
        <f t="shared" si="82"/>
        <v>474.49830139636168</v>
      </c>
      <c r="M903" s="227"/>
      <c r="N903" s="275"/>
    </row>
    <row r="904" spans="1:14" ht="21.75" customHeight="1">
      <c r="A904" t="s">
        <v>1287</v>
      </c>
      <c r="B904" s="245">
        <v>41450</v>
      </c>
      <c r="C904" s="126">
        <v>92.7</v>
      </c>
      <c r="D904" s="126">
        <v>93.1</v>
      </c>
      <c r="E904" s="126">
        <v>93.5</v>
      </c>
      <c r="F904">
        <v>94.1</v>
      </c>
      <c r="G904" s="321">
        <v>0.7873</v>
      </c>
      <c r="H904" s="123">
        <f t="shared" si="83"/>
        <v>330.78392584653295</v>
      </c>
      <c r="I904" s="123">
        <f t="shared" ref="I904:I923" si="85">(D904*(PI()/LN(2)))*$G904</f>
        <v>332.21125670239718</v>
      </c>
      <c r="J904" s="123">
        <f t="shared" ref="J904:J923" si="86">(E904*(PI()/LN(2)))*$G904</f>
        <v>333.63858755826141</v>
      </c>
      <c r="K904" s="123">
        <f t="shared" si="84"/>
        <v>335.77958384205772</v>
      </c>
      <c r="L904" s="176">
        <f t="shared" si="82"/>
        <v>333.10333848731233</v>
      </c>
      <c r="M904" s="227"/>
      <c r="N904" s="275"/>
    </row>
    <row r="905" spans="1:14" ht="21.75" customHeight="1">
      <c r="A905" t="s">
        <v>1288</v>
      </c>
      <c r="B905" s="245">
        <v>41456</v>
      </c>
      <c r="C905" s="126">
        <v>146.80000000000001</v>
      </c>
      <c r="D905" s="126">
        <v>147</v>
      </c>
      <c r="E905" s="126">
        <v>146.1</v>
      </c>
      <c r="F905">
        <v>148.4</v>
      </c>
      <c r="G905" s="321">
        <v>0.7873</v>
      </c>
      <c r="H905" s="123">
        <f t="shared" si="83"/>
        <v>523.83042410216876</v>
      </c>
      <c r="I905" s="123">
        <f t="shared" si="85"/>
        <v>524.54408953010079</v>
      </c>
      <c r="J905" s="123">
        <f t="shared" si="86"/>
        <v>521.33259510440632</v>
      </c>
      <c r="K905" s="123">
        <f t="shared" si="84"/>
        <v>529.53974752562567</v>
      </c>
      <c r="L905" s="176">
        <f t="shared" si="82"/>
        <v>524.81171406557542</v>
      </c>
      <c r="M905" s="227"/>
      <c r="N905" s="275"/>
    </row>
    <row r="906" spans="1:14" ht="21.75" customHeight="1">
      <c r="A906" t="s">
        <v>1290</v>
      </c>
      <c r="B906" s="245">
        <v>41456</v>
      </c>
      <c r="C906" s="126">
        <v>146.30000000000001</v>
      </c>
      <c r="D906" s="126">
        <v>146.4</v>
      </c>
      <c r="E906" s="126">
        <v>145.6</v>
      </c>
      <c r="F906">
        <v>146.5</v>
      </c>
      <c r="G906" s="321">
        <v>0.7873</v>
      </c>
      <c r="H906" s="123">
        <f t="shared" si="83"/>
        <v>522.04626053233858</v>
      </c>
      <c r="I906" s="123">
        <f t="shared" si="85"/>
        <v>522.40309324630448</v>
      </c>
      <c r="J906" s="123">
        <f t="shared" si="86"/>
        <v>519.54843153457603</v>
      </c>
      <c r="K906" s="123">
        <f t="shared" si="84"/>
        <v>522.75992596027061</v>
      </c>
      <c r="L906" s="176">
        <f t="shared" si="82"/>
        <v>521.68942781837245</v>
      </c>
      <c r="M906" s="227"/>
      <c r="N906" s="275"/>
    </row>
    <row r="907" spans="1:14" ht="21.75" customHeight="1">
      <c r="A907" t="s">
        <v>1291</v>
      </c>
      <c r="B907" s="245">
        <v>41456</v>
      </c>
      <c r="C907" s="126">
        <v>115.8</v>
      </c>
      <c r="D907" s="126">
        <v>115.1</v>
      </c>
      <c r="E907" s="126">
        <v>116.1</v>
      </c>
      <c r="F907">
        <v>115.4</v>
      </c>
      <c r="G907" s="321">
        <v>0.7873</v>
      </c>
      <c r="H907" s="123">
        <f t="shared" si="83"/>
        <v>413.21228277269171</v>
      </c>
      <c r="I907" s="123">
        <f t="shared" si="85"/>
        <v>410.71445377492932</v>
      </c>
      <c r="J907" s="123">
        <f t="shared" si="86"/>
        <v>414.28278091458986</v>
      </c>
      <c r="K907" s="123">
        <f t="shared" si="84"/>
        <v>411.78495191682748</v>
      </c>
      <c r="L907" s="176">
        <f t="shared" si="82"/>
        <v>412.49861734475962</v>
      </c>
      <c r="M907" s="227"/>
      <c r="N907" s="275"/>
    </row>
    <row r="908" spans="1:14" ht="21.75" customHeight="1">
      <c r="A908" t="s">
        <v>1292</v>
      </c>
      <c r="B908" s="245">
        <v>41456</v>
      </c>
      <c r="C908" s="126">
        <v>142.1</v>
      </c>
      <c r="D908" s="126">
        <v>141.69999999999999</v>
      </c>
      <c r="E908" s="126">
        <v>143.30000000000001</v>
      </c>
      <c r="F908">
        <v>142.80000000000001</v>
      </c>
      <c r="G908" s="321">
        <v>0.7873</v>
      </c>
      <c r="H908" s="123">
        <f t="shared" si="83"/>
        <v>507.05928654576417</v>
      </c>
      <c r="I908" s="123">
        <f t="shared" si="85"/>
        <v>505.63195568989983</v>
      </c>
      <c r="J908" s="123">
        <f t="shared" si="86"/>
        <v>511.34127911335685</v>
      </c>
      <c r="K908" s="123">
        <f t="shared" si="84"/>
        <v>509.55711554352655</v>
      </c>
      <c r="L908" s="176">
        <f t="shared" si="82"/>
        <v>508.39740922313689</v>
      </c>
      <c r="M908" s="227"/>
      <c r="N908" s="275"/>
    </row>
    <row r="909" spans="1:14" ht="21.75" customHeight="1">
      <c r="A909" t="s">
        <v>1293</v>
      </c>
      <c r="B909" s="245">
        <v>41456</v>
      </c>
      <c r="C909" s="126">
        <v>143.19999999999999</v>
      </c>
      <c r="D909" s="126">
        <v>144.6</v>
      </c>
      <c r="E909" s="126">
        <v>144.80000000000001</v>
      </c>
      <c r="F909">
        <v>144</v>
      </c>
      <c r="G909" s="321">
        <v>0.7873</v>
      </c>
      <c r="H909" s="123">
        <f t="shared" si="83"/>
        <v>510.98444639939072</v>
      </c>
      <c r="I909" s="123">
        <f t="shared" si="85"/>
        <v>515.98010439491554</v>
      </c>
      <c r="J909" s="123">
        <f t="shared" si="86"/>
        <v>516.69376982284768</v>
      </c>
      <c r="K909" s="123">
        <f t="shared" si="84"/>
        <v>513.83910811111923</v>
      </c>
      <c r="L909" s="176">
        <f t="shared" si="82"/>
        <v>514.37435718206825</v>
      </c>
      <c r="M909" s="227"/>
      <c r="N909" s="275"/>
    </row>
    <row r="910" spans="1:14" ht="21.75" customHeight="1">
      <c r="A910" t="s">
        <v>1294</v>
      </c>
      <c r="B910" s="245">
        <v>41456</v>
      </c>
      <c r="C910" s="126">
        <v>95.3</v>
      </c>
      <c r="D910" s="126">
        <v>95.7</v>
      </c>
      <c r="E910" s="126">
        <v>95.4</v>
      </c>
      <c r="F910">
        <v>95.9</v>
      </c>
      <c r="G910" s="321">
        <v>0.7873</v>
      </c>
      <c r="H910" s="123">
        <f t="shared" si="83"/>
        <v>340.0615764096504</v>
      </c>
      <c r="I910" s="123">
        <f t="shared" si="85"/>
        <v>341.48890726551463</v>
      </c>
      <c r="J910" s="123">
        <f t="shared" si="86"/>
        <v>340.41840912361653</v>
      </c>
      <c r="K910" s="123">
        <f t="shared" si="84"/>
        <v>342.20257269344671</v>
      </c>
      <c r="L910" s="176">
        <f t="shared" si="82"/>
        <v>341.04286637305705</v>
      </c>
      <c r="M910" s="227"/>
      <c r="N910" s="275"/>
    </row>
    <row r="911" spans="1:14" ht="21.75" customHeight="1">
      <c r="A911" t="s">
        <v>1295</v>
      </c>
      <c r="B911" s="245">
        <v>41464</v>
      </c>
      <c r="C911" s="126">
        <v>100.1</v>
      </c>
      <c r="D911" s="126">
        <v>100.1</v>
      </c>
      <c r="E911" s="126">
        <v>102.4</v>
      </c>
      <c r="F911">
        <v>101</v>
      </c>
      <c r="G911" s="321">
        <v>0.7873</v>
      </c>
      <c r="H911" s="123">
        <f t="shared" si="83"/>
        <v>357.18954668002101</v>
      </c>
      <c r="I911" s="123">
        <f t="shared" si="85"/>
        <v>357.18954668002101</v>
      </c>
      <c r="J911" s="123">
        <f t="shared" si="86"/>
        <v>365.3966991012403</v>
      </c>
      <c r="K911" s="123">
        <f t="shared" si="84"/>
        <v>360.40104110571554</v>
      </c>
      <c r="L911" s="176">
        <f t="shared" si="82"/>
        <v>360.04420839174952</v>
      </c>
      <c r="M911" s="227"/>
      <c r="N911" s="275"/>
    </row>
    <row r="912" spans="1:14" ht="21.75" customHeight="1">
      <c r="A912" t="s">
        <v>1297</v>
      </c>
      <c r="B912" s="245">
        <v>41464</v>
      </c>
      <c r="C912" s="126">
        <v>105.9</v>
      </c>
      <c r="D912" s="126">
        <v>106.3</v>
      </c>
      <c r="E912" s="126">
        <v>105.2</v>
      </c>
      <c r="F912">
        <v>106.5</v>
      </c>
      <c r="G912" s="321">
        <v>0.7873</v>
      </c>
      <c r="H912" s="123">
        <f t="shared" si="83"/>
        <v>377.88584409005222</v>
      </c>
      <c r="I912" s="123">
        <f t="shared" si="85"/>
        <v>379.31317494591644</v>
      </c>
      <c r="J912" s="123">
        <f t="shared" si="86"/>
        <v>375.38801509228983</v>
      </c>
      <c r="K912" s="123">
        <f t="shared" si="84"/>
        <v>380.02684037384859</v>
      </c>
      <c r="L912" s="176">
        <f t="shared" si="82"/>
        <v>378.15346862552678</v>
      </c>
      <c r="M912" s="227"/>
      <c r="N912" s="275"/>
    </row>
    <row r="913" spans="1:14" ht="21.75" customHeight="1">
      <c r="A913" t="s">
        <v>1298</v>
      </c>
      <c r="B913" s="245">
        <v>41464</v>
      </c>
      <c r="C913" s="126">
        <v>109.1</v>
      </c>
      <c r="D913" s="126">
        <v>107.8</v>
      </c>
      <c r="E913" s="126">
        <v>108.2</v>
      </c>
      <c r="F913">
        <v>109.9</v>
      </c>
      <c r="G913" s="321">
        <v>0.7873</v>
      </c>
      <c r="H913" s="123">
        <f t="shared" si="83"/>
        <v>389.30449093696598</v>
      </c>
      <c r="I913" s="123">
        <f t="shared" si="85"/>
        <v>384.66566565540728</v>
      </c>
      <c r="J913" s="123">
        <f t="shared" si="86"/>
        <v>386.09299651127151</v>
      </c>
      <c r="K913" s="123">
        <f t="shared" si="84"/>
        <v>392.15915264869443</v>
      </c>
      <c r="L913" s="176">
        <f t="shared" si="82"/>
        <v>388.05557643808481</v>
      </c>
      <c r="M913" s="227"/>
      <c r="N913" s="275"/>
    </row>
    <row r="914" spans="1:14" ht="21.75" customHeight="1">
      <c r="A914" t="s">
        <v>1299</v>
      </c>
      <c r="B914" s="245">
        <v>41464</v>
      </c>
      <c r="C914" s="126">
        <v>98.9</v>
      </c>
      <c r="D914" s="126">
        <v>99.1</v>
      </c>
      <c r="E914" s="126">
        <v>99.9</v>
      </c>
      <c r="F914">
        <v>99.5</v>
      </c>
      <c r="G914" s="321">
        <v>0.7873</v>
      </c>
      <c r="H914" s="123">
        <f t="shared" si="83"/>
        <v>352.90755411242844</v>
      </c>
      <c r="I914" s="123">
        <f t="shared" si="85"/>
        <v>353.62121954036047</v>
      </c>
      <c r="J914" s="123">
        <f t="shared" si="86"/>
        <v>356.47588125208893</v>
      </c>
      <c r="K914" s="123">
        <f t="shared" si="84"/>
        <v>355.0485503962247</v>
      </c>
      <c r="L914" s="176">
        <f t="shared" si="82"/>
        <v>354.51330132527568</v>
      </c>
      <c r="M914" s="227"/>
      <c r="N914" s="275"/>
    </row>
    <row r="915" spans="1:14" ht="21.75" customHeight="1">
      <c r="A915" t="s">
        <v>1300</v>
      </c>
      <c r="B915" s="245">
        <v>41464</v>
      </c>
      <c r="C915" s="126">
        <v>99.6</v>
      </c>
      <c r="D915" s="126">
        <v>100.8</v>
      </c>
      <c r="E915" s="126">
        <v>99.8</v>
      </c>
      <c r="F915">
        <v>100.4</v>
      </c>
      <c r="G915" s="321">
        <v>0.7873</v>
      </c>
      <c r="H915" s="123">
        <f t="shared" si="83"/>
        <v>355.40538311019071</v>
      </c>
      <c r="I915" s="123">
        <f t="shared" si="85"/>
        <v>359.68737567778339</v>
      </c>
      <c r="J915" s="123">
        <f t="shared" si="86"/>
        <v>356.11904853812291</v>
      </c>
      <c r="K915" s="123">
        <f t="shared" si="84"/>
        <v>358.26004482191922</v>
      </c>
      <c r="L915" s="176">
        <f t="shared" si="82"/>
        <v>357.36796303700407</v>
      </c>
      <c r="M915" s="227"/>
      <c r="N915" s="275"/>
    </row>
    <row r="916" spans="1:14" ht="21.75" customHeight="1">
      <c r="A916" t="s">
        <v>1301</v>
      </c>
      <c r="B916" s="245">
        <v>41464</v>
      </c>
      <c r="C916" s="126">
        <v>109</v>
      </c>
      <c r="D916" s="126">
        <v>108.7</v>
      </c>
      <c r="E916" s="126">
        <v>109.1</v>
      </c>
      <c r="F916">
        <v>109.7</v>
      </c>
      <c r="G916" s="321">
        <v>0.7873</v>
      </c>
      <c r="H916" s="123">
        <f t="shared" si="83"/>
        <v>388.94765822299996</v>
      </c>
      <c r="I916" s="123">
        <f t="shared" si="85"/>
        <v>387.87716008110181</v>
      </c>
      <c r="J916" s="123">
        <f t="shared" si="86"/>
        <v>389.30449093696598</v>
      </c>
      <c r="K916" s="123">
        <f t="shared" si="84"/>
        <v>391.44548722076235</v>
      </c>
      <c r="L916" s="176">
        <f t="shared" si="82"/>
        <v>389.39369911545754</v>
      </c>
      <c r="M916" s="227"/>
      <c r="N916" s="275"/>
    </row>
    <row r="917" spans="1:14" ht="21.75" customHeight="1">
      <c r="A917" t="s">
        <v>1302</v>
      </c>
      <c r="C917" s="126"/>
      <c r="D917" s="126"/>
      <c r="E917" s="126"/>
      <c r="G917" s="321">
        <v>0.7873</v>
      </c>
      <c r="H917" s="123">
        <f t="shared" si="83"/>
        <v>0</v>
      </c>
      <c r="I917" s="123">
        <f t="shared" si="85"/>
        <v>0</v>
      </c>
      <c r="J917" s="123">
        <f t="shared" si="86"/>
        <v>0</v>
      </c>
      <c r="K917" s="123">
        <f t="shared" si="84"/>
        <v>0</v>
      </c>
      <c r="L917" s="176">
        <f t="shared" si="82"/>
        <v>0</v>
      </c>
      <c r="M917" s="227"/>
      <c r="N917" s="275"/>
    </row>
    <row r="918" spans="1:14" ht="21.75" customHeight="1">
      <c r="A918" t="s">
        <v>1303</v>
      </c>
      <c r="C918" s="126"/>
      <c r="D918" s="126"/>
      <c r="E918" s="126"/>
      <c r="G918" s="321">
        <v>0.7873</v>
      </c>
      <c r="H918" s="123">
        <f t="shared" si="83"/>
        <v>0</v>
      </c>
      <c r="I918" s="123">
        <f t="shared" si="85"/>
        <v>0</v>
      </c>
      <c r="J918" s="123">
        <f t="shared" si="86"/>
        <v>0</v>
      </c>
      <c r="K918" s="123">
        <f t="shared" si="84"/>
        <v>0</v>
      </c>
      <c r="L918" s="176">
        <f t="shared" si="82"/>
        <v>0</v>
      </c>
      <c r="M918" s="227"/>
      <c r="N918" s="275"/>
    </row>
    <row r="919" spans="1:14" ht="21.75" customHeight="1">
      <c r="A919" t="s">
        <v>1304</v>
      </c>
      <c r="C919" s="126"/>
      <c r="D919" s="126"/>
      <c r="E919" s="126"/>
      <c r="G919" s="321">
        <v>0.7873</v>
      </c>
      <c r="H919" s="123">
        <f t="shared" si="83"/>
        <v>0</v>
      </c>
      <c r="I919" s="123">
        <f t="shared" si="85"/>
        <v>0</v>
      </c>
      <c r="J919" s="123">
        <f t="shared" si="86"/>
        <v>0</v>
      </c>
      <c r="K919" s="123">
        <f t="shared" si="84"/>
        <v>0</v>
      </c>
      <c r="L919" s="176">
        <f t="shared" si="82"/>
        <v>0</v>
      </c>
      <c r="M919" s="227"/>
      <c r="N919" s="275"/>
    </row>
    <row r="920" spans="1:14" ht="21.75" customHeight="1">
      <c r="A920" t="s">
        <v>1305</v>
      </c>
      <c r="C920" s="126"/>
      <c r="D920" s="126"/>
      <c r="E920" s="126"/>
      <c r="G920" s="321">
        <v>0.7873</v>
      </c>
      <c r="H920" s="123">
        <f t="shared" si="83"/>
        <v>0</v>
      </c>
      <c r="I920" s="123">
        <f t="shared" si="85"/>
        <v>0</v>
      </c>
      <c r="J920" s="123">
        <f t="shared" si="86"/>
        <v>0</v>
      </c>
      <c r="K920" s="123">
        <f t="shared" si="84"/>
        <v>0</v>
      </c>
      <c r="L920" s="176">
        <f t="shared" si="82"/>
        <v>0</v>
      </c>
      <c r="M920" s="227"/>
      <c r="N920" s="275"/>
    </row>
    <row r="921" spans="1:14" ht="21.75" customHeight="1">
      <c r="A921" t="s">
        <v>1306</v>
      </c>
      <c r="C921" s="126"/>
      <c r="D921" s="126"/>
      <c r="E921" s="126"/>
      <c r="G921" s="321">
        <v>0.7873</v>
      </c>
      <c r="H921" s="123">
        <f t="shared" si="83"/>
        <v>0</v>
      </c>
      <c r="I921" s="123">
        <f t="shared" si="85"/>
        <v>0</v>
      </c>
      <c r="J921" s="123">
        <f t="shared" si="86"/>
        <v>0</v>
      </c>
      <c r="K921" s="123">
        <f t="shared" si="84"/>
        <v>0</v>
      </c>
      <c r="L921" s="176">
        <f t="shared" si="82"/>
        <v>0</v>
      </c>
      <c r="M921" s="227"/>
      <c r="N921" s="275"/>
    </row>
    <row r="922" spans="1:14" ht="21.75" customHeight="1">
      <c r="A922" t="s">
        <v>1307</v>
      </c>
      <c r="C922" s="126"/>
      <c r="D922" s="126"/>
      <c r="E922" s="126"/>
      <c r="G922" s="321">
        <v>0.7873</v>
      </c>
      <c r="H922" s="123">
        <f t="shared" si="83"/>
        <v>0</v>
      </c>
      <c r="I922" s="123">
        <f t="shared" si="85"/>
        <v>0</v>
      </c>
      <c r="J922" s="123">
        <f t="shared" si="86"/>
        <v>0</v>
      </c>
      <c r="K922" s="123">
        <f t="shared" si="84"/>
        <v>0</v>
      </c>
      <c r="L922" s="176">
        <f t="shared" si="82"/>
        <v>0</v>
      </c>
      <c r="M922" s="227"/>
      <c r="N922" s="275"/>
    </row>
    <row r="923" spans="1:14" ht="21.75" customHeight="1">
      <c r="A923" t="s">
        <v>1308</v>
      </c>
      <c r="B923" s="245">
        <v>41476</v>
      </c>
      <c r="C923" s="126">
        <v>121.1</v>
      </c>
      <c r="D923" s="126">
        <v>121.5</v>
      </c>
      <c r="E923" s="126">
        <v>120.8</v>
      </c>
      <c r="F923">
        <v>120.4</v>
      </c>
      <c r="G923" s="321">
        <v>0.7873</v>
      </c>
      <c r="H923" s="123">
        <f t="shared" si="83"/>
        <v>432.12441661289262</v>
      </c>
      <c r="I923" s="123">
        <f t="shared" si="85"/>
        <v>433.55174746875684</v>
      </c>
      <c r="J923" s="123">
        <f t="shared" si="86"/>
        <v>431.0539184709944</v>
      </c>
      <c r="K923" s="123">
        <f t="shared" si="84"/>
        <v>429.62658761513018</v>
      </c>
      <c r="L923" s="176">
        <f t="shared" si="82"/>
        <v>431.58916754194348</v>
      </c>
      <c r="M923" s="227"/>
      <c r="N923" s="275"/>
    </row>
    <row r="924" spans="1:14" ht="21.75" customHeight="1">
      <c r="A924" t="s">
        <v>1310</v>
      </c>
      <c r="B924" s="245">
        <v>41476</v>
      </c>
      <c r="C924" s="126">
        <v>121.9</v>
      </c>
      <c r="D924" s="126">
        <v>121.5</v>
      </c>
      <c r="E924" s="126"/>
      <c r="G924" s="321">
        <v>0.7873</v>
      </c>
      <c r="H924" s="123">
        <f t="shared" si="83"/>
        <v>434.97907832462107</v>
      </c>
      <c r="I924" s="123">
        <f>(D924*(PI()/LN(2)))*$G924</f>
        <v>433.55174746875684</v>
      </c>
      <c r="J924" s="123"/>
      <c r="K924" s="123"/>
      <c r="L924" s="176">
        <f t="shared" si="82"/>
        <v>434.26541289668899</v>
      </c>
      <c r="M924" s="227"/>
      <c r="N924" s="275"/>
    </row>
    <row r="925" spans="1:14" ht="21.75" customHeight="1">
      <c r="A925" t="s">
        <v>1311</v>
      </c>
      <c r="B925" s="245">
        <v>41476</v>
      </c>
      <c r="C925" s="126">
        <v>74.900000000000006</v>
      </c>
      <c r="D925" s="126">
        <v>74.7</v>
      </c>
      <c r="E925" s="126"/>
      <c r="G925" s="321">
        <v>0.7873</v>
      </c>
      <c r="H925" s="123">
        <f t="shared" si="83"/>
        <v>267.26770276057522</v>
      </c>
      <c r="I925" s="123">
        <f>(D925*(PI()/LN(2)))*$G925</f>
        <v>266.55403733264308</v>
      </c>
      <c r="J925" s="123"/>
      <c r="K925" s="123"/>
      <c r="L925" s="176">
        <f t="shared" si="82"/>
        <v>266.91087004660915</v>
      </c>
      <c r="M925" s="227"/>
      <c r="N925" s="275"/>
    </row>
    <row r="926" spans="1:14" ht="21.75" customHeight="1">
      <c r="A926" t="s">
        <v>1312</v>
      </c>
      <c r="B926" s="245">
        <v>41476</v>
      </c>
      <c r="C926" s="126">
        <v>119.5</v>
      </c>
      <c r="D926" s="126">
        <v>119.3</v>
      </c>
      <c r="E926" s="126"/>
      <c r="G926" s="321">
        <v>0.7873</v>
      </c>
      <c r="H926" s="123">
        <f t="shared" si="83"/>
        <v>426.41509318943571</v>
      </c>
      <c r="I926" s="123">
        <f>(D926*(PI()/LN(2)))*$G926</f>
        <v>425.70142776150357</v>
      </c>
      <c r="J926" s="123"/>
      <c r="K926" s="123"/>
      <c r="L926" s="176">
        <f t="shared" si="82"/>
        <v>426.05826047546964</v>
      </c>
      <c r="M926" s="227"/>
      <c r="N926" s="275"/>
    </row>
    <row r="927" spans="1:14" ht="21.75" customHeight="1">
      <c r="A927" t="s">
        <v>1313</v>
      </c>
      <c r="B927" s="245">
        <v>41476</v>
      </c>
      <c r="C927" s="126">
        <v>120.1</v>
      </c>
      <c r="D927" s="126">
        <v>121</v>
      </c>
      <c r="E927" s="126"/>
      <c r="G927" s="321">
        <v>0.7873</v>
      </c>
      <c r="H927" s="123">
        <f t="shared" si="83"/>
        <v>428.55608947323202</v>
      </c>
      <c r="I927" s="123">
        <f>(D927*(PI()/LN(2)))*$G927</f>
        <v>431.76758389892655</v>
      </c>
      <c r="J927" s="123"/>
      <c r="K927" s="123"/>
      <c r="L927" s="176">
        <f t="shared" si="82"/>
        <v>430.16183668607925</v>
      </c>
      <c r="M927" s="227"/>
      <c r="N927" s="275"/>
    </row>
    <row r="928" spans="1:14" ht="21.75" customHeight="1">
      <c r="A928" t="s">
        <v>1314</v>
      </c>
      <c r="B928" s="245">
        <v>41476</v>
      </c>
      <c r="C928" s="126">
        <v>108.9</v>
      </c>
      <c r="D928" s="126">
        <v>106.5</v>
      </c>
      <c r="E928" s="126"/>
      <c r="G928" s="321">
        <v>0.7873</v>
      </c>
      <c r="H928" s="123">
        <f t="shared" si="83"/>
        <v>388.59082550903389</v>
      </c>
      <c r="I928" s="123">
        <f>(D928*(PI()/LN(2)))*$G928</f>
        <v>380.02684037384859</v>
      </c>
      <c r="J928" s="123"/>
      <c r="K928" s="123"/>
      <c r="L928" s="176">
        <f t="shared" si="82"/>
        <v>384.30883294144121</v>
      </c>
      <c r="M928" s="227"/>
      <c r="N928" s="275"/>
    </row>
    <row r="929" spans="1:14" ht="21.75" customHeight="1">
      <c r="A929" t="s">
        <v>1315</v>
      </c>
      <c r="E929" s="126"/>
      <c r="G929" s="321">
        <v>0.7873</v>
      </c>
      <c r="H929" s="123">
        <f>(C928*(PI()/LN(2)))*$G929</f>
        <v>388.59082550903389</v>
      </c>
      <c r="I929" s="123">
        <f>(D928*(PI()/LN(2)))*$G929</f>
        <v>380.02684037384859</v>
      </c>
      <c r="J929" s="123"/>
      <c r="K929" s="123"/>
      <c r="L929" s="176">
        <f t="shared" si="82"/>
        <v>384.30883294144121</v>
      </c>
      <c r="M929" s="227"/>
      <c r="N929" s="275"/>
    </row>
    <row r="930" spans="1:14" ht="21.75" customHeight="1">
      <c r="A930" t="s">
        <v>1316</v>
      </c>
      <c r="C930" s="126"/>
      <c r="D930" s="126"/>
      <c r="E930" s="126"/>
      <c r="G930" s="321">
        <v>0.7873</v>
      </c>
      <c r="H930" s="123">
        <f t="shared" ref="H930:H961" si="87">(C930*(PI()/LN(2)))*$G930</f>
        <v>0</v>
      </c>
      <c r="I930" s="123">
        <f t="shared" ref="I930:I961" si="88">(D930*(PI()/LN(2)))*$G930</f>
        <v>0</v>
      </c>
      <c r="J930" s="123"/>
      <c r="K930" s="123"/>
      <c r="L930" s="176">
        <f t="shared" si="82"/>
        <v>0</v>
      </c>
      <c r="M930" s="227"/>
      <c r="N930" s="275"/>
    </row>
    <row r="931" spans="1:14" ht="21.75" customHeight="1">
      <c r="A931" t="s">
        <v>1317</v>
      </c>
      <c r="C931" s="126"/>
      <c r="D931" s="126"/>
      <c r="E931" s="126"/>
      <c r="G931" s="321">
        <v>0.7873</v>
      </c>
      <c r="H931" s="123">
        <f t="shared" si="87"/>
        <v>0</v>
      </c>
      <c r="I931" s="123">
        <f t="shared" si="88"/>
        <v>0</v>
      </c>
      <c r="J931" s="123"/>
      <c r="K931" s="123"/>
      <c r="L931" s="176">
        <f t="shared" si="82"/>
        <v>0</v>
      </c>
      <c r="M931" s="227"/>
      <c r="N931" s="275"/>
    </row>
    <row r="932" spans="1:14" ht="21.75" customHeight="1">
      <c r="A932" t="s">
        <v>1319</v>
      </c>
      <c r="C932" s="126"/>
      <c r="D932" s="126"/>
      <c r="E932" s="126"/>
      <c r="G932" s="321">
        <v>0.7873</v>
      </c>
      <c r="H932" s="123">
        <f t="shared" si="87"/>
        <v>0</v>
      </c>
      <c r="I932" s="123">
        <f t="shared" si="88"/>
        <v>0</v>
      </c>
      <c r="J932" s="123"/>
      <c r="K932" s="123"/>
      <c r="L932" s="176">
        <f t="shared" si="82"/>
        <v>0</v>
      </c>
      <c r="M932" s="227"/>
      <c r="N932" s="275"/>
    </row>
    <row r="933" spans="1:14" ht="21.75" customHeight="1">
      <c r="A933" t="s">
        <v>1320</v>
      </c>
      <c r="C933" s="126"/>
      <c r="D933" s="126"/>
      <c r="E933" s="126"/>
      <c r="G933" s="321">
        <v>0.7873</v>
      </c>
      <c r="H933" s="123">
        <f t="shared" si="87"/>
        <v>0</v>
      </c>
      <c r="I933" s="123">
        <f t="shared" si="88"/>
        <v>0</v>
      </c>
      <c r="J933" s="123"/>
      <c r="K933" s="123"/>
      <c r="L933" s="176">
        <f t="shared" si="82"/>
        <v>0</v>
      </c>
      <c r="M933" s="227"/>
      <c r="N933" s="275"/>
    </row>
    <row r="934" spans="1:14" ht="21.75" customHeight="1">
      <c r="A934" t="s">
        <v>1321</v>
      </c>
      <c r="C934" s="126"/>
      <c r="D934" s="126"/>
      <c r="E934" s="126"/>
      <c r="G934" s="321">
        <v>0.7873</v>
      </c>
      <c r="H934" s="123">
        <f t="shared" si="87"/>
        <v>0</v>
      </c>
      <c r="I934" s="123">
        <f t="shared" si="88"/>
        <v>0</v>
      </c>
      <c r="J934" s="123"/>
      <c r="K934" s="123"/>
      <c r="L934" s="176">
        <f t="shared" si="82"/>
        <v>0</v>
      </c>
      <c r="M934" s="227"/>
      <c r="N934" s="275"/>
    </row>
    <row r="935" spans="1:14" ht="21.75" customHeight="1">
      <c r="A935" t="s">
        <v>1322</v>
      </c>
      <c r="C935" s="126"/>
      <c r="D935" s="126"/>
      <c r="E935" s="126"/>
      <c r="G935" s="321">
        <v>0.7873</v>
      </c>
      <c r="H935" s="123">
        <f t="shared" si="87"/>
        <v>0</v>
      </c>
      <c r="I935" s="123">
        <f t="shared" si="88"/>
        <v>0</v>
      </c>
      <c r="J935" s="123"/>
      <c r="K935" s="123"/>
      <c r="L935" s="176">
        <f t="shared" si="82"/>
        <v>0</v>
      </c>
      <c r="M935" s="227"/>
      <c r="N935" s="275"/>
    </row>
    <row r="936" spans="1:14" ht="21.75" customHeight="1">
      <c r="A936" t="s">
        <v>1323</v>
      </c>
      <c r="C936" s="126"/>
      <c r="D936" s="126"/>
      <c r="E936" s="126"/>
      <c r="G936" s="321">
        <v>0.7873</v>
      </c>
      <c r="H936" s="123">
        <f t="shared" si="87"/>
        <v>0</v>
      </c>
      <c r="I936" s="123">
        <f t="shared" si="88"/>
        <v>0</v>
      </c>
      <c r="J936" s="123"/>
      <c r="K936" s="123"/>
      <c r="L936" s="176">
        <f t="shared" si="82"/>
        <v>0</v>
      </c>
      <c r="M936" s="227"/>
      <c r="N936" s="275"/>
    </row>
    <row r="937" spans="1:14" ht="21.75" customHeight="1">
      <c r="A937" t="s">
        <v>1324</v>
      </c>
      <c r="B937" s="245">
        <v>41485</v>
      </c>
      <c r="C937" s="126">
        <v>129.9</v>
      </c>
      <c r="D937" s="126">
        <v>130.6</v>
      </c>
      <c r="E937" s="126"/>
      <c r="G937" s="321">
        <v>0.7873</v>
      </c>
      <c r="H937" s="123">
        <f t="shared" si="87"/>
        <v>463.52569544190544</v>
      </c>
      <c r="I937" s="123">
        <f t="shared" si="88"/>
        <v>466.02352443966777</v>
      </c>
      <c r="J937" s="123"/>
      <c r="K937" s="123"/>
      <c r="L937" s="176">
        <f t="shared" si="82"/>
        <v>464.7746099407866</v>
      </c>
      <c r="M937" s="227"/>
      <c r="N937" s="275"/>
    </row>
    <row r="938" spans="1:14" ht="21.75" customHeight="1">
      <c r="A938" t="s">
        <v>1326</v>
      </c>
      <c r="B938" s="245">
        <v>41485</v>
      </c>
      <c r="C938" s="126">
        <v>130.9</v>
      </c>
      <c r="D938" s="126">
        <v>129.9</v>
      </c>
      <c r="E938" s="126"/>
      <c r="G938" s="321">
        <v>0.7873</v>
      </c>
      <c r="H938" s="123">
        <f t="shared" si="87"/>
        <v>467.09402258156604</v>
      </c>
      <c r="I938" s="123">
        <f t="shared" si="88"/>
        <v>463.52569544190544</v>
      </c>
      <c r="J938" s="123"/>
      <c r="K938" s="123"/>
      <c r="L938" s="176">
        <f t="shared" si="82"/>
        <v>465.30985901173574</v>
      </c>
      <c r="M938" s="227"/>
      <c r="N938" s="275"/>
    </row>
    <row r="939" spans="1:14" ht="21.75" customHeight="1">
      <c r="A939" t="s">
        <v>1327</v>
      </c>
      <c r="B939" s="245">
        <v>41485</v>
      </c>
      <c r="C939" s="126">
        <v>107.8</v>
      </c>
      <c r="D939" s="126">
        <v>108.5</v>
      </c>
      <c r="E939" s="126"/>
      <c r="G939" s="321">
        <v>0.7873</v>
      </c>
      <c r="H939" s="123">
        <f t="shared" si="87"/>
        <v>384.66566565540728</v>
      </c>
      <c r="I939" s="123">
        <f t="shared" si="88"/>
        <v>387.16349465316966</v>
      </c>
      <c r="J939" s="123"/>
      <c r="K939" s="123"/>
      <c r="L939" s="176">
        <f t="shared" si="82"/>
        <v>385.9145801542885</v>
      </c>
      <c r="M939" s="227"/>
      <c r="N939" s="275"/>
    </row>
    <row r="940" spans="1:14" ht="21.75" customHeight="1">
      <c r="A940" t="s">
        <v>1328</v>
      </c>
      <c r="B940" s="245">
        <v>41485</v>
      </c>
      <c r="C940" s="126">
        <v>130.19999999999999</v>
      </c>
      <c r="D940" s="126">
        <v>130.4</v>
      </c>
      <c r="E940" s="126"/>
      <c r="G940" s="321">
        <v>0.7873</v>
      </c>
      <c r="H940" s="123">
        <f t="shared" si="87"/>
        <v>464.59619358380354</v>
      </c>
      <c r="I940" s="123">
        <f t="shared" si="88"/>
        <v>465.30985901173574</v>
      </c>
      <c r="J940" s="123"/>
      <c r="K940" s="123"/>
      <c r="L940" s="176">
        <f t="shared" si="82"/>
        <v>464.95302629776961</v>
      </c>
      <c r="M940" s="227"/>
      <c r="N940" s="275"/>
    </row>
    <row r="941" spans="1:14" ht="21.75" customHeight="1">
      <c r="A941" t="s">
        <v>1329</v>
      </c>
      <c r="B941" s="245">
        <v>41485</v>
      </c>
      <c r="C941" s="126">
        <v>130.4</v>
      </c>
      <c r="D941" s="126">
        <v>129.30000000000001</v>
      </c>
      <c r="E941" s="126"/>
      <c r="G941" s="321">
        <v>0.7873</v>
      </c>
      <c r="H941" s="123">
        <f t="shared" si="87"/>
        <v>465.30985901173574</v>
      </c>
      <c r="I941" s="123">
        <f t="shared" si="88"/>
        <v>461.38469915810913</v>
      </c>
      <c r="J941" s="123"/>
      <c r="K941" s="123"/>
      <c r="L941" s="176">
        <f t="shared" si="82"/>
        <v>463.34727908492243</v>
      </c>
      <c r="M941" s="227"/>
      <c r="N941" s="275"/>
    </row>
    <row r="942" spans="1:14" ht="21.75" customHeight="1">
      <c r="A942" t="s">
        <v>1330</v>
      </c>
      <c r="B942" s="245">
        <v>41485</v>
      </c>
      <c r="C942" s="126">
        <v>80.7</v>
      </c>
      <c r="D942" s="126">
        <v>81.400000000000006</v>
      </c>
      <c r="E942" s="126"/>
      <c r="G942" s="321">
        <v>0.7873</v>
      </c>
      <c r="H942" s="123">
        <f t="shared" si="87"/>
        <v>287.96400017060637</v>
      </c>
      <c r="I942" s="123">
        <f t="shared" si="88"/>
        <v>290.46182916836881</v>
      </c>
      <c r="J942" s="123"/>
      <c r="K942" s="123"/>
      <c r="L942" s="176">
        <f t="shared" si="82"/>
        <v>289.21291466948759</v>
      </c>
      <c r="M942" s="227"/>
      <c r="N942" s="275"/>
    </row>
    <row r="943" spans="1:14" ht="21.75" customHeight="1">
      <c r="A943" t="s">
        <v>1331</v>
      </c>
      <c r="C943" s="126"/>
      <c r="D943" s="126"/>
      <c r="E943" s="126"/>
      <c r="G943" s="321">
        <v>0.7873</v>
      </c>
      <c r="H943" s="123">
        <f t="shared" si="87"/>
        <v>0</v>
      </c>
      <c r="I943" s="123">
        <f t="shared" si="88"/>
        <v>0</v>
      </c>
      <c r="J943" s="123"/>
      <c r="K943" s="123"/>
      <c r="L943" s="176">
        <f t="shared" si="82"/>
        <v>0</v>
      </c>
      <c r="M943" s="227"/>
      <c r="N943" s="275"/>
    </row>
    <row r="944" spans="1:14" ht="21.75" customHeight="1">
      <c r="A944" t="s">
        <v>1332</v>
      </c>
      <c r="C944" s="126"/>
      <c r="D944" s="126"/>
      <c r="E944" s="126"/>
      <c r="G944" s="321">
        <v>0.7873</v>
      </c>
      <c r="H944" s="123">
        <f t="shared" si="87"/>
        <v>0</v>
      </c>
      <c r="I944" s="123">
        <f t="shared" si="88"/>
        <v>0</v>
      </c>
      <c r="J944" s="123"/>
      <c r="K944" s="123"/>
      <c r="L944" s="176">
        <f t="shared" si="82"/>
        <v>0</v>
      </c>
      <c r="M944" s="227"/>
      <c r="N944" s="275"/>
    </row>
    <row r="945" spans="1:14" ht="21.75" customHeight="1">
      <c r="A945" t="s">
        <v>1333</v>
      </c>
      <c r="B945" s="245">
        <v>41494</v>
      </c>
      <c r="C945" s="126">
        <v>128.1</v>
      </c>
      <c r="D945" s="126">
        <v>127.8</v>
      </c>
      <c r="E945" s="126">
        <v>127.5</v>
      </c>
      <c r="F945">
        <v>127.3</v>
      </c>
      <c r="G945" s="321">
        <v>0.7873</v>
      </c>
      <c r="H945" s="123">
        <f t="shared" si="87"/>
        <v>457.10270659051645</v>
      </c>
      <c r="I945" s="123">
        <f t="shared" si="88"/>
        <v>456.03220844861829</v>
      </c>
      <c r="J945" s="123">
        <f t="shared" ref="J945:K952" si="89">(E945*(PI()/LN(2)))*$G945</f>
        <v>454.96171030672014</v>
      </c>
      <c r="K945" s="123">
        <f t="shared" si="89"/>
        <v>454.24804487878799</v>
      </c>
      <c r="L945" s="176">
        <f t="shared" si="82"/>
        <v>455.58616755616072</v>
      </c>
      <c r="M945" s="227"/>
      <c r="N945" s="275"/>
    </row>
    <row r="946" spans="1:14" ht="21.75" customHeight="1">
      <c r="A946" t="s">
        <v>1335</v>
      </c>
      <c r="B946" s="245">
        <v>41494</v>
      </c>
      <c r="C946" s="126">
        <v>138.4</v>
      </c>
      <c r="D946" s="126">
        <v>138.9</v>
      </c>
      <c r="E946" s="126">
        <v>138.69999999999999</v>
      </c>
      <c r="F946">
        <v>139.4</v>
      </c>
      <c r="G946" s="321">
        <v>0.7873</v>
      </c>
      <c r="H946" s="123">
        <f t="shared" si="87"/>
        <v>493.85647612902017</v>
      </c>
      <c r="I946" s="123">
        <f t="shared" si="88"/>
        <v>495.64063969885046</v>
      </c>
      <c r="J946" s="123">
        <f t="shared" si="89"/>
        <v>494.92697427091827</v>
      </c>
      <c r="K946" s="123">
        <f t="shared" si="89"/>
        <v>497.42480326868065</v>
      </c>
      <c r="L946" s="176">
        <f t="shared" si="82"/>
        <v>495.46222334186734</v>
      </c>
      <c r="M946" s="227"/>
      <c r="N946" s="275"/>
    </row>
    <row r="947" spans="1:14" ht="21.75" customHeight="1">
      <c r="A947" t="s">
        <v>1336</v>
      </c>
      <c r="B947" s="245">
        <v>41494</v>
      </c>
      <c r="C947" s="126"/>
      <c r="D947" s="126"/>
      <c r="E947" s="126"/>
      <c r="G947" s="321">
        <v>0.7873</v>
      </c>
      <c r="H947" s="123">
        <f t="shared" si="87"/>
        <v>0</v>
      </c>
      <c r="I947" s="123">
        <f t="shared" si="88"/>
        <v>0</v>
      </c>
      <c r="J947" s="123">
        <f t="shared" si="89"/>
        <v>0</v>
      </c>
      <c r="K947" s="123">
        <f t="shared" si="89"/>
        <v>0</v>
      </c>
      <c r="L947" s="176">
        <f t="shared" si="82"/>
        <v>0</v>
      </c>
      <c r="M947" s="227"/>
      <c r="N947" s="275"/>
    </row>
    <row r="948" spans="1:14" ht="21.75" customHeight="1">
      <c r="A948" t="s">
        <v>1338</v>
      </c>
      <c r="B948" s="245">
        <v>41494</v>
      </c>
      <c r="C948" s="126">
        <v>138.19999999999999</v>
      </c>
      <c r="D948" s="126">
        <v>138.30000000000001</v>
      </c>
      <c r="E948" s="126">
        <v>138.80000000000001</v>
      </c>
      <c r="F948">
        <v>139.19999999999999</v>
      </c>
      <c r="G948" s="321">
        <v>0.7873</v>
      </c>
      <c r="H948" s="123">
        <f t="shared" si="87"/>
        <v>493.14281070108797</v>
      </c>
      <c r="I948" s="123">
        <f t="shared" si="88"/>
        <v>493.49964341505409</v>
      </c>
      <c r="J948" s="123">
        <f t="shared" si="89"/>
        <v>495.28380698488439</v>
      </c>
      <c r="K948" s="123">
        <f t="shared" si="89"/>
        <v>496.71113784074851</v>
      </c>
      <c r="L948" s="176">
        <f t="shared" si="82"/>
        <v>494.65934973544375</v>
      </c>
      <c r="M948" s="227"/>
      <c r="N948" s="275"/>
    </row>
    <row r="949" spans="1:14" ht="21.75" customHeight="1">
      <c r="A949" t="s">
        <v>1339</v>
      </c>
      <c r="B949" s="245">
        <v>41494</v>
      </c>
      <c r="C949" s="126">
        <v>139.80000000000001</v>
      </c>
      <c r="D949" s="126">
        <v>140</v>
      </c>
      <c r="E949" s="126">
        <v>143.19999999999999</v>
      </c>
      <c r="F949">
        <v>140</v>
      </c>
      <c r="G949" s="321">
        <v>0.7873</v>
      </c>
      <c r="H949" s="123">
        <f t="shared" si="87"/>
        <v>498.85213412454493</v>
      </c>
      <c r="I949" s="123">
        <f t="shared" si="88"/>
        <v>499.56579955247696</v>
      </c>
      <c r="J949" s="123">
        <f t="shared" si="89"/>
        <v>510.98444639939072</v>
      </c>
      <c r="K949" s="123">
        <f t="shared" si="89"/>
        <v>499.56579955247696</v>
      </c>
      <c r="L949" s="176">
        <f t="shared" si="82"/>
        <v>502.24204490722241</v>
      </c>
      <c r="M949" s="227"/>
      <c r="N949" s="275"/>
    </row>
    <row r="950" spans="1:14" ht="21.75" customHeight="1">
      <c r="A950" t="s">
        <v>1340</v>
      </c>
      <c r="B950" s="245">
        <v>41494</v>
      </c>
      <c r="C950" s="126">
        <v>96.4</v>
      </c>
      <c r="D950" s="126">
        <v>97</v>
      </c>
      <c r="E950" s="126">
        <v>96.5</v>
      </c>
      <c r="F950">
        <v>96.5</v>
      </c>
      <c r="G950" s="321">
        <v>0.7873</v>
      </c>
      <c r="H950" s="123">
        <f t="shared" si="87"/>
        <v>343.98673626327701</v>
      </c>
      <c r="I950" s="123">
        <f t="shared" si="88"/>
        <v>346.12773254707338</v>
      </c>
      <c r="J950" s="123">
        <f t="shared" si="89"/>
        <v>344.34356897724308</v>
      </c>
      <c r="K950" s="123">
        <f t="shared" si="89"/>
        <v>344.34356897724308</v>
      </c>
      <c r="L950" s="176">
        <f t="shared" si="82"/>
        <v>344.70040169120921</v>
      </c>
      <c r="M950" s="227"/>
      <c r="N950" s="275"/>
    </row>
    <row r="951" spans="1:14" ht="21.75" customHeight="1">
      <c r="A951" t="s">
        <v>1341</v>
      </c>
      <c r="C951" s="126"/>
      <c r="D951" s="126"/>
      <c r="E951" s="126"/>
      <c r="G951" s="321">
        <v>0.7873</v>
      </c>
      <c r="H951" s="123">
        <f t="shared" si="87"/>
        <v>0</v>
      </c>
      <c r="I951" s="123">
        <f t="shared" si="88"/>
        <v>0</v>
      </c>
      <c r="J951" s="123">
        <f t="shared" si="89"/>
        <v>0</v>
      </c>
      <c r="K951" s="123">
        <f t="shared" si="89"/>
        <v>0</v>
      </c>
      <c r="L951" s="176">
        <f t="shared" si="82"/>
        <v>0</v>
      </c>
      <c r="M951" s="227"/>
      <c r="N951" s="275"/>
    </row>
    <row r="952" spans="1:14" ht="21.75" customHeight="1">
      <c r="A952" t="s">
        <v>1343</v>
      </c>
      <c r="C952" s="126"/>
      <c r="D952" s="126"/>
      <c r="E952" s="126"/>
      <c r="G952" s="321">
        <v>0.7873</v>
      </c>
      <c r="H952" s="123">
        <f t="shared" si="87"/>
        <v>0</v>
      </c>
      <c r="I952" s="123">
        <f t="shared" si="88"/>
        <v>0</v>
      </c>
      <c r="J952" s="123">
        <f t="shared" si="89"/>
        <v>0</v>
      </c>
      <c r="K952" s="123">
        <f t="shared" si="89"/>
        <v>0</v>
      </c>
      <c r="L952" s="176">
        <f t="shared" si="82"/>
        <v>0</v>
      </c>
      <c r="M952" s="227"/>
      <c r="N952" s="275"/>
    </row>
    <row r="953" spans="1:14" ht="21.75" customHeight="1">
      <c r="A953" t="s">
        <v>1344</v>
      </c>
      <c r="B953" s="245">
        <v>41498</v>
      </c>
      <c r="C953" s="126">
        <v>124.3</v>
      </c>
      <c r="D953" s="126">
        <v>124.9</v>
      </c>
      <c r="E953" s="126"/>
      <c r="G953" s="321">
        <v>0.7873</v>
      </c>
      <c r="H953" s="123">
        <f t="shared" si="87"/>
        <v>443.54306345980632</v>
      </c>
      <c r="I953" s="123">
        <f t="shared" si="88"/>
        <v>445.68405974360275</v>
      </c>
      <c r="J953" s="123"/>
      <c r="K953" s="123"/>
      <c r="L953" s="176">
        <f t="shared" si="82"/>
        <v>444.61356160170453</v>
      </c>
      <c r="M953" s="227"/>
      <c r="N953" s="275"/>
    </row>
    <row r="954" spans="1:14" ht="21.75" customHeight="1">
      <c r="A954" t="s">
        <v>1345</v>
      </c>
      <c r="B954" s="245">
        <v>41498</v>
      </c>
      <c r="C954" s="126">
        <v>130.69999999999999</v>
      </c>
      <c r="D954" s="126">
        <v>129.69999999999999</v>
      </c>
      <c r="E954" s="126"/>
      <c r="G954" s="321">
        <v>0.7873</v>
      </c>
      <c r="H954" s="123">
        <f t="shared" si="87"/>
        <v>466.38035715363384</v>
      </c>
      <c r="I954" s="123">
        <f t="shared" si="88"/>
        <v>462.81203001397324</v>
      </c>
      <c r="J954" s="123"/>
      <c r="K954" s="123"/>
      <c r="L954" s="176">
        <f t="shared" si="82"/>
        <v>464.59619358380354</v>
      </c>
      <c r="M954" s="227"/>
      <c r="N954" s="275"/>
    </row>
    <row r="955" spans="1:14" ht="21.75" customHeight="1">
      <c r="A955" t="s">
        <v>1346</v>
      </c>
      <c r="B955" s="245">
        <v>41498</v>
      </c>
      <c r="C955" s="126">
        <v>112.7</v>
      </c>
      <c r="D955" s="126">
        <v>114</v>
      </c>
      <c r="E955" s="126"/>
      <c r="G955" s="321">
        <v>0.7873</v>
      </c>
      <c r="H955" s="123">
        <f t="shared" si="87"/>
        <v>402.15046863974396</v>
      </c>
      <c r="I955" s="123">
        <f t="shared" si="88"/>
        <v>406.78929392130266</v>
      </c>
      <c r="J955" s="123"/>
      <c r="K955" s="123"/>
      <c r="L955" s="176">
        <f t="shared" si="82"/>
        <v>404.46988128052328</v>
      </c>
      <c r="M955" s="227"/>
      <c r="N955" s="275"/>
    </row>
    <row r="956" spans="1:14" ht="21.75" customHeight="1">
      <c r="A956" t="s">
        <v>1347</v>
      </c>
      <c r="B956" s="245">
        <v>41498</v>
      </c>
      <c r="C956" s="126">
        <v>132</v>
      </c>
      <c r="D956" s="126">
        <v>128</v>
      </c>
      <c r="E956" s="126"/>
      <c r="G956" s="321">
        <v>0.7873</v>
      </c>
      <c r="H956" s="123">
        <f t="shared" si="87"/>
        <v>471.01918243519253</v>
      </c>
      <c r="I956" s="123">
        <f t="shared" si="88"/>
        <v>456.74587387655038</v>
      </c>
      <c r="J956" s="123"/>
      <c r="K956" s="123"/>
      <c r="L956" s="176">
        <f t="shared" si="82"/>
        <v>463.88252815587146</v>
      </c>
      <c r="M956" s="227"/>
      <c r="N956" s="275"/>
    </row>
    <row r="957" spans="1:14" ht="21.75" customHeight="1">
      <c r="A957" t="s">
        <v>1348</v>
      </c>
      <c r="B957" s="245">
        <v>41498</v>
      </c>
      <c r="C957" s="126">
        <v>128.69999999999999</v>
      </c>
      <c r="D957" s="126">
        <v>129.19999999999999</v>
      </c>
      <c r="E957" s="126"/>
      <c r="G957" s="321">
        <v>0.7873</v>
      </c>
      <c r="H957" s="123">
        <f t="shared" si="87"/>
        <v>459.2437028743127</v>
      </c>
      <c r="I957" s="123">
        <f t="shared" si="88"/>
        <v>461.027866444143</v>
      </c>
      <c r="J957" s="123"/>
      <c r="K957" s="123"/>
      <c r="L957" s="176">
        <f t="shared" si="82"/>
        <v>460.13578465922785</v>
      </c>
      <c r="M957" s="227"/>
      <c r="N957" s="275"/>
    </row>
    <row r="958" spans="1:14" ht="21.75" customHeight="1">
      <c r="A958" t="s">
        <v>1349</v>
      </c>
      <c r="B958" s="245">
        <v>41498</v>
      </c>
      <c r="C958" s="126">
        <v>81.5</v>
      </c>
      <c r="D958" s="126">
        <v>81.8</v>
      </c>
      <c r="E958" s="126"/>
      <c r="G958" s="321">
        <v>0.7873</v>
      </c>
      <c r="H958" s="123">
        <f t="shared" si="87"/>
        <v>290.81866188233482</v>
      </c>
      <c r="I958" s="123">
        <f t="shared" si="88"/>
        <v>291.88916002423298</v>
      </c>
      <c r="J958" s="123"/>
      <c r="K958" s="123"/>
      <c r="L958" s="176">
        <f t="shared" si="82"/>
        <v>291.3539109532839</v>
      </c>
      <c r="M958" s="227"/>
      <c r="N958" s="275"/>
    </row>
    <row r="959" spans="1:14" ht="21.75" customHeight="1">
      <c r="A959" t="s">
        <v>1350</v>
      </c>
      <c r="C959" s="126"/>
      <c r="D959" s="126"/>
      <c r="E959" s="126"/>
      <c r="G959" s="321">
        <v>0.7873</v>
      </c>
      <c r="H959" s="123">
        <f t="shared" si="87"/>
        <v>0</v>
      </c>
      <c r="I959" s="123">
        <f t="shared" si="88"/>
        <v>0</v>
      </c>
      <c r="J959" s="123"/>
      <c r="K959" s="123"/>
      <c r="L959" s="176">
        <f t="shared" si="82"/>
        <v>0</v>
      </c>
      <c r="M959" s="227"/>
      <c r="N959" s="275"/>
    </row>
    <row r="960" spans="1:14" ht="21.75" customHeight="1">
      <c r="A960" t="s">
        <v>1351</v>
      </c>
      <c r="C960" s="126"/>
      <c r="D960" s="126"/>
      <c r="E960" s="126"/>
      <c r="G960" s="321">
        <v>0.7873</v>
      </c>
      <c r="H960" s="123">
        <f t="shared" si="87"/>
        <v>0</v>
      </c>
      <c r="I960" s="123">
        <f t="shared" si="88"/>
        <v>0</v>
      </c>
      <c r="J960" s="123"/>
      <c r="K960" s="123"/>
      <c r="L960" s="176">
        <f t="shared" si="82"/>
        <v>0</v>
      </c>
      <c r="M960" s="227"/>
      <c r="N960" s="275"/>
    </row>
    <row r="961" spans="1:14" ht="21.75" customHeight="1">
      <c r="A961" t="s">
        <v>1352</v>
      </c>
      <c r="B961" s="245">
        <v>41500</v>
      </c>
      <c r="C961" s="126">
        <v>129.6</v>
      </c>
      <c r="D961" s="126">
        <v>130</v>
      </c>
      <c r="E961" s="126"/>
      <c r="G961" s="321">
        <v>0.7873</v>
      </c>
      <c r="H961" s="123">
        <f t="shared" si="87"/>
        <v>462.45519730000728</v>
      </c>
      <c r="I961" s="123">
        <f t="shared" si="88"/>
        <v>463.88252815587151</v>
      </c>
      <c r="J961" s="123"/>
      <c r="K961" s="123"/>
      <c r="L961" s="176">
        <f t="shared" ref="L961:L1024" si="90">AVERAGE(H961:K961)</f>
        <v>463.16886272793943</v>
      </c>
      <c r="M961" s="227"/>
      <c r="N961" s="275"/>
    </row>
    <row r="962" spans="1:14" ht="21.75" customHeight="1">
      <c r="A962" t="s">
        <v>1353</v>
      </c>
      <c r="B962" s="245">
        <v>41500</v>
      </c>
      <c r="C962" s="126">
        <v>129.6</v>
      </c>
      <c r="D962" s="126">
        <v>129.9</v>
      </c>
      <c r="E962" s="126"/>
      <c r="G962" s="321">
        <v>0.7873</v>
      </c>
      <c r="H962" s="123">
        <f t="shared" ref="H962:H993" si="91">(C962*(PI()/LN(2)))*$G962</f>
        <v>462.45519730000728</v>
      </c>
      <c r="I962" s="123">
        <f t="shared" ref="I962:I993" si="92">(D962*(PI()/LN(2)))*$G962</f>
        <v>463.52569544190544</v>
      </c>
      <c r="J962" s="123"/>
      <c r="K962" s="123"/>
      <c r="L962" s="176">
        <f t="shared" si="90"/>
        <v>462.99044637095636</v>
      </c>
      <c r="M962" s="227"/>
      <c r="N962" s="275"/>
    </row>
    <row r="963" spans="1:14" ht="21.75" customHeight="1">
      <c r="A963" t="s">
        <v>1354</v>
      </c>
      <c r="B963" s="245">
        <v>41500</v>
      </c>
      <c r="C963" s="126">
        <v>111.6</v>
      </c>
      <c r="D963" s="126">
        <v>114.4</v>
      </c>
      <c r="E963" s="126"/>
      <c r="G963" s="321">
        <v>0.7873</v>
      </c>
      <c r="H963" s="123">
        <f t="shared" si="91"/>
        <v>398.22530878611735</v>
      </c>
      <c r="I963" s="123">
        <f t="shared" si="92"/>
        <v>408.21662477716688</v>
      </c>
      <c r="J963" s="123"/>
      <c r="K963" s="123"/>
      <c r="L963" s="176">
        <f t="shared" si="90"/>
        <v>403.22096678164212</v>
      </c>
      <c r="M963" s="227"/>
      <c r="N963" s="275"/>
    </row>
    <row r="964" spans="1:14" ht="21.75" customHeight="1">
      <c r="A964" t="s">
        <v>1355</v>
      </c>
      <c r="B964" s="245">
        <v>41500</v>
      </c>
      <c r="C964" s="126">
        <v>130.5</v>
      </c>
      <c r="D964" s="126">
        <v>131.1</v>
      </c>
      <c r="E964" s="126"/>
      <c r="G964" s="321">
        <v>0.7873</v>
      </c>
      <c r="H964" s="123">
        <f t="shared" si="91"/>
        <v>465.66669172570181</v>
      </c>
      <c r="I964" s="123">
        <f t="shared" si="92"/>
        <v>467.80768800949807</v>
      </c>
      <c r="J964" s="123"/>
      <c r="K964" s="123"/>
      <c r="L964" s="176">
        <f t="shared" si="90"/>
        <v>466.73718986759991</v>
      </c>
      <c r="M964" s="227"/>
      <c r="N964" s="275"/>
    </row>
    <row r="965" spans="1:14" ht="21.75" customHeight="1">
      <c r="A965" t="s">
        <v>1356</v>
      </c>
      <c r="B965" s="245">
        <v>41500</v>
      </c>
      <c r="C965" s="126">
        <v>130.6</v>
      </c>
      <c r="D965" s="126">
        <v>129.30000000000001</v>
      </c>
      <c r="E965" s="126"/>
      <c r="G965" s="321">
        <v>0.7873</v>
      </c>
      <c r="H965" s="123">
        <f t="shared" si="91"/>
        <v>466.02352443966777</v>
      </c>
      <c r="I965" s="123">
        <f t="shared" si="92"/>
        <v>461.38469915810913</v>
      </c>
      <c r="J965" s="123"/>
      <c r="K965" s="123"/>
      <c r="L965" s="176">
        <f t="shared" si="90"/>
        <v>463.70411179888845</v>
      </c>
      <c r="M965" s="227"/>
      <c r="N965" s="275"/>
    </row>
    <row r="966" spans="1:14" ht="21.75" customHeight="1">
      <c r="A966" t="s">
        <v>1357</v>
      </c>
      <c r="B966" s="245">
        <v>41500</v>
      </c>
      <c r="C966" s="126">
        <v>70.599999999999994</v>
      </c>
      <c r="D966" s="126">
        <v>70.099999999999994</v>
      </c>
      <c r="E966" s="126"/>
      <c r="G966" s="321">
        <v>0.7873</v>
      </c>
      <c r="H966" s="123">
        <f t="shared" si="91"/>
        <v>251.92389606003479</v>
      </c>
      <c r="I966" s="123">
        <f t="shared" si="92"/>
        <v>250.13973249020455</v>
      </c>
      <c r="J966" s="123"/>
      <c r="K966" s="123"/>
      <c r="L966" s="176">
        <f t="shared" si="90"/>
        <v>251.03181427511967</v>
      </c>
      <c r="M966" s="227"/>
      <c r="N966" s="275"/>
    </row>
    <row r="967" spans="1:14" ht="21.75" customHeight="1">
      <c r="A967" t="s">
        <v>1358</v>
      </c>
      <c r="B967" s="245">
        <v>41501</v>
      </c>
      <c r="C967" s="126">
        <v>120.5</v>
      </c>
      <c r="D967" s="126">
        <v>120.5</v>
      </c>
      <c r="E967" s="126"/>
      <c r="G967" s="321">
        <v>0.7873</v>
      </c>
      <c r="H967" s="123">
        <f t="shared" si="91"/>
        <v>429.98342032909625</v>
      </c>
      <c r="I967" s="123">
        <f t="shared" si="92"/>
        <v>429.98342032909625</v>
      </c>
      <c r="J967" s="123"/>
      <c r="K967" s="123"/>
      <c r="L967" s="176">
        <f t="shared" si="90"/>
        <v>429.98342032909625</v>
      </c>
      <c r="M967" s="227"/>
      <c r="N967" s="275"/>
    </row>
    <row r="968" spans="1:14" ht="21.75" customHeight="1">
      <c r="A968" t="s">
        <v>1360</v>
      </c>
      <c r="B968" s="245">
        <v>41501</v>
      </c>
      <c r="C968" s="126">
        <v>121.5</v>
      </c>
      <c r="D968" s="126">
        <v>125.6</v>
      </c>
      <c r="E968" s="126"/>
      <c r="G968" s="321">
        <v>0.7873</v>
      </c>
      <c r="H968" s="123">
        <f t="shared" si="91"/>
        <v>433.55174746875684</v>
      </c>
      <c r="I968" s="123">
        <f t="shared" si="92"/>
        <v>448.18188874136501</v>
      </c>
      <c r="J968" s="123"/>
      <c r="K968" s="123"/>
      <c r="L968" s="176">
        <f t="shared" si="90"/>
        <v>440.86681810506093</v>
      </c>
      <c r="M968" s="227"/>
      <c r="N968" s="275"/>
    </row>
    <row r="969" spans="1:14" ht="21.75" customHeight="1">
      <c r="A969" t="s">
        <v>1361</v>
      </c>
      <c r="B969" s="245">
        <v>41501</v>
      </c>
      <c r="C969" s="126">
        <v>129.1</v>
      </c>
      <c r="D969" s="126">
        <v>129.69999999999999</v>
      </c>
      <c r="E969" s="126"/>
      <c r="G969" s="321">
        <v>0.7873</v>
      </c>
      <c r="H969" s="123">
        <f t="shared" si="91"/>
        <v>460.67103373017699</v>
      </c>
      <c r="I969" s="123">
        <f t="shared" si="92"/>
        <v>462.81203001397324</v>
      </c>
      <c r="J969" s="123"/>
      <c r="K969" s="123"/>
      <c r="L969" s="176">
        <f t="shared" si="90"/>
        <v>461.74153187207514</v>
      </c>
      <c r="M969" s="227"/>
      <c r="N969" s="275"/>
    </row>
    <row r="970" spans="1:14" ht="21.75" customHeight="1">
      <c r="A970" t="s">
        <v>1362</v>
      </c>
      <c r="B970" s="245">
        <v>41501</v>
      </c>
      <c r="C970" s="126">
        <v>120.2</v>
      </c>
      <c r="D970" s="126">
        <v>120.8</v>
      </c>
      <c r="E970" s="126"/>
      <c r="G970" s="321">
        <v>0.7873</v>
      </c>
      <c r="H970" s="123">
        <f t="shared" si="91"/>
        <v>428.91292218719809</v>
      </c>
      <c r="I970" s="123">
        <f t="shared" si="92"/>
        <v>431.0539184709944</v>
      </c>
      <c r="J970" s="123"/>
      <c r="K970" s="123"/>
      <c r="L970" s="176">
        <f t="shared" si="90"/>
        <v>429.98342032909625</v>
      </c>
      <c r="M970" s="227"/>
      <c r="N970" s="275"/>
    </row>
    <row r="971" spans="1:14" ht="21.75" customHeight="1">
      <c r="A971" t="s">
        <v>1363</v>
      </c>
      <c r="B971" s="245">
        <v>41501</v>
      </c>
      <c r="C971" s="126">
        <v>123.9</v>
      </c>
      <c r="D971" s="126">
        <v>122.4</v>
      </c>
      <c r="E971" s="126"/>
      <c r="G971" s="321">
        <v>0.7873</v>
      </c>
      <c r="H971" s="123">
        <f t="shared" si="91"/>
        <v>442.11573260394215</v>
      </c>
      <c r="I971" s="123">
        <f t="shared" si="92"/>
        <v>436.76324189445131</v>
      </c>
      <c r="J971" s="123"/>
      <c r="K971" s="123"/>
      <c r="L971" s="176">
        <f t="shared" si="90"/>
        <v>439.43948724919676</v>
      </c>
      <c r="M971" s="227"/>
      <c r="N971" s="275"/>
    </row>
    <row r="972" spans="1:14" ht="21.75" customHeight="1">
      <c r="A972" t="s">
        <v>1364</v>
      </c>
      <c r="B972" s="245">
        <v>41501</v>
      </c>
      <c r="C972" s="126">
        <v>82.1</v>
      </c>
      <c r="D972" s="126">
        <v>83.1</v>
      </c>
      <c r="E972" s="126"/>
      <c r="G972" s="321">
        <v>0.7873</v>
      </c>
      <c r="H972" s="123">
        <f t="shared" si="91"/>
        <v>292.95965816613113</v>
      </c>
      <c r="I972" s="123">
        <f t="shared" si="92"/>
        <v>296.52798530579167</v>
      </c>
      <c r="J972" s="123"/>
      <c r="K972" s="123"/>
      <c r="L972" s="176">
        <f t="shared" si="90"/>
        <v>294.74382173596143</v>
      </c>
      <c r="M972" s="227"/>
      <c r="N972" s="275"/>
    </row>
    <row r="973" spans="1:14" ht="21.75" customHeight="1">
      <c r="A973" t="s">
        <v>1365</v>
      </c>
      <c r="B973" s="245">
        <v>41505</v>
      </c>
      <c r="C973" s="126">
        <v>90.3</v>
      </c>
      <c r="D973" s="126">
        <v>90.5</v>
      </c>
      <c r="E973" s="126"/>
      <c r="G973" s="321">
        <v>0.7873</v>
      </c>
      <c r="H973" s="123">
        <f t="shared" si="91"/>
        <v>322.21994071134765</v>
      </c>
      <c r="I973" s="123">
        <f t="shared" si="92"/>
        <v>322.93360613927979</v>
      </c>
      <c r="J973" s="123"/>
      <c r="K973" s="123"/>
      <c r="L973" s="176">
        <f t="shared" si="90"/>
        <v>322.57677342531372</v>
      </c>
      <c r="M973" s="227"/>
      <c r="N973" s="275"/>
    </row>
    <row r="974" spans="1:14" ht="21.75" customHeight="1">
      <c r="A974" t="s">
        <v>1368</v>
      </c>
      <c r="B974" s="245">
        <v>41505</v>
      </c>
      <c r="C974" s="126">
        <v>91.5</v>
      </c>
      <c r="D974" s="126">
        <v>89.9</v>
      </c>
      <c r="E974" s="126"/>
      <c r="G974" s="321">
        <v>0.7873</v>
      </c>
      <c r="H974" s="123">
        <f t="shared" si="91"/>
        <v>326.50193327894033</v>
      </c>
      <c r="I974" s="123">
        <f t="shared" si="92"/>
        <v>320.79260985548342</v>
      </c>
      <c r="J974" s="123"/>
      <c r="K974" s="123"/>
      <c r="L974" s="176">
        <f t="shared" si="90"/>
        <v>323.64727156721187</v>
      </c>
      <c r="M974" s="227"/>
      <c r="N974" s="275"/>
    </row>
    <row r="975" spans="1:14" ht="21.75" customHeight="1">
      <c r="A975" t="s">
        <v>1369</v>
      </c>
      <c r="B975" s="245">
        <v>41505</v>
      </c>
      <c r="C975" s="126">
        <v>98.8</v>
      </c>
      <c r="D975" s="126">
        <v>99.3</v>
      </c>
      <c r="E975" s="126"/>
      <c r="G975" s="321">
        <v>0.7873</v>
      </c>
      <c r="H975" s="123">
        <f t="shared" si="91"/>
        <v>352.55072139846231</v>
      </c>
      <c r="I975" s="123">
        <f t="shared" si="92"/>
        <v>354.33488496829261</v>
      </c>
      <c r="J975" s="123"/>
      <c r="K975" s="123"/>
      <c r="L975" s="176">
        <f t="shared" si="90"/>
        <v>353.44280318337746</v>
      </c>
      <c r="M975" s="227"/>
      <c r="N975" s="275"/>
    </row>
    <row r="976" spans="1:14" ht="21.75" customHeight="1">
      <c r="A976" t="s">
        <v>1370</v>
      </c>
      <c r="B976" s="245">
        <v>41505</v>
      </c>
      <c r="C976" s="126">
        <v>90.5</v>
      </c>
      <c r="D976" s="126">
        <v>91.6</v>
      </c>
      <c r="E976" s="126"/>
      <c r="G976" s="321">
        <v>0.7873</v>
      </c>
      <c r="H976" s="123">
        <f t="shared" si="91"/>
        <v>322.93360613927979</v>
      </c>
      <c r="I976" s="123">
        <f t="shared" si="92"/>
        <v>326.85876599290634</v>
      </c>
      <c r="J976" s="123"/>
      <c r="K976" s="123"/>
      <c r="L976" s="176">
        <f t="shared" si="90"/>
        <v>324.89618606609304</v>
      </c>
      <c r="M976" s="227"/>
      <c r="N976" s="275"/>
    </row>
    <row r="977" spans="1:14" ht="21.75" customHeight="1">
      <c r="A977" t="s">
        <v>1371</v>
      </c>
      <c r="B977" s="245">
        <v>41505</v>
      </c>
      <c r="C977" s="126">
        <v>91.1</v>
      </c>
      <c r="D977" s="126">
        <v>90.9</v>
      </c>
      <c r="E977" s="126"/>
      <c r="G977" s="321">
        <v>0.7873</v>
      </c>
      <c r="H977" s="123">
        <f t="shared" si="91"/>
        <v>325.0746024230761</v>
      </c>
      <c r="I977" s="123">
        <f t="shared" si="92"/>
        <v>324.36093699514402</v>
      </c>
      <c r="J977" s="123"/>
      <c r="K977" s="123"/>
      <c r="L977" s="176">
        <f t="shared" si="90"/>
        <v>324.71776970911003</v>
      </c>
      <c r="M977" s="227"/>
      <c r="N977" s="275"/>
    </row>
    <row r="978" spans="1:14" ht="21.75" customHeight="1">
      <c r="A978" t="s">
        <v>1372</v>
      </c>
      <c r="B978" s="245">
        <v>41505</v>
      </c>
      <c r="C978" s="126">
        <v>68.2</v>
      </c>
      <c r="D978" s="126">
        <v>68.599999999999994</v>
      </c>
      <c r="E978" s="126"/>
      <c r="G978" s="321">
        <v>0.7873</v>
      </c>
      <c r="H978" s="123">
        <f t="shared" si="91"/>
        <v>243.35991092484952</v>
      </c>
      <c r="I978" s="123">
        <f t="shared" si="92"/>
        <v>244.78724178071371</v>
      </c>
      <c r="J978" s="123"/>
      <c r="K978" s="123"/>
      <c r="L978" s="176">
        <f t="shared" si="90"/>
        <v>244.07357635278163</v>
      </c>
      <c r="M978" s="227"/>
      <c r="N978" s="275"/>
    </row>
    <row r="979" spans="1:14" ht="21.75" customHeight="1">
      <c r="A979" t="s">
        <v>1373</v>
      </c>
      <c r="B979" s="245">
        <v>41506</v>
      </c>
      <c r="C979" s="126">
        <v>97.8</v>
      </c>
      <c r="D979" s="126">
        <v>97.2</v>
      </c>
      <c r="E979" s="126"/>
      <c r="G979" s="321">
        <v>0.7873</v>
      </c>
      <c r="H979" s="123">
        <f t="shared" si="91"/>
        <v>348.98239425880178</v>
      </c>
      <c r="I979" s="123">
        <f t="shared" si="92"/>
        <v>346.84139797500546</v>
      </c>
      <c r="J979" s="123"/>
      <c r="K979" s="123"/>
      <c r="L979" s="176">
        <f t="shared" si="90"/>
        <v>347.91189611690362</v>
      </c>
      <c r="M979" s="227"/>
      <c r="N979" s="275"/>
    </row>
    <row r="980" spans="1:14" ht="21.75" customHeight="1">
      <c r="A980" t="s">
        <v>1375</v>
      </c>
      <c r="B980" s="245">
        <v>41506</v>
      </c>
      <c r="C980" s="126">
        <v>96.9</v>
      </c>
      <c r="D980" s="126">
        <v>96.9</v>
      </c>
      <c r="E980" s="126"/>
      <c r="G980" s="321">
        <v>0.7873</v>
      </c>
      <c r="H980" s="123">
        <f t="shared" si="91"/>
        <v>345.77089983310731</v>
      </c>
      <c r="I980" s="123">
        <f t="shared" si="92"/>
        <v>345.77089983310731</v>
      </c>
      <c r="J980" s="123"/>
      <c r="K980" s="123"/>
      <c r="L980" s="176">
        <f t="shared" si="90"/>
        <v>345.77089983310731</v>
      </c>
      <c r="M980" s="227"/>
      <c r="N980" s="275"/>
    </row>
    <row r="981" spans="1:14" ht="21.75" customHeight="1">
      <c r="A981" t="s">
        <v>1376</v>
      </c>
      <c r="B981" s="245">
        <v>41506</v>
      </c>
      <c r="C981" s="126">
        <v>104.4</v>
      </c>
      <c r="D981" s="126">
        <v>105</v>
      </c>
      <c r="E981" s="126"/>
      <c r="G981" s="321">
        <v>0.7873</v>
      </c>
      <c r="H981" s="123">
        <f t="shared" si="91"/>
        <v>372.53335338056144</v>
      </c>
      <c r="I981" s="123">
        <f t="shared" si="92"/>
        <v>374.67434966435775</v>
      </c>
      <c r="J981" s="123"/>
      <c r="K981" s="123"/>
      <c r="L981" s="176">
        <f t="shared" si="90"/>
        <v>373.60385152245959</v>
      </c>
      <c r="M981" s="227"/>
      <c r="N981" s="275"/>
    </row>
    <row r="982" spans="1:14" ht="21.75" customHeight="1">
      <c r="A982" t="s">
        <v>1377</v>
      </c>
      <c r="B982" s="245">
        <v>41506</v>
      </c>
      <c r="C982" s="126">
        <v>96.9</v>
      </c>
      <c r="D982" s="126">
        <v>96.3</v>
      </c>
      <c r="E982" s="126"/>
      <c r="G982" s="321">
        <v>0.7873</v>
      </c>
      <c r="H982" s="123">
        <f t="shared" si="91"/>
        <v>345.77089983310731</v>
      </c>
      <c r="I982" s="123">
        <f t="shared" si="92"/>
        <v>343.62990354931094</v>
      </c>
      <c r="J982" s="123"/>
      <c r="K982" s="123"/>
      <c r="L982" s="176">
        <f t="shared" si="90"/>
        <v>344.70040169120909</v>
      </c>
      <c r="M982" s="227"/>
      <c r="N982" s="275"/>
    </row>
    <row r="983" spans="1:14" ht="21.75" customHeight="1">
      <c r="A983" t="s">
        <v>1378</v>
      </c>
      <c r="B983" s="245">
        <v>41506</v>
      </c>
      <c r="C983" s="126">
        <v>57.7</v>
      </c>
      <c r="D983" s="126">
        <v>57.9</v>
      </c>
      <c r="E983" s="126"/>
      <c r="G983" s="321">
        <v>0.7873</v>
      </c>
      <c r="H983" s="123">
        <f t="shared" si="91"/>
        <v>205.89247595841374</v>
      </c>
      <c r="I983" s="123">
        <f t="shared" si="92"/>
        <v>206.60614138634585</v>
      </c>
      <c r="J983" s="123"/>
      <c r="K983" s="123"/>
      <c r="L983" s="176">
        <f t="shared" si="90"/>
        <v>206.24930867237981</v>
      </c>
      <c r="M983" s="227"/>
      <c r="N983" s="275"/>
    </row>
    <row r="984" spans="1:14" ht="21.75" customHeight="1">
      <c r="A984" t="s">
        <v>1379</v>
      </c>
      <c r="B984" s="245">
        <v>41506</v>
      </c>
      <c r="C984" s="126">
        <v>69.099999999999994</v>
      </c>
      <c r="D984" s="126">
        <v>68.7</v>
      </c>
      <c r="E984" s="126"/>
      <c r="G984" s="321">
        <v>0.7873</v>
      </c>
      <c r="H984" s="123">
        <f t="shared" si="91"/>
        <v>246.57140535054398</v>
      </c>
      <c r="I984" s="123">
        <f t="shared" si="92"/>
        <v>245.14407449467981</v>
      </c>
      <c r="J984" s="123"/>
      <c r="K984" s="123"/>
      <c r="L984" s="176">
        <f t="shared" si="90"/>
        <v>245.8577399226119</v>
      </c>
      <c r="M984" s="227"/>
      <c r="N984" s="275"/>
    </row>
    <row r="985" spans="1:14" ht="21.75" customHeight="1">
      <c r="A985" t="s">
        <v>1380</v>
      </c>
      <c r="C985" s="126"/>
      <c r="D985" s="126"/>
      <c r="E985" s="126"/>
      <c r="G985" s="321">
        <v>0.7873</v>
      </c>
      <c r="H985" s="123">
        <f t="shared" si="91"/>
        <v>0</v>
      </c>
      <c r="I985" s="123">
        <f t="shared" si="92"/>
        <v>0</v>
      </c>
      <c r="J985" s="123"/>
      <c r="K985" s="123"/>
      <c r="L985" s="176">
        <f t="shared" si="90"/>
        <v>0</v>
      </c>
      <c r="M985" s="227"/>
      <c r="N985" s="275"/>
    </row>
    <row r="986" spans="1:14" ht="21.75" customHeight="1">
      <c r="A986" t="s">
        <v>1382</v>
      </c>
      <c r="C986" s="126"/>
      <c r="D986" s="126"/>
      <c r="E986" s="126"/>
      <c r="G986" s="321">
        <v>0.7873</v>
      </c>
      <c r="H986" s="123">
        <f t="shared" si="91"/>
        <v>0</v>
      </c>
      <c r="I986" s="123">
        <f t="shared" si="92"/>
        <v>0</v>
      </c>
      <c r="J986" s="123"/>
      <c r="K986" s="123"/>
      <c r="L986" s="176">
        <f t="shared" si="90"/>
        <v>0</v>
      </c>
      <c r="M986" s="227"/>
      <c r="N986" s="275"/>
    </row>
    <row r="987" spans="1:14" ht="21.75" customHeight="1">
      <c r="A987" t="s">
        <v>1383</v>
      </c>
      <c r="C987" s="126"/>
      <c r="D987" s="126"/>
      <c r="E987" s="126"/>
      <c r="G987" s="321">
        <v>0.7873</v>
      </c>
      <c r="H987" s="123">
        <f t="shared" si="91"/>
        <v>0</v>
      </c>
      <c r="I987" s="123">
        <f t="shared" si="92"/>
        <v>0</v>
      </c>
      <c r="J987" s="123"/>
      <c r="K987" s="123"/>
      <c r="L987" s="176">
        <f t="shared" si="90"/>
        <v>0</v>
      </c>
      <c r="M987" s="227"/>
      <c r="N987" s="275"/>
    </row>
    <row r="988" spans="1:14" ht="21.75" customHeight="1">
      <c r="A988" t="s">
        <v>1385</v>
      </c>
      <c r="C988" s="126"/>
      <c r="D988" s="126"/>
      <c r="E988" s="126"/>
      <c r="G988" s="321">
        <v>0.7873</v>
      </c>
      <c r="H988" s="123">
        <f t="shared" si="91"/>
        <v>0</v>
      </c>
      <c r="I988" s="123">
        <f t="shared" si="92"/>
        <v>0</v>
      </c>
      <c r="J988" s="123"/>
      <c r="K988" s="123"/>
      <c r="L988" s="176">
        <f t="shared" si="90"/>
        <v>0</v>
      </c>
      <c r="M988" s="227"/>
      <c r="N988" s="275"/>
    </row>
    <row r="989" spans="1:14" ht="21.75" customHeight="1">
      <c r="A989" t="s">
        <v>1386</v>
      </c>
      <c r="C989" s="126"/>
      <c r="D989" s="126"/>
      <c r="E989" s="126"/>
      <c r="G989" s="321">
        <v>0.7873</v>
      </c>
      <c r="H989" s="123">
        <f t="shared" si="91"/>
        <v>0</v>
      </c>
      <c r="I989" s="123">
        <f t="shared" si="92"/>
        <v>0</v>
      </c>
      <c r="J989" s="123"/>
      <c r="K989" s="123"/>
      <c r="L989" s="176">
        <f t="shared" si="90"/>
        <v>0</v>
      </c>
      <c r="M989" s="227"/>
      <c r="N989" s="275"/>
    </row>
    <row r="990" spans="1:14" ht="21.75" customHeight="1">
      <c r="A990" t="s">
        <v>1387</v>
      </c>
      <c r="C990" s="126"/>
      <c r="D990" s="126"/>
      <c r="E990" s="126"/>
      <c r="G990" s="321">
        <v>0.7873</v>
      </c>
      <c r="H990" s="123">
        <f t="shared" si="91"/>
        <v>0</v>
      </c>
      <c r="I990" s="123">
        <f t="shared" si="92"/>
        <v>0</v>
      </c>
      <c r="J990" s="123"/>
      <c r="K990" s="123"/>
      <c r="L990" s="176">
        <f t="shared" si="90"/>
        <v>0</v>
      </c>
      <c r="M990" s="227"/>
      <c r="N990" s="275"/>
    </row>
    <row r="991" spans="1:14" ht="21.75" customHeight="1">
      <c r="A991" t="s">
        <v>1388</v>
      </c>
      <c r="C991" s="126"/>
      <c r="D991" s="126"/>
      <c r="E991" s="126"/>
      <c r="G991" s="321">
        <v>0.7873</v>
      </c>
      <c r="H991" s="123">
        <f t="shared" si="91"/>
        <v>0</v>
      </c>
      <c r="I991" s="123">
        <f t="shared" si="92"/>
        <v>0</v>
      </c>
      <c r="J991" s="123"/>
      <c r="K991" s="123"/>
      <c r="L991" s="176">
        <f t="shared" si="90"/>
        <v>0</v>
      </c>
      <c r="M991" s="227"/>
      <c r="N991" s="275"/>
    </row>
    <row r="992" spans="1:14" ht="21.75" customHeight="1">
      <c r="A992" t="s">
        <v>1389</v>
      </c>
      <c r="C992" s="126"/>
      <c r="D992" s="126"/>
      <c r="E992" s="126"/>
      <c r="G992" s="321">
        <v>0.7873</v>
      </c>
      <c r="H992" s="123">
        <f t="shared" si="91"/>
        <v>0</v>
      </c>
      <c r="I992" s="123">
        <f t="shared" si="92"/>
        <v>0</v>
      </c>
      <c r="J992" s="123"/>
      <c r="K992" s="123"/>
      <c r="L992" s="176">
        <f t="shared" si="90"/>
        <v>0</v>
      </c>
      <c r="M992" s="227"/>
      <c r="N992" s="275"/>
    </row>
    <row r="993" spans="1:14" ht="21.75" customHeight="1">
      <c r="A993" t="s">
        <v>1390</v>
      </c>
      <c r="B993" s="245">
        <v>41508</v>
      </c>
      <c r="C993" s="126">
        <v>87.8</v>
      </c>
      <c r="D993" s="126">
        <v>88.1</v>
      </c>
      <c r="E993" s="126"/>
      <c r="G993" s="321">
        <v>0.7873</v>
      </c>
      <c r="H993" s="123">
        <f t="shared" si="91"/>
        <v>313.29912286219627</v>
      </c>
      <c r="I993" s="123">
        <f t="shared" si="92"/>
        <v>314.36962100409443</v>
      </c>
      <c r="J993" s="123"/>
      <c r="K993" s="123"/>
      <c r="L993" s="176">
        <f t="shared" si="90"/>
        <v>313.83437193314535</v>
      </c>
      <c r="M993" s="227"/>
      <c r="N993" s="275"/>
    </row>
    <row r="994" spans="1:14" ht="21.75" customHeight="1">
      <c r="A994" t="s">
        <v>1392</v>
      </c>
      <c r="B994" s="245">
        <v>41508</v>
      </c>
      <c r="C994" s="126">
        <v>85.5</v>
      </c>
      <c r="D994" s="126">
        <v>85.4</v>
      </c>
      <c r="E994" s="126"/>
      <c r="G994" s="321">
        <v>0.7873</v>
      </c>
      <c r="H994" s="123">
        <f t="shared" ref="H994:H1025" si="93">(C994*(PI()/LN(2)))*$G994</f>
        <v>305.09197044097704</v>
      </c>
      <c r="I994" s="123">
        <f t="shared" ref="I994:I1025" si="94">(D994*(PI()/LN(2)))*$G994</f>
        <v>304.73513772701102</v>
      </c>
      <c r="J994" s="123"/>
      <c r="K994" s="123"/>
      <c r="L994" s="176">
        <f t="shared" si="90"/>
        <v>304.91355408399403</v>
      </c>
      <c r="M994" s="227"/>
      <c r="N994" s="275"/>
    </row>
    <row r="995" spans="1:14" ht="21.75" customHeight="1">
      <c r="A995" t="s">
        <v>1394</v>
      </c>
      <c r="B995" s="245">
        <v>41508</v>
      </c>
      <c r="C995" s="126">
        <v>149.19999999999999</v>
      </c>
      <c r="D995" s="126">
        <v>150.19999999999999</v>
      </c>
      <c r="E995" s="126"/>
      <c r="G995" s="321">
        <v>0.7873</v>
      </c>
      <c r="H995" s="123">
        <f t="shared" si="93"/>
        <v>532.39440923735401</v>
      </c>
      <c r="I995" s="123">
        <f t="shared" si="94"/>
        <v>535.96273637701461</v>
      </c>
      <c r="J995" s="123"/>
      <c r="K995" s="123"/>
      <c r="L995" s="176">
        <f t="shared" si="90"/>
        <v>534.17857280718431</v>
      </c>
      <c r="M995" s="227"/>
      <c r="N995" s="275"/>
    </row>
    <row r="996" spans="1:14" ht="21.75" customHeight="1">
      <c r="A996" t="s">
        <v>1396</v>
      </c>
      <c r="B996" s="245">
        <v>41508</v>
      </c>
      <c r="C996" s="126">
        <v>148.5</v>
      </c>
      <c r="D996" s="126">
        <v>148.9</v>
      </c>
      <c r="E996" s="126"/>
      <c r="G996" s="321">
        <v>0.7873</v>
      </c>
      <c r="H996" s="123">
        <f t="shared" si="93"/>
        <v>529.89658023959169</v>
      </c>
      <c r="I996" s="123">
        <f t="shared" si="94"/>
        <v>531.32391109545597</v>
      </c>
      <c r="J996" s="123"/>
      <c r="K996" s="123"/>
      <c r="L996" s="176">
        <f t="shared" si="90"/>
        <v>530.61024566752383</v>
      </c>
      <c r="M996" s="227"/>
      <c r="N996" s="275"/>
    </row>
    <row r="997" spans="1:14" ht="21.75" customHeight="1">
      <c r="A997" t="s">
        <v>1397</v>
      </c>
      <c r="B997" s="245">
        <v>41508</v>
      </c>
      <c r="C997" s="126">
        <v>182</v>
      </c>
      <c r="D997" s="126">
        <v>185</v>
      </c>
      <c r="E997" s="126"/>
      <c r="G997" s="321">
        <v>0.7873</v>
      </c>
      <c r="H997" s="123">
        <f t="shared" si="93"/>
        <v>649.43553941822017</v>
      </c>
      <c r="I997" s="123">
        <f t="shared" si="94"/>
        <v>660.14052083720173</v>
      </c>
      <c r="J997" s="123"/>
      <c r="K997" s="123"/>
      <c r="L997" s="176">
        <f t="shared" si="90"/>
        <v>654.78803012771095</v>
      </c>
      <c r="M997" s="227"/>
      <c r="N997" s="275"/>
    </row>
    <row r="998" spans="1:14" ht="21.75" customHeight="1">
      <c r="A998" t="s">
        <v>1398</v>
      </c>
      <c r="B998" s="245">
        <v>41508</v>
      </c>
      <c r="C998" s="126">
        <v>149.1</v>
      </c>
      <c r="D998" s="126">
        <v>149.5</v>
      </c>
      <c r="E998" s="126"/>
      <c r="G998" s="321">
        <v>0.7873</v>
      </c>
      <c r="H998" s="123">
        <f t="shared" si="93"/>
        <v>532.03757652338788</v>
      </c>
      <c r="I998" s="123">
        <f t="shared" si="94"/>
        <v>533.46490737925228</v>
      </c>
      <c r="J998" s="123"/>
      <c r="K998" s="123"/>
      <c r="L998" s="176">
        <f t="shared" si="90"/>
        <v>532.75124195132003</v>
      </c>
      <c r="M998" s="227"/>
      <c r="N998" s="275"/>
    </row>
    <row r="999" spans="1:14" ht="21.75" customHeight="1">
      <c r="A999" t="s">
        <v>1399</v>
      </c>
      <c r="B999" s="245">
        <v>41508</v>
      </c>
      <c r="C999" s="126">
        <v>151.6</v>
      </c>
      <c r="D999" s="126">
        <v>150.6</v>
      </c>
      <c r="E999" s="126"/>
      <c r="G999" s="321">
        <v>0.7873</v>
      </c>
      <c r="H999" s="123">
        <f t="shared" si="93"/>
        <v>540.95839437253937</v>
      </c>
      <c r="I999" s="123">
        <f t="shared" si="94"/>
        <v>537.39006723287878</v>
      </c>
      <c r="J999" s="123"/>
      <c r="K999" s="123"/>
      <c r="L999" s="176">
        <f t="shared" si="90"/>
        <v>539.17423080270908</v>
      </c>
      <c r="M999" s="227"/>
      <c r="N999" s="275"/>
    </row>
    <row r="1000" spans="1:14" ht="21.75" customHeight="1">
      <c r="A1000" t="s">
        <v>1400</v>
      </c>
      <c r="B1000" s="245">
        <v>41508</v>
      </c>
      <c r="C1000" s="126">
        <v>180</v>
      </c>
      <c r="D1000" s="126">
        <v>177.4</v>
      </c>
      <c r="E1000" s="126"/>
      <c r="G1000" s="321">
        <v>0.7873</v>
      </c>
      <c r="H1000" s="123">
        <f t="shared" si="93"/>
        <v>642.29888513889898</v>
      </c>
      <c r="I1000" s="123">
        <f t="shared" si="94"/>
        <v>633.02123457578159</v>
      </c>
      <c r="J1000" s="123"/>
      <c r="K1000" s="123"/>
      <c r="L1000" s="176">
        <f t="shared" si="90"/>
        <v>637.66005985734023</v>
      </c>
      <c r="M1000" s="227"/>
      <c r="N1000" s="275"/>
    </row>
    <row r="1001" spans="1:14" ht="21.75" customHeight="1">
      <c r="A1001" t="s">
        <v>1401</v>
      </c>
      <c r="B1001" s="245">
        <v>41508</v>
      </c>
      <c r="C1001" s="126">
        <v>7000</v>
      </c>
      <c r="D1001" s="126">
        <v>7070</v>
      </c>
      <c r="E1001" s="126"/>
      <c r="G1001" s="321">
        <v>0.7873</v>
      </c>
      <c r="H1001" s="123">
        <f t="shared" si="93"/>
        <v>24978.289977623852</v>
      </c>
      <c r="I1001" s="123">
        <f t="shared" si="94"/>
        <v>25228.072877400089</v>
      </c>
      <c r="J1001" s="123"/>
      <c r="K1001" s="123"/>
      <c r="L1001" s="176">
        <f t="shared" si="90"/>
        <v>25103.181427511969</v>
      </c>
      <c r="M1001" s="227"/>
      <c r="N1001" s="275"/>
    </row>
    <row r="1002" spans="1:14" ht="21.75" customHeight="1">
      <c r="A1002" t="s">
        <v>1403</v>
      </c>
      <c r="B1002" s="245">
        <v>41508</v>
      </c>
      <c r="C1002" s="126">
        <v>6800</v>
      </c>
      <c r="D1002" s="126">
        <v>6900</v>
      </c>
      <c r="E1002" s="126"/>
      <c r="G1002" s="321">
        <v>0.7873</v>
      </c>
      <c r="H1002" s="123">
        <f t="shared" si="93"/>
        <v>24264.62454969174</v>
      </c>
      <c r="I1002" s="123">
        <f t="shared" si="94"/>
        <v>24621.457263657794</v>
      </c>
      <c r="J1002" s="123"/>
      <c r="K1002" s="123"/>
      <c r="L1002" s="176">
        <f t="shared" si="90"/>
        <v>24443.040906674767</v>
      </c>
      <c r="M1002" s="227"/>
      <c r="N1002" s="275"/>
    </row>
    <row r="1003" spans="1:14" ht="21.75" customHeight="1">
      <c r="A1003" t="s">
        <v>1404</v>
      </c>
      <c r="C1003" s="126"/>
      <c r="D1003" s="126"/>
      <c r="E1003" s="126"/>
      <c r="G1003" s="321">
        <v>0.7873</v>
      </c>
      <c r="H1003" s="123">
        <f t="shared" si="93"/>
        <v>0</v>
      </c>
      <c r="I1003" s="123">
        <f t="shared" si="94"/>
        <v>0</v>
      </c>
      <c r="J1003" s="123"/>
      <c r="K1003" s="123"/>
      <c r="L1003" s="176">
        <f t="shared" si="90"/>
        <v>0</v>
      </c>
      <c r="M1003" s="227"/>
      <c r="N1003" s="275"/>
    </row>
    <row r="1004" spans="1:14" ht="21.75" customHeight="1">
      <c r="A1004" t="s">
        <v>1406</v>
      </c>
      <c r="C1004" s="126"/>
      <c r="D1004" s="126"/>
      <c r="E1004" s="126"/>
      <c r="G1004" s="321">
        <v>0.7873</v>
      </c>
      <c r="H1004" s="123">
        <f t="shared" si="93"/>
        <v>0</v>
      </c>
      <c r="I1004" s="123">
        <f t="shared" si="94"/>
        <v>0</v>
      </c>
      <c r="J1004" s="123"/>
      <c r="K1004" s="123"/>
      <c r="L1004" s="176">
        <f t="shared" si="90"/>
        <v>0</v>
      </c>
      <c r="M1004" s="227"/>
      <c r="N1004" s="275"/>
    </row>
    <row r="1005" spans="1:14" ht="21.75" customHeight="1">
      <c r="A1005" t="s">
        <v>1407</v>
      </c>
      <c r="B1005" s="245">
        <v>41514</v>
      </c>
      <c r="C1005" s="126">
        <v>168.9</v>
      </c>
      <c r="D1005" s="126">
        <v>169</v>
      </c>
      <c r="E1005" s="126"/>
      <c r="G1005" s="321">
        <v>0.7873</v>
      </c>
      <c r="H1005" s="123">
        <f t="shared" si="93"/>
        <v>602.69045388866687</v>
      </c>
      <c r="I1005" s="123">
        <f t="shared" si="94"/>
        <v>603.04728660263299</v>
      </c>
      <c r="J1005" s="123"/>
      <c r="K1005" s="123"/>
      <c r="L1005" s="176">
        <f t="shared" si="90"/>
        <v>602.86887024564999</v>
      </c>
      <c r="M1005" s="227"/>
      <c r="N1005" s="275"/>
    </row>
    <row r="1006" spans="1:14" ht="21.75" customHeight="1">
      <c r="A1006" t="s">
        <v>1409</v>
      </c>
      <c r="B1006" s="245">
        <v>41514</v>
      </c>
      <c r="C1006" s="126">
        <v>170.3</v>
      </c>
      <c r="D1006" s="126">
        <v>171.8</v>
      </c>
      <c r="E1006" s="126"/>
      <c r="G1006" s="321">
        <v>0.7873</v>
      </c>
      <c r="H1006" s="123">
        <f t="shared" si="93"/>
        <v>607.68611188419175</v>
      </c>
      <c r="I1006" s="123">
        <f t="shared" si="94"/>
        <v>613.03860259368253</v>
      </c>
      <c r="J1006" s="123"/>
      <c r="K1006" s="123"/>
      <c r="L1006" s="176">
        <f t="shared" si="90"/>
        <v>610.36235723893719</v>
      </c>
      <c r="M1006" s="227"/>
      <c r="N1006" s="275"/>
    </row>
    <row r="1007" spans="1:14" ht="21.75" customHeight="1">
      <c r="A1007" t="s">
        <v>1410</v>
      </c>
      <c r="B1007" s="245">
        <v>41514</v>
      </c>
      <c r="C1007" s="126">
        <v>136.69999999999999</v>
      </c>
      <c r="D1007" s="126">
        <v>136.80000000000001</v>
      </c>
      <c r="E1007" s="126"/>
      <c r="G1007" s="321">
        <v>0.7873</v>
      </c>
      <c r="H1007" s="123">
        <f t="shared" si="93"/>
        <v>487.79031999159713</v>
      </c>
      <c r="I1007" s="123">
        <f t="shared" si="94"/>
        <v>488.14715270556326</v>
      </c>
      <c r="J1007" s="123"/>
      <c r="K1007" s="123"/>
      <c r="L1007" s="176">
        <f t="shared" si="90"/>
        <v>487.96873634858019</v>
      </c>
      <c r="M1007" s="227"/>
      <c r="N1007" s="275"/>
    </row>
    <row r="1008" spans="1:14" ht="21.75" customHeight="1">
      <c r="A1008" t="s">
        <v>1411</v>
      </c>
      <c r="B1008" s="245">
        <v>41514</v>
      </c>
      <c r="C1008" s="126">
        <v>167.3</v>
      </c>
      <c r="D1008" s="126">
        <v>167.3</v>
      </c>
      <c r="E1008" s="126"/>
      <c r="G1008" s="321">
        <v>0.7873</v>
      </c>
      <c r="H1008" s="123">
        <f t="shared" si="93"/>
        <v>596.98113046521007</v>
      </c>
      <c r="I1008" s="123">
        <f t="shared" si="94"/>
        <v>596.98113046521007</v>
      </c>
      <c r="J1008" s="123"/>
      <c r="K1008" s="123"/>
      <c r="L1008" s="176">
        <f t="shared" si="90"/>
        <v>596.98113046521007</v>
      </c>
      <c r="M1008" s="227"/>
      <c r="N1008" s="275"/>
    </row>
    <row r="1009" spans="1:14" ht="21.75" customHeight="1">
      <c r="A1009" t="s">
        <v>1412</v>
      </c>
      <c r="B1009" s="245">
        <v>41514</v>
      </c>
      <c r="C1009" s="126">
        <v>167.4</v>
      </c>
      <c r="D1009" s="126">
        <v>167.7</v>
      </c>
      <c r="E1009" s="126"/>
      <c r="G1009" s="321">
        <v>0.7873</v>
      </c>
      <c r="H1009" s="123">
        <f t="shared" si="93"/>
        <v>597.33796317917609</v>
      </c>
      <c r="I1009" s="123">
        <f t="shared" si="94"/>
        <v>598.40846132107413</v>
      </c>
      <c r="J1009" s="123"/>
      <c r="K1009" s="123"/>
      <c r="L1009" s="176">
        <f t="shared" si="90"/>
        <v>597.87321225012511</v>
      </c>
      <c r="M1009" s="227"/>
      <c r="N1009" s="275"/>
    </row>
    <row r="1010" spans="1:14" ht="21.75" customHeight="1">
      <c r="A1010" t="s">
        <v>1413</v>
      </c>
      <c r="B1010" s="245">
        <v>41514</v>
      </c>
      <c r="C1010" s="126">
        <v>103.7</v>
      </c>
      <c r="D1010" s="126">
        <v>101.6</v>
      </c>
      <c r="E1010" s="126"/>
      <c r="G1010" s="321">
        <v>0.7873</v>
      </c>
      <c r="H1010" s="123">
        <f t="shared" si="93"/>
        <v>370.03552438279905</v>
      </c>
      <c r="I1010" s="123">
        <f t="shared" si="94"/>
        <v>362.54203738951185</v>
      </c>
      <c r="J1010" s="123"/>
      <c r="K1010" s="123"/>
      <c r="L1010" s="176">
        <f t="shared" si="90"/>
        <v>366.28878088615545</v>
      </c>
      <c r="M1010" s="227"/>
      <c r="N1010" s="275"/>
    </row>
    <row r="1011" spans="1:14" ht="21.75" customHeight="1">
      <c r="A1011" t="s">
        <v>1414</v>
      </c>
      <c r="B1011" s="245">
        <v>41515</v>
      </c>
      <c r="C1011" s="126">
        <v>132.30000000000001</v>
      </c>
      <c r="D1011" s="126">
        <v>131</v>
      </c>
      <c r="E1011" s="126"/>
      <c r="G1011" s="321">
        <v>0.7873</v>
      </c>
      <c r="H1011" s="123">
        <f t="shared" si="93"/>
        <v>472.0896805770908</v>
      </c>
      <c r="I1011" s="123">
        <f t="shared" si="94"/>
        <v>467.45085529553211</v>
      </c>
      <c r="J1011" s="123"/>
      <c r="K1011" s="123"/>
      <c r="L1011" s="176">
        <f t="shared" si="90"/>
        <v>469.77026793631148</v>
      </c>
      <c r="M1011" s="227"/>
      <c r="N1011" s="275"/>
    </row>
    <row r="1012" spans="1:14" ht="21.75" customHeight="1">
      <c r="A1012" t="s">
        <v>1415</v>
      </c>
      <c r="B1012" s="245">
        <v>41515</v>
      </c>
      <c r="C1012" s="126">
        <v>127.5</v>
      </c>
      <c r="D1012" s="126">
        <v>126.9</v>
      </c>
      <c r="E1012" s="126"/>
      <c r="G1012" s="321">
        <v>0.7873</v>
      </c>
      <c r="H1012" s="123">
        <f t="shared" si="93"/>
        <v>454.96171030672014</v>
      </c>
      <c r="I1012" s="123">
        <f t="shared" si="94"/>
        <v>452.82071402292377</v>
      </c>
      <c r="J1012" s="123"/>
      <c r="K1012" s="123"/>
      <c r="L1012" s="176">
        <f t="shared" si="90"/>
        <v>453.89121216482192</v>
      </c>
      <c r="M1012" s="227"/>
      <c r="N1012" s="275"/>
    </row>
    <row r="1013" spans="1:14" ht="21.75" customHeight="1">
      <c r="A1013" t="s">
        <v>1416</v>
      </c>
      <c r="B1013" s="245">
        <v>41515</v>
      </c>
      <c r="C1013" s="126">
        <v>106.4</v>
      </c>
      <c r="D1013" s="126">
        <v>106.2</v>
      </c>
      <c r="E1013" s="126"/>
      <c r="G1013" s="321">
        <v>0.7873</v>
      </c>
      <c r="H1013" s="123">
        <f t="shared" si="93"/>
        <v>379.67000765988251</v>
      </c>
      <c r="I1013" s="123">
        <f t="shared" si="94"/>
        <v>378.95634223195043</v>
      </c>
      <c r="J1013" s="123"/>
      <c r="K1013" s="123"/>
      <c r="L1013" s="176">
        <f t="shared" si="90"/>
        <v>379.31317494591644</v>
      </c>
      <c r="M1013" s="227"/>
      <c r="N1013" s="275"/>
    </row>
    <row r="1014" spans="1:14" ht="21.75" customHeight="1">
      <c r="A1014" t="s">
        <v>1417</v>
      </c>
      <c r="B1014" s="245">
        <v>41515</v>
      </c>
      <c r="C1014" s="126">
        <v>129</v>
      </c>
      <c r="D1014" s="126">
        <v>129.1</v>
      </c>
      <c r="E1014" s="126"/>
      <c r="G1014" s="321">
        <v>0.7873</v>
      </c>
      <c r="H1014" s="123">
        <f t="shared" si="93"/>
        <v>460.31420101621097</v>
      </c>
      <c r="I1014" s="123">
        <f t="shared" si="94"/>
        <v>460.67103373017699</v>
      </c>
      <c r="J1014" s="123"/>
      <c r="K1014" s="123"/>
      <c r="L1014" s="176">
        <f t="shared" si="90"/>
        <v>460.49261737319398</v>
      </c>
      <c r="M1014" s="227"/>
      <c r="N1014" s="275"/>
    </row>
    <row r="1015" spans="1:14" ht="21.75" customHeight="1">
      <c r="A1015" t="s">
        <v>1418</v>
      </c>
      <c r="B1015" s="245">
        <v>41515</v>
      </c>
      <c r="C1015" s="126">
        <v>130.6</v>
      </c>
      <c r="D1015" s="126">
        <v>131.9</v>
      </c>
      <c r="E1015" s="126"/>
      <c r="G1015" s="321">
        <v>0.7873</v>
      </c>
      <c r="H1015" s="123">
        <f t="shared" si="93"/>
        <v>466.02352443966777</v>
      </c>
      <c r="I1015" s="123">
        <f t="shared" si="94"/>
        <v>470.66234972122658</v>
      </c>
      <c r="J1015" s="123"/>
      <c r="K1015" s="123"/>
      <c r="L1015" s="176">
        <f t="shared" si="90"/>
        <v>468.3429370804472</v>
      </c>
      <c r="M1015" s="227"/>
      <c r="N1015" s="275"/>
    </row>
    <row r="1016" spans="1:14" ht="21.75" customHeight="1">
      <c r="A1016" t="s">
        <v>1419</v>
      </c>
      <c r="B1016" s="245">
        <v>41515</v>
      </c>
      <c r="C1016" s="126">
        <v>80</v>
      </c>
      <c r="D1016" s="126">
        <v>80</v>
      </c>
      <c r="E1016" s="126"/>
      <c r="G1016" s="321">
        <v>0.7873</v>
      </c>
      <c r="H1016" s="123">
        <f t="shared" si="93"/>
        <v>285.46617117284399</v>
      </c>
      <c r="I1016" s="123">
        <f t="shared" si="94"/>
        <v>285.46617117284399</v>
      </c>
      <c r="J1016" s="123"/>
      <c r="K1016" s="123"/>
      <c r="L1016" s="176">
        <f t="shared" si="90"/>
        <v>285.46617117284399</v>
      </c>
      <c r="M1016" s="227"/>
      <c r="N1016" s="275"/>
    </row>
    <row r="1017" spans="1:14" ht="21.75" customHeight="1">
      <c r="A1017" t="s">
        <v>1420</v>
      </c>
      <c r="B1017" s="245">
        <v>41516</v>
      </c>
      <c r="C1017" s="126">
        <v>147.6</v>
      </c>
      <c r="D1017" s="126">
        <v>146.80000000000001</v>
      </c>
      <c r="E1017" s="126"/>
      <c r="G1017" s="321">
        <v>0.7873</v>
      </c>
      <c r="H1017" s="123">
        <f t="shared" si="93"/>
        <v>526.68508581389722</v>
      </c>
      <c r="I1017" s="123">
        <f t="shared" si="94"/>
        <v>523.83042410216876</v>
      </c>
      <c r="J1017" s="123"/>
      <c r="K1017" s="123"/>
      <c r="L1017" s="176">
        <f t="shared" si="90"/>
        <v>525.25775495803305</v>
      </c>
      <c r="M1017" s="227"/>
      <c r="N1017" s="275"/>
    </row>
    <row r="1018" spans="1:14" ht="21.75" customHeight="1">
      <c r="A1018" t="s">
        <v>1421</v>
      </c>
      <c r="B1018" s="245">
        <v>41516</v>
      </c>
      <c r="C1018" s="126">
        <v>147.6</v>
      </c>
      <c r="D1018" s="126">
        <v>146.4</v>
      </c>
      <c r="E1018" s="126"/>
      <c r="G1018" s="321">
        <v>0.7873</v>
      </c>
      <c r="H1018" s="123">
        <f t="shared" si="93"/>
        <v>526.68508581389722</v>
      </c>
      <c r="I1018" s="123">
        <f t="shared" si="94"/>
        <v>522.40309324630448</v>
      </c>
      <c r="J1018" s="123"/>
      <c r="K1018" s="123"/>
      <c r="L1018" s="176">
        <f t="shared" si="90"/>
        <v>524.54408953010079</v>
      </c>
      <c r="M1018" s="227"/>
      <c r="N1018" s="275"/>
    </row>
    <row r="1019" spans="1:14" ht="21.75" customHeight="1">
      <c r="A1019" t="s">
        <v>1422</v>
      </c>
      <c r="B1019" s="245">
        <v>41516</v>
      </c>
      <c r="C1019" s="126">
        <v>92</v>
      </c>
      <c r="D1019" s="126">
        <v>91.9</v>
      </c>
      <c r="E1019" s="126"/>
      <c r="G1019" s="321">
        <v>0.7873</v>
      </c>
      <c r="H1019" s="123">
        <f t="shared" si="93"/>
        <v>328.28609684877057</v>
      </c>
      <c r="I1019" s="123">
        <f t="shared" si="94"/>
        <v>327.92926413480455</v>
      </c>
      <c r="J1019" s="123"/>
      <c r="K1019" s="123"/>
      <c r="L1019" s="176">
        <f t="shared" si="90"/>
        <v>328.10768049178756</v>
      </c>
      <c r="M1019" s="227"/>
      <c r="N1019" s="275"/>
    </row>
    <row r="1020" spans="1:14" ht="21.75" customHeight="1">
      <c r="A1020" t="s">
        <v>1423</v>
      </c>
      <c r="B1020" s="245">
        <v>41516</v>
      </c>
      <c r="C1020" s="126">
        <v>147.80000000000001</v>
      </c>
      <c r="D1020" s="126">
        <v>147.69999999999999</v>
      </c>
      <c r="E1020" s="126"/>
      <c r="G1020" s="321">
        <v>0.7873</v>
      </c>
      <c r="H1020" s="123">
        <f t="shared" si="93"/>
        <v>527.39875124182925</v>
      </c>
      <c r="I1020" s="123">
        <f t="shared" si="94"/>
        <v>527.04191852786312</v>
      </c>
      <c r="J1020" s="123"/>
      <c r="K1020" s="123"/>
      <c r="L1020" s="176">
        <f t="shared" si="90"/>
        <v>527.22033488484612</v>
      </c>
      <c r="M1020" s="227"/>
      <c r="N1020" s="275"/>
    </row>
    <row r="1021" spans="1:14" ht="21.75" customHeight="1">
      <c r="A1021" t="s">
        <v>1424</v>
      </c>
      <c r="B1021" s="245">
        <v>41516</v>
      </c>
      <c r="C1021" s="126">
        <v>144.9</v>
      </c>
      <c r="D1021" s="126">
        <v>146.19999999999999</v>
      </c>
      <c r="E1021" s="126"/>
      <c r="G1021" s="321">
        <v>0.7873</v>
      </c>
      <c r="H1021" s="123">
        <f t="shared" si="93"/>
        <v>517.0506025368137</v>
      </c>
      <c r="I1021" s="123">
        <f t="shared" si="94"/>
        <v>521.68942781837234</v>
      </c>
      <c r="J1021" s="123"/>
      <c r="K1021" s="123"/>
      <c r="L1021" s="176">
        <f t="shared" si="90"/>
        <v>519.37001517759302</v>
      </c>
      <c r="M1021" s="227"/>
      <c r="N1021" s="275"/>
    </row>
    <row r="1022" spans="1:14" ht="21.75" customHeight="1">
      <c r="A1022" t="s">
        <v>1425</v>
      </c>
      <c r="B1022" s="245">
        <v>41516</v>
      </c>
      <c r="C1022" s="126">
        <v>75.5</v>
      </c>
      <c r="D1022" s="126">
        <v>75.2</v>
      </c>
      <c r="E1022" s="126"/>
      <c r="G1022" s="321">
        <v>0.7873</v>
      </c>
      <c r="H1022" s="123">
        <f t="shared" si="93"/>
        <v>269.40869904437153</v>
      </c>
      <c r="I1022" s="123">
        <f t="shared" si="94"/>
        <v>268.33820090247337</v>
      </c>
      <c r="J1022" s="123"/>
      <c r="K1022" s="123"/>
      <c r="L1022" s="176">
        <f t="shared" si="90"/>
        <v>268.87344997342245</v>
      </c>
      <c r="M1022" s="227"/>
      <c r="N1022" s="275"/>
    </row>
    <row r="1023" spans="1:14" ht="21.75" customHeight="1">
      <c r="A1023" t="s">
        <v>1426</v>
      </c>
      <c r="B1023" s="245">
        <v>41535</v>
      </c>
      <c r="C1023" s="126">
        <v>3.9</v>
      </c>
      <c r="D1023" s="126">
        <v>3.9</v>
      </c>
      <c r="E1023" s="126"/>
      <c r="G1023" s="321">
        <v>0.7873</v>
      </c>
      <c r="H1023" s="123">
        <f t="shared" si="93"/>
        <v>13.916475844676144</v>
      </c>
      <c r="I1023" s="123">
        <f t="shared" si="94"/>
        <v>13.916475844676144</v>
      </c>
      <c r="J1023" s="123"/>
      <c r="K1023" s="123"/>
      <c r="L1023" s="176">
        <f t="shared" si="90"/>
        <v>13.916475844676144</v>
      </c>
      <c r="M1023" s="227"/>
      <c r="N1023" s="275"/>
    </row>
    <row r="1024" spans="1:14" ht="21.75" customHeight="1">
      <c r="A1024" t="s">
        <v>1429</v>
      </c>
      <c r="B1024" s="245">
        <v>41535</v>
      </c>
      <c r="C1024" s="126">
        <v>4.0999999999999996</v>
      </c>
      <c r="D1024" s="126">
        <v>4.2</v>
      </c>
      <c r="E1024" s="126"/>
      <c r="G1024" s="321">
        <v>0.7873</v>
      </c>
      <c r="H1024" s="123">
        <f t="shared" si="93"/>
        <v>14.630141272608254</v>
      </c>
      <c r="I1024" s="123">
        <f t="shared" si="94"/>
        <v>14.986973986574309</v>
      </c>
      <c r="J1024" s="123"/>
      <c r="K1024" s="123"/>
      <c r="L1024" s="176">
        <f t="shared" si="90"/>
        <v>14.808557629591281</v>
      </c>
      <c r="M1024" s="227"/>
      <c r="N1024" s="275"/>
    </row>
    <row r="1025" spans="1:14" ht="21.75" customHeight="1">
      <c r="A1025" t="s">
        <v>1430</v>
      </c>
      <c r="B1025" s="245">
        <v>41535</v>
      </c>
      <c r="C1025" s="126">
        <v>141.1</v>
      </c>
      <c r="D1025" s="126">
        <v>140.5</v>
      </c>
      <c r="E1025" s="126"/>
      <c r="G1025" s="321">
        <v>0.7873</v>
      </c>
      <c r="H1025" s="123">
        <f t="shared" si="93"/>
        <v>503.49095940610363</v>
      </c>
      <c r="I1025" s="123">
        <f t="shared" si="94"/>
        <v>501.34996312230726</v>
      </c>
      <c r="J1025" s="123"/>
      <c r="K1025" s="123"/>
      <c r="L1025" s="176">
        <f t="shared" ref="L1025:L1088" si="95">AVERAGE(H1025:K1025)</f>
        <v>502.42046126420541</v>
      </c>
      <c r="M1025" s="227"/>
      <c r="N1025" s="275"/>
    </row>
    <row r="1026" spans="1:14" ht="21.75" customHeight="1">
      <c r="A1026" t="s">
        <v>1432</v>
      </c>
      <c r="B1026" s="245">
        <v>41535</v>
      </c>
      <c r="C1026" s="126">
        <v>143.4</v>
      </c>
      <c r="D1026" s="126">
        <v>142.30000000000001</v>
      </c>
      <c r="E1026" s="126"/>
      <c r="G1026" s="321">
        <v>0.7873</v>
      </c>
      <c r="H1026" s="123">
        <f t="shared" ref="H1026:H1032" si="96">(C1026*(PI()/LN(2)))*$G1026</f>
        <v>511.69811182732292</v>
      </c>
      <c r="I1026" s="123">
        <f t="shared" ref="I1026:I1032" si="97">(D1026*(PI()/LN(2)))*$G1026</f>
        <v>507.77295197369625</v>
      </c>
      <c r="J1026" s="123"/>
      <c r="K1026" s="123"/>
      <c r="L1026" s="176">
        <f t="shared" si="95"/>
        <v>509.73553190050961</v>
      </c>
      <c r="M1026" s="227"/>
      <c r="N1026" s="275"/>
    </row>
    <row r="1027" spans="1:14" ht="21.75" customHeight="1">
      <c r="A1027" t="s">
        <v>1433</v>
      </c>
      <c r="B1027" s="245">
        <v>41535</v>
      </c>
      <c r="C1027" s="126">
        <v>93.8</v>
      </c>
      <c r="D1027" s="126">
        <v>93.6</v>
      </c>
      <c r="E1027" s="126"/>
      <c r="G1027" s="321">
        <v>0.7873</v>
      </c>
      <c r="H1027" s="123">
        <f t="shared" si="96"/>
        <v>334.70908570015956</v>
      </c>
      <c r="I1027" s="123">
        <f t="shared" si="97"/>
        <v>333.99542027222742</v>
      </c>
      <c r="J1027" s="123"/>
      <c r="K1027" s="123"/>
      <c r="L1027" s="176">
        <f t="shared" si="95"/>
        <v>334.35225298619349</v>
      </c>
      <c r="M1027" s="227"/>
      <c r="N1027" s="275"/>
    </row>
    <row r="1028" spans="1:14" ht="21.75" customHeight="1">
      <c r="A1028" t="s">
        <v>1434</v>
      </c>
      <c r="B1028" s="245">
        <v>41535</v>
      </c>
      <c r="C1028" s="126">
        <v>142.6</v>
      </c>
      <c r="D1028" s="126">
        <v>142.1</v>
      </c>
      <c r="E1028" s="126"/>
      <c r="G1028" s="321">
        <v>0.7873</v>
      </c>
      <c r="H1028" s="123">
        <f t="shared" si="96"/>
        <v>508.84345011559435</v>
      </c>
      <c r="I1028" s="123">
        <f t="shared" si="97"/>
        <v>507.05928654576417</v>
      </c>
      <c r="J1028" s="123"/>
      <c r="K1028" s="123"/>
      <c r="L1028" s="176">
        <f t="shared" si="95"/>
        <v>507.95136833067926</v>
      </c>
      <c r="M1028" s="227"/>
      <c r="N1028" s="275"/>
    </row>
    <row r="1029" spans="1:14" ht="21.75" customHeight="1">
      <c r="A1029" t="s">
        <v>1435</v>
      </c>
      <c r="B1029" s="245">
        <v>41535</v>
      </c>
      <c r="C1029" s="126">
        <v>141.5</v>
      </c>
      <c r="D1029" s="126">
        <v>141.9</v>
      </c>
      <c r="E1029" s="126"/>
      <c r="G1029" s="321">
        <v>0.7873</v>
      </c>
      <c r="H1029" s="123">
        <f t="shared" si="96"/>
        <v>504.91829026196785</v>
      </c>
      <c r="I1029" s="123">
        <f t="shared" si="97"/>
        <v>506.34562111783208</v>
      </c>
      <c r="J1029" s="123"/>
      <c r="K1029" s="123"/>
      <c r="L1029" s="176">
        <f t="shared" si="95"/>
        <v>505.6319556899</v>
      </c>
      <c r="M1029" s="227"/>
      <c r="N1029" s="275"/>
    </row>
    <row r="1030" spans="1:14" ht="21.75" customHeight="1">
      <c r="A1030" t="s">
        <v>1436</v>
      </c>
      <c r="B1030" s="245">
        <v>41535</v>
      </c>
      <c r="C1030" s="126">
        <v>116.1</v>
      </c>
      <c r="D1030" s="126">
        <v>114.9</v>
      </c>
      <c r="E1030" s="126"/>
      <c r="G1030" s="321">
        <v>0.7873</v>
      </c>
      <c r="H1030" s="123">
        <f t="shared" si="96"/>
        <v>414.28278091458986</v>
      </c>
      <c r="I1030" s="123">
        <f t="shared" si="97"/>
        <v>410.00078834699718</v>
      </c>
      <c r="J1030" s="123"/>
      <c r="K1030" s="123"/>
      <c r="L1030" s="176">
        <f t="shared" si="95"/>
        <v>412.1417846307935</v>
      </c>
      <c r="M1030" s="227"/>
      <c r="N1030" s="275"/>
    </row>
    <row r="1031" spans="1:14" ht="21.75" customHeight="1">
      <c r="A1031" t="s">
        <v>1879</v>
      </c>
      <c r="B1031" s="245">
        <v>41536</v>
      </c>
      <c r="C1031" s="126">
        <v>158</v>
      </c>
      <c r="D1031" s="126">
        <v>159</v>
      </c>
      <c r="E1031" s="126"/>
      <c r="G1031" s="321">
        <v>0.7873</v>
      </c>
      <c r="H1031" s="123">
        <f t="shared" si="96"/>
        <v>563.79568806636689</v>
      </c>
      <c r="I1031" s="123">
        <f t="shared" si="97"/>
        <v>567.36401520602737</v>
      </c>
      <c r="J1031" s="123"/>
      <c r="K1031" s="123"/>
      <c r="L1031" s="176">
        <f t="shared" si="95"/>
        <v>565.57985163619719</v>
      </c>
      <c r="M1031" s="21">
        <f t="shared" ref="M1031:M1036" si="98">(L1031-L1025)/L1025</f>
        <v>0.12571022727272735</v>
      </c>
      <c r="N1031" s="275"/>
    </row>
    <row r="1032" spans="1:14" ht="21.75" customHeight="1">
      <c r="A1032" t="s">
        <v>1880</v>
      </c>
      <c r="B1032" s="245">
        <v>41536</v>
      </c>
      <c r="C1032" s="126">
        <v>175.9</v>
      </c>
      <c r="D1032" s="126">
        <v>180.6</v>
      </c>
      <c r="E1032" s="126"/>
      <c r="G1032" s="321">
        <v>0.7873</v>
      </c>
      <c r="H1032" s="123">
        <f t="shared" si="96"/>
        <v>627.66874386629081</v>
      </c>
      <c r="I1032" s="123">
        <f t="shared" si="97"/>
        <v>644.43988142269529</v>
      </c>
      <c r="J1032" s="123"/>
      <c r="K1032" s="123"/>
      <c r="L1032" s="176">
        <f t="shared" si="95"/>
        <v>636.05431264449305</v>
      </c>
      <c r="M1032" s="21">
        <f t="shared" si="98"/>
        <v>0.24781239061953089</v>
      </c>
      <c r="N1032" s="275"/>
    </row>
    <row r="1033" spans="1:14" ht="21.75" customHeight="1">
      <c r="A1033" t="s">
        <v>1881</v>
      </c>
      <c r="C1033" s="126"/>
      <c r="D1033" s="126"/>
      <c r="E1033" s="126"/>
      <c r="G1033" s="321"/>
      <c r="H1033" s="123"/>
      <c r="I1033" s="123"/>
      <c r="J1033" s="123"/>
      <c r="K1033" s="123"/>
      <c r="L1033" s="176"/>
      <c r="M1033" s="21">
        <f t="shared" si="98"/>
        <v>-1</v>
      </c>
      <c r="N1033" s="275"/>
    </row>
    <row r="1034" spans="1:14" ht="21.75" customHeight="1">
      <c r="A1034" t="s">
        <v>1882</v>
      </c>
      <c r="B1034" s="245">
        <v>41536</v>
      </c>
      <c r="C1034" s="126">
        <v>146</v>
      </c>
      <c r="D1034" s="126">
        <v>147.5</v>
      </c>
      <c r="E1034" s="126"/>
      <c r="G1034" s="321">
        <v>0.7873</v>
      </c>
      <c r="H1034" s="123">
        <f t="shared" ref="H1034:H1065" si="99">(C1034*(PI()/LN(2)))*$G1034</f>
        <v>520.97576239044031</v>
      </c>
      <c r="I1034" s="123">
        <f t="shared" ref="I1034:I1065" si="100">(D1034*(PI()/LN(2)))*$G1034</f>
        <v>526.32825309993109</v>
      </c>
      <c r="J1034" s="123"/>
      <c r="K1034" s="123"/>
      <c r="L1034" s="176">
        <f t="shared" ref="L1034:L1072" si="101">AVERAGE(H1034:K1034)</f>
        <v>523.65200774518576</v>
      </c>
      <c r="M1034" s="21">
        <f t="shared" si="98"/>
        <v>3.090972953986668E-2</v>
      </c>
      <c r="N1034" s="275"/>
    </row>
    <row r="1035" spans="1:14" ht="21.75" customHeight="1">
      <c r="A1035" t="s">
        <v>1883</v>
      </c>
      <c r="B1035" s="245">
        <v>41536</v>
      </c>
      <c r="C1035" s="126">
        <v>244.2</v>
      </c>
      <c r="D1035" s="126">
        <v>234.2</v>
      </c>
      <c r="E1035" s="126"/>
      <c r="G1035" s="321">
        <v>0.7873</v>
      </c>
      <c r="H1035" s="123">
        <f t="shared" si="99"/>
        <v>871.38548750510631</v>
      </c>
      <c r="I1035" s="123">
        <f t="shared" si="100"/>
        <v>835.70221610850069</v>
      </c>
      <c r="J1035" s="123"/>
      <c r="K1035" s="123"/>
      <c r="L1035" s="176">
        <f t="shared" si="101"/>
        <v>853.54385180680356</v>
      </c>
      <c r="M1035" s="21">
        <f t="shared" si="98"/>
        <v>0.6880733944954126</v>
      </c>
      <c r="N1035" s="275"/>
    </row>
    <row r="1036" spans="1:14" ht="21.75" customHeight="1">
      <c r="A1036" t="s">
        <v>1884</v>
      </c>
      <c r="B1036" s="245">
        <v>41536</v>
      </c>
      <c r="C1036" s="126">
        <v>131</v>
      </c>
      <c r="D1036" s="126">
        <v>133.6</v>
      </c>
      <c r="E1036" s="126"/>
      <c r="G1036" s="321">
        <v>0.7873</v>
      </c>
      <c r="H1036" s="123">
        <f t="shared" si="99"/>
        <v>467.45085529553211</v>
      </c>
      <c r="I1036" s="123">
        <f t="shared" si="100"/>
        <v>476.72850585864944</v>
      </c>
      <c r="J1036" s="123"/>
      <c r="K1036" s="123"/>
      <c r="L1036" s="176">
        <f t="shared" si="101"/>
        <v>472.0896805770908</v>
      </c>
      <c r="M1036" s="21">
        <f t="shared" si="98"/>
        <v>0.14545454545454564</v>
      </c>
      <c r="N1036" s="275"/>
    </row>
    <row r="1037" spans="1:14" ht="21.75" customHeight="1">
      <c r="A1037" t="s">
        <v>1438</v>
      </c>
      <c r="B1037" s="245">
        <v>41540</v>
      </c>
      <c r="C1037" s="126">
        <v>91.1</v>
      </c>
      <c r="D1037" s="126">
        <v>91.2</v>
      </c>
      <c r="E1037" s="126"/>
      <c r="G1037" s="321">
        <v>0.7873</v>
      </c>
      <c r="H1037" s="123">
        <f t="shared" si="99"/>
        <v>325.0746024230761</v>
      </c>
      <c r="I1037" s="123">
        <f t="shared" si="100"/>
        <v>325.43143513704217</v>
      </c>
      <c r="J1037" s="123"/>
      <c r="K1037" s="123"/>
      <c r="L1037" s="176">
        <f t="shared" si="101"/>
        <v>325.25301878005916</v>
      </c>
      <c r="M1037" s="227"/>
      <c r="N1037" s="275"/>
    </row>
    <row r="1038" spans="1:14" ht="21.75" customHeight="1">
      <c r="A1038" t="s">
        <v>1439</v>
      </c>
      <c r="B1038" s="245">
        <v>41540</v>
      </c>
      <c r="C1038" s="126">
        <v>90.3</v>
      </c>
      <c r="D1038" s="126">
        <v>91</v>
      </c>
      <c r="E1038" s="126"/>
      <c r="G1038" s="321">
        <v>0.7873</v>
      </c>
      <c r="H1038" s="123">
        <f t="shared" si="99"/>
        <v>322.21994071134765</v>
      </c>
      <c r="I1038" s="123">
        <f t="shared" si="100"/>
        <v>324.71776970911009</v>
      </c>
      <c r="J1038" s="123"/>
      <c r="K1038" s="123"/>
      <c r="L1038" s="176">
        <f t="shared" si="101"/>
        <v>323.46885521022887</v>
      </c>
      <c r="M1038" s="227"/>
      <c r="N1038" s="275"/>
    </row>
    <row r="1039" spans="1:14" ht="21.75" customHeight="1">
      <c r="A1039" t="s">
        <v>1441</v>
      </c>
      <c r="B1039" s="245">
        <v>41540</v>
      </c>
      <c r="C1039" s="126">
        <v>85.9</v>
      </c>
      <c r="D1039" s="126">
        <v>85.7</v>
      </c>
      <c r="E1039" s="126"/>
      <c r="G1039" s="321">
        <v>0.7873</v>
      </c>
      <c r="H1039" s="123">
        <f t="shared" si="99"/>
        <v>306.51930129684126</v>
      </c>
      <c r="I1039" s="123">
        <f t="shared" si="100"/>
        <v>305.80563586890912</v>
      </c>
      <c r="J1039" s="123"/>
      <c r="K1039" s="123"/>
      <c r="L1039" s="176">
        <f t="shared" si="101"/>
        <v>306.16246858287519</v>
      </c>
      <c r="M1039" s="227"/>
      <c r="N1039" s="275"/>
    </row>
    <row r="1040" spans="1:14" ht="21.75" customHeight="1">
      <c r="A1040" t="s">
        <v>1442</v>
      </c>
      <c r="B1040" s="245">
        <v>41540</v>
      </c>
      <c r="C1040" s="126">
        <v>135.69999999999999</v>
      </c>
      <c r="D1040" s="126">
        <v>135.4</v>
      </c>
      <c r="E1040" s="126"/>
      <c r="G1040" s="321">
        <v>0.7873</v>
      </c>
      <c r="H1040" s="123">
        <f t="shared" si="99"/>
        <v>484.22199285193653</v>
      </c>
      <c r="I1040" s="123">
        <f t="shared" si="100"/>
        <v>483.15149471003849</v>
      </c>
      <c r="J1040" s="123"/>
      <c r="K1040" s="123"/>
      <c r="L1040" s="176">
        <f t="shared" si="101"/>
        <v>483.68674378098751</v>
      </c>
      <c r="M1040" s="227"/>
      <c r="N1040" s="275"/>
    </row>
    <row r="1041" spans="1:14" ht="21.75" customHeight="1">
      <c r="A1041" t="s">
        <v>1443</v>
      </c>
      <c r="B1041" s="245">
        <v>41540</v>
      </c>
      <c r="C1041" s="126">
        <v>136.30000000000001</v>
      </c>
      <c r="D1041" s="126">
        <v>136.69999999999999</v>
      </c>
      <c r="E1041" s="126"/>
      <c r="G1041" s="321">
        <v>0.7873</v>
      </c>
      <c r="H1041" s="123">
        <f t="shared" si="99"/>
        <v>486.36298913573296</v>
      </c>
      <c r="I1041" s="123">
        <f t="shared" si="100"/>
        <v>487.79031999159713</v>
      </c>
      <c r="J1041" s="123"/>
      <c r="K1041" s="123"/>
      <c r="L1041" s="176">
        <f t="shared" si="101"/>
        <v>487.07665456366504</v>
      </c>
      <c r="M1041" s="227"/>
      <c r="N1041" s="275"/>
    </row>
    <row r="1042" spans="1:14" ht="21.75" customHeight="1">
      <c r="A1042" t="s">
        <v>1444</v>
      </c>
      <c r="B1042" s="245">
        <v>41540</v>
      </c>
      <c r="C1042" s="126">
        <v>109.3</v>
      </c>
      <c r="D1042" s="126">
        <v>109.2</v>
      </c>
      <c r="E1042" s="126"/>
      <c r="G1042" s="321">
        <v>0.7873</v>
      </c>
      <c r="H1042" s="123">
        <f t="shared" si="99"/>
        <v>390.01815636489812</v>
      </c>
      <c r="I1042" s="123">
        <f t="shared" si="100"/>
        <v>389.66132365093205</v>
      </c>
      <c r="J1042" s="123"/>
      <c r="K1042" s="123"/>
      <c r="L1042" s="176">
        <f t="shared" si="101"/>
        <v>389.83974000791511</v>
      </c>
      <c r="M1042" s="227"/>
      <c r="N1042" s="275"/>
    </row>
    <row r="1043" spans="1:14" ht="21.75" customHeight="1">
      <c r="A1043" t="s">
        <v>1885</v>
      </c>
      <c r="B1043" s="245">
        <v>41549</v>
      </c>
      <c r="C1043" s="126">
        <v>82.9</v>
      </c>
      <c r="D1043" s="126">
        <v>85.2</v>
      </c>
      <c r="E1043" s="126"/>
      <c r="G1043" s="321">
        <v>0.7873</v>
      </c>
      <c r="H1043" s="123">
        <f t="shared" si="99"/>
        <v>295.81431987785965</v>
      </c>
      <c r="I1043" s="123">
        <f t="shared" si="100"/>
        <v>304.02147229907888</v>
      </c>
      <c r="J1043" s="123"/>
      <c r="K1043" s="123"/>
      <c r="L1043" s="176">
        <f t="shared" si="101"/>
        <v>299.91789608846926</v>
      </c>
      <c r="M1043" s="21">
        <f t="shared" ref="M1043:M1048" si="102">(L1043-L1037)/L1037</f>
        <v>-7.7893582007679638E-2</v>
      </c>
      <c r="N1043" s="275"/>
    </row>
    <row r="1044" spans="1:14" ht="21.75" customHeight="1">
      <c r="A1044" t="s">
        <v>1886</v>
      </c>
      <c r="B1044" s="245">
        <v>41549</v>
      </c>
      <c r="C1044" s="126">
        <v>66.7</v>
      </c>
      <c r="D1044" s="126">
        <v>67.400000000000006</v>
      </c>
      <c r="E1044" s="126"/>
      <c r="G1044" s="321">
        <v>0.7873</v>
      </c>
      <c r="H1044" s="123">
        <f t="shared" si="99"/>
        <v>238.00742021535868</v>
      </c>
      <c r="I1044" s="123">
        <f t="shared" si="100"/>
        <v>240.50524921312106</v>
      </c>
      <c r="J1044" s="123"/>
      <c r="K1044" s="123"/>
      <c r="L1044" s="176">
        <f t="shared" si="101"/>
        <v>239.25633471423987</v>
      </c>
      <c r="M1044" s="21">
        <f t="shared" si="102"/>
        <v>-0.26034197462768893</v>
      </c>
      <c r="N1044" s="275"/>
    </row>
    <row r="1045" spans="1:14" ht="21.75" customHeight="1">
      <c r="A1045" t="s">
        <v>1887</v>
      </c>
      <c r="B1045" s="245">
        <v>41549</v>
      </c>
      <c r="C1045" s="126">
        <v>47.3</v>
      </c>
      <c r="D1045" s="126">
        <v>47.5</v>
      </c>
      <c r="E1045" s="126"/>
      <c r="G1045" s="321">
        <v>0.7873</v>
      </c>
      <c r="H1045" s="123">
        <f t="shared" si="99"/>
        <v>168.78187370594401</v>
      </c>
      <c r="I1045" s="123">
        <f t="shared" si="100"/>
        <v>169.49553913387612</v>
      </c>
      <c r="J1045" s="123"/>
      <c r="K1045" s="123"/>
      <c r="L1045" s="176">
        <f t="shared" si="101"/>
        <v>169.13870641991008</v>
      </c>
      <c r="M1045" s="21">
        <f t="shared" si="102"/>
        <v>-0.44755244755244755</v>
      </c>
      <c r="N1045" s="275"/>
    </row>
    <row r="1046" spans="1:14" ht="21.75" customHeight="1">
      <c r="A1046" t="s">
        <v>1888</v>
      </c>
      <c r="B1046" s="245">
        <v>41549</v>
      </c>
      <c r="C1046" s="126">
        <v>96.6</v>
      </c>
      <c r="D1046" s="126">
        <v>95.6</v>
      </c>
      <c r="E1046" s="126"/>
      <c r="G1046" s="321">
        <v>0.7873</v>
      </c>
      <c r="H1046" s="123">
        <f t="shared" si="99"/>
        <v>344.70040169120909</v>
      </c>
      <c r="I1046" s="123">
        <f t="shared" si="100"/>
        <v>341.13207455154856</v>
      </c>
      <c r="J1046" s="123"/>
      <c r="K1046" s="123"/>
      <c r="L1046" s="176">
        <f t="shared" si="101"/>
        <v>342.9162381213788</v>
      </c>
      <c r="M1046" s="21">
        <f t="shared" si="102"/>
        <v>-0.29103651789007751</v>
      </c>
      <c r="N1046" s="275"/>
    </row>
    <row r="1047" spans="1:14" ht="21.75" customHeight="1">
      <c r="A1047" t="s">
        <v>1889</v>
      </c>
      <c r="B1047" s="245">
        <v>41549</v>
      </c>
      <c r="C1047" s="126">
        <v>100.5</v>
      </c>
      <c r="D1047" s="126">
        <v>100.9</v>
      </c>
      <c r="E1047" s="126"/>
      <c r="G1047" s="321">
        <v>0.7873</v>
      </c>
      <c r="H1047" s="123">
        <f t="shared" si="99"/>
        <v>358.61687753588529</v>
      </c>
      <c r="I1047" s="123">
        <f t="shared" si="100"/>
        <v>360.04420839174952</v>
      </c>
      <c r="J1047" s="123"/>
      <c r="K1047" s="123"/>
      <c r="L1047" s="176">
        <f t="shared" si="101"/>
        <v>359.33054296381738</v>
      </c>
      <c r="M1047" s="21">
        <f t="shared" si="102"/>
        <v>-0.26227106227106223</v>
      </c>
      <c r="N1047" s="275"/>
    </row>
    <row r="1048" spans="1:14" ht="21.75" customHeight="1">
      <c r="A1048" t="s">
        <v>1890</v>
      </c>
      <c r="B1048" s="245">
        <v>41549</v>
      </c>
      <c r="C1048" s="126">
        <v>92.6</v>
      </c>
      <c r="D1048" s="126">
        <v>92.5</v>
      </c>
      <c r="E1048" s="126"/>
      <c r="G1048" s="321">
        <v>0.7873</v>
      </c>
      <c r="H1048" s="123">
        <f t="shared" si="99"/>
        <v>330.42709313256694</v>
      </c>
      <c r="I1048" s="123">
        <f t="shared" si="100"/>
        <v>330.07026041860087</v>
      </c>
      <c r="J1048" s="123"/>
      <c r="K1048" s="123"/>
      <c r="L1048" s="176">
        <f t="shared" si="101"/>
        <v>330.24867677558393</v>
      </c>
      <c r="M1048" s="21">
        <f t="shared" si="102"/>
        <v>-0.15286041189931349</v>
      </c>
      <c r="N1048" s="275"/>
    </row>
    <row r="1049" spans="1:14" ht="21.75" customHeight="1">
      <c r="A1049" t="s">
        <v>1445</v>
      </c>
      <c r="B1049" s="245">
        <v>41551</v>
      </c>
      <c r="C1049" s="126">
        <v>135.4</v>
      </c>
      <c r="D1049" s="126">
        <v>135.69999999999999</v>
      </c>
      <c r="E1049" s="126"/>
      <c r="G1049" s="321">
        <v>0.7873</v>
      </c>
      <c r="H1049" s="123">
        <f t="shared" si="99"/>
        <v>483.15149471003849</v>
      </c>
      <c r="I1049" s="123">
        <f t="shared" si="100"/>
        <v>484.22199285193653</v>
      </c>
      <c r="J1049" s="123"/>
      <c r="K1049" s="123"/>
      <c r="L1049" s="176">
        <f t="shared" si="101"/>
        <v>483.68674378098751</v>
      </c>
      <c r="M1049" s="227"/>
      <c r="N1049" s="275"/>
    </row>
    <row r="1050" spans="1:14" ht="21.75" customHeight="1">
      <c r="A1050" t="s">
        <v>1446</v>
      </c>
      <c r="B1050" s="245">
        <v>41551</v>
      </c>
      <c r="C1050" s="126">
        <v>134.69999999999999</v>
      </c>
      <c r="D1050" s="126">
        <v>134.4</v>
      </c>
      <c r="E1050" s="126"/>
      <c r="G1050" s="321">
        <v>0.7873</v>
      </c>
      <c r="H1050" s="123">
        <f t="shared" si="99"/>
        <v>480.65366571227599</v>
      </c>
      <c r="I1050" s="123">
        <f t="shared" si="100"/>
        <v>479.5831675703779</v>
      </c>
      <c r="J1050" s="123"/>
      <c r="K1050" s="123"/>
      <c r="L1050" s="176">
        <f t="shared" si="101"/>
        <v>480.11841664132692</v>
      </c>
      <c r="M1050" s="227"/>
      <c r="N1050" s="275"/>
    </row>
    <row r="1051" spans="1:14" ht="21.75" customHeight="1">
      <c r="A1051" t="s">
        <v>1447</v>
      </c>
      <c r="B1051" s="245">
        <v>41551</v>
      </c>
      <c r="C1051" s="126">
        <v>87.7</v>
      </c>
      <c r="D1051" s="126">
        <v>89</v>
      </c>
      <c r="E1051" s="126"/>
      <c r="G1051" s="321">
        <v>0.7873</v>
      </c>
      <c r="H1051" s="123">
        <f t="shared" si="99"/>
        <v>312.94229014823026</v>
      </c>
      <c r="I1051" s="123">
        <f t="shared" si="100"/>
        <v>317.58111542978895</v>
      </c>
      <c r="J1051" s="123"/>
      <c r="K1051" s="123"/>
      <c r="L1051" s="176">
        <f t="shared" si="101"/>
        <v>315.26170278900963</v>
      </c>
      <c r="M1051" s="227"/>
      <c r="N1051" s="275"/>
    </row>
    <row r="1052" spans="1:14" ht="21.75" customHeight="1">
      <c r="A1052" t="s">
        <v>1448</v>
      </c>
      <c r="B1052" s="245">
        <v>41551</v>
      </c>
      <c r="C1052" s="126">
        <v>133</v>
      </c>
      <c r="D1052" s="126">
        <v>132.6</v>
      </c>
      <c r="E1052" s="126"/>
      <c r="G1052" s="321">
        <v>0.7873</v>
      </c>
      <c r="H1052" s="123">
        <f t="shared" si="99"/>
        <v>474.58750957485313</v>
      </c>
      <c r="I1052" s="123">
        <f t="shared" si="100"/>
        <v>473.1601787189889</v>
      </c>
      <c r="J1052" s="123"/>
      <c r="K1052" s="123"/>
      <c r="L1052" s="176">
        <f t="shared" si="101"/>
        <v>473.87384414692099</v>
      </c>
      <c r="M1052" s="227"/>
      <c r="N1052" s="275"/>
    </row>
    <row r="1053" spans="1:14" ht="21.75" customHeight="1">
      <c r="A1053" t="s">
        <v>1449</v>
      </c>
      <c r="B1053" s="245">
        <v>41551</v>
      </c>
      <c r="C1053" s="126">
        <v>134.80000000000001</v>
      </c>
      <c r="D1053" s="126">
        <v>134.69999999999999</v>
      </c>
      <c r="E1053" s="126"/>
      <c r="G1053" s="321">
        <v>0.7873</v>
      </c>
      <c r="H1053" s="123">
        <f t="shared" si="99"/>
        <v>481.01049842624212</v>
      </c>
      <c r="I1053" s="123">
        <f t="shared" si="100"/>
        <v>480.65366571227599</v>
      </c>
      <c r="J1053" s="123"/>
      <c r="K1053" s="123"/>
      <c r="L1053" s="176">
        <f t="shared" si="101"/>
        <v>480.83208206925906</v>
      </c>
      <c r="M1053" s="227"/>
      <c r="N1053" s="275"/>
    </row>
    <row r="1054" spans="1:14" ht="21.75" customHeight="1">
      <c r="A1054" t="s">
        <v>1450</v>
      </c>
      <c r="B1054" s="245">
        <v>41551</v>
      </c>
      <c r="C1054" s="126">
        <v>109.6</v>
      </c>
      <c r="D1054" s="126">
        <v>108.9</v>
      </c>
      <c r="E1054" s="126"/>
      <c r="G1054" s="321">
        <v>0.7873</v>
      </c>
      <c r="H1054" s="123">
        <f t="shared" si="99"/>
        <v>391.08865450679622</v>
      </c>
      <c r="I1054" s="123">
        <f t="shared" si="100"/>
        <v>388.59082550903389</v>
      </c>
      <c r="J1054" s="123"/>
      <c r="K1054" s="123"/>
      <c r="L1054" s="176">
        <f t="shared" si="101"/>
        <v>389.83974000791505</v>
      </c>
      <c r="M1054" s="227"/>
      <c r="N1054" s="275"/>
    </row>
    <row r="1055" spans="1:14" ht="21.75" customHeight="1">
      <c r="A1055" t="s">
        <v>1451</v>
      </c>
      <c r="B1055" s="245">
        <v>41554</v>
      </c>
      <c r="C1055" s="126">
        <v>152.6</v>
      </c>
      <c r="D1055" s="126">
        <v>153.19999999999999</v>
      </c>
      <c r="E1055" s="126"/>
      <c r="G1055" s="321">
        <v>0.7873</v>
      </c>
      <c r="H1055" s="123">
        <f t="shared" si="99"/>
        <v>544.52672151219986</v>
      </c>
      <c r="I1055" s="123">
        <f t="shared" si="100"/>
        <v>546.66771779599628</v>
      </c>
      <c r="J1055" s="123"/>
      <c r="K1055" s="123"/>
      <c r="L1055" s="176">
        <f t="shared" si="101"/>
        <v>545.59721965409813</v>
      </c>
      <c r="M1055" s="227"/>
      <c r="N1055" s="275"/>
    </row>
    <row r="1056" spans="1:14" ht="21.75" customHeight="1">
      <c r="A1056" t="s">
        <v>1453</v>
      </c>
      <c r="B1056" s="245">
        <v>41554</v>
      </c>
      <c r="C1056" s="126">
        <v>110.1</v>
      </c>
      <c r="D1056" s="126">
        <v>109.9</v>
      </c>
      <c r="E1056" s="126"/>
      <c r="G1056" s="321">
        <v>0.7873</v>
      </c>
      <c r="H1056" s="123">
        <f t="shared" si="99"/>
        <v>392.87281807662652</v>
      </c>
      <c r="I1056" s="123">
        <f t="shared" si="100"/>
        <v>392.15915264869443</v>
      </c>
      <c r="J1056" s="123"/>
      <c r="K1056" s="123"/>
      <c r="L1056" s="176">
        <f t="shared" si="101"/>
        <v>392.51598536266044</v>
      </c>
      <c r="M1056" s="227"/>
      <c r="N1056" s="275"/>
    </row>
    <row r="1057" spans="1:14" ht="21.75" customHeight="1">
      <c r="A1057" t="s">
        <v>1454</v>
      </c>
      <c r="B1057" s="245">
        <v>41554</v>
      </c>
      <c r="C1057" s="126">
        <v>151.9</v>
      </c>
      <c r="D1057" s="126">
        <v>152.19999999999999</v>
      </c>
      <c r="E1057" s="126"/>
      <c r="G1057" s="321">
        <v>0.7873</v>
      </c>
      <c r="H1057" s="123">
        <f t="shared" si="99"/>
        <v>542.02889251443753</v>
      </c>
      <c r="I1057" s="123">
        <f t="shared" si="100"/>
        <v>543.09939065633569</v>
      </c>
      <c r="J1057" s="123"/>
      <c r="K1057" s="123"/>
      <c r="L1057" s="176">
        <f t="shared" si="101"/>
        <v>542.56414158538655</v>
      </c>
      <c r="M1057" s="227"/>
      <c r="N1057" s="275"/>
    </row>
    <row r="1058" spans="1:14" ht="21.75" customHeight="1">
      <c r="A1058" t="s">
        <v>1455</v>
      </c>
      <c r="B1058" s="245">
        <v>41554</v>
      </c>
      <c r="C1058" s="126">
        <v>128.69999999999999</v>
      </c>
      <c r="D1058" s="126">
        <v>129.19999999999999</v>
      </c>
      <c r="E1058" s="126"/>
      <c r="G1058" s="321">
        <v>0.7873</v>
      </c>
      <c r="H1058" s="123">
        <f t="shared" si="99"/>
        <v>459.2437028743127</v>
      </c>
      <c r="I1058" s="123">
        <f t="shared" si="100"/>
        <v>461.027866444143</v>
      </c>
      <c r="J1058" s="123"/>
      <c r="K1058" s="123"/>
      <c r="L1058" s="176">
        <f t="shared" si="101"/>
        <v>460.13578465922785</v>
      </c>
      <c r="M1058" s="227"/>
      <c r="N1058" s="275"/>
    </row>
    <row r="1059" spans="1:14" ht="21.75" customHeight="1">
      <c r="A1059" t="s">
        <v>1456</v>
      </c>
      <c r="B1059" s="245">
        <v>41554</v>
      </c>
      <c r="C1059" s="126">
        <v>108.3</v>
      </c>
      <c r="D1059" s="126">
        <v>108.3</v>
      </c>
      <c r="E1059" s="126"/>
      <c r="G1059" s="321">
        <v>0.7873</v>
      </c>
      <c r="H1059" s="123">
        <f t="shared" si="99"/>
        <v>386.44982922523758</v>
      </c>
      <c r="I1059" s="123">
        <f t="shared" si="100"/>
        <v>386.44982922523758</v>
      </c>
      <c r="J1059" s="123"/>
      <c r="K1059" s="123"/>
      <c r="L1059" s="176">
        <f t="shared" si="101"/>
        <v>386.44982922523758</v>
      </c>
      <c r="M1059" s="227"/>
      <c r="N1059" s="275"/>
    </row>
    <row r="1060" spans="1:14" ht="21.75" customHeight="1">
      <c r="A1060" t="s">
        <v>1457</v>
      </c>
      <c r="B1060" s="245">
        <v>41554</v>
      </c>
      <c r="C1060" s="126">
        <v>129.30000000000001</v>
      </c>
      <c r="D1060" s="126">
        <v>130.19999999999999</v>
      </c>
      <c r="E1060" s="126"/>
      <c r="G1060" s="321">
        <v>0.7873</v>
      </c>
      <c r="H1060" s="123">
        <f t="shared" si="99"/>
        <v>461.38469915810913</v>
      </c>
      <c r="I1060" s="123">
        <f t="shared" si="100"/>
        <v>464.59619358380354</v>
      </c>
      <c r="J1060" s="123"/>
      <c r="K1060" s="123"/>
      <c r="L1060" s="176">
        <f t="shared" si="101"/>
        <v>462.99044637095631</v>
      </c>
      <c r="M1060" s="227"/>
      <c r="N1060" s="275"/>
    </row>
    <row r="1061" spans="1:14" ht="21.75" customHeight="1">
      <c r="A1061" t="s">
        <v>1891</v>
      </c>
      <c r="B1061" s="245">
        <v>41554</v>
      </c>
      <c r="C1061" s="126">
        <v>123.6</v>
      </c>
      <c r="D1061" s="126">
        <v>129.80000000000001</v>
      </c>
      <c r="E1061" s="126"/>
      <c r="G1061" s="321">
        <v>0.7873</v>
      </c>
      <c r="H1061" s="123">
        <f t="shared" si="99"/>
        <v>441.04523446204394</v>
      </c>
      <c r="I1061" s="123">
        <f t="shared" si="100"/>
        <v>463.16886272793943</v>
      </c>
      <c r="J1061" s="123"/>
      <c r="K1061" s="123"/>
      <c r="L1061" s="176">
        <f t="shared" si="101"/>
        <v>452.10704859499168</v>
      </c>
      <c r="M1061" s="227"/>
      <c r="N1061" s="275"/>
    </row>
    <row r="1062" spans="1:14" ht="21.75" customHeight="1">
      <c r="A1062" t="s">
        <v>1892</v>
      </c>
      <c r="B1062" s="245">
        <v>41554</v>
      </c>
      <c r="C1062" s="126">
        <v>101.6</v>
      </c>
      <c r="D1062" s="126">
        <v>100.7</v>
      </c>
      <c r="E1062" s="126"/>
      <c r="G1062" s="321">
        <v>0.7873</v>
      </c>
      <c r="H1062" s="123">
        <f t="shared" si="99"/>
        <v>362.54203738951185</v>
      </c>
      <c r="I1062" s="123">
        <f t="shared" si="100"/>
        <v>359.33054296381738</v>
      </c>
      <c r="J1062" s="123"/>
      <c r="K1062" s="123"/>
      <c r="L1062" s="176">
        <f t="shared" si="101"/>
        <v>360.93629017666461</v>
      </c>
      <c r="M1062" s="227"/>
      <c r="N1062" s="275"/>
    </row>
    <row r="1063" spans="1:14" ht="21.75" customHeight="1">
      <c r="A1063" t="s">
        <v>1458</v>
      </c>
      <c r="B1063" s="245">
        <v>41556</v>
      </c>
      <c r="C1063" s="126">
        <v>89.6</v>
      </c>
      <c r="D1063" s="126">
        <v>89.9</v>
      </c>
      <c r="E1063" s="126"/>
      <c r="G1063" s="321">
        <v>0.7873</v>
      </c>
      <c r="H1063" s="123">
        <f t="shared" si="99"/>
        <v>319.72211171358526</v>
      </c>
      <c r="I1063" s="123">
        <f t="shared" si="100"/>
        <v>320.79260985548342</v>
      </c>
      <c r="J1063" s="123"/>
      <c r="K1063" s="123"/>
      <c r="L1063" s="176">
        <f t="shared" si="101"/>
        <v>320.25736078453434</v>
      </c>
      <c r="M1063" s="227"/>
      <c r="N1063" s="275"/>
    </row>
    <row r="1064" spans="1:14" ht="21.75" customHeight="1">
      <c r="A1064" t="s">
        <v>1459</v>
      </c>
      <c r="B1064" s="245">
        <v>41556</v>
      </c>
      <c r="C1064" s="126">
        <v>121.2</v>
      </c>
      <c r="D1064" s="126">
        <v>120.2</v>
      </c>
      <c r="E1064" s="126"/>
      <c r="G1064" s="321">
        <v>0.7873</v>
      </c>
      <c r="H1064" s="123">
        <f t="shared" si="99"/>
        <v>432.48124932685863</v>
      </c>
      <c r="I1064" s="123">
        <f t="shared" si="100"/>
        <v>428.91292218719809</v>
      </c>
      <c r="J1064" s="123"/>
      <c r="K1064" s="123"/>
      <c r="L1064" s="176">
        <f t="shared" si="101"/>
        <v>430.69708575702839</v>
      </c>
      <c r="M1064" s="227"/>
      <c r="N1064" s="275"/>
    </row>
    <row r="1065" spans="1:14" ht="21.75" customHeight="1">
      <c r="A1065" t="s">
        <v>1460</v>
      </c>
      <c r="B1065" s="245">
        <v>41556</v>
      </c>
      <c r="C1065" s="126">
        <v>102.1</v>
      </c>
      <c r="D1065" s="126">
        <v>102.2</v>
      </c>
      <c r="E1065" s="126"/>
      <c r="G1065" s="321">
        <v>0.7873</v>
      </c>
      <c r="H1065" s="123">
        <f t="shared" si="99"/>
        <v>364.32620095934215</v>
      </c>
      <c r="I1065" s="123">
        <f t="shared" si="100"/>
        <v>364.68303367330822</v>
      </c>
      <c r="J1065" s="123"/>
      <c r="K1065" s="123"/>
      <c r="L1065" s="176">
        <f t="shared" si="101"/>
        <v>364.50461731632515</v>
      </c>
      <c r="M1065" s="227"/>
      <c r="N1065" s="275"/>
    </row>
    <row r="1066" spans="1:14" ht="21.75" customHeight="1">
      <c r="A1066" t="s">
        <v>1461</v>
      </c>
      <c r="B1066" s="245">
        <v>41556</v>
      </c>
      <c r="C1066" s="126">
        <v>120.5</v>
      </c>
      <c r="D1066" s="126">
        <v>121.4</v>
      </c>
      <c r="E1066" s="126"/>
      <c r="G1066" s="321">
        <v>0.7873</v>
      </c>
      <c r="H1066" s="123">
        <f t="shared" ref="H1066:H1097" si="103">(C1066*(PI()/LN(2)))*$G1066</f>
        <v>429.98342032909625</v>
      </c>
      <c r="I1066" s="123">
        <f t="shared" ref="I1066:I1097" si="104">(D1066*(PI()/LN(2)))*$G1066</f>
        <v>433.19491475479077</v>
      </c>
      <c r="J1066" s="123"/>
      <c r="K1066" s="123"/>
      <c r="L1066" s="176">
        <f t="shared" si="101"/>
        <v>431.58916754194354</v>
      </c>
      <c r="M1066" s="227"/>
      <c r="N1066" s="275"/>
    </row>
    <row r="1067" spans="1:14" ht="21.75" customHeight="1">
      <c r="A1067" t="s">
        <v>1462</v>
      </c>
      <c r="B1067" s="245">
        <v>41556</v>
      </c>
      <c r="C1067" s="126">
        <v>119.7</v>
      </c>
      <c r="D1067" s="126">
        <v>119.4</v>
      </c>
      <c r="E1067" s="126"/>
      <c r="G1067" s="321">
        <v>0.7873</v>
      </c>
      <c r="H1067" s="123">
        <f t="shared" si="103"/>
        <v>427.12875861736779</v>
      </c>
      <c r="I1067" s="123">
        <f t="shared" si="104"/>
        <v>426.05826047546975</v>
      </c>
      <c r="J1067" s="123"/>
      <c r="K1067" s="123"/>
      <c r="L1067" s="176">
        <f t="shared" si="101"/>
        <v>426.59350954641877</v>
      </c>
      <c r="M1067" s="227"/>
      <c r="N1067" s="275"/>
    </row>
    <row r="1068" spans="1:14" ht="21.75" customHeight="1">
      <c r="A1068" t="s">
        <v>1463</v>
      </c>
      <c r="B1068" s="245">
        <v>41556</v>
      </c>
      <c r="C1068" s="126">
        <v>101.8</v>
      </c>
      <c r="D1068" s="126">
        <v>101.5</v>
      </c>
      <c r="E1068" s="126"/>
      <c r="G1068" s="321">
        <v>0.7873</v>
      </c>
      <c r="H1068" s="123">
        <f t="shared" si="103"/>
        <v>363.25570281744399</v>
      </c>
      <c r="I1068" s="123">
        <f t="shared" si="104"/>
        <v>362.18520467554583</v>
      </c>
      <c r="J1068" s="123"/>
      <c r="K1068" s="123"/>
      <c r="L1068" s="176">
        <f t="shared" si="101"/>
        <v>362.72045374649491</v>
      </c>
      <c r="M1068" s="227"/>
      <c r="N1068" s="275"/>
    </row>
    <row r="1069" spans="1:14" ht="21.75" customHeight="1">
      <c r="A1069" t="s">
        <v>1464</v>
      </c>
      <c r="B1069" s="245">
        <v>41562</v>
      </c>
      <c r="C1069" s="126">
        <v>121.2</v>
      </c>
      <c r="D1069" s="126">
        <v>121.3</v>
      </c>
      <c r="E1069" s="126"/>
      <c r="G1069" s="321">
        <v>0.7873</v>
      </c>
      <c r="H1069" s="123">
        <f t="shared" si="103"/>
        <v>432.48124932685863</v>
      </c>
      <c r="I1069" s="123">
        <f t="shared" si="104"/>
        <v>432.8380820408247</v>
      </c>
      <c r="J1069" s="123"/>
      <c r="K1069" s="123"/>
      <c r="L1069" s="176">
        <f t="shared" si="101"/>
        <v>432.65966568384169</v>
      </c>
      <c r="M1069" s="227"/>
      <c r="N1069" s="275"/>
    </row>
    <row r="1070" spans="1:14" ht="21.75" customHeight="1">
      <c r="A1070" t="s">
        <v>1465</v>
      </c>
      <c r="B1070" s="245">
        <v>41562</v>
      </c>
      <c r="C1070" s="126">
        <v>78</v>
      </c>
      <c r="D1070" s="126">
        <v>78.599999999999994</v>
      </c>
      <c r="E1070" s="126"/>
      <c r="G1070" s="321">
        <v>0.7873</v>
      </c>
      <c r="H1070" s="123">
        <f t="shared" si="103"/>
        <v>278.32951689352291</v>
      </c>
      <c r="I1070" s="123">
        <f t="shared" si="104"/>
        <v>280.47051317731922</v>
      </c>
      <c r="J1070" s="123"/>
      <c r="K1070" s="123"/>
      <c r="L1070" s="176">
        <f t="shared" si="101"/>
        <v>279.40001503542106</v>
      </c>
      <c r="M1070" s="227"/>
      <c r="N1070" s="275"/>
    </row>
    <row r="1071" spans="1:14" ht="21.75" customHeight="1">
      <c r="A1071" t="s">
        <v>1466</v>
      </c>
      <c r="B1071" s="245">
        <v>41562</v>
      </c>
      <c r="C1071" s="126">
        <v>121.8</v>
      </c>
      <c r="D1071" s="126">
        <v>123.2</v>
      </c>
      <c r="E1071" s="126"/>
      <c r="G1071" s="321">
        <v>0.7873</v>
      </c>
      <c r="H1071" s="123">
        <f t="shared" si="103"/>
        <v>434.622245610655</v>
      </c>
      <c r="I1071" s="123">
        <f t="shared" si="104"/>
        <v>439.61790360617977</v>
      </c>
      <c r="J1071" s="123"/>
      <c r="K1071" s="123"/>
      <c r="L1071" s="176">
        <f t="shared" si="101"/>
        <v>437.12007460841738</v>
      </c>
      <c r="M1071" s="227"/>
      <c r="N1071" s="275"/>
    </row>
    <row r="1072" spans="1:14" ht="21.75" customHeight="1">
      <c r="A1072" t="s">
        <v>1893</v>
      </c>
      <c r="B1072" s="245">
        <v>41599</v>
      </c>
      <c r="C1072" s="126">
        <v>149</v>
      </c>
      <c r="D1072" s="126">
        <v>148.80000000000001</v>
      </c>
      <c r="E1072" s="126">
        <v>149.80000000000001</v>
      </c>
      <c r="F1072">
        <v>150.1</v>
      </c>
      <c r="G1072" s="321">
        <v>1</v>
      </c>
      <c r="H1072" s="123">
        <f t="shared" si="103"/>
        <v>675.32166113225196</v>
      </c>
      <c r="I1072" s="123">
        <f t="shared" si="104"/>
        <v>674.41518910388652</v>
      </c>
      <c r="J1072" s="123">
        <f>(E1072*(PI()/LN(2)))*$G1072</f>
        <v>678.94754924571373</v>
      </c>
      <c r="K1072" s="123">
        <f>(F1072*(PI()/LN(2)))*$G1072</f>
        <v>680.30725728826178</v>
      </c>
      <c r="L1072" s="176">
        <f t="shared" si="101"/>
        <v>677.24791419252847</v>
      </c>
      <c r="M1072" s="227"/>
      <c r="N1072" s="275"/>
    </row>
    <row r="1073" spans="1:14" ht="21.75" customHeight="1">
      <c r="A1073" t="s">
        <v>1475</v>
      </c>
      <c r="B1073" s="245">
        <v>41602</v>
      </c>
      <c r="C1073" s="126">
        <v>127.2</v>
      </c>
      <c r="D1073" s="126">
        <v>126</v>
      </c>
      <c r="E1073" s="126"/>
      <c r="G1073" s="321">
        <v>0.7873</v>
      </c>
      <c r="H1073" s="123">
        <f t="shared" si="103"/>
        <v>453.89121216482192</v>
      </c>
      <c r="I1073" s="123">
        <f t="shared" si="104"/>
        <v>449.60921959722924</v>
      </c>
      <c r="J1073" s="123"/>
      <c r="K1073" s="123"/>
      <c r="L1073" s="176">
        <f t="shared" ref="L1073:L1136" si="105">AVERAGE(H1073:I1073)</f>
        <v>451.75021588102561</v>
      </c>
      <c r="M1073" s="227"/>
      <c r="N1073" s="275"/>
    </row>
    <row r="1074" spans="1:14" ht="21.75" customHeight="1">
      <c r="A1074" t="s">
        <v>1476</v>
      </c>
      <c r="B1074" s="245">
        <v>41602</v>
      </c>
      <c r="C1074" s="126">
        <v>150.9</v>
      </c>
      <c r="D1074" s="126">
        <v>152.80000000000001</v>
      </c>
      <c r="E1074" s="126"/>
      <c r="G1074" s="321">
        <v>0.7873</v>
      </c>
      <c r="H1074" s="123">
        <f t="shared" si="103"/>
        <v>538.46056537477705</v>
      </c>
      <c r="I1074" s="123">
        <f t="shared" si="104"/>
        <v>545.24038694013211</v>
      </c>
      <c r="J1074" s="123"/>
      <c r="K1074" s="123"/>
      <c r="L1074" s="176">
        <f t="shared" si="105"/>
        <v>541.85047615745452</v>
      </c>
      <c r="M1074" s="227"/>
      <c r="N1074" s="275"/>
    </row>
    <row r="1075" spans="1:14" ht="21.75" customHeight="1">
      <c r="A1075" t="s">
        <v>1479</v>
      </c>
      <c r="B1075" s="245">
        <v>41602</v>
      </c>
      <c r="C1075" s="126">
        <v>152.9</v>
      </c>
      <c r="D1075" s="126">
        <v>153.6</v>
      </c>
      <c r="E1075" s="126"/>
      <c r="G1075" s="321">
        <v>0.7873</v>
      </c>
      <c r="H1075" s="123">
        <f t="shared" si="103"/>
        <v>545.59721965409813</v>
      </c>
      <c r="I1075" s="123">
        <f t="shared" si="104"/>
        <v>548.09504865186045</v>
      </c>
      <c r="J1075" s="123"/>
      <c r="K1075" s="123"/>
      <c r="L1075" s="176">
        <f t="shared" si="105"/>
        <v>546.84613415297929</v>
      </c>
      <c r="M1075" s="227"/>
      <c r="N1075" s="275"/>
    </row>
    <row r="1076" spans="1:14" ht="21.75" customHeight="1">
      <c r="A1076" t="s">
        <v>1480</v>
      </c>
      <c r="B1076" s="245">
        <v>41602</v>
      </c>
      <c r="C1076" s="126">
        <v>110.3</v>
      </c>
      <c r="D1076" s="126">
        <v>111.6</v>
      </c>
      <c r="E1076" s="126"/>
      <c r="G1076" s="321">
        <v>0.7873</v>
      </c>
      <c r="H1076" s="123">
        <f t="shared" si="103"/>
        <v>393.58648350455866</v>
      </c>
      <c r="I1076" s="123">
        <f t="shared" si="104"/>
        <v>398.22530878611735</v>
      </c>
      <c r="J1076" s="123"/>
      <c r="K1076" s="123"/>
      <c r="L1076" s="176">
        <f t="shared" si="105"/>
        <v>395.90589614533803</v>
      </c>
      <c r="M1076" s="227"/>
      <c r="N1076" s="275"/>
    </row>
    <row r="1077" spans="1:14" ht="21.75" customHeight="1">
      <c r="A1077" t="s">
        <v>1482</v>
      </c>
      <c r="B1077" s="245">
        <v>41602</v>
      </c>
      <c r="C1077" s="126">
        <v>141.1</v>
      </c>
      <c r="D1077" s="126">
        <v>140.19999999999999</v>
      </c>
      <c r="E1077" s="126"/>
      <c r="G1077" s="321">
        <v>0.7873</v>
      </c>
      <c r="H1077" s="123">
        <f t="shared" si="103"/>
        <v>503.49095940610363</v>
      </c>
      <c r="I1077" s="123">
        <f t="shared" si="104"/>
        <v>500.2794649804091</v>
      </c>
      <c r="J1077" s="123"/>
      <c r="K1077" s="123"/>
      <c r="L1077" s="176">
        <f t="shared" si="105"/>
        <v>501.88521219325639</v>
      </c>
      <c r="M1077" s="227"/>
      <c r="N1077" s="275"/>
    </row>
    <row r="1078" spans="1:14" ht="21.75" customHeight="1">
      <c r="A1078" t="s">
        <v>1483</v>
      </c>
      <c r="B1078" s="245">
        <v>41602</v>
      </c>
      <c r="C1078" s="126">
        <v>135.69999999999999</v>
      </c>
      <c r="D1078" s="126">
        <v>137.5</v>
      </c>
      <c r="E1078" s="126"/>
      <c r="G1078" s="321">
        <v>0.7873</v>
      </c>
      <c r="H1078" s="123">
        <f t="shared" si="103"/>
        <v>484.22199285193653</v>
      </c>
      <c r="I1078" s="123">
        <f t="shared" si="104"/>
        <v>490.64498170332564</v>
      </c>
      <c r="J1078" s="123"/>
      <c r="K1078" s="123"/>
      <c r="L1078" s="176">
        <f t="shared" si="105"/>
        <v>487.43348727763112</v>
      </c>
      <c r="M1078" s="227"/>
      <c r="N1078" s="275"/>
    </row>
    <row r="1079" spans="1:14" ht="21.75" customHeight="1">
      <c r="A1079" t="s">
        <v>1484</v>
      </c>
      <c r="B1079" s="245">
        <v>41604</v>
      </c>
      <c r="C1079" s="126">
        <v>119.1</v>
      </c>
      <c r="D1079" s="126">
        <v>121</v>
      </c>
      <c r="E1079" s="126"/>
      <c r="G1079" s="321">
        <v>0.7873</v>
      </c>
      <c r="H1079" s="123">
        <f t="shared" si="103"/>
        <v>424.98776233357148</v>
      </c>
      <c r="I1079" s="123">
        <f t="shared" si="104"/>
        <v>431.76758389892655</v>
      </c>
      <c r="J1079" s="123"/>
      <c r="K1079" s="123"/>
      <c r="L1079" s="176">
        <f t="shared" si="105"/>
        <v>428.37767311624901</v>
      </c>
      <c r="M1079" s="227"/>
      <c r="N1079" s="275"/>
    </row>
    <row r="1080" spans="1:14" ht="21.75" customHeight="1">
      <c r="A1080" t="s">
        <v>1485</v>
      </c>
      <c r="B1080" s="245">
        <v>41604</v>
      </c>
      <c r="C1080" s="126">
        <v>143.80000000000001</v>
      </c>
      <c r="D1080" s="126">
        <v>145</v>
      </c>
      <c r="E1080" s="126"/>
      <c r="G1080" s="321">
        <v>0.7873</v>
      </c>
      <c r="H1080" s="123">
        <f t="shared" si="103"/>
        <v>513.12544268318709</v>
      </c>
      <c r="I1080" s="123">
        <f t="shared" si="104"/>
        <v>517.40743525077971</v>
      </c>
      <c r="J1080" s="123"/>
      <c r="K1080" s="123"/>
      <c r="L1080" s="176">
        <f t="shared" si="105"/>
        <v>515.2664389669834</v>
      </c>
      <c r="M1080" s="227"/>
      <c r="N1080" s="275"/>
    </row>
    <row r="1081" spans="1:14" ht="21.75" customHeight="1">
      <c r="A1081" t="s">
        <v>1486</v>
      </c>
      <c r="B1081" s="245">
        <v>41604</v>
      </c>
      <c r="C1081" s="126">
        <v>146.19999999999999</v>
      </c>
      <c r="D1081" s="126">
        <v>146.69999999999999</v>
      </c>
      <c r="E1081" s="126"/>
      <c r="G1081" s="321">
        <v>0.7873</v>
      </c>
      <c r="H1081" s="123">
        <f t="shared" si="103"/>
        <v>521.68942781837234</v>
      </c>
      <c r="I1081" s="123">
        <f t="shared" si="104"/>
        <v>523.47359138820264</v>
      </c>
      <c r="J1081" s="123"/>
      <c r="K1081" s="123"/>
      <c r="L1081" s="176">
        <f t="shared" si="105"/>
        <v>522.58150960328749</v>
      </c>
      <c r="M1081" s="227"/>
      <c r="N1081" s="275"/>
    </row>
    <row r="1082" spans="1:14" ht="21.75" customHeight="1">
      <c r="A1082" t="s">
        <v>1487</v>
      </c>
      <c r="B1082" s="245">
        <v>41604</v>
      </c>
      <c r="C1082" s="126">
        <v>98.3</v>
      </c>
      <c r="D1082" s="126">
        <v>100.7</v>
      </c>
      <c r="E1082" s="126"/>
      <c r="G1082" s="321">
        <v>0.7873</v>
      </c>
      <c r="H1082" s="123">
        <f t="shared" si="103"/>
        <v>350.76655782863207</v>
      </c>
      <c r="I1082" s="123">
        <f t="shared" si="104"/>
        <v>359.33054296381738</v>
      </c>
      <c r="J1082" s="123"/>
      <c r="K1082" s="123"/>
      <c r="L1082" s="176">
        <f t="shared" si="105"/>
        <v>355.04855039622475</v>
      </c>
      <c r="M1082" s="227"/>
      <c r="N1082" s="275"/>
    </row>
    <row r="1083" spans="1:14" ht="21.75" customHeight="1">
      <c r="A1083" t="s">
        <v>1488</v>
      </c>
      <c r="B1083" s="245">
        <v>41604</v>
      </c>
      <c r="C1083" s="126">
        <v>140.6</v>
      </c>
      <c r="D1083" s="126">
        <v>140.9</v>
      </c>
      <c r="E1083" s="126"/>
      <c r="G1083" s="321">
        <v>0.7873</v>
      </c>
      <c r="H1083" s="123">
        <f t="shared" si="103"/>
        <v>501.70679583627333</v>
      </c>
      <c r="I1083" s="123">
        <f t="shared" si="104"/>
        <v>502.77729397817149</v>
      </c>
      <c r="J1083" s="123"/>
      <c r="K1083" s="123"/>
      <c r="L1083" s="176">
        <f t="shared" si="105"/>
        <v>502.24204490722241</v>
      </c>
      <c r="M1083" s="227"/>
      <c r="N1083" s="275"/>
    </row>
    <row r="1084" spans="1:14" ht="21.75" customHeight="1">
      <c r="A1084" t="s">
        <v>1490</v>
      </c>
      <c r="B1084" s="245">
        <v>41604</v>
      </c>
      <c r="C1084" s="126">
        <v>139.1</v>
      </c>
      <c r="D1084" s="126">
        <v>140.1</v>
      </c>
      <c r="E1084" s="126"/>
      <c r="G1084" s="321">
        <v>0.7873</v>
      </c>
      <c r="H1084" s="123">
        <f t="shared" si="103"/>
        <v>496.35430512678249</v>
      </c>
      <c r="I1084" s="123">
        <f t="shared" si="104"/>
        <v>499.92263226644303</v>
      </c>
      <c r="J1084" s="123"/>
      <c r="K1084" s="123"/>
      <c r="L1084" s="176">
        <f t="shared" si="105"/>
        <v>498.13846869661279</v>
      </c>
      <c r="M1084" s="227"/>
      <c r="N1084" s="275"/>
    </row>
    <row r="1085" spans="1:14" ht="21.75" customHeight="1">
      <c r="A1085" t="s">
        <v>1491</v>
      </c>
      <c r="B1085" s="245">
        <v>41625</v>
      </c>
      <c r="C1085" s="126">
        <v>120</v>
      </c>
      <c r="D1085" s="126">
        <v>123</v>
      </c>
      <c r="E1085" s="126"/>
      <c r="G1085" s="321">
        <v>0.7873</v>
      </c>
      <c r="H1085" s="123">
        <f t="shared" si="103"/>
        <v>428.19925675926595</v>
      </c>
      <c r="I1085" s="123">
        <f t="shared" si="104"/>
        <v>438.90423817824768</v>
      </c>
      <c r="J1085" s="123"/>
      <c r="K1085" s="123"/>
      <c r="L1085" s="176">
        <f t="shared" si="105"/>
        <v>433.55174746875684</v>
      </c>
      <c r="M1085" s="227"/>
      <c r="N1085" s="275"/>
    </row>
    <row r="1086" spans="1:14" ht="21.75" customHeight="1">
      <c r="A1086" t="s">
        <v>1493</v>
      </c>
      <c r="B1086" s="245">
        <v>41625</v>
      </c>
      <c r="C1086" s="126">
        <v>156.69999999999999</v>
      </c>
      <c r="D1086" s="126">
        <v>159.19999999999999</v>
      </c>
      <c r="E1086" s="126"/>
      <c r="G1086" s="321">
        <v>0.7873</v>
      </c>
      <c r="H1086" s="123">
        <f t="shared" si="103"/>
        <v>559.15686278480814</v>
      </c>
      <c r="I1086" s="123">
        <f t="shared" si="104"/>
        <v>568.07768063395952</v>
      </c>
      <c r="J1086" s="123"/>
      <c r="K1086" s="123"/>
      <c r="L1086" s="176">
        <f t="shared" si="105"/>
        <v>563.61727170938389</v>
      </c>
      <c r="M1086" s="227"/>
      <c r="N1086" s="275"/>
    </row>
    <row r="1087" spans="1:14" ht="21.75" customHeight="1">
      <c r="A1087" t="s">
        <v>1494</v>
      </c>
      <c r="B1087" s="245">
        <v>41625</v>
      </c>
      <c r="C1087" s="126">
        <v>158.69999999999999</v>
      </c>
      <c r="D1087" s="126">
        <v>156.6</v>
      </c>
      <c r="E1087" s="126"/>
      <c r="G1087" s="321">
        <v>0.7873</v>
      </c>
      <c r="H1087" s="123">
        <f t="shared" si="103"/>
        <v>566.29351706412922</v>
      </c>
      <c r="I1087" s="123">
        <f t="shared" si="104"/>
        <v>558.80003007084213</v>
      </c>
      <c r="J1087" s="123"/>
      <c r="K1087" s="123"/>
      <c r="L1087" s="176">
        <f t="shared" si="105"/>
        <v>562.54677356748562</v>
      </c>
      <c r="M1087" s="227"/>
      <c r="N1087" s="275"/>
    </row>
    <row r="1088" spans="1:14" ht="21.75" customHeight="1">
      <c r="A1088" t="s">
        <v>1495</v>
      </c>
      <c r="B1088" s="245">
        <v>41638</v>
      </c>
      <c r="C1088" s="126">
        <v>128.4</v>
      </c>
      <c r="D1088" s="126">
        <v>127.5</v>
      </c>
      <c r="E1088" s="126"/>
      <c r="G1088" s="321">
        <v>0.7873</v>
      </c>
      <c r="H1088" s="123">
        <f t="shared" si="103"/>
        <v>458.1732047324146</v>
      </c>
      <c r="I1088" s="123">
        <f t="shared" si="104"/>
        <v>454.96171030672014</v>
      </c>
      <c r="J1088" s="123"/>
      <c r="K1088" s="123"/>
      <c r="L1088" s="176">
        <f t="shared" si="105"/>
        <v>456.56745751956737</v>
      </c>
      <c r="M1088" s="227"/>
      <c r="N1088" s="275"/>
    </row>
    <row r="1089" spans="1:14" ht="21.75" customHeight="1">
      <c r="A1089" t="s">
        <v>1496</v>
      </c>
      <c r="B1089" s="245">
        <v>41638</v>
      </c>
      <c r="C1089" s="126">
        <v>143.1</v>
      </c>
      <c r="D1089" s="126">
        <v>144.4</v>
      </c>
      <c r="E1089" s="126"/>
      <c r="G1089" s="321">
        <v>0.7873</v>
      </c>
      <c r="H1089" s="123">
        <f t="shared" si="103"/>
        <v>510.62761368542465</v>
      </c>
      <c r="I1089" s="123">
        <f t="shared" si="104"/>
        <v>515.26643896698351</v>
      </c>
      <c r="J1089" s="123"/>
      <c r="K1089" s="123"/>
      <c r="L1089" s="176">
        <f t="shared" si="105"/>
        <v>512.94702632620408</v>
      </c>
      <c r="M1089" s="227"/>
      <c r="N1089" s="275"/>
    </row>
    <row r="1090" spans="1:14" ht="21.75" customHeight="1">
      <c r="A1090" t="s">
        <v>1497</v>
      </c>
      <c r="B1090" s="245">
        <v>41638</v>
      </c>
      <c r="C1090" s="126">
        <v>142.5</v>
      </c>
      <c r="D1090" s="126">
        <v>143</v>
      </c>
      <c r="E1090" s="126"/>
      <c r="G1090" s="321">
        <v>0.7873</v>
      </c>
      <c r="H1090" s="123">
        <f t="shared" si="103"/>
        <v>508.48661740162839</v>
      </c>
      <c r="I1090" s="123">
        <f t="shared" si="104"/>
        <v>510.27078097145869</v>
      </c>
      <c r="J1090" s="123"/>
      <c r="K1090" s="123"/>
      <c r="L1090" s="176">
        <f t="shared" si="105"/>
        <v>509.37869918654354</v>
      </c>
      <c r="M1090" s="227"/>
      <c r="N1090" s="275"/>
    </row>
    <row r="1091" spans="1:14" ht="21.75" customHeight="1">
      <c r="A1091" t="s">
        <v>1498</v>
      </c>
      <c r="B1091" s="245">
        <v>41638</v>
      </c>
      <c r="C1091" s="126">
        <v>114</v>
      </c>
      <c r="D1091" s="126">
        <v>114.4</v>
      </c>
      <c r="E1091" s="126"/>
      <c r="G1091" s="321">
        <v>0.7873</v>
      </c>
      <c r="H1091" s="123">
        <f t="shared" si="103"/>
        <v>406.78929392130266</v>
      </c>
      <c r="I1091" s="123">
        <f t="shared" si="104"/>
        <v>408.21662477716688</v>
      </c>
      <c r="J1091" s="123"/>
      <c r="K1091" s="123"/>
      <c r="L1091" s="176">
        <f t="shared" si="105"/>
        <v>407.50295934923474</v>
      </c>
      <c r="M1091" s="227"/>
      <c r="N1091" s="275"/>
    </row>
    <row r="1092" spans="1:14" ht="21.75" customHeight="1">
      <c r="A1092" t="s">
        <v>1499</v>
      </c>
      <c r="B1092" s="245">
        <v>41638</v>
      </c>
      <c r="C1092" s="126">
        <v>141.30000000000001</v>
      </c>
      <c r="D1092" s="126">
        <v>141.5</v>
      </c>
      <c r="E1092" s="126"/>
      <c r="G1092" s="321">
        <v>0.7873</v>
      </c>
      <c r="H1092" s="123">
        <f t="shared" si="103"/>
        <v>504.20462483403571</v>
      </c>
      <c r="I1092" s="123">
        <f t="shared" si="104"/>
        <v>504.91829026196785</v>
      </c>
      <c r="J1092" s="123"/>
      <c r="K1092" s="123"/>
      <c r="L1092" s="176">
        <f t="shared" si="105"/>
        <v>504.56145754800178</v>
      </c>
      <c r="M1092" s="227"/>
      <c r="N1092" s="275"/>
    </row>
    <row r="1093" spans="1:14" ht="21.75" customHeight="1">
      <c r="A1093" t="s">
        <v>1500</v>
      </c>
      <c r="B1093" s="245">
        <v>41638</v>
      </c>
      <c r="C1093" s="126">
        <v>137.19999999999999</v>
      </c>
      <c r="D1093" s="126">
        <v>138.5</v>
      </c>
      <c r="E1093" s="126"/>
      <c r="G1093" s="321">
        <v>0.7873</v>
      </c>
      <c r="H1093" s="123">
        <f t="shared" si="103"/>
        <v>489.57448356142743</v>
      </c>
      <c r="I1093" s="123">
        <f t="shared" si="104"/>
        <v>494.21330884298612</v>
      </c>
      <c r="J1093" s="123"/>
      <c r="K1093" s="123"/>
      <c r="L1093" s="176">
        <f t="shared" si="105"/>
        <v>491.89389620220675</v>
      </c>
      <c r="M1093" s="227"/>
      <c r="N1093" s="275"/>
    </row>
    <row r="1094" spans="1:14" ht="21.75" customHeight="1">
      <c r="A1094" t="s">
        <v>1501</v>
      </c>
      <c r="B1094" s="245">
        <v>41638</v>
      </c>
      <c r="C1094" s="126">
        <v>95.6</v>
      </c>
      <c r="D1094" s="126">
        <v>95.9</v>
      </c>
      <c r="E1094" s="126"/>
      <c r="G1094" s="321">
        <v>0.7873</v>
      </c>
      <c r="H1094" s="123">
        <f t="shared" si="103"/>
        <v>341.13207455154856</v>
      </c>
      <c r="I1094" s="123">
        <f t="shared" si="104"/>
        <v>342.20257269344671</v>
      </c>
      <c r="J1094" s="123"/>
      <c r="K1094" s="123"/>
      <c r="L1094" s="176">
        <f t="shared" si="105"/>
        <v>341.66732362249763</v>
      </c>
      <c r="M1094" s="227"/>
      <c r="N1094" s="275"/>
    </row>
    <row r="1095" spans="1:14" ht="21.75" customHeight="1">
      <c r="A1095" t="s">
        <v>1503</v>
      </c>
      <c r="B1095" s="245">
        <v>41638</v>
      </c>
      <c r="C1095" s="126">
        <v>137.19999999999999</v>
      </c>
      <c r="D1095" s="126">
        <v>137</v>
      </c>
      <c r="E1095" s="126"/>
      <c r="G1095" s="321">
        <v>0.7873</v>
      </c>
      <c r="H1095" s="123">
        <f t="shared" si="103"/>
        <v>489.57448356142743</v>
      </c>
      <c r="I1095" s="123">
        <f t="shared" si="104"/>
        <v>488.8608181334954</v>
      </c>
      <c r="J1095" s="123"/>
      <c r="K1095" s="123"/>
      <c r="L1095" s="176">
        <f t="shared" si="105"/>
        <v>489.21765084746141</v>
      </c>
      <c r="M1095" s="227"/>
      <c r="N1095" s="275"/>
    </row>
    <row r="1096" spans="1:14" ht="21.75" customHeight="1">
      <c r="A1096" t="s">
        <v>1504</v>
      </c>
      <c r="B1096" s="245">
        <v>41638</v>
      </c>
      <c r="C1096" s="126">
        <v>134.19999999999999</v>
      </c>
      <c r="D1096" s="126">
        <v>137.9</v>
      </c>
      <c r="E1096" s="126"/>
      <c r="G1096" s="321">
        <v>0.7873</v>
      </c>
      <c r="H1096" s="123">
        <f t="shared" si="103"/>
        <v>478.86950214244581</v>
      </c>
      <c r="I1096" s="123">
        <f t="shared" si="104"/>
        <v>492.07231255918987</v>
      </c>
      <c r="J1096" s="123"/>
      <c r="K1096" s="123"/>
      <c r="L1096" s="176">
        <f t="shared" si="105"/>
        <v>485.47090735081781</v>
      </c>
      <c r="M1096" s="227"/>
      <c r="N1096" s="275"/>
    </row>
    <row r="1097" spans="1:14" ht="21.75" customHeight="1">
      <c r="A1097" t="s">
        <v>1505</v>
      </c>
      <c r="B1097" s="245">
        <v>41639</v>
      </c>
      <c r="C1097" s="126">
        <v>96</v>
      </c>
      <c r="D1097" s="126">
        <v>95.9</v>
      </c>
      <c r="E1097" s="126"/>
      <c r="G1097" s="321">
        <v>0.7873</v>
      </c>
      <c r="H1097" s="123">
        <f t="shared" si="103"/>
        <v>342.55940540741278</v>
      </c>
      <c r="I1097" s="123">
        <f t="shared" si="104"/>
        <v>342.20257269344671</v>
      </c>
      <c r="J1097" s="123"/>
      <c r="K1097" s="123"/>
      <c r="L1097" s="176">
        <f t="shared" si="105"/>
        <v>342.38098905042978</v>
      </c>
      <c r="M1097" s="227"/>
      <c r="N1097" s="275"/>
    </row>
    <row r="1098" spans="1:14" ht="21.75" customHeight="1">
      <c r="A1098" t="s">
        <v>1507</v>
      </c>
      <c r="B1098" s="245">
        <v>41639</v>
      </c>
      <c r="C1098" s="126">
        <v>135.19999999999999</v>
      </c>
      <c r="D1098" s="126">
        <v>134.19999999999999</v>
      </c>
      <c r="E1098" s="126"/>
      <c r="G1098" s="321">
        <v>0.7873</v>
      </c>
      <c r="H1098" s="123">
        <f t="shared" ref="H1098:H1129" si="106">(C1098*(PI()/LN(2)))*$G1098</f>
        <v>482.43782928210629</v>
      </c>
      <c r="I1098" s="123">
        <f t="shared" ref="I1098:I1129" si="107">(D1098*(PI()/LN(2)))*$G1098</f>
        <v>478.86950214244581</v>
      </c>
      <c r="J1098" s="123"/>
      <c r="K1098" s="123"/>
      <c r="L1098" s="176">
        <f t="shared" si="105"/>
        <v>480.65366571227605</v>
      </c>
      <c r="M1098" s="227"/>
      <c r="N1098" s="275"/>
    </row>
    <row r="1099" spans="1:14" ht="21.75" customHeight="1">
      <c r="A1099" t="s">
        <v>1508</v>
      </c>
      <c r="B1099" s="245">
        <v>41639</v>
      </c>
      <c r="C1099" s="126">
        <v>129.5</v>
      </c>
      <c r="D1099" s="126">
        <v>129</v>
      </c>
      <c r="E1099" s="126"/>
      <c r="G1099" s="321">
        <v>0.7873</v>
      </c>
      <c r="H1099" s="123">
        <f t="shared" si="106"/>
        <v>462.09836458604121</v>
      </c>
      <c r="I1099" s="123">
        <f t="shared" si="107"/>
        <v>460.31420101621097</v>
      </c>
      <c r="J1099" s="123"/>
      <c r="K1099" s="123"/>
      <c r="L1099" s="176">
        <f t="shared" si="105"/>
        <v>461.20628280112612</v>
      </c>
      <c r="M1099" s="227"/>
      <c r="N1099" s="275"/>
    </row>
    <row r="1100" spans="1:14" ht="21.75" customHeight="1">
      <c r="A1100" t="s">
        <v>1509</v>
      </c>
      <c r="B1100" s="245">
        <v>41639</v>
      </c>
      <c r="C1100" s="126">
        <v>270.89999999999998</v>
      </c>
      <c r="D1100" s="126">
        <v>270.7</v>
      </c>
      <c r="E1100" s="126"/>
      <c r="G1100" s="321">
        <v>0.7873</v>
      </c>
      <c r="H1100" s="123">
        <f t="shared" si="106"/>
        <v>966.65982213404288</v>
      </c>
      <c r="I1100" s="123">
        <f t="shared" si="107"/>
        <v>965.94615670611086</v>
      </c>
      <c r="J1100" s="123"/>
      <c r="K1100" s="123"/>
      <c r="L1100" s="176">
        <f t="shared" si="105"/>
        <v>966.30298942007687</v>
      </c>
      <c r="M1100" s="227"/>
      <c r="N1100" s="275"/>
    </row>
    <row r="1101" spans="1:14" ht="21.75" customHeight="1">
      <c r="A1101" t="s">
        <v>1512</v>
      </c>
      <c r="B1101" s="245">
        <v>41639</v>
      </c>
      <c r="C1101" s="126">
        <v>272.8</v>
      </c>
      <c r="D1101" s="126">
        <v>270.60000000000002</v>
      </c>
      <c r="E1101" s="126"/>
      <c r="G1101" s="321">
        <v>0.7873</v>
      </c>
      <c r="H1101" s="123">
        <f t="shared" si="106"/>
        <v>973.43964369939806</v>
      </c>
      <c r="I1101" s="123">
        <f t="shared" si="107"/>
        <v>965.58932399214484</v>
      </c>
      <c r="J1101" s="123"/>
      <c r="K1101" s="123"/>
      <c r="L1101" s="176">
        <f t="shared" si="105"/>
        <v>969.51448384577145</v>
      </c>
      <c r="M1101" s="227"/>
      <c r="N1101" s="275"/>
    </row>
    <row r="1102" spans="1:14" ht="21.75" customHeight="1">
      <c r="A1102" t="s">
        <v>1513</v>
      </c>
      <c r="C1102" s="126"/>
      <c r="D1102" s="126"/>
      <c r="E1102" s="126"/>
      <c r="G1102" s="321">
        <v>0.7873</v>
      </c>
      <c r="H1102" s="123">
        <f t="shared" si="106"/>
        <v>0</v>
      </c>
      <c r="I1102" s="123">
        <f t="shared" si="107"/>
        <v>0</v>
      </c>
      <c r="J1102" s="123"/>
      <c r="K1102" s="123"/>
      <c r="L1102" s="176">
        <f t="shared" si="105"/>
        <v>0</v>
      </c>
      <c r="M1102" s="227"/>
      <c r="N1102" s="275"/>
    </row>
    <row r="1103" spans="1:14" ht="21.75" customHeight="1">
      <c r="A1103" t="s">
        <v>1515</v>
      </c>
      <c r="C1103" s="126"/>
      <c r="D1103" s="126"/>
      <c r="E1103" s="126"/>
      <c r="G1103" s="321">
        <v>0.7873</v>
      </c>
      <c r="H1103" s="123">
        <f t="shared" si="106"/>
        <v>0</v>
      </c>
      <c r="I1103" s="123">
        <f t="shared" si="107"/>
        <v>0</v>
      </c>
      <c r="J1103" s="123"/>
      <c r="K1103" s="123"/>
      <c r="L1103" s="176">
        <f t="shared" si="105"/>
        <v>0</v>
      </c>
      <c r="M1103" s="227"/>
      <c r="N1103" s="275"/>
    </row>
    <row r="1104" spans="1:14" ht="21.75" customHeight="1">
      <c r="A1104" t="s">
        <v>1516</v>
      </c>
      <c r="B1104" s="245">
        <v>41656</v>
      </c>
      <c r="C1104" s="126">
        <v>9.5</v>
      </c>
      <c r="D1104" s="126">
        <v>9.6</v>
      </c>
      <c r="E1104" s="126"/>
      <c r="G1104" s="321">
        <v>0.7873</v>
      </c>
      <c r="H1104" s="123">
        <f t="shared" si="106"/>
        <v>33.899107826775221</v>
      </c>
      <c r="I1104" s="123">
        <f t="shared" si="107"/>
        <v>34.255940540741278</v>
      </c>
      <c r="J1104" s="123"/>
      <c r="K1104" s="123"/>
      <c r="L1104" s="176">
        <f t="shared" si="105"/>
        <v>34.07752418375825</v>
      </c>
      <c r="M1104" s="227"/>
      <c r="N1104" s="275"/>
    </row>
    <row r="1105" spans="1:14" ht="21.75" customHeight="1">
      <c r="A1105" t="s">
        <v>1518</v>
      </c>
      <c r="B1105" s="245">
        <v>41656</v>
      </c>
      <c r="C1105" s="126">
        <v>7.2</v>
      </c>
      <c r="D1105" s="126">
        <v>7.1</v>
      </c>
      <c r="E1105" s="126"/>
      <c r="G1105" s="321">
        <v>0.7873</v>
      </c>
      <c r="H1105" s="123">
        <f t="shared" si="106"/>
        <v>25.691955405555959</v>
      </c>
      <c r="I1105" s="123">
        <f t="shared" si="107"/>
        <v>25.335122691589902</v>
      </c>
      <c r="J1105" s="123"/>
      <c r="K1105" s="123"/>
      <c r="L1105" s="176">
        <f t="shared" si="105"/>
        <v>25.51353904857293</v>
      </c>
      <c r="M1105" s="227"/>
      <c r="N1105" s="275"/>
    </row>
    <row r="1106" spans="1:14" ht="21.75" customHeight="1">
      <c r="A1106" t="s">
        <v>1519</v>
      </c>
      <c r="B1106" s="245">
        <v>41656</v>
      </c>
      <c r="C1106" s="126">
        <v>29.3</v>
      </c>
      <c r="D1106" s="126">
        <v>29.2</v>
      </c>
      <c r="E1106" s="126"/>
      <c r="G1106" s="321">
        <v>0.7873</v>
      </c>
      <c r="H1106" s="123">
        <f t="shared" si="106"/>
        <v>104.55198519205412</v>
      </c>
      <c r="I1106" s="123">
        <f t="shared" si="107"/>
        <v>104.19515247808806</v>
      </c>
      <c r="J1106" s="123"/>
      <c r="K1106" s="123"/>
      <c r="L1106" s="176">
        <f t="shared" si="105"/>
        <v>104.3735688350711</v>
      </c>
      <c r="M1106" s="227"/>
      <c r="N1106" s="275"/>
    </row>
    <row r="1107" spans="1:14" ht="21.75" customHeight="1">
      <c r="A1107" t="s">
        <v>1522</v>
      </c>
      <c r="B1107" s="245">
        <v>41656</v>
      </c>
      <c r="C1107" s="126">
        <v>30.9</v>
      </c>
      <c r="D1107" s="126">
        <v>30.9</v>
      </c>
      <c r="E1107" s="126"/>
      <c r="G1107" s="321">
        <v>0.7873</v>
      </c>
      <c r="H1107" s="123">
        <f t="shared" si="106"/>
        <v>110.26130861551098</v>
      </c>
      <c r="I1107" s="123">
        <f t="shared" si="107"/>
        <v>110.26130861551098</v>
      </c>
      <c r="J1107" s="123"/>
      <c r="K1107" s="123"/>
      <c r="L1107" s="176">
        <f t="shared" si="105"/>
        <v>110.26130861551098</v>
      </c>
      <c r="M1107" s="227"/>
      <c r="N1107" s="275"/>
    </row>
    <row r="1108" spans="1:14" ht="21.75" customHeight="1">
      <c r="A1108" t="s">
        <v>1523</v>
      </c>
      <c r="B1108" s="245">
        <v>41658</v>
      </c>
      <c r="C1108" s="126">
        <v>5.6</v>
      </c>
      <c r="D1108" s="126">
        <v>5.6</v>
      </c>
      <c r="E1108" s="126"/>
      <c r="G1108" s="321">
        <v>0.7873</v>
      </c>
      <c r="H1108" s="123">
        <f t="shared" si="106"/>
        <v>19.982631982099079</v>
      </c>
      <c r="I1108" s="123">
        <f t="shared" si="107"/>
        <v>19.982631982099079</v>
      </c>
      <c r="J1108" s="123"/>
      <c r="K1108" s="123"/>
      <c r="L1108" s="176">
        <f t="shared" si="105"/>
        <v>19.982631982099079</v>
      </c>
      <c r="M1108" s="227"/>
      <c r="N1108" s="275"/>
    </row>
    <row r="1109" spans="1:14" ht="21.75" customHeight="1">
      <c r="A1109" t="s">
        <v>1524</v>
      </c>
      <c r="B1109" s="245">
        <v>41658</v>
      </c>
      <c r="C1109" s="126">
        <v>3.25</v>
      </c>
      <c r="D1109" s="126">
        <v>3.37</v>
      </c>
      <c r="E1109" s="126"/>
      <c r="G1109" s="321">
        <v>0.7873</v>
      </c>
      <c r="H1109" s="123">
        <f t="shared" si="106"/>
        <v>11.597063203896788</v>
      </c>
      <c r="I1109" s="123">
        <f t="shared" si="107"/>
        <v>12.025262460656053</v>
      </c>
      <c r="J1109" s="123"/>
      <c r="K1109" s="123"/>
      <c r="L1109" s="176">
        <f t="shared" si="105"/>
        <v>11.81116283227642</v>
      </c>
      <c r="M1109" s="227"/>
      <c r="N1109" s="275"/>
    </row>
    <row r="1110" spans="1:14" ht="21.75" customHeight="1">
      <c r="A1110" t="s">
        <v>1525</v>
      </c>
      <c r="B1110" s="245">
        <v>41658</v>
      </c>
      <c r="C1110" s="126"/>
      <c r="D1110" s="126"/>
      <c r="E1110" s="126"/>
      <c r="G1110" s="321">
        <v>0.7873</v>
      </c>
      <c r="H1110" s="123">
        <f t="shared" si="106"/>
        <v>0</v>
      </c>
      <c r="I1110" s="123">
        <f t="shared" si="107"/>
        <v>0</v>
      </c>
      <c r="J1110" s="123"/>
      <c r="K1110" s="123"/>
      <c r="L1110" s="176">
        <f t="shared" si="105"/>
        <v>0</v>
      </c>
      <c r="M1110" s="227"/>
      <c r="N1110" s="275"/>
    </row>
    <row r="1111" spans="1:14" ht="21.75" customHeight="1">
      <c r="A1111" t="s">
        <v>1526</v>
      </c>
      <c r="B1111" s="245">
        <v>41658</v>
      </c>
      <c r="C1111" s="126">
        <v>7.2</v>
      </c>
      <c r="D1111" s="126">
        <v>7.2</v>
      </c>
      <c r="E1111" s="126"/>
      <c r="G1111" s="321">
        <v>0.7873</v>
      </c>
      <c r="H1111" s="123">
        <f t="shared" si="106"/>
        <v>25.691955405555959</v>
      </c>
      <c r="I1111" s="123">
        <f t="shared" si="107"/>
        <v>25.691955405555959</v>
      </c>
      <c r="J1111" s="123"/>
      <c r="K1111" s="123"/>
      <c r="L1111" s="176">
        <f t="shared" si="105"/>
        <v>25.691955405555959</v>
      </c>
      <c r="M1111" s="227"/>
      <c r="N1111" s="275"/>
    </row>
    <row r="1112" spans="1:14" ht="21.75" customHeight="1">
      <c r="A1112" t="s">
        <v>1527</v>
      </c>
      <c r="B1112" s="245">
        <v>41658</v>
      </c>
      <c r="C1112" s="126">
        <v>139.9</v>
      </c>
      <c r="D1112" s="126">
        <v>141.6</v>
      </c>
      <c r="E1112" s="126"/>
      <c r="G1112" s="321">
        <v>0.7873</v>
      </c>
      <c r="H1112" s="123">
        <f t="shared" si="106"/>
        <v>499.20896683851095</v>
      </c>
      <c r="I1112" s="123">
        <f t="shared" si="107"/>
        <v>505.27512297593387</v>
      </c>
      <c r="J1112" s="123"/>
      <c r="K1112" s="123"/>
      <c r="L1112" s="176">
        <f t="shared" si="105"/>
        <v>502.24204490722241</v>
      </c>
      <c r="M1112" s="227"/>
      <c r="N1112" s="275"/>
    </row>
    <row r="1113" spans="1:14" ht="21.75" customHeight="1">
      <c r="A1113" t="s">
        <v>1529</v>
      </c>
      <c r="B1113" s="245">
        <v>41658</v>
      </c>
      <c r="C1113" s="126">
        <v>141.4</v>
      </c>
      <c r="D1113" s="126">
        <v>142.69999999999999</v>
      </c>
      <c r="E1113" s="126"/>
      <c r="G1113" s="321">
        <v>0.7873</v>
      </c>
      <c r="H1113" s="123">
        <f t="shared" si="106"/>
        <v>504.56145754800178</v>
      </c>
      <c r="I1113" s="123">
        <f t="shared" si="107"/>
        <v>509.20028282956042</v>
      </c>
      <c r="J1113" s="123"/>
      <c r="K1113" s="123"/>
      <c r="L1113" s="176">
        <f t="shared" si="105"/>
        <v>506.8808701887811</v>
      </c>
      <c r="M1113" s="227"/>
      <c r="N1113" s="275"/>
    </row>
    <row r="1114" spans="1:14" ht="21.75" customHeight="1">
      <c r="A1114" t="s">
        <v>1531</v>
      </c>
      <c r="B1114" s="245">
        <v>41658</v>
      </c>
      <c r="C1114" s="126">
        <v>315.89999999999998</v>
      </c>
      <c r="D1114" s="126">
        <v>317.89999999999998</v>
      </c>
      <c r="E1114" s="126"/>
      <c r="G1114" s="321">
        <v>0.7873</v>
      </c>
      <c r="H1114" s="123">
        <f t="shared" si="106"/>
        <v>1127.2345434187678</v>
      </c>
      <c r="I1114" s="123">
        <f t="shared" si="107"/>
        <v>1134.3711976980887</v>
      </c>
      <c r="J1114" s="123"/>
      <c r="K1114" s="123"/>
      <c r="L1114" s="176">
        <f t="shared" si="105"/>
        <v>1130.8028705584284</v>
      </c>
      <c r="M1114" s="227"/>
      <c r="N1114" s="275"/>
    </row>
    <row r="1115" spans="1:14" ht="21.75" customHeight="1">
      <c r="A1115" t="s">
        <v>1532</v>
      </c>
      <c r="B1115" s="245">
        <v>41658</v>
      </c>
      <c r="C1115" s="126">
        <v>304.10000000000002</v>
      </c>
      <c r="D1115" s="126">
        <v>305.5</v>
      </c>
      <c r="E1115" s="126"/>
      <c r="G1115" s="321">
        <v>0.7873</v>
      </c>
      <c r="H1115" s="123">
        <f t="shared" si="106"/>
        <v>1085.1282831707733</v>
      </c>
      <c r="I1115" s="123">
        <f t="shared" si="107"/>
        <v>1090.123941166298</v>
      </c>
      <c r="J1115" s="123"/>
      <c r="K1115" s="123"/>
      <c r="L1115" s="176">
        <f t="shared" si="105"/>
        <v>1087.6261121685357</v>
      </c>
      <c r="M1115" s="227"/>
      <c r="N1115" s="275"/>
    </row>
    <row r="1116" spans="1:14" ht="21.75" customHeight="1">
      <c r="A1116" t="s">
        <v>1533</v>
      </c>
      <c r="B1116" s="245">
        <v>41659</v>
      </c>
      <c r="C1116" s="126">
        <v>166.2</v>
      </c>
      <c r="D1116" s="126">
        <v>165.6</v>
      </c>
      <c r="E1116" s="126"/>
      <c r="G1116" s="321">
        <v>0.7873</v>
      </c>
      <c r="H1116" s="123">
        <f t="shared" si="106"/>
        <v>593.05597061158335</v>
      </c>
      <c r="I1116" s="123">
        <f t="shared" si="107"/>
        <v>590.91497432778704</v>
      </c>
      <c r="J1116" s="123"/>
      <c r="K1116" s="123"/>
      <c r="L1116" s="176">
        <f t="shared" si="105"/>
        <v>591.98547246968519</v>
      </c>
      <c r="M1116" s="227"/>
      <c r="N1116" s="275"/>
    </row>
    <row r="1117" spans="1:14" ht="21.75" customHeight="1">
      <c r="A1117" t="s">
        <v>1535</v>
      </c>
      <c r="B1117" s="245">
        <v>41659</v>
      </c>
      <c r="C1117" s="126">
        <v>150.80000000000001</v>
      </c>
      <c r="D1117" s="126">
        <v>151.1</v>
      </c>
      <c r="E1117" s="126"/>
      <c r="G1117" s="321">
        <v>0.7873</v>
      </c>
      <c r="H1117" s="123">
        <f t="shared" si="106"/>
        <v>538.10373266081103</v>
      </c>
      <c r="I1117" s="123">
        <f t="shared" si="107"/>
        <v>539.17423080270908</v>
      </c>
      <c r="J1117" s="123"/>
      <c r="K1117" s="123"/>
      <c r="L1117" s="176">
        <f t="shared" si="105"/>
        <v>538.63898173176005</v>
      </c>
      <c r="M1117" s="227"/>
      <c r="N1117" s="275"/>
    </row>
    <row r="1118" spans="1:14" ht="21.75" customHeight="1">
      <c r="A1118" t="s">
        <v>1537</v>
      </c>
      <c r="B1118" s="245">
        <v>41659</v>
      </c>
      <c r="C1118" s="126">
        <v>140.1</v>
      </c>
      <c r="D1118" s="126">
        <v>140.4</v>
      </c>
      <c r="E1118" s="126"/>
      <c r="G1118" s="321">
        <v>0.7873</v>
      </c>
      <c r="H1118" s="123">
        <f t="shared" si="106"/>
        <v>499.92263226644303</v>
      </c>
      <c r="I1118" s="123">
        <f t="shared" si="107"/>
        <v>500.99313040834119</v>
      </c>
      <c r="J1118" s="123"/>
      <c r="K1118" s="123"/>
      <c r="L1118" s="176">
        <f t="shared" si="105"/>
        <v>500.45788133739211</v>
      </c>
      <c r="M1118" s="227"/>
      <c r="N1118" s="275"/>
    </row>
    <row r="1119" spans="1:14" ht="21.75" customHeight="1">
      <c r="A1119" t="s">
        <v>1538</v>
      </c>
      <c r="B1119" s="245">
        <v>41659</v>
      </c>
      <c r="C1119" s="126">
        <v>133.9</v>
      </c>
      <c r="D1119" s="126">
        <v>134</v>
      </c>
      <c r="E1119" s="126"/>
      <c r="G1119" s="321">
        <v>0.7873</v>
      </c>
      <c r="H1119" s="123">
        <f t="shared" si="106"/>
        <v>477.79900400054765</v>
      </c>
      <c r="I1119" s="123">
        <f t="shared" si="107"/>
        <v>478.15583671451367</v>
      </c>
      <c r="J1119" s="123"/>
      <c r="K1119" s="123"/>
      <c r="L1119" s="176">
        <f t="shared" si="105"/>
        <v>477.97742035753066</v>
      </c>
      <c r="M1119" s="227"/>
      <c r="N1119" s="275"/>
    </row>
    <row r="1120" spans="1:14" ht="21.75" customHeight="1">
      <c r="A1120" t="s">
        <v>1539</v>
      </c>
      <c r="B1120" s="245">
        <v>41659</v>
      </c>
      <c r="C1120" s="126">
        <v>14.1</v>
      </c>
      <c r="D1120" s="126">
        <v>13.9</v>
      </c>
      <c r="E1120" s="126"/>
      <c r="G1120" s="321">
        <v>0.7873</v>
      </c>
      <c r="H1120" s="123">
        <f t="shared" si="106"/>
        <v>50.313412669213754</v>
      </c>
      <c r="I1120" s="123">
        <f t="shared" si="107"/>
        <v>49.599747241281641</v>
      </c>
      <c r="J1120" s="123"/>
      <c r="K1120" s="123"/>
      <c r="L1120" s="176">
        <f t="shared" si="105"/>
        <v>49.956579955247697</v>
      </c>
      <c r="M1120" s="227"/>
      <c r="N1120" s="275"/>
    </row>
    <row r="1121" spans="1:14" ht="21.75" customHeight="1">
      <c r="A1121" t="s">
        <v>1540</v>
      </c>
      <c r="B1121" s="245">
        <v>41659</v>
      </c>
      <c r="C1121" s="126">
        <v>14.3</v>
      </c>
      <c r="D1121" s="126">
        <v>13.9</v>
      </c>
      <c r="E1121" s="126"/>
      <c r="G1121" s="321">
        <v>0.7873</v>
      </c>
      <c r="H1121" s="123">
        <f t="shared" si="106"/>
        <v>51.027078097145861</v>
      </c>
      <c r="I1121" s="123">
        <f t="shared" si="107"/>
        <v>49.599747241281641</v>
      </c>
      <c r="J1121" s="123"/>
      <c r="K1121" s="123"/>
      <c r="L1121" s="176">
        <f t="shared" si="105"/>
        <v>50.313412669213747</v>
      </c>
      <c r="M1121" s="227"/>
      <c r="N1121" s="275"/>
    </row>
    <row r="1122" spans="1:14" ht="21.75" customHeight="1">
      <c r="A1122" t="s">
        <v>1541</v>
      </c>
      <c r="C1122" s="126"/>
      <c r="D1122" s="126"/>
      <c r="E1122" s="126"/>
      <c r="G1122" s="321">
        <v>0.7873</v>
      </c>
      <c r="H1122" s="123">
        <f t="shared" si="106"/>
        <v>0</v>
      </c>
      <c r="I1122" s="123">
        <f t="shared" si="107"/>
        <v>0</v>
      </c>
      <c r="J1122" s="123"/>
      <c r="K1122" s="123"/>
      <c r="L1122" s="176">
        <f t="shared" si="105"/>
        <v>0</v>
      </c>
      <c r="M1122" s="227"/>
      <c r="N1122" s="275"/>
    </row>
    <row r="1123" spans="1:14" ht="21.75" customHeight="1">
      <c r="A1123" t="s">
        <v>1543</v>
      </c>
      <c r="C1123" s="126"/>
      <c r="D1123" s="126"/>
      <c r="E1123" s="126"/>
      <c r="G1123" s="321">
        <v>0.7873</v>
      </c>
      <c r="H1123" s="123">
        <f t="shared" si="106"/>
        <v>0</v>
      </c>
      <c r="I1123" s="123">
        <f t="shared" si="107"/>
        <v>0</v>
      </c>
      <c r="J1123" s="123"/>
      <c r="K1123" s="123"/>
      <c r="L1123" s="176">
        <f t="shared" si="105"/>
        <v>0</v>
      </c>
      <c r="M1123" s="227"/>
      <c r="N1123" s="275"/>
    </row>
    <row r="1124" spans="1:14" ht="21.75" customHeight="1">
      <c r="A1124" t="s">
        <v>1544</v>
      </c>
      <c r="B1124" s="245">
        <v>41296</v>
      </c>
      <c r="C1124" s="126">
        <v>318.10000000000002</v>
      </c>
      <c r="D1124" s="126">
        <v>311</v>
      </c>
      <c r="E1124" s="126"/>
      <c r="G1124" s="321">
        <v>0.7873</v>
      </c>
      <c r="H1124" s="123">
        <f t="shared" si="106"/>
        <v>1135.084863126021</v>
      </c>
      <c r="I1124" s="123">
        <f t="shared" si="107"/>
        <v>1109.749740434431</v>
      </c>
      <c r="J1124" s="123"/>
      <c r="K1124" s="123"/>
      <c r="L1124" s="176">
        <f t="shared" si="105"/>
        <v>1122.4173017802259</v>
      </c>
      <c r="M1124" s="227"/>
      <c r="N1124" s="275"/>
    </row>
    <row r="1125" spans="1:14" ht="21.75" customHeight="1">
      <c r="A1125" t="s">
        <v>1546</v>
      </c>
      <c r="B1125" s="245">
        <v>41296</v>
      </c>
      <c r="C1125" s="126">
        <v>309.5</v>
      </c>
      <c r="D1125" s="126">
        <v>308.8</v>
      </c>
      <c r="E1125" s="126"/>
      <c r="G1125" s="321">
        <v>0.7873</v>
      </c>
      <c r="H1125" s="123">
        <f t="shared" si="106"/>
        <v>1104.3972497249401</v>
      </c>
      <c r="I1125" s="123">
        <f t="shared" si="107"/>
        <v>1101.8994207271778</v>
      </c>
      <c r="J1125" s="123"/>
      <c r="K1125" s="123"/>
      <c r="L1125" s="176">
        <f t="shared" si="105"/>
        <v>1103.1483352260589</v>
      </c>
      <c r="M1125" s="227"/>
      <c r="N1125" s="275"/>
    </row>
    <row r="1126" spans="1:14" ht="21.75" customHeight="1">
      <c r="A1126" t="s">
        <v>1894</v>
      </c>
      <c r="B1126" s="245">
        <v>41296</v>
      </c>
      <c r="C1126" s="126">
        <v>1900000</v>
      </c>
      <c r="D1126" s="126">
        <v>1900000</v>
      </c>
      <c r="E1126" s="126"/>
      <c r="G1126" s="321">
        <v>0.7873</v>
      </c>
      <c r="H1126" s="123">
        <f t="shared" si="106"/>
        <v>6779821.5653550457</v>
      </c>
      <c r="I1126" s="123">
        <f t="shared" si="107"/>
        <v>6779821.5653550457</v>
      </c>
      <c r="J1126" s="123"/>
      <c r="K1126" s="123"/>
      <c r="L1126" s="176">
        <f t="shared" si="105"/>
        <v>6779821.5653550457</v>
      </c>
      <c r="M1126" s="227"/>
      <c r="N1126" s="275"/>
    </row>
    <row r="1127" spans="1:14" ht="21.75" customHeight="1">
      <c r="A1127" t="s">
        <v>1895</v>
      </c>
      <c r="B1127" s="245">
        <v>41296</v>
      </c>
      <c r="C1127" s="126">
        <v>264.5</v>
      </c>
      <c r="D1127" s="126">
        <v>268.10000000000002</v>
      </c>
      <c r="E1127" s="126"/>
      <c r="G1127" s="321">
        <v>0.7873</v>
      </c>
      <c r="H1127" s="123">
        <f t="shared" si="106"/>
        <v>943.82252844021536</v>
      </c>
      <c r="I1127" s="123">
        <f t="shared" si="107"/>
        <v>956.66850614299358</v>
      </c>
      <c r="J1127" s="123"/>
      <c r="K1127" s="123"/>
      <c r="L1127" s="176">
        <f t="shared" si="105"/>
        <v>950.24551729160453</v>
      </c>
      <c r="M1127" s="227"/>
      <c r="N1127" s="275"/>
    </row>
    <row r="1128" spans="1:14" ht="21.75" customHeight="1">
      <c r="A1128" t="s">
        <v>1896</v>
      </c>
      <c r="B1128" s="245">
        <v>41296</v>
      </c>
      <c r="C1128" s="126">
        <v>7.4</v>
      </c>
      <c r="D1128" s="126">
        <v>7.3</v>
      </c>
      <c r="E1128" s="126"/>
      <c r="G1128" s="321">
        <v>0.7873</v>
      </c>
      <c r="H1128" s="123">
        <f t="shared" si="106"/>
        <v>26.405620833488072</v>
      </c>
      <c r="I1128" s="123">
        <f t="shared" si="107"/>
        <v>26.048788119522015</v>
      </c>
      <c r="J1128" s="123"/>
      <c r="K1128" s="123"/>
      <c r="L1128" s="176">
        <f t="shared" si="105"/>
        <v>26.227204476505044</v>
      </c>
      <c r="M1128" s="227"/>
      <c r="N1128" s="275"/>
    </row>
    <row r="1129" spans="1:14" ht="21.75" customHeight="1">
      <c r="A1129" t="s">
        <v>1897</v>
      </c>
      <c r="B1129" s="245">
        <v>41296</v>
      </c>
      <c r="C1129" s="126">
        <v>8.9</v>
      </c>
      <c r="D1129">
        <v>9</v>
      </c>
      <c r="E1129" s="126"/>
      <c r="G1129" s="321">
        <v>0.7873</v>
      </c>
      <c r="H1129" s="123">
        <f t="shared" si="106"/>
        <v>31.758111542978895</v>
      </c>
      <c r="I1129" s="123">
        <f t="shared" si="107"/>
        <v>32.114944256944952</v>
      </c>
      <c r="J1129" s="123"/>
      <c r="K1129" s="123"/>
      <c r="L1129" s="176">
        <f t="shared" si="105"/>
        <v>31.936527899961924</v>
      </c>
      <c r="M1129" s="227"/>
      <c r="N1129" s="275"/>
    </row>
    <row r="1130" spans="1:14" ht="21.75" customHeight="1">
      <c r="A1130" t="s">
        <v>1898</v>
      </c>
      <c r="B1130" s="245">
        <v>41296</v>
      </c>
      <c r="C1130" s="126">
        <v>72.400000000000006</v>
      </c>
      <c r="D1130">
        <v>72.8</v>
      </c>
      <c r="E1130" s="126"/>
      <c r="G1130" s="321">
        <v>0.7873</v>
      </c>
      <c r="H1130" s="123">
        <f t="shared" ref="H1130:H1161" si="108">(C1130*(PI()/LN(2)))*$G1130</f>
        <v>258.34688491142384</v>
      </c>
      <c r="I1130" s="123">
        <f t="shared" ref="I1130:I1161" si="109">(D1130*(PI()/LN(2)))*$G1130</f>
        <v>259.77421576728801</v>
      </c>
      <c r="J1130" s="123"/>
      <c r="K1130" s="123"/>
      <c r="L1130" s="176">
        <f t="shared" si="105"/>
        <v>259.06055033935593</v>
      </c>
      <c r="M1130" s="227"/>
      <c r="N1130" s="275"/>
    </row>
    <row r="1131" spans="1:14" ht="21.75" customHeight="1">
      <c r="A1131" t="s">
        <v>1899</v>
      </c>
      <c r="B1131" s="245">
        <v>41296</v>
      </c>
      <c r="C1131" s="126">
        <v>397.9</v>
      </c>
      <c r="D1131">
        <v>394.8</v>
      </c>
      <c r="E1131" s="126"/>
      <c r="G1131" s="321">
        <v>0.7873</v>
      </c>
      <c r="H1131" s="123">
        <f t="shared" si="108"/>
        <v>1419.8373688709328</v>
      </c>
      <c r="I1131" s="123">
        <f t="shared" si="109"/>
        <v>1408.7755547379852</v>
      </c>
      <c r="J1131" s="123"/>
      <c r="K1131" s="123"/>
      <c r="L1131" s="176">
        <f t="shared" si="105"/>
        <v>1414.3064618044591</v>
      </c>
      <c r="M1131" s="227"/>
      <c r="N1131" s="275"/>
    </row>
    <row r="1132" spans="1:14" ht="21.75" customHeight="1">
      <c r="A1132" t="s">
        <v>1547</v>
      </c>
      <c r="C1132" s="126"/>
      <c r="D1132" s="126"/>
      <c r="E1132" s="126"/>
      <c r="G1132" s="321">
        <v>0.7873</v>
      </c>
      <c r="H1132" s="123">
        <f t="shared" si="108"/>
        <v>0</v>
      </c>
      <c r="I1132" s="123">
        <f t="shared" si="109"/>
        <v>0</v>
      </c>
      <c r="J1132" s="123"/>
      <c r="K1132" s="123"/>
      <c r="L1132" s="176">
        <f t="shared" si="105"/>
        <v>0</v>
      </c>
      <c r="M1132" s="227"/>
      <c r="N1132" s="275"/>
    </row>
    <row r="1133" spans="1:14" ht="21.75" customHeight="1">
      <c r="A1133" t="s">
        <v>1548</v>
      </c>
      <c r="C1133" s="126"/>
      <c r="D1133" s="126"/>
      <c r="E1133" s="126"/>
      <c r="G1133" s="321">
        <v>0.7873</v>
      </c>
      <c r="H1133" s="123">
        <f t="shared" si="108"/>
        <v>0</v>
      </c>
      <c r="I1133" s="123">
        <f t="shared" si="109"/>
        <v>0</v>
      </c>
      <c r="J1133" s="123"/>
      <c r="K1133" s="123"/>
      <c r="L1133" s="176">
        <f t="shared" si="105"/>
        <v>0</v>
      </c>
      <c r="M1133" s="227"/>
      <c r="N1133" s="275"/>
    </row>
    <row r="1134" spans="1:14" ht="21.75" customHeight="1">
      <c r="A1134" t="s">
        <v>1549</v>
      </c>
      <c r="B1134" s="245">
        <v>41663</v>
      </c>
      <c r="C1134" s="126">
        <v>32.1</v>
      </c>
      <c r="D1134" s="126">
        <v>32.1</v>
      </c>
      <c r="E1134" s="126"/>
      <c r="G1134" s="321">
        <v>0.7873</v>
      </c>
      <c r="H1134" s="123">
        <f t="shared" si="108"/>
        <v>114.54330118310365</v>
      </c>
      <c r="I1134" s="123">
        <f t="shared" si="109"/>
        <v>114.54330118310365</v>
      </c>
      <c r="J1134" s="123"/>
      <c r="K1134" s="123"/>
      <c r="L1134" s="176">
        <f t="shared" si="105"/>
        <v>114.54330118310365</v>
      </c>
      <c r="M1134" s="227"/>
      <c r="N1134" s="275"/>
    </row>
    <row r="1135" spans="1:14" ht="21.75" customHeight="1">
      <c r="A1135" t="s">
        <v>1550</v>
      </c>
      <c r="B1135" s="245">
        <v>41663</v>
      </c>
      <c r="C1135" s="126">
        <v>32.200000000000003</v>
      </c>
      <c r="D1135" s="126">
        <v>32.6</v>
      </c>
      <c r="E1135" s="126"/>
      <c r="G1135" s="321">
        <v>0.7873</v>
      </c>
      <c r="H1135" s="123">
        <f t="shared" si="108"/>
        <v>114.90013389706971</v>
      </c>
      <c r="I1135" s="123">
        <f t="shared" si="109"/>
        <v>116.32746475293393</v>
      </c>
      <c r="J1135" s="123"/>
      <c r="K1135" s="123"/>
      <c r="L1135" s="176">
        <f t="shared" si="105"/>
        <v>115.61379932500182</v>
      </c>
      <c r="M1135" s="227"/>
      <c r="N1135" s="275"/>
    </row>
    <row r="1136" spans="1:14" ht="21.75" customHeight="1">
      <c r="A1136" t="s">
        <v>1551</v>
      </c>
      <c r="B1136" s="245">
        <v>41663</v>
      </c>
      <c r="C1136" s="126">
        <v>32.799999999999997</v>
      </c>
      <c r="D1136" s="126">
        <v>32.5</v>
      </c>
      <c r="E1136" s="126"/>
      <c r="G1136" s="321">
        <v>0.7873</v>
      </c>
      <c r="H1136" s="123">
        <f t="shared" si="108"/>
        <v>117.04113018086603</v>
      </c>
      <c r="I1136" s="123">
        <f t="shared" si="109"/>
        <v>115.97063203896788</v>
      </c>
      <c r="J1136" s="123"/>
      <c r="K1136" s="123"/>
      <c r="L1136" s="176">
        <f t="shared" si="105"/>
        <v>116.50588110991696</v>
      </c>
      <c r="M1136" s="227"/>
      <c r="N1136" s="275"/>
    </row>
    <row r="1137" spans="1:14" ht="21.75" customHeight="1">
      <c r="A1137" t="s">
        <v>1552</v>
      </c>
      <c r="B1137" s="245">
        <v>41663</v>
      </c>
      <c r="C1137" s="126">
        <v>31.9</v>
      </c>
      <c r="D1137" s="126">
        <v>32.299999999999997</v>
      </c>
      <c r="E1137" s="126"/>
      <c r="G1137" s="321">
        <v>0.7873</v>
      </c>
      <c r="H1137" s="123">
        <f t="shared" si="108"/>
        <v>113.82963575517154</v>
      </c>
      <c r="I1137" s="123">
        <f t="shared" si="109"/>
        <v>115.25696661103575</v>
      </c>
      <c r="J1137" s="123"/>
      <c r="K1137" s="123"/>
      <c r="L1137" s="176">
        <f t="shared" ref="L1137:L1200" si="110">AVERAGE(H1137:I1137)</f>
        <v>114.54330118310364</v>
      </c>
      <c r="M1137" s="227"/>
      <c r="N1137" s="275"/>
    </row>
    <row r="1138" spans="1:14" ht="21.75" customHeight="1">
      <c r="A1138" t="s">
        <v>1900</v>
      </c>
      <c r="B1138" s="245">
        <v>41663</v>
      </c>
      <c r="C1138" s="126">
        <v>209.2</v>
      </c>
      <c r="D1138" s="126">
        <v>211.2</v>
      </c>
      <c r="E1138" s="126"/>
      <c r="G1138" s="321">
        <v>0.7873</v>
      </c>
      <c r="H1138" s="123">
        <f t="shared" si="108"/>
        <v>746.49403761698704</v>
      </c>
      <c r="I1138" s="123">
        <f t="shared" si="109"/>
        <v>753.63069189630812</v>
      </c>
      <c r="J1138" s="123"/>
      <c r="K1138" s="123"/>
      <c r="L1138" s="176">
        <f t="shared" si="110"/>
        <v>750.06236475664764</v>
      </c>
      <c r="M1138" s="227"/>
      <c r="N1138" s="275"/>
    </row>
    <row r="1139" spans="1:14" ht="21.75" customHeight="1">
      <c r="A1139" t="s">
        <v>1901</v>
      </c>
      <c r="B1139" s="245">
        <v>41663</v>
      </c>
      <c r="C1139" s="126">
        <v>416.5</v>
      </c>
      <c r="D1139" s="126">
        <v>420</v>
      </c>
      <c r="E1139" s="126"/>
      <c r="G1139" s="321">
        <v>0.7873</v>
      </c>
      <c r="H1139" s="123">
        <f t="shared" si="108"/>
        <v>1486.2082536686189</v>
      </c>
      <c r="I1139" s="123">
        <f t="shared" si="109"/>
        <v>1498.697398657431</v>
      </c>
      <c r="J1139" s="123"/>
      <c r="K1139" s="123"/>
      <c r="L1139" s="176">
        <f t="shared" si="110"/>
        <v>1492.4528261630248</v>
      </c>
      <c r="M1139" s="227"/>
      <c r="N1139" s="275"/>
    </row>
    <row r="1140" spans="1:14" ht="21.75" customHeight="1">
      <c r="A1140" t="s">
        <v>1902</v>
      </c>
      <c r="B1140" s="245">
        <v>41663</v>
      </c>
      <c r="C1140" s="126">
        <v>6600</v>
      </c>
      <c r="D1140" s="126">
        <v>7200</v>
      </c>
      <c r="E1140" s="126"/>
      <c r="G1140" s="321">
        <v>0.7873</v>
      </c>
      <c r="H1140" s="123">
        <f t="shared" si="108"/>
        <v>23550.959121759632</v>
      </c>
      <c r="I1140" s="123">
        <f t="shared" si="109"/>
        <v>25691.95540555596</v>
      </c>
      <c r="J1140" s="123"/>
      <c r="K1140" s="123"/>
      <c r="L1140" s="176">
        <f t="shared" si="110"/>
        <v>24621.457263657794</v>
      </c>
      <c r="M1140" s="227"/>
      <c r="N1140" s="275"/>
    </row>
    <row r="1141" spans="1:14" ht="21.75" customHeight="1">
      <c r="A1141" t="s">
        <v>1903</v>
      </c>
      <c r="B1141" s="245">
        <v>41663</v>
      </c>
      <c r="C1141" s="126">
        <v>222.3</v>
      </c>
      <c r="D1141" s="126">
        <v>225.6</v>
      </c>
      <c r="E1141" s="126"/>
      <c r="G1141" s="321">
        <v>0.7873</v>
      </c>
      <c r="H1141" s="123">
        <f t="shared" si="108"/>
        <v>793.23912314654035</v>
      </c>
      <c r="I1141" s="123">
        <f t="shared" si="109"/>
        <v>805.01460270742007</v>
      </c>
      <c r="J1141" s="123"/>
      <c r="K1141" s="123"/>
      <c r="L1141" s="176">
        <f t="shared" si="110"/>
        <v>799.12686292698027</v>
      </c>
      <c r="M1141" s="227"/>
      <c r="N1141" s="275"/>
    </row>
    <row r="1142" spans="1:14" ht="21.75" customHeight="1">
      <c r="A1142" t="s">
        <v>1904</v>
      </c>
      <c r="B1142" s="245">
        <v>41663</v>
      </c>
      <c r="C1142" s="126">
        <v>3500</v>
      </c>
      <c r="D1142" s="126">
        <v>3700</v>
      </c>
      <c r="E1142" s="126"/>
      <c r="G1142" s="321">
        <v>0.7873</v>
      </c>
      <c r="H1142" s="123">
        <f t="shared" si="108"/>
        <v>12489.144988811926</v>
      </c>
      <c r="I1142" s="123">
        <f t="shared" si="109"/>
        <v>13202.810416744034</v>
      </c>
      <c r="J1142" s="123"/>
      <c r="K1142" s="123"/>
      <c r="L1142" s="176">
        <f t="shared" si="110"/>
        <v>12845.97770277798</v>
      </c>
      <c r="M1142" s="227"/>
      <c r="N1142" s="275"/>
    </row>
    <row r="1143" spans="1:14" ht="21.75" customHeight="1">
      <c r="A1143" t="s">
        <v>1905</v>
      </c>
      <c r="B1143" s="245">
        <v>41663</v>
      </c>
      <c r="C1143" s="126">
        <v>230.3</v>
      </c>
      <c r="D1143" s="126">
        <v>231.2</v>
      </c>
      <c r="E1143" s="126"/>
      <c r="G1143" s="321">
        <v>0.7873</v>
      </c>
      <c r="H1143" s="123">
        <f t="shared" si="108"/>
        <v>821.78574026382466</v>
      </c>
      <c r="I1143" s="123">
        <f t="shared" si="109"/>
        <v>824.99723468951913</v>
      </c>
      <c r="J1143" s="123"/>
      <c r="K1143" s="123"/>
      <c r="L1143" s="176">
        <f t="shared" si="110"/>
        <v>823.39148747667195</v>
      </c>
      <c r="M1143" s="227"/>
      <c r="N1143" s="275"/>
    </row>
    <row r="1144" spans="1:14" ht="21.75" customHeight="1">
      <c r="A1144" t="s">
        <v>1553</v>
      </c>
      <c r="C1144" s="126"/>
      <c r="D1144" s="126"/>
      <c r="E1144" s="126"/>
      <c r="G1144" s="321">
        <v>0.7873</v>
      </c>
      <c r="H1144" s="123">
        <f t="shared" si="108"/>
        <v>0</v>
      </c>
      <c r="I1144" s="123">
        <f t="shared" si="109"/>
        <v>0</v>
      </c>
      <c r="J1144" s="123"/>
      <c r="K1144" s="123"/>
      <c r="L1144" s="176">
        <f t="shared" si="110"/>
        <v>0</v>
      </c>
      <c r="M1144" s="227"/>
      <c r="N1144" s="275"/>
    </row>
    <row r="1145" spans="1:14" ht="21.75" customHeight="1">
      <c r="A1145" t="s">
        <v>1554</v>
      </c>
      <c r="C1145" s="126"/>
      <c r="D1145" s="126"/>
      <c r="E1145" s="126"/>
      <c r="G1145" s="321">
        <v>0.7873</v>
      </c>
      <c r="H1145" s="123">
        <f t="shared" si="108"/>
        <v>0</v>
      </c>
      <c r="I1145" s="123">
        <f t="shared" si="109"/>
        <v>0</v>
      </c>
      <c r="J1145" s="123"/>
      <c r="K1145" s="123"/>
      <c r="L1145" s="176">
        <f t="shared" si="110"/>
        <v>0</v>
      </c>
      <c r="M1145" s="227"/>
      <c r="N1145" s="275"/>
    </row>
    <row r="1146" spans="1:14" ht="21.75" customHeight="1">
      <c r="A1146" t="s">
        <v>1555</v>
      </c>
      <c r="C1146" s="126"/>
      <c r="D1146" s="126"/>
      <c r="E1146" s="126"/>
      <c r="G1146" s="321">
        <v>0.7873</v>
      </c>
      <c r="H1146" s="123">
        <f t="shared" si="108"/>
        <v>0</v>
      </c>
      <c r="I1146" s="123">
        <f t="shared" si="109"/>
        <v>0</v>
      </c>
      <c r="J1146" s="123"/>
      <c r="K1146" s="123"/>
      <c r="L1146" s="176">
        <f t="shared" si="110"/>
        <v>0</v>
      </c>
      <c r="M1146" s="227"/>
      <c r="N1146" s="275"/>
    </row>
    <row r="1147" spans="1:14" ht="21.75" customHeight="1">
      <c r="A1147" t="s">
        <v>1556</v>
      </c>
      <c r="C1147" s="126"/>
      <c r="D1147" s="126"/>
      <c r="E1147" s="126"/>
      <c r="G1147" s="321">
        <v>0.7873</v>
      </c>
      <c r="H1147" s="123">
        <f t="shared" si="108"/>
        <v>0</v>
      </c>
      <c r="I1147" s="123">
        <f t="shared" si="109"/>
        <v>0</v>
      </c>
      <c r="J1147" s="123"/>
      <c r="K1147" s="123"/>
      <c r="L1147" s="176">
        <f t="shared" si="110"/>
        <v>0</v>
      </c>
      <c r="M1147" s="227"/>
      <c r="N1147" s="275"/>
    </row>
    <row r="1148" spans="1:14" ht="21.75" customHeight="1">
      <c r="A1148" t="s">
        <v>1557</v>
      </c>
      <c r="C1148" s="126"/>
      <c r="D1148" s="126"/>
      <c r="E1148" s="126"/>
      <c r="G1148" s="321">
        <v>0.7873</v>
      </c>
      <c r="H1148" s="123">
        <f t="shared" si="108"/>
        <v>0</v>
      </c>
      <c r="I1148" s="123">
        <f t="shared" si="109"/>
        <v>0</v>
      </c>
      <c r="J1148" s="123"/>
      <c r="K1148" s="123"/>
      <c r="L1148" s="176">
        <f t="shared" si="110"/>
        <v>0</v>
      </c>
      <c r="M1148" s="227"/>
      <c r="N1148" s="275"/>
    </row>
    <row r="1149" spans="1:14" ht="21.75" customHeight="1">
      <c r="A1149" t="s">
        <v>1559</v>
      </c>
      <c r="C1149" s="126"/>
      <c r="D1149" s="126"/>
      <c r="E1149" s="126"/>
      <c r="G1149" s="321">
        <v>0.7873</v>
      </c>
      <c r="H1149" s="123">
        <f t="shared" si="108"/>
        <v>0</v>
      </c>
      <c r="I1149" s="123">
        <f t="shared" si="109"/>
        <v>0</v>
      </c>
      <c r="J1149" s="123"/>
      <c r="K1149" s="123"/>
      <c r="L1149" s="176">
        <f t="shared" si="110"/>
        <v>0</v>
      </c>
      <c r="M1149" s="227"/>
      <c r="N1149" s="275"/>
    </row>
    <row r="1150" spans="1:14" ht="21.75" customHeight="1">
      <c r="A1150" t="s">
        <v>1560</v>
      </c>
      <c r="C1150" s="126"/>
      <c r="D1150" s="126"/>
      <c r="E1150" s="126"/>
      <c r="G1150" s="321">
        <v>0.7873</v>
      </c>
      <c r="H1150" s="123">
        <f t="shared" si="108"/>
        <v>0</v>
      </c>
      <c r="I1150" s="123">
        <f t="shared" si="109"/>
        <v>0</v>
      </c>
      <c r="J1150" s="123"/>
      <c r="K1150" s="123"/>
      <c r="L1150" s="176">
        <f t="shared" si="110"/>
        <v>0</v>
      </c>
      <c r="M1150" s="227"/>
      <c r="N1150" s="275"/>
    </row>
    <row r="1151" spans="1:14" ht="21.75" customHeight="1">
      <c r="A1151" t="s">
        <v>1561</v>
      </c>
      <c r="C1151" s="126"/>
      <c r="D1151" s="126"/>
      <c r="E1151" s="126"/>
      <c r="G1151" s="321">
        <v>0.7873</v>
      </c>
      <c r="H1151" s="123">
        <f t="shared" si="108"/>
        <v>0</v>
      </c>
      <c r="I1151" s="123">
        <f t="shared" si="109"/>
        <v>0</v>
      </c>
      <c r="J1151" s="123"/>
      <c r="K1151" s="123"/>
      <c r="L1151" s="176">
        <f t="shared" si="110"/>
        <v>0</v>
      </c>
      <c r="M1151" s="227"/>
      <c r="N1151" s="275"/>
    </row>
    <row r="1152" spans="1:14" ht="21.75" customHeight="1">
      <c r="A1152" t="s">
        <v>1562</v>
      </c>
      <c r="C1152" s="126"/>
      <c r="D1152" s="126"/>
      <c r="E1152" s="126"/>
      <c r="G1152" s="321">
        <v>0.7873</v>
      </c>
      <c r="H1152" s="123">
        <f t="shared" si="108"/>
        <v>0</v>
      </c>
      <c r="I1152" s="123">
        <f t="shared" si="109"/>
        <v>0</v>
      </c>
      <c r="J1152" s="123"/>
      <c r="K1152" s="123"/>
      <c r="L1152" s="176">
        <f t="shared" si="110"/>
        <v>0</v>
      </c>
      <c r="M1152" s="227"/>
      <c r="N1152" s="275"/>
    </row>
    <row r="1153" spans="1:14" ht="21.75" customHeight="1">
      <c r="A1153" t="s">
        <v>1563</v>
      </c>
      <c r="C1153" s="126"/>
      <c r="D1153" s="126"/>
      <c r="E1153" s="126"/>
      <c r="G1153" s="321">
        <v>0.7873</v>
      </c>
      <c r="H1153" s="123">
        <f t="shared" si="108"/>
        <v>0</v>
      </c>
      <c r="I1153" s="123">
        <f t="shared" si="109"/>
        <v>0</v>
      </c>
      <c r="J1153" s="123"/>
      <c r="K1153" s="123"/>
      <c r="L1153" s="176">
        <f t="shared" si="110"/>
        <v>0</v>
      </c>
      <c r="M1153" s="227"/>
      <c r="N1153" s="275"/>
    </row>
    <row r="1154" spans="1:14" ht="21.75" customHeight="1">
      <c r="A1154" t="s">
        <v>1564</v>
      </c>
      <c r="B1154" s="245">
        <v>41669</v>
      </c>
      <c r="C1154" s="126">
        <v>146.19999999999999</v>
      </c>
      <c r="D1154" s="126">
        <v>145.6</v>
      </c>
      <c r="E1154" s="126"/>
      <c r="G1154" s="321">
        <v>0.7873</v>
      </c>
      <c r="H1154" s="123">
        <f t="shared" si="108"/>
        <v>521.68942781837234</v>
      </c>
      <c r="I1154" s="123">
        <f t="shared" si="109"/>
        <v>519.54843153457603</v>
      </c>
      <c r="J1154" s="123"/>
      <c r="K1154" s="123"/>
      <c r="L1154" s="176">
        <f t="shared" si="110"/>
        <v>520.61892967647418</v>
      </c>
      <c r="M1154" s="227"/>
      <c r="N1154" s="275"/>
    </row>
    <row r="1155" spans="1:14" ht="21.75" customHeight="1">
      <c r="A1155" t="s">
        <v>1567</v>
      </c>
      <c r="B1155" s="245">
        <v>41669</v>
      </c>
      <c r="C1155" s="126">
        <v>145.30000000000001</v>
      </c>
      <c r="D1155" s="126">
        <v>145.5</v>
      </c>
      <c r="E1155" s="126"/>
      <c r="G1155" s="321">
        <v>0.7873</v>
      </c>
      <c r="H1155" s="123">
        <f t="shared" si="108"/>
        <v>518.47793339267798</v>
      </c>
      <c r="I1155" s="123">
        <f t="shared" si="109"/>
        <v>519.19159882061001</v>
      </c>
      <c r="J1155" s="123"/>
      <c r="K1155" s="123"/>
      <c r="L1155" s="176">
        <f t="shared" si="110"/>
        <v>518.834766106644</v>
      </c>
      <c r="M1155" s="227"/>
      <c r="N1155" s="275"/>
    </row>
    <row r="1156" spans="1:14" ht="21.75" customHeight="1">
      <c r="A1156" t="s">
        <v>1568</v>
      </c>
      <c r="B1156" s="245">
        <v>41669</v>
      </c>
      <c r="C1156" s="126">
        <v>117.7</v>
      </c>
      <c r="D1156" s="126">
        <v>121</v>
      </c>
      <c r="E1156" s="126"/>
      <c r="G1156" s="321">
        <v>0.7873</v>
      </c>
      <c r="H1156" s="123">
        <f t="shared" si="108"/>
        <v>419.99210433804677</v>
      </c>
      <c r="I1156" s="123">
        <f t="shared" si="109"/>
        <v>431.76758389892655</v>
      </c>
      <c r="J1156" s="123"/>
      <c r="K1156" s="123"/>
      <c r="L1156" s="176">
        <f t="shared" si="110"/>
        <v>425.87984411848663</v>
      </c>
      <c r="M1156" s="227"/>
      <c r="N1156" s="275"/>
    </row>
    <row r="1157" spans="1:14" ht="21.75" customHeight="1">
      <c r="A1157" t="s">
        <v>1569</v>
      </c>
      <c r="B1157" s="245">
        <v>41669</v>
      </c>
      <c r="C1157" s="126">
        <v>159.6</v>
      </c>
      <c r="D1157" s="126">
        <v>159.69999999999999</v>
      </c>
      <c r="E1157" s="126"/>
      <c r="G1157" s="321">
        <v>0.7873</v>
      </c>
      <c r="H1157" s="123">
        <f t="shared" si="108"/>
        <v>569.5050114898238</v>
      </c>
      <c r="I1157" s="123">
        <f t="shared" si="109"/>
        <v>569.86184420378981</v>
      </c>
      <c r="J1157" s="123"/>
      <c r="K1157" s="123"/>
      <c r="L1157" s="176">
        <f t="shared" si="110"/>
        <v>569.68342784680681</v>
      </c>
      <c r="M1157" s="227"/>
      <c r="N1157" s="275"/>
    </row>
    <row r="1158" spans="1:14" ht="21.75" customHeight="1">
      <c r="A1158" t="s">
        <v>1571</v>
      </c>
      <c r="B1158" s="245">
        <v>41669</v>
      </c>
      <c r="C1158" s="126">
        <v>163.5</v>
      </c>
      <c r="D1158" s="126">
        <v>163.4</v>
      </c>
      <c r="E1158" s="126"/>
      <c r="G1158" s="321">
        <v>0.7873</v>
      </c>
      <c r="H1158" s="123">
        <f t="shared" si="108"/>
        <v>583.42148733449983</v>
      </c>
      <c r="I1158" s="123">
        <f t="shared" si="109"/>
        <v>583.06465462053393</v>
      </c>
      <c r="J1158" s="123"/>
      <c r="K1158" s="123"/>
      <c r="L1158" s="176">
        <f t="shared" si="110"/>
        <v>583.24307097751694</v>
      </c>
      <c r="M1158" s="227"/>
      <c r="N1158" s="275"/>
    </row>
    <row r="1159" spans="1:14" ht="21.75" customHeight="1">
      <c r="A1159" t="s">
        <v>1572</v>
      </c>
      <c r="B1159" s="245">
        <v>41680</v>
      </c>
      <c r="C1159" s="126">
        <v>192.7</v>
      </c>
      <c r="D1159" s="126">
        <v>193.5</v>
      </c>
      <c r="E1159" s="126"/>
      <c r="G1159" s="321">
        <v>0.7873</v>
      </c>
      <c r="H1159" s="123">
        <f t="shared" si="108"/>
        <v>687.61663981258789</v>
      </c>
      <c r="I1159" s="123">
        <f t="shared" si="109"/>
        <v>690.47130152431646</v>
      </c>
      <c r="J1159" s="123"/>
      <c r="K1159" s="123"/>
      <c r="L1159" s="176">
        <f t="shared" si="110"/>
        <v>689.04397066845218</v>
      </c>
      <c r="M1159" s="227"/>
      <c r="N1159" s="275"/>
    </row>
    <row r="1160" spans="1:14" ht="21.75" customHeight="1">
      <c r="A1160" t="s">
        <v>1573</v>
      </c>
      <c r="B1160" s="245">
        <v>41680</v>
      </c>
      <c r="C1160" s="126">
        <v>172.9</v>
      </c>
      <c r="D1160" s="126">
        <v>172.9</v>
      </c>
      <c r="E1160" s="126"/>
      <c r="G1160" s="321">
        <v>0.7873</v>
      </c>
      <c r="H1160" s="123">
        <f t="shared" si="108"/>
        <v>616.96376244730914</v>
      </c>
      <c r="I1160" s="123">
        <f t="shared" si="109"/>
        <v>616.96376244730914</v>
      </c>
      <c r="J1160" s="123"/>
      <c r="K1160" s="123"/>
      <c r="L1160" s="176">
        <f t="shared" si="110"/>
        <v>616.96376244730914</v>
      </c>
      <c r="M1160" s="227"/>
      <c r="N1160" s="275"/>
    </row>
    <row r="1161" spans="1:14" ht="21.75" customHeight="1">
      <c r="A1161" t="s">
        <v>1574</v>
      </c>
      <c r="B1161" s="245">
        <v>41680</v>
      </c>
      <c r="C1161" s="126">
        <v>174.2</v>
      </c>
      <c r="D1161" s="126">
        <v>170.8</v>
      </c>
      <c r="E1161" s="126"/>
      <c r="G1161" s="321">
        <v>0.7873</v>
      </c>
      <c r="H1161" s="123">
        <f t="shared" si="108"/>
        <v>621.60258772886777</v>
      </c>
      <c r="I1161" s="123">
        <f t="shared" si="109"/>
        <v>609.47027545402204</v>
      </c>
      <c r="J1161" s="123"/>
      <c r="K1161" s="123"/>
      <c r="L1161" s="176">
        <f t="shared" si="110"/>
        <v>615.53643159144485</v>
      </c>
      <c r="M1161" s="227"/>
      <c r="N1161" s="275"/>
    </row>
    <row r="1162" spans="1:14" ht="21.75" customHeight="1">
      <c r="A1162" t="s">
        <v>1575</v>
      </c>
      <c r="B1162" s="245">
        <v>41688</v>
      </c>
      <c r="C1162" s="126">
        <v>162.9</v>
      </c>
      <c r="D1162" s="126">
        <v>160.19999999999999</v>
      </c>
      <c r="E1162" s="126"/>
      <c r="G1162" s="321">
        <v>0.7873</v>
      </c>
      <c r="H1162" s="123">
        <f t="shared" ref="H1162:H1194" si="111">(C1162*(PI()/LN(2)))*$G1162</f>
        <v>581.28049105070363</v>
      </c>
      <c r="I1162" s="123">
        <f t="shared" ref="I1162:I1194" si="112">(D1162*(PI()/LN(2)))*$G1162</f>
        <v>571.64600777362011</v>
      </c>
      <c r="J1162" s="123"/>
      <c r="K1162" s="123"/>
      <c r="L1162" s="176">
        <f t="shared" si="110"/>
        <v>576.46324941216187</v>
      </c>
      <c r="M1162" s="227"/>
      <c r="N1162" s="275"/>
    </row>
    <row r="1163" spans="1:14" ht="21.75" customHeight="1">
      <c r="A1163" t="s">
        <v>1576</v>
      </c>
      <c r="B1163" s="245">
        <v>41688</v>
      </c>
      <c r="C1163" s="126">
        <v>181.5</v>
      </c>
      <c r="D1163" s="126">
        <v>180.5</v>
      </c>
      <c r="E1163" s="126"/>
      <c r="G1163" s="321">
        <v>0.7873</v>
      </c>
      <c r="H1163" s="123">
        <f t="shared" si="111"/>
        <v>647.65137584838988</v>
      </c>
      <c r="I1163" s="123">
        <f t="shared" si="112"/>
        <v>644.08304870872928</v>
      </c>
      <c r="J1163" s="123"/>
      <c r="K1163" s="123"/>
      <c r="L1163" s="176">
        <f t="shared" si="110"/>
        <v>645.86721227855958</v>
      </c>
      <c r="M1163" s="227"/>
      <c r="N1163" s="275"/>
    </row>
    <row r="1164" spans="1:14" ht="21.75" customHeight="1">
      <c r="A1164" t="s">
        <v>1577</v>
      </c>
      <c r="B1164" s="245">
        <v>41688</v>
      </c>
      <c r="C1164" s="126">
        <v>164.4</v>
      </c>
      <c r="D1164" s="126">
        <v>164.5</v>
      </c>
      <c r="E1164" s="126"/>
      <c r="G1164" s="321">
        <v>0.7873</v>
      </c>
      <c r="H1164" s="123">
        <f t="shared" si="111"/>
        <v>586.63298176019453</v>
      </c>
      <c r="I1164" s="123">
        <f t="shared" si="112"/>
        <v>586.98981447416043</v>
      </c>
      <c r="J1164" s="123"/>
      <c r="K1164" s="123"/>
      <c r="L1164" s="176">
        <f t="shared" si="110"/>
        <v>586.81139811717753</v>
      </c>
      <c r="M1164" s="227"/>
      <c r="N1164" s="275"/>
    </row>
    <row r="1165" spans="1:14" ht="21.75" customHeight="1">
      <c r="A1165" t="s">
        <v>1578</v>
      </c>
      <c r="C1165" s="126"/>
      <c r="D1165" s="126"/>
      <c r="E1165" s="126"/>
      <c r="G1165" s="321">
        <v>0.7873</v>
      </c>
      <c r="H1165" s="123">
        <f t="shared" si="111"/>
        <v>0</v>
      </c>
      <c r="I1165" s="123">
        <f t="shared" si="112"/>
        <v>0</v>
      </c>
      <c r="J1165" s="123"/>
      <c r="K1165" s="123"/>
      <c r="L1165" s="176">
        <f t="shared" si="110"/>
        <v>0</v>
      </c>
      <c r="M1165" s="227"/>
      <c r="N1165" s="275"/>
    </row>
    <row r="1166" spans="1:14" ht="21.75" customHeight="1">
      <c r="A1166" t="s">
        <v>1579</v>
      </c>
      <c r="C1166" s="126"/>
      <c r="D1166" s="126"/>
      <c r="E1166" s="126"/>
      <c r="G1166" s="321">
        <v>0.7873</v>
      </c>
      <c r="H1166" s="123">
        <f t="shared" si="111"/>
        <v>0</v>
      </c>
      <c r="I1166" s="123">
        <f t="shared" si="112"/>
        <v>0</v>
      </c>
      <c r="J1166" s="123"/>
      <c r="K1166" s="123"/>
      <c r="L1166" s="176">
        <f t="shared" si="110"/>
        <v>0</v>
      </c>
      <c r="M1166" s="227"/>
      <c r="N1166" s="275"/>
    </row>
    <row r="1167" spans="1:14" ht="21.75" customHeight="1">
      <c r="A1167" t="s">
        <v>1580</v>
      </c>
      <c r="C1167" s="126"/>
      <c r="D1167" s="126"/>
      <c r="E1167" s="126"/>
      <c r="G1167" s="321">
        <v>0.7873</v>
      </c>
      <c r="H1167" s="123">
        <f t="shared" si="111"/>
        <v>0</v>
      </c>
      <c r="I1167" s="123">
        <f t="shared" si="112"/>
        <v>0</v>
      </c>
      <c r="J1167" s="123"/>
      <c r="K1167" s="123"/>
      <c r="L1167" s="176">
        <f t="shared" si="110"/>
        <v>0</v>
      </c>
      <c r="M1167" s="227"/>
      <c r="N1167" s="275"/>
    </row>
    <row r="1168" spans="1:14" ht="21.75" customHeight="1">
      <c r="A1168" t="s">
        <v>1581</v>
      </c>
      <c r="C1168" s="126"/>
      <c r="D1168" s="126"/>
      <c r="E1168" s="126"/>
      <c r="G1168" s="321">
        <v>0.7873</v>
      </c>
      <c r="H1168" s="123">
        <f t="shared" si="111"/>
        <v>0</v>
      </c>
      <c r="I1168" s="123">
        <f t="shared" si="112"/>
        <v>0</v>
      </c>
      <c r="J1168" s="123"/>
      <c r="K1168" s="123"/>
      <c r="L1168" s="176">
        <f t="shared" si="110"/>
        <v>0</v>
      </c>
      <c r="M1168" s="227"/>
      <c r="N1168" s="275"/>
    </row>
    <row r="1169" spans="1:14" ht="21.75" customHeight="1">
      <c r="A1169" t="s">
        <v>1582</v>
      </c>
      <c r="C1169" s="126"/>
      <c r="D1169" s="126"/>
      <c r="E1169" s="126"/>
      <c r="G1169" s="321">
        <v>0.7873</v>
      </c>
      <c r="H1169" s="123">
        <f t="shared" si="111"/>
        <v>0</v>
      </c>
      <c r="I1169" s="123">
        <f t="shared" si="112"/>
        <v>0</v>
      </c>
      <c r="J1169" s="123"/>
      <c r="K1169" s="123"/>
      <c r="L1169" s="176">
        <f t="shared" si="110"/>
        <v>0</v>
      </c>
      <c r="M1169" s="227"/>
      <c r="N1169" s="275"/>
    </row>
    <row r="1170" spans="1:14" ht="21.75" customHeight="1">
      <c r="A1170" t="s">
        <v>1583</v>
      </c>
      <c r="C1170" s="126"/>
      <c r="D1170" s="126"/>
      <c r="E1170" s="126"/>
      <c r="G1170" s="321">
        <v>0.7873</v>
      </c>
      <c r="H1170" s="123">
        <f t="shared" si="111"/>
        <v>0</v>
      </c>
      <c r="I1170" s="123">
        <f t="shared" si="112"/>
        <v>0</v>
      </c>
      <c r="J1170" s="123"/>
      <c r="K1170" s="123"/>
      <c r="L1170" s="176">
        <f t="shared" si="110"/>
        <v>0</v>
      </c>
      <c r="M1170" s="227"/>
      <c r="N1170" s="275"/>
    </row>
    <row r="1171" spans="1:14" ht="21.75" customHeight="1">
      <c r="A1171" t="s">
        <v>1584</v>
      </c>
      <c r="C1171" s="126"/>
      <c r="D1171" s="126"/>
      <c r="E1171" s="126"/>
      <c r="G1171" s="321">
        <v>0.7873</v>
      </c>
      <c r="H1171" s="123">
        <f t="shared" si="111"/>
        <v>0</v>
      </c>
      <c r="I1171" s="123">
        <f t="shared" si="112"/>
        <v>0</v>
      </c>
      <c r="J1171" s="123"/>
      <c r="K1171" s="123"/>
      <c r="L1171" s="176">
        <f t="shared" si="110"/>
        <v>0</v>
      </c>
      <c r="M1171" s="227"/>
      <c r="N1171" s="275"/>
    </row>
    <row r="1172" spans="1:14" ht="21.75" customHeight="1">
      <c r="A1172" t="s">
        <v>1585</v>
      </c>
      <c r="C1172" s="126"/>
      <c r="D1172" s="126"/>
      <c r="E1172" s="126"/>
      <c r="G1172" s="321">
        <v>0.7873</v>
      </c>
      <c r="H1172" s="123">
        <f t="shared" si="111"/>
        <v>0</v>
      </c>
      <c r="I1172" s="123">
        <f t="shared" si="112"/>
        <v>0</v>
      </c>
      <c r="J1172" s="123"/>
      <c r="K1172" s="123"/>
      <c r="L1172" s="176">
        <f t="shared" si="110"/>
        <v>0</v>
      </c>
      <c r="M1172" s="227"/>
      <c r="N1172" s="275"/>
    </row>
    <row r="1173" spans="1:14" ht="21.75" customHeight="1">
      <c r="A1173" t="s">
        <v>1586</v>
      </c>
      <c r="C1173" s="126"/>
      <c r="D1173" s="126"/>
      <c r="E1173" s="126"/>
      <c r="G1173" s="321">
        <v>0.7873</v>
      </c>
      <c r="H1173" s="123">
        <f t="shared" si="111"/>
        <v>0</v>
      </c>
      <c r="I1173" s="123">
        <f t="shared" si="112"/>
        <v>0</v>
      </c>
      <c r="J1173" s="123"/>
      <c r="K1173" s="123"/>
      <c r="L1173" s="176">
        <f t="shared" si="110"/>
        <v>0</v>
      </c>
      <c r="M1173" s="227"/>
      <c r="N1173" s="275"/>
    </row>
    <row r="1174" spans="1:14" ht="21.75" customHeight="1">
      <c r="A1174" t="s">
        <v>1587</v>
      </c>
      <c r="C1174" s="126"/>
      <c r="D1174" s="126"/>
      <c r="E1174" s="126"/>
      <c r="G1174" s="321">
        <v>0.7873</v>
      </c>
      <c r="H1174" s="123">
        <f t="shared" si="111"/>
        <v>0</v>
      </c>
      <c r="I1174" s="123">
        <f t="shared" si="112"/>
        <v>0</v>
      </c>
      <c r="J1174" s="123"/>
      <c r="K1174" s="123"/>
      <c r="L1174" s="176">
        <f t="shared" si="110"/>
        <v>0</v>
      </c>
      <c r="M1174" s="227"/>
      <c r="N1174" s="275"/>
    </row>
    <row r="1175" spans="1:14" ht="21.75" customHeight="1">
      <c r="A1175" t="s">
        <v>1588</v>
      </c>
      <c r="C1175" s="126"/>
      <c r="D1175" s="126"/>
      <c r="E1175" s="126"/>
      <c r="G1175" s="321">
        <v>0.7873</v>
      </c>
      <c r="H1175" s="123">
        <f t="shared" si="111"/>
        <v>0</v>
      </c>
      <c r="I1175" s="123">
        <f t="shared" si="112"/>
        <v>0</v>
      </c>
      <c r="J1175" s="123"/>
      <c r="K1175" s="123"/>
      <c r="L1175" s="176">
        <f t="shared" si="110"/>
        <v>0</v>
      </c>
      <c r="M1175" s="227"/>
      <c r="N1175" s="275"/>
    </row>
    <row r="1176" spans="1:14" ht="21.75" customHeight="1">
      <c r="A1176" t="s">
        <v>1589</v>
      </c>
      <c r="C1176" s="126"/>
      <c r="D1176" s="126"/>
      <c r="E1176" s="126"/>
      <c r="G1176" s="321">
        <v>0.7873</v>
      </c>
      <c r="H1176" s="123">
        <f t="shared" si="111"/>
        <v>0</v>
      </c>
      <c r="I1176" s="123">
        <f t="shared" si="112"/>
        <v>0</v>
      </c>
      <c r="J1176" s="123"/>
      <c r="K1176" s="123"/>
      <c r="L1176" s="176">
        <f t="shared" si="110"/>
        <v>0</v>
      </c>
      <c r="M1176" s="227"/>
      <c r="N1176" s="275"/>
    </row>
    <row r="1177" spans="1:14" ht="21.75" customHeight="1">
      <c r="A1177" t="s">
        <v>1590</v>
      </c>
      <c r="C1177" s="126"/>
      <c r="D1177" s="126"/>
      <c r="E1177" s="126"/>
      <c r="G1177" s="321">
        <v>0.7873</v>
      </c>
      <c r="H1177" s="123">
        <f t="shared" si="111"/>
        <v>0</v>
      </c>
      <c r="I1177" s="123">
        <f t="shared" si="112"/>
        <v>0</v>
      </c>
      <c r="J1177" s="123"/>
      <c r="K1177" s="123"/>
      <c r="L1177" s="176">
        <f t="shared" si="110"/>
        <v>0</v>
      </c>
      <c r="M1177" s="227"/>
      <c r="N1177" s="275"/>
    </row>
    <row r="1178" spans="1:14" ht="21.75" customHeight="1">
      <c r="A1178" t="s">
        <v>1591</v>
      </c>
      <c r="C1178" s="126"/>
      <c r="D1178" s="126"/>
      <c r="E1178" s="126"/>
      <c r="G1178" s="321">
        <v>0.7873</v>
      </c>
      <c r="H1178" s="123">
        <f t="shared" si="111"/>
        <v>0</v>
      </c>
      <c r="I1178" s="123">
        <f t="shared" si="112"/>
        <v>0</v>
      </c>
      <c r="J1178" s="123"/>
      <c r="K1178" s="123"/>
      <c r="L1178" s="176">
        <f t="shared" si="110"/>
        <v>0</v>
      </c>
      <c r="M1178" s="227"/>
      <c r="N1178" s="275"/>
    </row>
    <row r="1179" spans="1:14" ht="21.75" customHeight="1">
      <c r="A1179" t="s">
        <v>1592</v>
      </c>
      <c r="B1179" s="245">
        <v>41688</v>
      </c>
      <c r="C1179" s="126">
        <v>112.2</v>
      </c>
      <c r="D1179" s="126">
        <v>111.8</v>
      </c>
      <c r="E1179" s="126"/>
      <c r="G1179" s="321">
        <v>0.7873</v>
      </c>
      <c r="H1179" s="123">
        <f t="shared" si="111"/>
        <v>400.36630506991372</v>
      </c>
      <c r="I1179" s="123">
        <f t="shared" si="112"/>
        <v>398.93897421404949</v>
      </c>
      <c r="J1179" s="123"/>
      <c r="K1179" s="123"/>
      <c r="L1179" s="176">
        <f t="shared" si="110"/>
        <v>399.65263964198164</v>
      </c>
      <c r="M1179" s="227"/>
      <c r="N1179" s="275"/>
    </row>
    <row r="1180" spans="1:14" ht="21.75" customHeight="1">
      <c r="A1180" t="s">
        <v>1593</v>
      </c>
      <c r="B1180" s="245">
        <v>41688</v>
      </c>
      <c r="C1180" s="126">
        <v>186.4</v>
      </c>
      <c r="D1180" s="126">
        <v>187.6</v>
      </c>
      <c r="E1180" s="126"/>
      <c r="G1180" s="321">
        <v>0.7873</v>
      </c>
      <c r="H1180" s="123">
        <f t="shared" si="111"/>
        <v>665.1361788327265</v>
      </c>
      <c r="I1180" s="123">
        <f t="shared" si="112"/>
        <v>669.41817140031912</v>
      </c>
      <c r="J1180" s="123"/>
      <c r="K1180" s="123"/>
      <c r="L1180" s="176">
        <f t="shared" si="110"/>
        <v>667.27717511652281</v>
      </c>
      <c r="M1180" s="227"/>
      <c r="N1180" s="275"/>
    </row>
    <row r="1181" spans="1:14" ht="21.75" customHeight="1">
      <c r="A1181" t="s">
        <v>1594</v>
      </c>
      <c r="B1181" s="245">
        <v>41688</v>
      </c>
      <c r="C1181" s="126">
        <v>167.1</v>
      </c>
      <c r="D1181" s="126">
        <v>167.7</v>
      </c>
      <c r="E1181" s="126"/>
      <c r="G1181" s="321">
        <v>0.7873</v>
      </c>
      <c r="H1181" s="123">
        <f t="shared" si="111"/>
        <v>596.26746503727793</v>
      </c>
      <c r="I1181" s="123">
        <f t="shared" si="112"/>
        <v>598.40846132107413</v>
      </c>
      <c r="J1181" s="123"/>
      <c r="K1181" s="123"/>
      <c r="L1181" s="176">
        <f t="shared" si="110"/>
        <v>597.33796317917609</v>
      </c>
      <c r="M1181" s="227"/>
      <c r="N1181" s="275"/>
    </row>
    <row r="1182" spans="1:14" ht="21.75" customHeight="1">
      <c r="A1182" t="s">
        <v>1596</v>
      </c>
      <c r="B1182" s="245">
        <v>41688</v>
      </c>
      <c r="C1182" s="126">
        <v>164.1</v>
      </c>
      <c r="D1182" s="126">
        <v>164.7</v>
      </c>
      <c r="E1182" s="126"/>
      <c r="G1182" s="321">
        <v>0.7873</v>
      </c>
      <c r="H1182" s="123">
        <f t="shared" si="111"/>
        <v>585.56248361829626</v>
      </c>
      <c r="I1182" s="123">
        <f t="shared" si="112"/>
        <v>587.70347990209257</v>
      </c>
      <c r="J1182" s="123"/>
      <c r="K1182" s="123"/>
      <c r="L1182" s="176">
        <f t="shared" si="110"/>
        <v>586.63298176019441</v>
      </c>
      <c r="M1182" s="227"/>
      <c r="N1182" s="275"/>
    </row>
    <row r="1183" spans="1:14" ht="21.75" customHeight="1">
      <c r="A1183" t="s">
        <v>1597</v>
      </c>
      <c r="B1183" s="245">
        <v>41689</v>
      </c>
      <c r="C1183" s="126">
        <v>97.5</v>
      </c>
      <c r="D1183" s="126">
        <v>95.8</v>
      </c>
      <c r="E1183" s="126"/>
      <c r="G1183" s="321">
        <v>0.7873</v>
      </c>
      <c r="H1183" s="123">
        <f t="shared" si="111"/>
        <v>347.91189611690362</v>
      </c>
      <c r="I1183" s="123">
        <f t="shared" si="112"/>
        <v>341.8457399794807</v>
      </c>
      <c r="J1183" s="123"/>
      <c r="K1183" s="123"/>
      <c r="L1183" s="176">
        <f t="shared" si="110"/>
        <v>344.87881804819216</v>
      </c>
      <c r="M1183" s="227"/>
      <c r="N1183" s="275"/>
    </row>
    <row r="1184" spans="1:14" ht="21.75" customHeight="1">
      <c r="A1184" t="s">
        <v>1598</v>
      </c>
      <c r="B1184" s="245">
        <v>41689</v>
      </c>
      <c r="C1184" s="126">
        <v>174.6</v>
      </c>
      <c r="D1184" s="126">
        <v>172.7</v>
      </c>
      <c r="E1184" s="126"/>
      <c r="G1184" s="321">
        <v>0.7873</v>
      </c>
      <c r="H1184" s="123">
        <f t="shared" si="111"/>
        <v>623.02991858473194</v>
      </c>
      <c r="I1184" s="123">
        <f t="shared" si="112"/>
        <v>616.25009701937699</v>
      </c>
      <c r="J1184" s="123"/>
      <c r="K1184" s="123"/>
      <c r="L1184" s="176">
        <f t="shared" si="110"/>
        <v>619.64000780205447</v>
      </c>
      <c r="M1184" s="227"/>
      <c r="N1184" s="275"/>
    </row>
    <row r="1185" spans="1:14" ht="21.75" customHeight="1">
      <c r="A1185" t="s">
        <v>1599</v>
      </c>
      <c r="B1185" s="245">
        <v>41689</v>
      </c>
      <c r="C1185" s="126">
        <v>173</v>
      </c>
      <c r="D1185" s="126">
        <v>176.8</v>
      </c>
      <c r="E1185" s="126"/>
      <c r="G1185" s="321">
        <v>0.7873</v>
      </c>
      <c r="H1185" s="123">
        <f t="shared" si="111"/>
        <v>617.32059516127515</v>
      </c>
      <c r="I1185" s="123">
        <f t="shared" si="112"/>
        <v>630.88023829198528</v>
      </c>
      <c r="J1185" s="123"/>
      <c r="K1185" s="123"/>
      <c r="L1185" s="176">
        <f t="shared" si="110"/>
        <v>624.10041672663021</v>
      </c>
      <c r="M1185" s="227"/>
      <c r="N1185" s="275"/>
    </row>
    <row r="1186" spans="1:14" ht="21.75" customHeight="1">
      <c r="A1186" t="s">
        <v>1600</v>
      </c>
      <c r="B1186" s="245">
        <v>41689</v>
      </c>
      <c r="C1186" s="126">
        <v>97.8</v>
      </c>
      <c r="D1186" s="126">
        <v>97.6</v>
      </c>
      <c r="E1186" s="126"/>
      <c r="G1186" s="321">
        <v>0.7873</v>
      </c>
      <c r="H1186" s="123">
        <f t="shared" si="111"/>
        <v>348.98239425880178</v>
      </c>
      <c r="I1186" s="123">
        <f t="shared" si="112"/>
        <v>348.26872883086963</v>
      </c>
      <c r="J1186" s="123"/>
      <c r="K1186" s="123"/>
      <c r="L1186" s="176">
        <f t="shared" si="110"/>
        <v>348.6255615448357</v>
      </c>
      <c r="M1186" s="227"/>
      <c r="N1186" s="275"/>
    </row>
    <row r="1187" spans="1:14" ht="21.75" customHeight="1">
      <c r="A1187" t="s">
        <v>1601</v>
      </c>
      <c r="B1187" s="245">
        <v>41689</v>
      </c>
      <c r="C1187" s="126">
        <v>143</v>
      </c>
      <c r="D1187" s="126">
        <v>142.80000000000001</v>
      </c>
      <c r="E1187" s="126"/>
      <c r="G1187" s="321">
        <v>0.7873</v>
      </c>
      <c r="H1187" s="123">
        <f t="shared" si="111"/>
        <v>510.27078097145869</v>
      </c>
      <c r="I1187" s="123">
        <f t="shared" si="112"/>
        <v>509.55711554352655</v>
      </c>
      <c r="J1187" s="123"/>
      <c r="K1187" s="123"/>
      <c r="L1187" s="176">
        <f t="shared" si="110"/>
        <v>509.91394825749262</v>
      </c>
      <c r="M1187" s="227"/>
      <c r="N1187" s="275"/>
    </row>
    <row r="1188" spans="1:14" ht="21.75" customHeight="1">
      <c r="A1188" t="s">
        <v>1602</v>
      </c>
      <c r="B1188" s="245">
        <v>41689</v>
      </c>
      <c r="C1188" s="126">
        <v>142</v>
      </c>
      <c r="D1188" s="126">
        <v>142.5</v>
      </c>
      <c r="E1188" s="126"/>
      <c r="G1188" s="321">
        <v>0.7873</v>
      </c>
      <c r="H1188" s="123">
        <f t="shared" si="111"/>
        <v>506.7024538317981</v>
      </c>
      <c r="I1188" s="123">
        <f t="shared" si="112"/>
        <v>508.48661740162839</v>
      </c>
      <c r="J1188" s="123"/>
      <c r="K1188" s="123"/>
      <c r="L1188" s="176">
        <f t="shared" si="110"/>
        <v>507.59453561671324</v>
      </c>
      <c r="M1188" s="227"/>
      <c r="N1188" s="275"/>
    </row>
    <row r="1189" spans="1:14" ht="21.75" customHeight="1">
      <c r="A1189" t="s">
        <v>1603</v>
      </c>
      <c r="B1189" s="245">
        <v>41691</v>
      </c>
      <c r="C1189" s="126">
        <v>120.5</v>
      </c>
      <c r="D1189" s="126">
        <v>120.4</v>
      </c>
      <c r="E1189" s="126"/>
      <c r="G1189" s="321">
        <v>0.7873</v>
      </c>
      <c r="H1189" s="123">
        <f t="shared" si="111"/>
        <v>429.98342032909625</v>
      </c>
      <c r="I1189" s="123">
        <f t="shared" si="112"/>
        <v>429.62658761513018</v>
      </c>
      <c r="J1189" s="123"/>
      <c r="K1189" s="123"/>
      <c r="L1189" s="176">
        <f t="shared" si="110"/>
        <v>429.80500397211324</v>
      </c>
      <c r="M1189" s="227"/>
      <c r="N1189" s="275"/>
    </row>
    <row r="1190" spans="1:14" ht="21.75" customHeight="1">
      <c r="A1190" t="s">
        <v>1604</v>
      </c>
      <c r="B1190" s="245">
        <v>41691</v>
      </c>
      <c r="C1190" s="126">
        <v>151.4</v>
      </c>
      <c r="D1190" s="126">
        <v>152.5</v>
      </c>
      <c r="E1190" s="126"/>
      <c r="G1190" s="321">
        <v>0.7873</v>
      </c>
      <c r="H1190" s="123">
        <f t="shared" si="111"/>
        <v>540.24472894460735</v>
      </c>
      <c r="I1190" s="123">
        <f t="shared" si="112"/>
        <v>544.16988879823384</v>
      </c>
      <c r="J1190" s="123"/>
      <c r="K1190" s="123"/>
      <c r="L1190" s="176">
        <f t="shared" si="110"/>
        <v>542.20730887142054</v>
      </c>
      <c r="M1190" s="227"/>
      <c r="N1190" s="275"/>
    </row>
    <row r="1191" spans="1:14" ht="21.75" customHeight="1">
      <c r="A1191" t="s">
        <v>1606</v>
      </c>
      <c r="B1191" s="245">
        <v>41691</v>
      </c>
      <c r="C1191" s="126">
        <v>152.6</v>
      </c>
      <c r="D1191" s="126">
        <v>152</v>
      </c>
      <c r="E1191" s="126"/>
      <c r="G1191" s="321">
        <v>0.7873</v>
      </c>
      <c r="H1191" s="123">
        <f t="shared" si="111"/>
        <v>544.52672151219986</v>
      </c>
      <c r="I1191" s="123">
        <f t="shared" si="112"/>
        <v>542.38572522840354</v>
      </c>
      <c r="J1191" s="123"/>
      <c r="K1191" s="123"/>
      <c r="L1191" s="176">
        <f t="shared" si="110"/>
        <v>543.4562233703017</v>
      </c>
      <c r="M1191" s="227"/>
      <c r="N1191" s="275"/>
    </row>
    <row r="1192" spans="1:14" ht="21.75" customHeight="1">
      <c r="A1192" t="s">
        <v>1608</v>
      </c>
      <c r="B1192" s="245">
        <v>41691</v>
      </c>
      <c r="C1192" s="126">
        <v>132</v>
      </c>
      <c r="D1192" s="126">
        <v>133.9</v>
      </c>
      <c r="E1192" s="126"/>
      <c r="G1192" s="321">
        <v>0.7873</v>
      </c>
      <c r="H1192" s="123">
        <f t="shared" si="111"/>
        <v>471.01918243519253</v>
      </c>
      <c r="I1192" s="123">
        <f t="shared" si="112"/>
        <v>477.79900400054765</v>
      </c>
      <c r="J1192" s="123"/>
      <c r="K1192" s="123"/>
      <c r="L1192" s="176">
        <f t="shared" si="110"/>
        <v>474.40909321787012</v>
      </c>
      <c r="M1192" s="227"/>
      <c r="N1192" s="275"/>
    </row>
    <row r="1193" spans="1:14" ht="21.75" customHeight="1">
      <c r="A1193" t="s">
        <v>1610</v>
      </c>
      <c r="B1193" s="245">
        <v>41691</v>
      </c>
      <c r="C1193" s="126">
        <v>153.1</v>
      </c>
      <c r="D1193" s="126">
        <v>154.69999999999999</v>
      </c>
      <c r="E1193" s="126"/>
      <c r="G1193" s="321">
        <v>0.7873</v>
      </c>
      <c r="H1193" s="123">
        <f t="shared" si="111"/>
        <v>546.31088508203015</v>
      </c>
      <c r="I1193" s="123">
        <f t="shared" si="112"/>
        <v>552.02020850548695</v>
      </c>
      <c r="J1193" s="123"/>
      <c r="K1193" s="123"/>
      <c r="L1193" s="176">
        <f t="shared" si="110"/>
        <v>549.16554679375849</v>
      </c>
      <c r="M1193" s="227"/>
      <c r="N1193" s="275"/>
    </row>
    <row r="1194" spans="1:14" ht="21.75" customHeight="1">
      <c r="A1194" t="s">
        <v>1612</v>
      </c>
      <c r="B1194" s="245">
        <v>41691</v>
      </c>
      <c r="C1194" s="126">
        <v>155</v>
      </c>
      <c r="D1194" s="126">
        <v>154.5</v>
      </c>
      <c r="E1194" s="126"/>
      <c r="G1194" s="321">
        <v>0.7873</v>
      </c>
      <c r="H1194" s="123">
        <f t="shared" si="111"/>
        <v>553.09070664738522</v>
      </c>
      <c r="I1194" s="123">
        <f t="shared" si="112"/>
        <v>551.30654307755503</v>
      </c>
      <c r="J1194" s="123"/>
      <c r="K1194" s="123"/>
      <c r="L1194" s="176">
        <f t="shared" si="110"/>
        <v>552.19862486247007</v>
      </c>
      <c r="M1194" s="227"/>
      <c r="N1194" s="275"/>
    </row>
    <row r="1195" spans="1:14" ht="21.75" customHeight="1">
      <c r="A1195" t="s">
        <v>1906</v>
      </c>
      <c r="B1195" s="245">
        <v>41702</v>
      </c>
      <c r="C1195" s="126">
        <v>72.599999999999994</v>
      </c>
      <c r="D1195" s="126"/>
      <c r="E1195" s="126"/>
      <c r="G1195" s="321">
        <v>1</v>
      </c>
      <c r="H1195" s="123">
        <f t="shared" ref="H1195:H1226" si="113">(C1195*(PI()/LN(2)))*$G1195</f>
        <v>329.04934629665428</v>
      </c>
      <c r="I1195" s="123"/>
      <c r="J1195" s="123"/>
      <c r="K1195" s="123"/>
      <c r="L1195" s="176">
        <f t="shared" si="110"/>
        <v>329.04934629665428</v>
      </c>
      <c r="M1195" s="227"/>
      <c r="N1195" s="275"/>
    </row>
    <row r="1196" spans="1:14" ht="21.75" customHeight="1">
      <c r="A1196" t="s">
        <v>1324</v>
      </c>
      <c r="B1196" s="245">
        <v>41721</v>
      </c>
      <c r="C1196" s="126">
        <v>145</v>
      </c>
      <c r="D1196" s="126"/>
      <c r="E1196" s="126"/>
      <c r="G1196" s="321">
        <v>0.7873</v>
      </c>
      <c r="H1196" s="123">
        <f t="shared" si="113"/>
        <v>517.40743525077971</v>
      </c>
      <c r="I1196" s="123">
        <f t="shared" ref="I1196:I1227" si="114">(D1196*(PI()/LN(2)))*$G1196</f>
        <v>0</v>
      </c>
      <c r="J1196" s="123"/>
      <c r="K1196" s="123"/>
      <c r="L1196" s="176">
        <f t="shared" si="110"/>
        <v>258.70371762538986</v>
      </c>
      <c r="M1196" s="227"/>
      <c r="N1196" s="275"/>
    </row>
    <row r="1197" spans="1:14" ht="21.75" customHeight="1">
      <c r="A1197" t="s">
        <v>1326</v>
      </c>
      <c r="B1197" s="245">
        <v>41721</v>
      </c>
      <c r="C1197" s="126">
        <v>146.80000000000001</v>
      </c>
      <c r="D1197" s="126"/>
      <c r="E1197" s="126"/>
      <c r="G1197" s="321">
        <v>0.7873</v>
      </c>
      <c r="H1197" s="123">
        <f t="shared" si="113"/>
        <v>523.83042410216876</v>
      </c>
      <c r="I1197" s="123">
        <f t="shared" si="114"/>
        <v>0</v>
      </c>
      <c r="J1197" s="123"/>
      <c r="K1197" s="123"/>
      <c r="L1197" s="176">
        <f t="shared" si="110"/>
        <v>261.91521205108438</v>
      </c>
      <c r="M1197" s="227"/>
      <c r="N1197" s="275"/>
    </row>
    <row r="1198" spans="1:14" ht="21.75" customHeight="1">
      <c r="A1198" t="s">
        <v>1327</v>
      </c>
      <c r="B1198" s="245">
        <v>41721</v>
      </c>
      <c r="C1198" s="126">
        <v>123.1</v>
      </c>
      <c r="D1198" s="126"/>
      <c r="E1198" s="126"/>
      <c r="G1198" s="321">
        <v>0.7873</v>
      </c>
      <c r="H1198" s="123">
        <f t="shared" si="113"/>
        <v>439.2610708922137</v>
      </c>
      <c r="I1198" s="123">
        <f t="shared" si="114"/>
        <v>0</v>
      </c>
      <c r="J1198" s="123"/>
      <c r="K1198" s="123"/>
      <c r="L1198" s="176">
        <f t="shared" si="110"/>
        <v>219.63053544610685</v>
      </c>
      <c r="M1198" s="227"/>
      <c r="N1198" s="275"/>
    </row>
    <row r="1199" spans="1:14" ht="21.75" customHeight="1">
      <c r="A1199" t="s">
        <v>1328</v>
      </c>
      <c r="B1199" s="245">
        <v>41721</v>
      </c>
      <c r="C1199" s="126">
        <v>147.1</v>
      </c>
      <c r="D1199" s="126"/>
      <c r="E1199" s="126"/>
      <c r="G1199" s="321">
        <v>0.7873</v>
      </c>
      <c r="H1199" s="123">
        <f t="shared" si="113"/>
        <v>524.90092224406692</v>
      </c>
      <c r="I1199" s="123">
        <f t="shared" si="114"/>
        <v>0</v>
      </c>
      <c r="J1199" s="123"/>
      <c r="K1199" s="123"/>
      <c r="L1199" s="176">
        <f t="shared" si="110"/>
        <v>262.45046112203346</v>
      </c>
      <c r="M1199" s="227"/>
      <c r="N1199" s="275"/>
    </row>
    <row r="1200" spans="1:14" ht="21.75" customHeight="1">
      <c r="A1200" t="s">
        <v>1329</v>
      </c>
      <c r="B1200" s="245">
        <v>41721</v>
      </c>
      <c r="C1200" s="126">
        <v>148.1</v>
      </c>
      <c r="D1200" s="126"/>
      <c r="E1200" s="126"/>
      <c r="G1200" s="321">
        <v>0.7873</v>
      </c>
      <c r="H1200" s="123">
        <f t="shared" si="113"/>
        <v>528.46924938372752</v>
      </c>
      <c r="I1200" s="123">
        <f t="shared" si="114"/>
        <v>0</v>
      </c>
      <c r="J1200" s="123"/>
      <c r="K1200" s="123"/>
      <c r="L1200" s="176">
        <f t="shared" si="110"/>
        <v>264.23462469186376</v>
      </c>
      <c r="M1200" s="227"/>
      <c r="N1200" s="275"/>
    </row>
    <row r="1201" spans="1:14" ht="21.75" customHeight="1">
      <c r="A1201" t="s">
        <v>1619</v>
      </c>
      <c r="B1201" s="245">
        <v>41743</v>
      </c>
      <c r="C1201" s="126">
        <v>129.19999999999999</v>
      </c>
      <c r="D1201" s="126">
        <v>131.19999999999999</v>
      </c>
      <c r="E1201" s="126"/>
      <c r="G1201" s="321">
        <v>0.7873</v>
      </c>
      <c r="H1201" s="123">
        <f t="shared" si="113"/>
        <v>461.027866444143</v>
      </c>
      <c r="I1201" s="123">
        <f t="shared" si="114"/>
        <v>468.16452072346414</v>
      </c>
      <c r="J1201" s="123"/>
      <c r="K1201" s="123"/>
      <c r="L1201" s="176">
        <f t="shared" ref="L1201:L1264" si="115">AVERAGE(H1201:I1201)</f>
        <v>464.5961935838036</v>
      </c>
      <c r="M1201" s="227"/>
      <c r="N1201" s="275"/>
    </row>
    <row r="1202" spans="1:14" ht="21.75" customHeight="1">
      <c r="A1202" t="s">
        <v>1622</v>
      </c>
      <c r="B1202" s="245">
        <v>41743</v>
      </c>
      <c r="C1202" s="126">
        <v>118.5</v>
      </c>
      <c r="D1202" s="126">
        <v>118.8</v>
      </c>
      <c r="E1202" s="126"/>
      <c r="G1202" s="321">
        <v>0.7873</v>
      </c>
      <c r="H1202" s="123">
        <f t="shared" si="113"/>
        <v>422.84676604977511</v>
      </c>
      <c r="I1202" s="123">
        <f t="shared" si="114"/>
        <v>423.91726419167327</v>
      </c>
      <c r="J1202" s="123"/>
      <c r="K1202" s="123"/>
      <c r="L1202" s="176">
        <f t="shared" si="115"/>
        <v>423.38201512072419</v>
      </c>
      <c r="M1202" s="227"/>
      <c r="N1202" s="275"/>
    </row>
    <row r="1203" spans="1:14" ht="21.75" customHeight="1">
      <c r="A1203" t="s">
        <v>1623</v>
      </c>
      <c r="B1203" s="245">
        <v>41743</v>
      </c>
      <c r="C1203" s="126">
        <v>123.5</v>
      </c>
      <c r="D1203" s="126">
        <v>125.1</v>
      </c>
      <c r="E1203" s="126"/>
      <c r="G1203" s="321">
        <v>0.7873</v>
      </c>
      <c r="H1203" s="123">
        <f t="shared" si="113"/>
        <v>440.68840174807792</v>
      </c>
      <c r="I1203" s="123">
        <f t="shared" si="114"/>
        <v>446.39772517153477</v>
      </c>
      <c r="J1203" s="123"/>
      <c r="K1203" s="123"/>
      <c r="L1203" s="176">
        <f t="shared" si="115"/>
        <v>443.54306345980638</v>
      </c>
      <c r="M1203" s="227"/>
      <c r="N1203" s="275"/>
    </row>
    <row r="1204" spans="1:14" ht="21.75" customHeight="1">
      <c r="A1204" t="s">
        <v>1624</v>
      </c>
      <c r="B1204" s="245">
        <v>41743</v>
      </c>
      <c r="C1204" s="126">
        <v>123.9</v>
      </c>
      <c r="D1204" s="126">
        <v>124.3</v>
      </c>
      <c r="E1204" s="126"/>
      <c r="G1204" s="321">
        <v>0.7873</v>
      </c>
      <c r="H1204" s="123">
        <f t="shared" si="113"/>
        <v>442.11573260394215</v>
      </c>
      <c r="I1204" s="123">
        <f t="shared" si="114"/>
        <v>443.54306345980632</v>
      </c>
      <c r="J1204" s="123"/>
      <c r="K1204" s="123"/>
      <c r="L1204" s="176">
        <f t="shared" si="115"/>
        <v>442.82939803187423</v>
      </c>
      <c r="M1204" s="227"/>
      <c r="N1204" s="275"/>
    </row>
    <row r="1205" spans="1:14" ht="21.75" customHeight="1">
      <c r="A1205" t="s">
        <v>1625</v>
      </c>
      <c r="B1205" s="245">
        <v>41743</v>
      </c>
      <c r="C1205" s="126">
        <v>119.5</v>
      </c>
      <c r="D1205" s="126">
        <v>118.7</v>
      </c>
      <c r="E1205" s="126"/>
      <c r="G1205" s="321">
        <v>0.7873</v>
      </c>
      <c r="H1205" s="123">
        <f t="shared" si="113"/>
        <v>426.41509318943571</v>
      </c>
      <c r="I1205" s="123">
        <f t="shared" si="114"/>
        <v>423.56043147770731</v>
      </c>
      <c r="J1205" s="123"/>
      <c r="K1205" s="123"/>
      <c r="L1205" s="176">
        <f t="shared" si="115"/>
        <v>424.98776233357148</v>
      </c>
      <c r="M1205" s="227"/>
      <c r="N1205" s="275"/>
    </row>
    <row r="1206" spans="1:14" ht="21.75" customHeight="1">
      <c r="A1206" t="s">
        <v>1626</v>
      </c>
      <c r="B1206" s="245">
        <v>41743</v>
      </c>
      <c r="C1206" s="126">
        <v>123.2</v>
      </c>
      <c r="D1206" s="126">
        <v>122.7</v>
      </c>
      <c r="E1206" s="126"/>
      <c r="G1206" s="321">
        <v>0.7873</v>
      </c>
      <c r="H1206" s="123">
        <f t="shared" si="113"/>
        <v>439.61790360617977</v>
      </c>
      <c r="I1206" s="123">
        <f t="shared" si="114"/>
        <v>437.83374003634947</v>
      </c>
      <c r="J1206" s="123"/>
      <c r="K1206" s="123"/>
      <c r="L1206" s="176">
        <f t="shared" si="115"/>
        <v>438.72582182126462</v>
      </c>
      <c r="M1206" s="227"/>
      <c r="N1206" s="275"/>
    </row>
    <row r="1207" spans="1:14" ht="21.75" customHeight="1">
      <c r="A1207" t="s">
        <v>1627</v>
      </c>
      <c r="B1207" s="245">
        <v>41743</v>
      </c>
      <c r="C1207" s="126">
        <v>118.8</v>
      </c>
      <c r="D1207" s="126">
        <v>121.8</v>
      </c>
      <c r="E1207" s="126"/>
      <c r="G1207" s="321">
        <v>0.7873</v>
      </c>
      <c r="H1207" s="123">
        <f t="shared" si="113"/>
        <v>423.91726419167327</v>
      </c>
      <c r="I1207" s="123">
        <f t="shared" si="114"/>
        <v>434.622245610655</v>
      </c>
      <c r="J1207" s="123"/>
      <c r="K1207" s="123"/>
      <c r="L1207" s="176">
        <f t="shared" si="115"/>
        <v>429.26975490116411</v>
      </c>
      <c r="M1207" s="227"/>
      <c r="N1207" s="275"/>
    </row>
    <row r="1208" spans="1:14" ht="21.75" customHeight="1">
      <c r="A1208" t="s">
        <v>1628</v>
      </c>
      <c r="B1208" s="245">
        <v>41743</v>
      </c>
      <c r="C1208" s="126">
        <v>122.4</v>
      </c>
      <c r="D1208" s="126">
        <v>122.4</v>
      </c>
      <c r="E1208" s="126"/>
      <c r="G1208" s="321">
        <v>0.7873</v>
      </c>
      <c r="H1208" s="123">
        <f t="shared" si="113"/>
        <v>436.76324189445131</v>
      </c>
      <c r="I1208" s="123">
        <f t="shared" si="114"/>
        <v>436.76324189445131</v>
      </c>
      <c r="J1208" s="123"/>
      <c r="K1208" s="123"/>
      <c r="L1208" s="176">
        <f t="shared" si="115"/>
        <v>436.76324189445131</v>
      </c>
      <c r="M1208" s="227"/>
      <c r="N1208" s="275"/>
    </row>
    <row r="1209" spans="1:14" ht="21.75" customHeight="1">
      <c r="A1209" t="s">
        <v>1629</v>
      </c>
      <c r="B1209" s="245">
        <v>41743</v>
      </c>
      <c r="C1209" s="126">
        <v>120.5</v>
      </c>
      <c r="D1209" s="126">
        <v>120.8</v>
      </c>
      <c r="E1209" s="126"/>
      <c r="G1209" s="321">
        <v>0.7873</v>
      </c>
      <c r="H1209" s="123">
        <f t="shared" si="113"/>
        <v>429.98342032909625</v>
      </c>
      <c r="I1209" s="123">
        <f t="shared" si="114"/>
        <v>431.0539184709944</v>
      </c>
      <c r="J1209" s="123"/>
      <c r="K1209" s="123"/>
      <c r="L1209" s="176">
        <f t="shared" si="115"/>
        <v>430.51866940004533</v>
      </c>
      <c r="M1209" s="227"/>
      <c r="N1209" s="275"/>
    </row>
    <row r="1210" spans="1:14" ht="21.75" customHeight="1">
      <c r="A1210" t="s">
        <v>1630</v>
      </c>
      <c r="B1210" s="245">
        <v>41744</v>
      </c>
      <c r="C1210" s="126">
        <v>116.4</v>
      </c>
      <c r="D1210" s="126">
        <v>115.7</v>
      </c>
      <c r="E1210" s="126"/>
      <c r="G1210" s="321">
        <v>0.7873</v>
      </c>
      <c r="H1210" s="123">
        <f t="shared" si="113"/>
        <v>415.35327905648802</v>
      </c>
      <c r="I1210" s="123">
        <f t="shared" si="114"/>
        <v>412.85545005872564</v>
      </c>
      <c r="J1210" s="123"/>
      <c r="K1210" s="123"/>
      <c r="L1210" s="176">
        <f t="shared" si="115"/>
        <v>414.1043645576068</v>
      </c>
      <c r="M1210" s="227"/>
      <c r="N1210" s="275"/>
    </row>
    <row r="1211" spans="1:14" ht="21.75" customHeight="1">
      <c r="A1211" t="s">
        <v>1631</v>
      </c>
      <c r="B1211" s="245">
        <v>41744</v>
      </c>
      <c r="C1211" s="126">
        <v>118.1</v>
      </c>
      <c r="D1211" s="126">
        <v>117.5</v>
      </c>
      <c r="E1211" s="126"/>
      <c r="G1211" s="321">
        <v>0.7873</v>
      </c>
      <c r="H1211" s="123">
        <f t="shared" si="113"/>
        <v>421.41943519391089</v>
      </c>
      <c r="I1211" s="123">
        <f t="shared" si="114"/>
        <v>419.27843891011463</v>
      </c>
      <c r="J1211" s="123"/>
      <c r="K1211" s="123"/>
      <c r="L1211" s="176">
        <f t="shared" si="115"/>
        <v>420.34893705201273</v>
      </c>
      <c r="M1211" s="227"/>
      <c r="N1211" s="275"/>
    </row>
    <row r="1212" spans="1:14" ht="21.75" customHeight="1">
      <c r="A1212" t="s">
        <v>1632</v>
      </c>
      <c r="B1212" s="245">
        <v>41744</v>
      </c>
      <c r="C1212" s="126">
        <v>116.8</v>
      </c>
      <c r="D1212" s="126">
        <v>116.8</v>
      </c>
      <c r="E1212" s="126"/>
      <c r="G1212" s="321">
        <v>0.7873</v>
      </c>
      <c r="H1212" s="123">
        <f t="shared" si="113"/>
        <v>416.78060991235225</v>
      </c>
      <c r="I1212" s="123">
        <f t="shared" si="114"/>
        <v>416.78060991235225</v>
      </c>
      <c r="J1212" s="123"/>
      <c r="K1212" s="123"/>
      <c r="L1212" s="176">
        <f t="shared" si="115"/>
        <v>416.78060991235225</v>
      </c>
      <c r="M1212" s="227"/>
      <c r="N1212" s="275"/>
    </row>
    <row r="1213" spans="1:14" ht="21.75" customHeight="1">
      <c r="A1213" t="s">
        <v>1633</v>
      </c>
      <c r="B1213" s="245">
        <v>41745</v>
      </c>
      <c r="C1213" s="126">
        <v>100.2</v>
      </c>
      <c r="D1213" s="126">
        <v>101.1</v>
      </c>
      <c r="E1213" s="126"/>
      <c r="G1213" s="321">
        <v>0.7873</v>
      </c>
      <c r="H1213" s="123">
        <f t="shared" si="113"/>
        <v>357.54637939398714</v>
      </c>
      <c r="I1213" s="123">
        <f t="shared" si="114"/>
        <v>360.75787381968161</v>
      </c>
      <c r="J1213" s="123"/>
      <c r="K1213" s="123"/>
      <c r="L1213" s="176">
        <f t="shared" si="115"/>
        <v>359.15212660683437</v>
      </c>
      <c r="M1213" s="227"/>
      <c r="N1213" s="275"/>
    </row>
    <row r="1214" spans="1:14" ht="21.75" customHeight="1">
      <c r="A1214" t="s">
        <v>1634</v>
      </c>
      <c r="B1214" s="245">
        <v>41745</v>
      </c>
      <c r="C1214" s="126">
        <v>99.7</v>
      </c>
      <c r="D1214" s="126">
        <v>98.9</v>
      </c>
      <c r="E1214" s="126"/>
      <c r="G1214" s="321">
        <v>0.7873</v>
      </c>
      <c r="H1214" s="123">
        <f t="shared" si="113"/>
        <v>355.76221582415684</v>
      </c>
      <c r="I1214" s="123">
        <f t="shared" si="114"/>
        <v>352.90755411242844</v>
      </c>
      <c r="J1214" s="123"/>
      <c r="K1214" s="123"/>
      <c r="L1214" s="176">
        <f t="shared" si="115"/>
        <v>354.33488496829261</v>
      </c>
      <c r="M1214" s="227"/>
      <c r="N1214" s="275"/>
    </row>
    <row r="1215" spans="1:14" ht="21.75" customHeight="1">
      <c r="A1215" t="s">
        <v>1635</v>
      </c>
      <c r="B1215" s="245">
        <v>41745</v>
      </c>
      <c r="C1215" s="126">
        <v>102.4</v>
      </c>
      <c r="D1215" s="126">
        <v>102.1</v>
      </c>
      <c r="E1215" s="126"/>
      <c r="G1215" s="321">
        <v>0.7873</v>
      </c>
      <c r="H1215" s="123">
        <f t="shared" si="113"/>
        <v>365.3966991012403</v>
      </c>
      <c r="I1215" s="123">
        <f t="shared" si="114"/>
        <v>364.32620095934215</v>
      </c>
      <c r="J1215" s="123"/>
      <c r="K1215" s="123"/>
      <c r="L1215" s="176">
        <f t="shared" si="115"/>
        <v>364.86145003029122</v>
      </c>
      <c r="M1215" s="227"/>
      <c r="N1215" s="275"/>
    </row>
    <row r="1216" spans="1:14" ht="21.75" customHeight="1">
      <c r="A1216" t="s">
        <v>1636</v>
      </c>
      <c r="B1216" s="245">
        <v>41752</v>
      </c>
      <c r="C1216" s="126">
        <v>166.4</v>
      </c>
      <c r="D1216" s="126">
        <v>167.9</v>
      </c>
      <c r="E1216" s="126"/>
      <c r="G1216" s="321">
        <v>0.7873</v>
      </c>
      <c r="H1216" s="123">
        <f t="shared" si="113"/>
        <v>593.76963603951549</v>
      </c>
      <c r="I1216" s="123">
        <f t="shared" si="114"/>
        <v>599.12212674900638</v>
      </c>
      <c r="J1216" s="123"/>
      <c r="K1216" s="123"/>
      <c r="L1216" s="176">
        <f t="shared" si="115"/>
        <v>596.44588139426094</v>
      </c>
      <c r="M1216" s="227"/>
      <c r="N1216" s="275"/>
    </row>
    <row r="1217" spans="1:14" ht="21.75" customHeight="1">
      <c r="A1217" t="s">
        <v>1637</v>
      </c>
      <c r="B1217" s="245">
        <v>41752</v>
      </c>
      <c r="C1217" s="126">
        <v>171.9</v>
      </c>
      <c r="D1217" s="126">
        <v>174.1</v>
      </c>
      <c r="E1217" s="126"/>
      <c r="G1217" s="321">
        <v>0.7873</v>
      </c>
      <c r="H1217" s="123">
        <f t="shared" si="113"/>
        <v>613.39543530764854</v>
      </c>
      <c r="I1217" s="123">
        <f t="shared" si="114"/>
        <v>621.24575501490176</v>
      </c>
      <c r="J1217" s="123"/>
      <c r="K1217" s="123"/>
      <c r="L1217" s="176">
        <f t="shared" si="115"/>
        <v>617.32059516127515</v>
      </c>
      <c r="M1217" s="227"/>
      <c r="N1217" s="275"/>
    </row>
    <row r="1218" spans="1:14" ht="21.75" customHeight="1">
      <c r="A1218" t="s">
        <v>1638</v>
      </c>
      <c r="B1218" s="245">
        <v>41752</v>
      </c>
      <c r="C1218" s="126">
        <v>173.3</v>
      </c>
      <c r="D1218" s="126">
        <v>173</v>
      </c>
      <c r="E1218" s="126"/>
      <c r="G1218" s="321">
        <v>0.7873</v>
      </c>
      <c r="H1218" s="123">
        <f t="shared" si="113"/>
        <v>618.39109330317331</v>
      </c>
      <c r="I1218" s="123">
        <f t="shared" si="114"/>
        <v>617.32059516127515</v>
      </c>
      <c r="J1218" s="123"/>
      <c r="K1218" s="123"/>
      <c r="L1218" s="176">
        <f t="shared" si="115"/>
        <v>617.85584423222417</v>
      </c>
      <c r="M1218" s="227"/>
      <c r="N1218" s="275"/>
    </row>
    <row r="1219" spans="1:14" ht="21.75" customHeight="1">
      <c r="A1219" t="s">
        <v>1639</v>
      </c>
      <c r="B1219" s="245">
        <v>41754</v>
      </c>
      <c r="C1219" s="126">
        <v>199.95</v>
      </c>
      <c r="D1219" s="126">
        <v>198</v>
      </c>
      <c r="E1219" s="126"/>
      <c r="G1219" s="321">
        <v>0.7873</v>
      </c>
      <c r="H1219" s="123">
        <f t="shared" si="113"/>
        <v>713.48701157512687</v>
      </c>
      <c r="I1219" s="123">
        <f t="shared" si="114"/>
        <v>706.52877365278891</v>
      </c>
      <c r="J1219" s="123"/>
      <c r="K1219" s="123"/>
      <c r="L1219" s="176">
        <f t="shared" si="115"/>
        <v>710.00789261395789</v>
      </c>
      <c r="M1219" s="227"/>
      <c r="N1219" s="275"/>
    </row>
    <row r="1220" spans="1:14" ht="21.75" customHeight="1">
      <c r="A1220" t="s">
        <v>1640</v>
      </c>
      <c r="B1220" s="245">
        <v>41754</v>
      </c>
      <c r="C1220" s="126">
        <v>224.5</v>
      </c>
      <c r="D1220" s="126">
        <v>228.5</v>
      </c>
      <c r="E1220" s="126"/>
      <c r="G1220" s="321">
        <v>0.7873</v>
      </c>
      <c r="H1220" s="123">
        <f t="shared" si="113"/>
        <v>801.08944285379346</v>
      </c>
      <c r="I1220" s="123">
        <f t="shared" si="114"/>
        <v>815.36275141243561</v>
      </c>
      <c r="J1220" s="123"/>
      <c r="K1220" s="123"/>
      <c r="L1220" s="176">
        <f t="shared" si="115"/>
        <v>808.22609713311454</v>
      </c>
      <c r="M1220" s="227"/>
      <c r="N1220" s="275"/>
    </row>
    <row r="1221" spans="1:14" ht="21.75" customHeight="1">
      <c r="A1221" t="s">
        <v>1641</v>
      </c>
      <c r="B1221" s="245">
        <v>41754</v>
      </c>
      <c r="C1221" s="126">
        <v>227.9</v>
      </c>
      <c r="D1221" s="126">
        <v>227.5</v>
      </c>
      <c r="E1221" s="126"/>
      <c r="G1221" s="321">
        <v>0.7873</v>
      </c>
      <c r="H1221" s="123">
        <f t="shared" si="113"/>
        <v>813.2217551286393</v>
      </c>
      <c r="I1221" s="123">
        <f t="shared" si="114"/>
        <v>811.79442427277513</v>
      </c>
      <c r="J1221" s="123"/>
      <c r="K1221" s="123"/>
      <c r="L1221" s="176">
        <f t="shared" si="115"/>
        <v>812.50808970070716</v>
      </c>
      <c r="M1221" s="227"/>
      <c r="N1221" s="275"/>
    </row>
    <row r="1222" spans="1:14" ht="21.75" customHeight="1">
      <c r="A1222" t="s">
        <v>1642</v>
      </c>
      <c r="B1222" s="245">
        <v>41757</v>
      </c>
      <c r="C1222" s="126">
        <v>80.97</v>
      </c>
      <c r="D1222" s="126">
        <v>81.3</v>
      </c>
      <c r="E1222" s="126"/>
      <c r="G1222" s="321">
        <v>0.7873</v>
      </c>
      <c r="H1222" s="123">
        <f t="shared" si="113"/>
        <v>288.92744849831473</v>
      </c>
      <c r="I1222" s="123">
        <f t="shared" si="114"/>
        <v>290.10499645440268</v>
      </c>
      <c r="J1222" s="123"/>
      <c r="K1222" s="123"/>
      <c r="L1222" s="176">
        <f t="shared" si="115"/>
        <v>289.51622247635873</v>
      </c>
      <c r="M1222" s="227"/>
      <c r="N1222" s="275"/>
    </row>
    <row r="1223" spans="1:14" ht="21.75" customHeight="1">
      <c r="A1223" t="s">
        <v>1643</v>
      </c>
      <c r="B1223" s="245">
        <v>41757</v>
      </c>
      <c r="C1223" s="126">
        <v>83.1</v>
      </c>
      <c r="D1223" s="126">
        <v>83.8</v>
      </c>
      <c r="E1223" s="126"/>
      <c r="G1223" s="321">
        <v>0.7873</v>
      </c>
      <c r="H1223" s="123">
        <f t="shared" si="113"/>
        <v>296.52798530579167</v>
      </c>
      <c r="I1223" s="123">
        <f t="shared" si="114"/>
        <v>299.02581430355411</v>
      </c>
      <c r="J1223" s="123"/>
      <c r="K1223" s="123"/>
      <c r="L1223" s="176">
        <f t="shared" si="115"/>
        <v>297.77689980467289</v>
      </c>
      <c r="M1223" s="227"/>
      <c r="N1223" s="275"/>
    </row>
    <row r="1224" spans="1:14" ht="21.75" customHeight="1">
      <c r="A1224" t="s">
        <v>1644</v>
      </c>
      <c r="B1224" s="245">
        <v>41757</v>
      </c>
      <c r="C1224" s="126">
        <v>79.7</v>
      </c>
      <c r="D1224" s="126">
        <v>79.900000000000006</v>
      </c>
      <c r="E1224" s="126"/>
      <c r="G1224" s="321">
        <v>0.7873</v>
      </c>
      <c r="H1224" s="123">
        <f t="shared" si="113"/>
        <v>284.39567303094583</v>
      </c>
      <c r="I1224" s="123">
        <f t="shared" si="114"/>
        <v>285.10933845887791</v>
      </c>
      <c r="J1224" s="123"/>
      <c r="K1224" s="123"/>
      <c r="L1224" s="176">
        <f t="shared" si="115"/>
        <v>284.7525057449119</v>
      </c>
      <c r="M1224" s="227"/>
      <c r="N1224" s="275"/>
    </row>
    <row r="1225" spans="1:14" ht="21.75" customHeight="1">
      <c r="A1225" t="s">
        <v>1907</v>
      </c>
      <c r="B1225" s="245">
        <v>41767</v>
      </c>
      <c r="C1225" s="126">
        <v>64.5</v>
      </c>
      <c r="D1225" s="126">
        <v>65.2</v>
      </c>
      <c r="E1225" s="126"/>
      <c r="G1225" s="321">
        <v>1</v>
      </c>
      <c r="H1225" s="123">
        <f t="shared" si="113"/>
        <v>292.33722914785403</v>
      </c>
      <c r="I1225" s="123">
        <f t="shared" si="114"/>
        <v>295.50988124713308</v>
      </c>
      <c r="J1225" s="123"/>
      <c r="K1225" s="123"/>
      <c r="L1225" s="176">
        <f t="shared" si="115"/>
        <v>293.92355519749356</v>
      </c>
      <c r="M1225" s="227"/>
      <c r="N1225" s="275"/>
    </row>
    <row r="1226" spans="1:14" ht="21.75" customHeight="1">
      <c r="A1226" t="s">
        <v>1645</v>
      </c>
      <c r="B1226" s="245">
        <v>41778</v>
      </c>
      <c r="C1226" s="126">
        <v>153.4</v>
      </c>
      <c r="D1226" s="126">
        <v>155.30000000000001</v>
      </c>
      <c r="E1226" s="126"/>
      <c r="G1226" s="321">
        <v>0.7873</v>
      </c>
      <c r="H1226" s="123">
        <f t="shared" si="113"/>
        <v>547.38138322392831</v>
      </c>
      <c r="I1226" s="123">
        <f t="shared" si="114"/>
        <v>554.16120478928349</v>
      </c>
      <c r="J1226" s="123"/>
      <c r="K1226" s="123"/>
      <c r="L1226" s="176">
        <f t="shared" si="115"/>
        <v>550.7712940066059</v>
      </c>
      <c r="M1226" s="227"/>
      <c r="N1226" s="275"/>
    </row>
    <row r="1227" spans="1:14" ht="21.75" customHeight="1">
      <c r="A1227" t="s">
        <v>1646</v>
      </c>
      <c r="B1227" s="245">
        <v>41778</v>
      </c>
      <c r="C1227" s="126">
        <v>161</v>
      </c>
      <c r="D1227" s="126">
        <v>161.9</v>
      </c>
      <c r="E1227" s="126"/>
      <c r="G1227" s="321">
        <v>0.7873</v>
      </c>
      <c r="H1227" s="123">
        <f t="shared" ref="H1227:H1258" si="116">(C1227*(PI()/LN(2)))*$G1227</f>
        <v>574.50066948534857</v>
      </c>
      <c r="I1227" s="123">
        <f t="shared" si="114"/>
        <v>577.71216391104304</v>
      </c>
      <c r="J1227" s="123"/>
      <c r="K1227" s="123"/>
      <c r="L1227" s="176">
        <f t="shared" si="115"/>
        <v>576.10641669819574</v>
      </c>
      <c r="M1227" s="227"/>
      <c r="N1227" s="275"/>
    </row>
    <row r="1228" spans="1:14" ht="21.75" customHeight="1">
      <c r="A1228" t="s">
        <v>1647</v>
      </c>
      <c r="B1228" s="245">
        <v>41779</v>
      </c>
      <c r="C1228" s="126">
        <v>132.4</v>
      </c>
      <c r="D1228" s="126">
        <v>131.5</v>
      </c>
      <c r="E1228" s="126"/>
      <c r="G1228" s="321">
        <v>0.7873</v>
      </c>
      <c r="H1228" s="123">
        <f t="shared" si="116"/>
        <v>472.44651329105687</v>
      </c>
      <c r="I1228" s="123">
        <f t="shared" ref="I1228:I1259" si="117">(D1228*(PI()/LN(2)))*$G1228</f>
        <v>469.23501886536229</v>
      </c>
      <c r="J1228" s="123"/>
      <c r="K1228" s="123"/>
      <c r="L1228" s="176">
        <f t="shared" si="115"/>
        <v>470.84076607820958</v>
      </c>
      <c r="M1228" s="227"/>
      <c r="N1228" s="275"/>
    </row>
    <row r="1229" spans="1:14" ht="21.75" customHeight="1">
      <c r="A1229" t="s">
        <v>1648</v>
      </c>
      <c r="B1229" s="245">
        <v>41779</v>
      </c>
      <c r="C1229" s="126">
        <v>134.1</v>
      </c>
      <c r="D1229" s="126">
        <v>134.5</v>
      </c>
      <c r="E1229" s="126"/>
      <c r="G1229" s="321">
        <v>0.7873</v>
      </c>
      <c r="H1229" s="123">
        <f t="shared" si="116"/>
        <v>478.51266942847974</v>
      </c>
      <c r="I1229" s="123">
        <f t="shared" si="117"/>
        <v>479.94000028434397</v>
      </c>
      <c r="J1229" s="123"/>
      <c r="K1229" s="123"/>
      <c r="L1229" s="176">
        <f t="shared" si="115"/>
        <v>479.22633485641188</v>
      </c>
      <c r="M1229" s="227"/>
      <c r="N1229" s="275"/>
    </row>
    <row r="1230" spans="1:14" ht="21.75" customHeight="1">
      <c r="A1230" t="s">
        <v>1650</v>
      </c>
      <c r="B1230" s="245">
        <v>41792</v>
      </c>
      <c r="C1230" s="126">
        <v>147.69999999999999</v>
      </c>
      <c r="D1230" s="126">
        <v>148.19999999999999</v>
      </c>
      <c r="E1230" s="126"/>
      <c r="G1230" s="321">
        <v>0.7873</v>
      </c>
      <c r="H1230" s="123">
        <f t="shared" si="116"/>
        <v>527.04191852786312</v>
      </c>
      <c r="I1230" s="123">
        <f t="shared" si="117"/>
        <v>528.82608209769342</v>
      </c>
      <c r="J1230" s="123"/>
      <c r="K1230" s="123"/>
      <c r="L1230" s="176">
        <f t="shared" si="115"/>
        <v>527.93400031277827</v>
      </c>
      <c r="M1230" s="227"/>
      <c r="N1230" s="275"/>
    </row>
    <row r="1231" spans="1:14" ht="21.75" customHeight="1">
      <c r="A1231" t="s">
        <v>1651</v>
      </c>
      <c r="B1231" s="245">
        <v>41792</v>
      </c>
      <c r="C1231" s="126">
        <v>149.30000000000001</v>
      </c>
      <c r="D1231" s="126">
        <v>149.19999999999999</v>
      </c>
      <c r="E1231" s="126"/>
      <c r="G1231" s="321">
        <v>0.7873</v>
      </c>
      <c r="H1231" s="123">
        <f t="shared" si="116"/>
        <v>532.75124195132014</v>
      </c>
      <c r="I1231" s="123">
        <f t="shared" si="117"/>
        <v>532.39440923735401</v>
      </c>
      <c r="J1231" s="123"/>
      <c r="K1231" s="123"/>
      <c r="L1231" s="176">
        <f t="shared" si="115"/>
        <v>532.57282559433702</v>
      </c>
      <c r="M1231" s="227"/>
      <c r="N1231" s="275"/>
    </row>
    <row r="1232" spans="1:14" ht="21.75" customHeight="1">
      <c r="A1232" t="s">
        <v>1652</v>
      </c>
      <c r="B1232" s="245">
        <v>41794</v>
      </c>
      <c r="C1232" s="126">
        <v>132.19999999999999</v>
      </c>
      <c r="D1232" s="126">
        <v>135.06</v>
      </c>
      <c r="E1232" s="126"/>
      <c r="G1232" s="321">
        <v>0.7873</v>
      </c>
      <c r="H1232" s="123">
        <f t="shared" si="116"/>
        <v>471.73284786312468</v>
      </c>
      <c r="I1232" s="123">
        <f t="shared" si="117"/>
        <v>481.93826348255391</v>
      </c>
      <c r="J1232" s="123"/>
      <c r="K1232" s="123"/>
      <c r="L1232" s="176">
        <f t="shared" si="115"/>
        <v>476.83555567283929</v>
      </c>
      <c r="M1232" s="227"/>
      <c r="N1232" s="275"/>
    </row>
    <row r="1233" spans="1:14" ht="21.75" customHeight="1">
      <c r="A1233" t="s">
        <v>1653</v>
      </c>
      <c r="B1233" s="245">
        <v>41794</v>
      </c>
      <c r="C1233" s="126">
        <v>135.4</v>
      </c>
      <c r="D1233" s="126">
        <v>135.6</v>
      </c>
      <c r="E1233" s="126"/>
      <c r="G1233" s="321">
        <v>0.7873</v>
      </c>
      <c r="H1233" s="123">
        <f t="shared" si="116"/>
        <v>483.15149471003849</v>
      </c>
      <c r="I1233" s="123">
        <f t="shared" si="117"/>
        <v>483.86516013797058</v>
      </c>
      <c r="J1233" s="123"/>
      <c r="K1233" s="123"/>
      <c r="L1233" s="176">
        <f t="shared" si="115"/>
        <v>483.50832742400451</v>
      </c>
      <c r="M1233" s="227"/>
      <c r="N1233" s="275"/>
    </row>
    <row r="1234" spans="1:14" ht="21.75" customHeight="1">
      <c r="A1234" t="s">
        <v>1654</v>
      </c>
      <c r="B1234" s="245">
        <v>41800</v>
      </c>
      <c r="C1234" s="126">
        <v>96.5</v>
      </c>
      <c r="D1234" s="126">
        <v>96.8</v>
      </c>
      <c r="E1234" s="126"/>
      <c r="G1234" s="321">
        <v>1</v>
      </c>
      <c r="H1234" s="123">
        <f t="shared" si="116"/>
        <v>437.37275368632424</v>
      </c>
      <c r="I1234" s="123">
        <f t="shared" si="117"/>
        <v>438.73246172887241</v>
      </c>
      <c r="J1234" s="123"/>
      <c r="K1234" s="123"/>
      <c r="L1234" s="176">
        <f t="shared" si="115"/>
        <v>438.05260770759833</v>
      </c>
      <c r="M1234" s="227"/>
      <c r="N1234" s="275"/>
    </row>
    <row r="1235" spans="1:14" ht="21.75" customHeight="1">
      <c r="A1235" t="s">
        <v>1908</v>
      </c>
      <c r="B1235" s="245">
        <v>41802</v>
      </c>
      <c r="C1235" s="126">
        <v>2.5099999999999998</v>
      </c>
      <c r="D1235" s="126">
        <v>2.5099999999999998</v>
      </c>
      <c r="E1235" s="126"/>
      <c r="G1235" s="321">
        <v>1</v>
      </c>
      <c r="H1235" s="123">
        <f t="shared" si="116"/>
        <v>11.376223955986257</v>
      </c>
      <c r="I1235" s="123">
        <f t="shared" si="117"/>
        <v>11.376223955986257</v>
      </c>
      <c r="J1235" s="123"/>
      <c r="K1235" s="123"/>
      <c r="L1235" s="176">
        <f t="shared" si="115"/>
        <v>11.376223955986257</v>
      </c>
      <c r="M1235" s="227"/>
      <c r="N1235" s="275"/>
    </row>
    <row r="1236" spans="1:14" ht="21.75" customHeight="1">
      <c r="A1236" t="s">
        <v>1909</v>
      </c>
      <c r="B1236" s="245">
        <v>41828</v>
      </c>
      <c r="C1236" s="126">
        <v>83</v>
      </c>
      <c r="D1236" s="126">
        <v>83</v>
      </c>
      <c r="E1236" s="126">
        <v>83.8</v>
      </c>
      <c r="G1236" s="321">
        <v>1</v>
      </c>
      <c r="H1236" s="123">
        <f t="shared" si="116"/>
        <v>376.18589177165711</v>
      </c>
      <c r="I1236" s="123">
        <f t="shared" si="117"/>
        <v>376.18589177165711</v>
      </c>
      <c r="J1236" s="123">
        <f>(E1236*(PI()/LN(2)))*$G1236</f>
        <v>379.81177988511888</v>
      </c>
      <c r="K1236" s="123"/>
      <c r="L1236" s="176">
        <f t="shared" si="115"/>
        <v>376.18589177165711</v>
      </c>
      <c r="M1236" s="227"/>
      <c r="N1236" s="275"/>
    </row>
    <row r="1237" spans="1:14" ht="21.75" customHeight="1">
      <c r="A1237" t="s">
        <v>1656</v>
      </c>
      <c r="B1237" s="245">
        <v>41855</v>
      </c>
      <c r="C1237" s="126">
        <v>28.55</v>
      </c>
      <c r="D1237" s="126">
        <v>28.86</v>
      </c>
      <c r="E1237" s="126"/>
      <c r="G1237" s="321">
        <v>0.7873</v>
      </c>
      <c r="H1237" s="123">
        <f t="shared" si="116"/>
        <v>101.8757398373087</v>
      </c>
      <c r="I1237" s="123">
        <f t="shared" si="117"/>
        <v>102.98192125060346</v>
      </c>
      <c r="J1237" s="123"/>
      <c r="K1237" s="123"/>
      <c r="L1237" s="176">
        <f t="shared" si="115"/>
        <v>102.42883054395608</v>
      </c>
      <c r="M1237" s="227"/>
      <c r="N1237" s="275"/>
    </row>
    <row r="1238" spans="1:14" ht="21.75" customHeight="1">
      <c r="A1238" t="s">
        <v>1658</v>
      </c>
      <c r="B1238" s="245">
        <v>41855</v>
      </c>
      <c r="C1238" s="126">
        <v>59.7</v>
      </c>
      <c r="D1238" s="126">
        <v>59.3</v>
      </c>
      <c r="E1238" s="126"/>
      <c r="G1238" s="321">
        <v>0.7873</v>
      </c>
      <c r="H1238" s="123">
        <f t="shared" si="116"/>
        <v>213.02913023773488</v>
      </c>
      <c r="I1238" s="123">
        <f t="shared" si="117"/>
        <v>211.60179938187059</v>
      </c>
      <c r="J1238" s="123"/>
      <c r="K1238" s="123"/>
      <c r="L1238" s="176">
        <f t="shared" si="115"/>
        <v>212.31546480980273</v>
      </c>
      <c r="M1238" s="227"/>
      <c r="N1238" s="275"/>
    </row>
    <row r="1239" spans="1:14" ht="21.75" customHeight="1">
      <c r="A1239" t="s">
        <v>1660</v>
      </c>
      <c r="B1239" s="245">
        <v>41855</v>
      </c>
      <c r="C1239" s="126">
        <v>52.6</v>
      </c>
      <c r="D1239" s="126">
        <v>52.5</v>
      </c>
      <c r="E1239" s="126"/>
      <c r="G1239" s="321">
        <v>0.7873</v>
      </c>
      <c r="H1239" s="123">
        <f t="shared" si="116"/>
        <v>187.69400754614492</v>
      </c>
      <c r="I1239" s="123">
        <f t="shared" si="117"/>
        <v>187.33717483217887</v>
      </c>
      <c r="J1239" s="123"/>
      <c r="K1239" s="123"/>
      <c r="L1239" s="176">
        <f t="shared" si="115"/>
        <v>187.51559118916191</v>
      </c>
      <c r="M1239" s="227"/>
      <c r="N1239" s="275"/>
    </row>
    <row r="1240" spans="1:14" ht="21.75" customHeight="1">
      <c r="A1240" t="s">
        <v>1661</v>
      </c>
      <c r="B1240" s="245">
        <v>41855</v>
      </c>
      <c r="C1240" s="126">
        <v>162.6</v>
      </c>
      <c r="D1240" s="126">
        <v>160.69999999999999</v>
      </c>
      <c r="E1240" s="126"/>
      <c r="G1240" s="321">
        <v>0.7873</v>
      </c>
      <c r="H1240" s="123">
        <f t="shared" si="116"/>
        <v>580.20999290880536</v>
      </c>
      <c r="I1240" s="123">
        <f t="shared" si="117"/>
        <v>573.4301713434503</v>
      </c>
      <c r="J1240" s="123"/>
      <c r="K1240" s="123"/>
      <c r="L1240" s="176">
        <f t="shared" si="115"/>
        <v>576.82008212612777</v>
      </c>
      <c r="M1240" s="227"/>
      <c r="N1240" s="275"/>
    </row>
    <row r="1241" spans="1:14" ht="21.75" customHeight="1">
      <c r="A1241" t="s">
        <v>1662</v>
      </c>
      <c r="B1241" s="245">
        <v>41855</v>
      </c>
      <c r="C1241" s="126">
        <v>131.4</v>
      </c>
      <c r="D1241" s="126">
        <v>131.4</v>
      </c>
      <c r="E1241" s="126"/>
      <c r="G1241" s="321">
        <v>0.7873</v>
      </c>
      <c r="H1241" s="123">
        <f t="shared" si="116"/>
        <v>468.87818615139633</v>
      </c>
      <c r="I1241" s="123">
        <f t="shared" si="117"/>
        <v>468.87818615139633</v>
      </c>
      <c r="J1241" s="123"/>
      <c r="K1241" s="123"/>
      <c r="L1241" s="176">
        <f t="shared" si="115"/>
        <v>468.87818615139633</v>
      </c>
      <c r="M1241" s="227"/>
      <c r="N1241" s="275"/>
    </row>
    <row r="1242" spans="1:14" ht="21.75" customHeight="1">
      <c r="A1242" t="s">
        <v>1663</v>
      </c>
      <c r="B1242" s="245">
        <v>41855</v>
      </c>
      <c r="C1242" s="126">
        <v>129.6</v>
      </c>
      <c r="D1242" s="126">
        <v>129.30000000000001</v>
      </c>
      <c r="E1242" s="126"/>
      <c r="G1242" s="321">
        <v>0.7873</v>
      </c>
      <c r="H1242" s="123">
        <f t="shared" si="116"/>
        <v>462.45519730000728</v>
      </c>
      <c r="I1242" s="123">
        <f t="shared" si="117"/>
        <v>461.38469915810913</v>
      </c>
      <c r="J1242" s="123"/>
      <c r="K1242" s="123"/>
      <c r="L1242" s="176">
        <f t="shared" si="115"/>
        <v>461.91994822905821</v>
      </c>
      <c r="M1242" s="227"/>
      <c r="N1242" s="275"/>
    </row>
    <row r="1243" spans="1:14" ht="21.75" customHeight="1">
      <c r="A1243" t="s">
        <v>1664</v>
      </c>
      <c r="B1243" s="245">
        <v>41856</v>
      </c>
      <c r="C1243" s="126">
        <v>4.8</v>
      </c>
      <c r="D1243" s="126">
        <v>4.8</v>
      </c>
      <c r="E1243" s="126"/>
      <c r="G1243" s="321">
        <v>0.7873</v>
      </c>
      <c r="H1243" s="123">
        <f t="shared" si="116"/>
        <v>17.127970270370639</v>
      </c>
      <c r="I1243" s="123">
        <f t="shared" si="117"/>
        <v>17.127970270370639</v>
      </c>
      <c r="J1243" s="123"/>
      <c r="K1243" s="123"/>
      <c r="L1243" s="176">
        <f t="shared" si="115"/>
        <v>17.127970270370639</v>
      </c>
      <c r="M1243" s="227"/>
      <c r="N1243" s="275"/>
    </row>
    <row r="1244" spans="1:14" ht="21.75" customHeight="1">
      <c r="A1244" t="s">
        <v>1665</v>
      </c>
      <c r="B1244" s="245">
        <v>41856</v>
      </c>
      <c r="C1244" s="126">
        <v>4.9800000000000004</v>
      </c>
      <c r="D1244" s="126">
        <v>4.99</v>
      </c>
      <c r="E1244" s="126"/>
      <c r="G1244" s="321">
        <v>0.7873</v>
      </c>
      <c r="H1244" s="123">
        <f t="shared" si="116"/>
        <v>17.770269155509538</v>
      </c>
      <c r="I1244" s="123">
        <f t="shared" si="117"/>
        <v>17.805952426906146</v>
      </c>
      <c r="J1244" s="123"/>
      <c r="K1244" s="123"/>
      <c r="L1244" s="176">
        <f t="shared" si="115"/>
        <v>17.788110791207842</v>
      </c>
      <c r="M1244" s="227"/>
      <c r="N1244" s="275"/>
    </row>
    <row r="1245" spans="1:14" ht="21.75" customHeight="1">
      <c r="A1245" t="s">
        <v>1666</v>
      </c>
      <c r="B1245" s="245">
        <v>41857</v>
      </c>
      <c r="C1245" s="126">
        <v>71.599999999999994</v>
      </c>
      <c r="D1245" s="126">
        <v>68.5</v>
      </c>
      <c r="E1245" s="126"/>
      <c r="G1245" s="321">
        <v>0.7873</v>
      </c>
      <c r="H1245" s="123">
        <f t="shared" si="116"/>
        <v>255.49222319969536</v>
      </c>
      <c r="I1245" s="123">
        <f t="shared" si="117"/>
        <v>244.4304090667477</v>
      </c>
      <c r="J1245" s="123"/>
      <c r="K1245" s="123"/>
      <c r="L1245" s="176">
        <f t="shared" si="115"/>
        <v>249.96131613322154</v>
      </c>
      <c r="M1245" s="227"/>
      <c r="N1245" s="275"/>
    </row>
    <row r="1246" spans="1:14" ht="21.75" customHeight="1">
      <c r="A1246" t="s">
        <v>1241</v>
      </c>
      <c r="B1246" s="245">
        <v>41835</v>
      </c>
      <c r="C1246" s="126">
        <v>131</v>
      </c>
      <c r="D1246" s="126">
        <v>133</v>
      </c>
      <c r="E1246" s="126"/>
      <c r="G1246" s="321">
        <v>0.7873</v>
      </c>
      <c r="H1246" s="123">
        <f t="shared" si="116"/>
        <v>467.45085529553211</v>
      </c>
      <c r="I1246" s="123">
        <f t="shared" si="117"/>
        <v>474.58750957485313</v>
      </c>
      <c r="J1246" s="123"/>
      <c r="K1246" s="123"/>
      <c r="L1246" s="176">
        <f t="shared" si="115"/>
        <v>471.01918243519265</v>
      </c>
      <c r="M1246" s="227"/>
      <c r="N1246" s="275"/>
    </row>
    <row r="1247" spans="1:14" ht="21.75" customHeight="1">
      <c r="A1247" t="s">
        <v>1246</v>
      </c>
      <c r="B1247" s="245">
        <v>41835</v>
      </c>
      <c r="C1247" s="126">
        <v>125</v>
      </c>
      <c r="D1247" s="126">
        <v>124</v>
      </c>
      <c r="E1247" s="126"/>
      <c r="G1247" s="321">
        <v>0.7873</v>
      </c>
      <c r="H1247" s="123">
        <f t="shared" si="116"/>
        <v>446.0408924575687</v>
      </c>
      <c r="I1247" s="123">
        <f t="shared" si="117"/>
        <v>442.47256531790822</v>
      </c>
      <c r="J1247" s="123"/>
      <c r="K1247" s="123"/>
      <c r="L1247" s="176">
        <f t="shared" si="115"/>
        <v>444.25672888773846</v>
      </c>
      <c r="M1247" s="227"/>
      <c r="N1247" s="275"/>
    </row>
    <row r="1248" spans="1:14" ht="21.75" customHeight="1">
      <c r="A1248" t="s">
        <v>1293</v>
      </c>
      <c r="B1248" s="245">
        <v>41835</v>
      </c>
      <c r="C1248" s="126">
        <v>190</v>
      </c>
      <c r="D1248" s="126">
        <v>205</v>
      </c>
      <c r="E1248" s="126"/>
      <c r="G1248" s="321">
        <v>0.7873</v>
      </c>
      <c r="H1248" s="123">
        <f t="shared" si="116"/>
        <v>677.98215653550449</v>
      </c>
      <c r="I1248" s="123">
        <f t="shared" si="117"/>
        <v>731.50706363041274</v>
      </c>
      <c r="J1248" s="123"/>
      <c r="K1248" s="123"/>
      <c r="L1248" s="176">
        <f t="shared" si="115"/>
        <v>704.74461008295862</v>
      </c>
      <c r="M1248" s="227"/>
      <c r="N1248" s="275"/>
    </row>
    <row r="1249" spans="1:14" ht="21.75" customHeight="1">
      <c r="A1249" t="s">
        <v>1373</v>
      </c>
      <c r="B1249" s="245">
        <v>41835</v>
      </c>
      <c r="C1249" s="126">
        <v>109</v>
      </c>
      <c r="D1249" s="126">
        <v>110</v>
      </c>
      <c r="E1249" s="126"/>
      <c r="G1249" s="321">
        <v>0.7873</v>
      </c>
      <c r="H1249" s="123">
        <f t="shared" si="116"/>
        <v>388.94765822299996</v>
      </c>
      <c r="I1249" s="123">
        <f t="shared" si="117"/>
        <v>392.5159853626605</v>
      </c>
      <c r="J1249" s="123"/>
      <c r="K1249" s="123"/>
      <c r="L1249" s="176">
        <f t="shared" si="115"/>
        <v>390.73182179283026</v>
      </c>
      <c r="M1249" s="227"/>
      <c r="N1249" s="275"/>
    </row>
    <row r="1250" spans="1:14" ht="21.75" customHeight="1">
      <c r="A1250" t="s">
        <v>1496</v>
      </c>
      <c r="B1250" s="245">
        <v>41835</v>
      </c>
      <c r="C1250" s="126">
        <v>168</v>
      </c>
      <c r="D1250" s="126">
        <v>170</v>
      </c>
      <c r="E1250" s="126"/>
      <c r="G1250" s="321">
        <v>0.7873</v>
      </c>
      <c r="H1250" s="123">
        <f t="shared" si="116"/>
        <v>599.4789594629724</v>
      </c>
      <c r="I1250" s="123">
        <f t="shared" si="117"/>
        <v>606.61561374229348</v>
      </c>
      <c r="J1250" s="123"/>
      <c r="K1250" s="123"/>
      <c r="L1250" s="176">
        <f t="shared" si="115"/>
        <v>603.04728660263299</v>
      </c>
      <c r="M1250" s="227"/>
      <c r="N1250" s="275"/>
    </row>
    <row r="1251" spans="1:14" ht="21.75" customHeight="1">
      <c r="A1251" t="s">
        <v>1642</v>
      </c>
      <c r="B1251" s="245">
        <v>41835</v>
      </c>
      <c r="C1251" s="126">
        <v>85</v>
      </c>
      <c r="D1251" s="126">
        <v>87</v>
      </c>
      <c r="E1251" s="126"/>
      <c r="G1251" s="321">
        <v>0.7873</v>
      </c>
      <c r="H1251" s="123">
        <f t="shared" si="116"/>
        <v>303.30780687114674</v>
      </c>
      <c r="I1251" s="123">
        <f t="shared" si="117"/>
        <v>310.44446115046787</v>
      </c>
      <c r="J1251" s="123"/>
      <c r="K1251" s="123"/>
      <c r="L1251" s="176">
        <f t="shared" si="115"/>
        <v>306.87613401080728</v>
      </c>
      <c r="M1251" s="227"/>
      <c r="N1251" s="275"/>
    </row>
    <row r="1252" spans="1:14" ht="21.75" customHeight="1">
      <c r="A1252" t="s">
        <v>1241</v>
      </c>
      <c r="B1252" s="245">
        <v>41850</v>
      </c>
      <c r="C1252" s="126">
        <v>130</v>
      </c>
      <c r="D1252" s="126">
        <v>133.5</v>
      </c>
      <c r="E1252" s="126"/>
      <c r="G1252" s="321">
        <v>0.7873</v>
      </c>
      <c r="H1252" s="123">
        <f t="shared" si="116"/>
        <v>463.88252815587151</v>
      </c>
      <c r="I1252" s="123">
        <f t="shared" si="117"/>
        <v>476.37167314468343</v>
      </c>
      <c r="J1252" s="123"/>
      <c r="K1252" s="123"/>
      <c r="L1252" s="176">
        <f t="shared" si="115"/>
        <v>470.1271006502775</v>
      </c>
      <c r="M1252" s="227"/>
      <c r="N1252" s="275"/>
    </row>
    <row r="1253" spans="1:14" ht="21.75" customHeight="1">
      <c r="A1253" t="s">
        <v>1246</v>
      </c>
      <c r="B1253" s="245">
        <v>41850</v>
      </c>
      <c r="C1253" s="126">
        <v>125.6</v>
      </c>
      <c r="D1253" s="126">
        <v>126.5</v>
      </c>
      <c r="E1253" s="126"/>
      <c r="G1253" s="321">
        <v>0.7873</v>
      </c>
      <c r="H1253" s="123">
        <f t="shared" si="116"/>
        <v>448.18188874136501</v>
      </c>
      <c r="I1253" s="123">
        <f t="shared" si="117"/>
        <v>451.39338316705954</v>
      </c>
      <c r="J1253" s="123"/>
      <c r="K1253" s="123"/>
      <c r="L1253" s="176">
        <f t="shared" si="115"/>
        <v>449.78763595421231</v>
      </c>
      <c r="M1253" s="227"/>
      <c r="N1253" s="275"/>
    </row>
    <row r="1254" spans="1:14" ht="21.75" customHeight="1">
      <c r="A1254" t="s">
        <v>1293</v>
      </c>
      <c r="B1254" s="245">
        <v>41850</v>
      </c>
      <c r="C1254" s="126">
        <v>190</v>
      </c>
      <c r="D1254" s="126">
        <v>191.7</v>
      </c>
      <c r="E1254" s="126"/>
      <c r="G1254" s="321">
        <v>0.7873</v>
      </c>
      <c r="H1254" s="123">
        <f t="shared" si="116"/>
        <v>677.98215653550449</v>
      </c>
      <c r="I1254" s="123">
        <f t="shared" si="117"/>
        <v>684.04831267292741</v>
      </c>
      <c r="J1254" s="123"/>
      <c r="K1254" s="123"/>
      <c r="L1254" s="176">
        <f t="shared" si="115"/>
        <v>681.01523460421595</v>
      </c>
      <c r="M1254" s="227"/>
      <c r="N1254" s="275"/>
    </row>
    <row r="1255" spans="1:14" ht="21.75" customHeight="1">
      <c r="A1255" t="s">
        <v>1373</v>
      </c>
      <c r="B1255" s="245">
        <v>41850</v>
      </c>
      <c r="C1255" s="126">
        <v>120.1</v>
      </c>
      <c r="D1255" s="126">
        <v>120.1</v>
      </c>
      <c r="E1255" s="126"/>
      <c r="G1255" s="321">
        <v>0.7873</v>
      </c>
      <c r="H1255" s="123">
        <f t="shared" si="116"/>
        <v>428.55608947323202</v>
      </c>
      <c r="I1255" s="123">
        <f t="shared" si="117"/>
        <v>428.55608947323202</v>
      </c>
      <c r="J1255" s="123"/>
      <c r="K1255" s="123"/>
      <c r="L1255" s="176">
        <f t="shared" si="115"/>
        <v>428.55608947323202</v>
      </c>
      <c r="M1255" s="227"/>
      <c r="N1255" s="275"/>
    </row>
    <row r="1256" spans="1:14" ht="21.75" customHeight="1">
      <c r="A1256" t="s">
        <v>1496</v>
      </c>
      <c r="B1256" s="245">
        <v>41850</v>
      </c>
      <c r="C1256" s="126">
        <v>189.5</v>
      </c>
      <c r="D1256" s="126">
        <v>189.6</v>
      </c>
      <c r="E1256" s="126"/>
      <c r="G1256" s="321">
        <v>0.7873</v>
      </c>
      <c r="H1256" s="123">
        <f t="shared" si="116"/>
        <v>676.19799296567419</v>
      </c>
      <c r="I1256" s="123">
        <f t="shared" si="117"/>
        <v>676.5548256796402</v>
      </c>
      <c r="J1256" s="123"/>
      <c r="K1256" s="123"/>
      <c r="L1256" s="176">
        <f t="shared" si="115"/>
        <v>676.3764093226572</v>
      </c>
      <c r="M1256" s="227"/>
      <c r="N1256" s="275"/>
    </row>
    <row r="1257" spans="1:14" ht="21.75" customHeight="1">
      <c r="A1257" t="s">
        <v>1642</v>
      </c>
      <c r="B1257" s="245">
        <v>41850</v>
      </c>
      <c r="C1257" s="126">
        <v>96.3</v>
      </c>
      <c r="D1257" s="126">
        <v>97.1</v>
      </c>
      <c r="E1257" s="126"/>
      <c r="G1257" s="321">
        <v>0.7873</v>
      </c>
      <c r="H1257" s="123">
        <f t="shared" si="116"/>
        <v>343.62990354931094</v>
      </c>
      <c r="I1257" s="123">
        <f t="shared" si="117"/>
        <v>346.48456526103939</v>
      </c>
      <c r="J1257" s="123"/>
      <c r="K1257" s="123"/>
      <c r="L1257" s="176">
        <f t="shared" si="115"/>
        <v>345.05723440517517</v>
      </c>
      <c r="M1257" s="227"/>
      <c r="N1257" s="275"/>
    </row>
    <row r="1258" spans="1:14" ht="21.75" customHeight="1">
      <c r="A1258" t="s">
        <v>1668</v>
      </c>
      <c r="B1258" s="245">
        <v>41884</v>
      </c>
      <c r="C1258" s="126">
        <v>138.19999999999999</v>
      </c>
      <c r="D1258" s="126">
        <v>139.30000000000001</v>
      </c>
      <c r="E1258" s="126"/>
      <c r="G1258" s="321">
        <v>0.7873</v>
      </c>
      <c r="H1258" s="123">
        <f t="shared" si="116"/>
        <v>493.14281070108797</v>
      </c>
      <c r="I1258" s="123">
        <f t="shared" si="117"/>
        <v>497.06797055471469</v>
      </c>
      <c r="J1258" s="123"/>
      <c r="K1258" s="123"/>
      <c r="L1258" s="176">
        <f t="shared" si="115"/>
        <v>495.10539062790133</v>
      </c>
      <c r="M1258" s="227"/>
      <c r="N1258" s="275"/>
    </row>
    <row r="1259" spans="1:14" ht="21.75" customHeight="1">
      <c r="A1259" t="s">
        <v>1669</v>
      </c>
      <c r="B1259" s="245">
        <v>41884</v>
      </c>
      <c r="C1259" s="126">
        <v>140.9</v>
      </c>
      <c r="D1259" s="126">
        <v>141.4</v>
      </c>
      <c r="E1259" s="126"/>
      <c r="G1259" s="321">
        <v>0.7873</v>
      </c>
      <c r="H1259" s="123">
        <f t="shared" ref="H1259:H1290" si="118">(C1259*(PI()/LN(2)))*$G1259</f>
        <v>502.77729397817149</v>
      </c>
      <c r="I1259" s="123">
        <f t="shared" si="117"/>
        <v>504.56145754800178</v>
      </c>
      <c r="J1259" s="123"/>
      <c r="K1259" s="123"/>
      <c r="L1259" s="176">
        <f t="shared" si="115"/>
        <v>503.66937576308663</v>
      </c>
      <c r="M1259" s="227"/>
      <c r="N1259" s="275"/>
    </row>
    <row r="1260" spans="1:14" ht="21.75" customHeight="1">
      <c r="A1260" t="s">
        <v>1668</v>
      </c>
      <c r="B1260" s="245">
        <v>41885</v>
      </c>
      <c r="C1260" s="126">
        <v>146.30000000000001</v>
      </c>
      <c r="D1260" s="126">
        <v>149</v>
      </c>
      <c r="E1260" s="126"/>
      <c r="G1260" s="321">
        <v>0.7873</v>
      </c>
      <c r="H1260" s="123">
        <f t="shared" si="118"/>
        <v>522.04626053233858</v>
      </c>
      <c r="I1260" s="123">
        <f t="shared" ref="I1260:I1291" si="119">(D1260*(PI()/LN(2)))*$G1260</f>
        <v>531.68074380942198</v>
      </c>
      <c r="J1260" s="123"/>
      <c r="K1260" s="123"/>
      <c r="L1260" s="176">
        <f t="shared" si="115"/>
        <v>526.86350217088034</v>
      </c>
      <c r="M1260" s="227"/>
      <c r="N1260" s="275"/>
    </row>
    <row r="1261" spans="1:14" ht="21.75" customHeight="1">
      <c r="A1261" t="s">
        <v>1669</v>
      </c>
      <c r="B1261" s="245">
        <v>41885</v>
      </c>
      <c r="C1261" s="126">
        <v>148.9</v>
      </c>
      <c r="D1261" s="126">
        <v>148.5</v>
      </c>
      <c r="E1261" s="126"/>
      <c r="G1261" s="321">
        <v>0.7873</v>
      </c>
      <c r="H1261" s="123">
        <f t="shared" si="118"/>
        <v>531.32391109545597</v>
      </c>
      <c r="I1261" s="123">
        <f t="shared" si="119"/>
        <v>529.89658023959169</v>
      </c>
      <c r="J1261" s="123"/>
      <c r="K1261" s="123"/>
      <c r="L1261" s="176">
        <f t="shared" si="115"/>
        <v>530.61024566752383</v>
      </c>
      <c r="M1261" s="227"/>
      <c r="N1261" s="275"/>
    </row>
    <row r="1262" spans="1:14" ht="21.75" customHeight="1">
      <c r="A1262" t="s">
        <v>1670</v>
      </c>
      <c r="B1262" s="245">
        <v>41885</v>
      </c>
      <c r="C1262" s="126">
        <v>103.3</v>
      </c>
      <c r="D1262" s="126">
        <v>105.6</v>
      </c>
      <c r="E1262" s="126"/>
      <c r="G1262" s="321">
        <v>0.7873</v>
      </c>
      <c r="H1262" s="123">
        <f t="shared" si="118"/>
        <v>368.60819352693477</v>
      </c>
      <c r="I1262" s="123">
        <f t="shared" si="119"/>
        <v>376.81534594815406</v>
      </c>
      <c r="J1262" s="123"/>
      <c r="K1262" s="123"/>
      <c r="L1262" s="176">
        <f t="shared" si="115"/>
        <v>372.71176973754439</v>
      </c>
      <c r="M1262" s="227"/>
      <c r="N1262" s="275"/>
    </row>
    <row r="1263" spans="1:14" ht="21.75" customHeight="1">
      <c r="A1263" t="s">
        <v>1671</v>
      </c>
      <c r="B1263" s="245">
        <v>41885</v>
      </c>
      <c r="C1263" s="126">
        <v>92.1</v>
      </c>
      <c r="D1263" s="126">
        <v>93.6</v>
      </c>
      <c r="E1263" s="126"/>
      <c r="G1263" s="321">
        <v>0.7873</v>
      </c>
      <c r="H1263" s="123">
        <f t="shared" si="118"/>
        <v>328.64292956273664</v>
      </c>
      <c r="I1263" s="123">
        <f t="shared" si="119"/>
        <v>333.99542027222742</v>
      </c>
      <c r="J1263" s="123"/>
      <c r="K1263" s="123"/>
      <c r="L1263" s="176">
        <f t="shared" si="115"/>
        <v>331.31917491748203</v>
      </c>
      <c r="M1263" s="227"/>
      <c r="N1263" s="275"/>
    </row>
    <row r="1264" spans="1:14" ht="21.75" customHeight="1">
      <c r="A1264" t="s">
        <v>1672</v>
      </c>
      <c r="B1264" s="245">
        <v>41885</v>
      </c>
      <c r="C1264" s="126">
        <v>126.7</v>
      </c>
      <c r="D1264" s="126">
        <v>126.6</v>
      </c>
      <c r="E1264" s="126"/>
      <c r="G1264" s="321">
        <v>0.7873</v>
      </c>
      <c r="H1264" s="123">
        <f t="shared" si="118"/>
        <v>452.10704859499168</v>
      </c>
      <c r="I1264" s="123">
        <f t="shared" si="119"/>
        <v>451.75021588102561</v>
      </c>
      <c r="J1264" s="123"/>
      <c r="K1264" s="123"/>
      <c r="L1264" s="176">
        <f t="shared" si="115"/>
        <v>451.92863223800862</v>
      </c>
      <c r="M1264" s="227"/>
      <c r="N1264" s="275"/>
    </row>
    <row r="1265" spans="1:14" ht="21.75" customHeight="1">
      <c r="A1265" t="s">
        <v>1673</v>
      </c>
      <c r="B1265" s="245">
        <v>41885</v>
      </c>
      <c r="C1265" s="126">
        <v>130.19999999999999</v>
      </c>
      <c r="D1265" s="126">
        <v>128.5</v>
      </c>
      <c r="E1265" s="126"/>
      <c r="G1265" s="321">
        <v>0.7873</v>
      </c>
      <c r="H1265" s="123">
        <f t="shared" si="118"/>
        <v>464.59619358380354</v>
      </c>
      <c r="I1265" s="123">
        <f t="shared" si="119"/>
        <v>458.53003744638067</v>
      </c>
      <c r="J1265" s="123"/>
      <c r="K1265" s="123"/>
      <c r="L1265" s="176">
        <f t="shared" ref="L1265:L1328" si="120">AVERAGE(H1265:I1265)</f>
        <v>461.56311551509214</v>
      </c>
      <c r="M1265" s="227"/>
      <c r="N1265" s="275"/>
    </row>
    <row r="1266" spans="1:14" ht="21.75" customHeight="1">
      <c r="A1266" t="s">
        <v>1674</v>
      </c>
      <c r="B1266" s="245">
        <v>41885</v>
      </c>
      <c r="C1266" s="126">
        <v>105.7</v>
      </c>
      <c r="D1266" s="126">
        <v>107.4</v>
      </c>
      <c r="E1266" s="126"/>
      <c r="G1266" s="321">
        <v>0.7873</v>
      </c>
      <c r="H1266" s="123">
        <f t="shared" si="118"/>
        <v>377.17217866212013</v>
      </c>
      <c r="I1266" s="123">
        <f t="shared" si="119"/>
        <v>383.23833479954311</v>
      </c>
      <c r="J1266" s="123"/>
      <c r="K1266" s="123"/>
      <c r="L1266" s="176">
        <f t="shared" si="120"/>
        <v>380.20525673083159</v>
      </c>
      <c r="M1266" s="227"/>
      <c r="N1266" s="275"/>
    </row>
    <row r="1267" spans="1:14" ht="21.75" customHeight="1">
      <c r="A1267" t="s">
        <v>1675</v>
      </c>
      <c r="B1267" s="245">
        <v>41885</v>
      </c>
      <c r="C1267" s="126">
        <v>92.3</v>
      </c>
      <c r="D1267" s="126">
        <v>93.8</v>
      </c>
      <c r="E1267" s="126"/>
      <c r="G1267" s="321">
        <v>0.7873</v>
      </c>
      <c r="H1267" s="123">
        <f t="shared" si="118"/>
        <v>329.35659499066878</v>
      </c>
      <c r="I1267" s="123">
        <f t="shared" si="119"/>
        <v>334.70908570015956</v>
      </c>
      <c r="J1267" s="123"/>
      <c r="K1267" s="123"/>
      <c r="L1267" s="176">
        <f t="shared" si="120"/>
        <v>332.03284034541417</v>
      </c>
      <c r="M1267" s="227"/>
      <c r="N1267" s="275"/>
    </row>
    <row r="1268" spans="1:14" ht="21.75" customHeight="1">
      <c r="A1268" t="s">
        <v>1676</v>
      </c>
      <c r="B1268" s="245">
        <v>41885</v>
      </c>
      <c r="C1268" s="126">
        <v>127.7</v>
      </c>
      <c r="D1268" s="126">
        <v>124.7</v>
      </c>
      <c r="E1268" s="126"/>
      <c r="G1268" s="321">
        <v>0.7873</v>
      </c>
      <c r="H1268" s="123">
        <f t="shared" si="118"/>
        <v>455.67537573465222</v>
      </c>
      <c r="I1268" s="123">
        <f t="shared" si="119"/>
        <v>444.9703943156706</v>
      </c>
      <c r="J1268" s="123"/>
      <c r="K1268" s="123"/>
      <c r="L1268" s="176">
        <f t="shared" si="120"/>
        <v>450.32288502516144</v>
      </c>
      <c r="M1268" s="227"/>
      <c r="N1268" s="275"/>
    </row>
    <row r="1269" spans="1:14" ht="21.75" customHeight="1">
      <c r="A1269" t="s">
        <v>1677</v>
      </c>
      <c r="B1269" s="245">
        <v>41885</v>
      </c>
      <c r="C1269" s="126">
        <v>124.1</v>
      </c>
      <c r="D1269" s="126">
        <v>124.8</v>
      </c>
      <c r="E1269" s="126"/>
      <c r="G1269" s="321">
        <v>0.7873</v>
      </c>
      <c r="H1269" s="123">
        <f t="shared" si="118"/>
        <v>442.82939803187418</v>
      </c>
      <c r="I1269" s="123">
        <f t="shared" si="119"/>
        <v>445.32722702963662</v>
      </c>
      <c r="J1269" s="123"/>
      <c r="K1269" s="123"/>
      <c r="L1269" s="176">
        <f t="shared" si="120"/>
        <v>444.0783125307554</v>
      </c>
      <c r="M1269" s="227"/>
      <c r="N1269" s="275"/>
    </row>
    <row r="1270" spans="1:14" ht="21.75" customHeight="1">
      <c r="A1270" t="s">
        <v>1678</v>
      </c>
      <c r="B1270" s="245">
        <v>41885</v>
      </c>
      <c r="C1270" s="126">
        <v>83.4</v>
      </c>
      <c r="D1270" s="126">
        <v>83.6</v>
      </c>
      <c r="E1270" s="126"/>
      <c r="G1270" s="321">
        <v>0.7873</v>
      </c>
      <c r="H1270" s="123">
        <f t="shared" si="118"/>
        <v>297.59848344768989</v>
      </c>
      <c r="I1270" s="123">
        <f t="shared" si="119"/>
        <v>298.31214887562192</v>
      </c>
      <c r="J1270" s="123"/>
      <c r="K1270" s="123"/>
      <c r="L1270" s="176">
        <f t="shared" si="120"/>
        <v>297.9553161616559</v>
      </c>
      <c r="M1270" s="227"/>
      <c r="N1270" s="275"/>
    </row>
    <row r="1271" spans="1:14" ht="21.75" customHeight="1">
      <c r="A1271" t="s">
        <v>1679</v>
      </c>
      <c r="B1271" s="245">
        <v>41885</v>
      </c>
      <c r="C1271" s="126">
        <v>84.1</v>
      </c>
      <c r="D1271" s="126">
        <v>84.2</v>
      </c>
      <c r="E1271" s="126"/>
      <c r="G1271" s="321">
        <v>0.7873</v>
      </c>
      <c r="H1271" s="123">
        <f t="shared" si="118"/>
        <v>300.09631244545221</v>
      </c>
      <c r="I1271" s="123">
        <f t="shared" si="119"/>
        <v>300.45314515941834</v>
      </c>
      <c r="J1271" s="123"/>
      <c r="K1271" s="123"/>
      <c r="L1271" s="176">
        <f t="shared" si="120"/>
        <v>300.27472880243528</v>
      </c>
      <c r="M1271" s="227"/>
      <c r="N1271" s="275"/>
    </row>
    <row r="1272" spans="1:14" ht="21.75" customHeight="1">
      <c r="A1272" t="s">
        <v>1680</v>
      </c>
      <c r="B1272" s="245">
        <v>41886</v>
      </c>
      <c r="C1272" s="126">
        <v>118.6</v>
      </c>
      <c r="D1272" s="126">
        <v>119.2</v>
      </c>
      <c r="E1272" s="126"/>
      <c r="G1272" s="321">
        <v>0.7873</v>
      </c>
      <c r="H1272" s="123">
        <f t="shared" si="118"/>
        <v>423.20359876374118</v>
      </c>
      <c r="I1272" s="123">
        <f t="shared" si="119"/>
        <v>425.3445950475375</v>
      </c>
      <c r="J1272" s="123"/>
      <c r="K1272" s="123"/>
      <c r="L1272" s="176">
        <f t="shared" si="120"/>
        <v>424.27409690563934</v>
      </c>
      <c r="M1272" s="227"/>
      <c r="N1272" s="275"/>
    </row>
    <row r="1273" spans="1:14" ht="21.75" customHeight="1">
      <c r="A1273" t="s">
        <v>1682</v>
      </c>
      <c r="B1273" s="245">
        <v>41886</v>
      </c>
      <c r="C1273" s="126">
        <v>117.5</v>
      </c>
      <c r="D1273" s="126">
        <v>118.6</v>
      </c>
      <c r="E1273" s="126"/>
      <c r="G1273" s="321">
        <v>0.7873</v>
      </c>
      <c r="H1273" s="123">
        <f t="shared" si="118"/>
        <v>419.27843891011463</v>
      </c>
      <c r="I1273" s="123">
        <f t="shared" si="119"/>
        <v>423.20359876374118</v>
      </c>
      <c r="J1273" s="123"/>
      <c r="K1273" s="123"/>
      <c r="L1273" s="176">
        <f t="shared" si="120"/>
        <v>421.24101883692788</v>
      </c>
      <c r="M1273" s="227"/>
      <c r="N1273" s="275"/>
    </row>
    <row r="1274" spans="1:14" ht="21.75" customHeight="1">
      <c r="A1274" t="s">
        <v>1683</v>
      </c>
      <c r="B1274" s="245">
        <v>41886</v>
      </c>
      <c r="C1274" s="126">
        <v>102.5</v>
      </c>
      <c r="D1274" s="126">
        <v>103.1</v>
      </c>
      <c r="E1274" s="126"/>
      <c r="G1274" s="321">
        <v>0.7873</v>
      </c>
      <c r="H1274" s="123">
        <f t="shared" si="118"/>
        <v>365.75353181520637</v>
      </c>
      <c r="I1274" s="123">
        <f t="shared" si="119"/>
        <v>367.89452809900268</v>
      </c>
      <c r="J1274" s="123"/>
      <c r="K1274" s="123"/>
      <c r="L1274" s="176">
        <f t="shared" si="120"/>
        <v>366.82402995710453</v>
      </c>
      <c r="M1274" s="227"/>
      <c r="N1274" s="275"/>
    </row>
    <row r="1275" spans="1:14" ht="21.75" customHeight="1">
      <c r="A1275" t="s">
        <v>1684</v>
      </c>
      <c r="B1275" s="245">
        <v>41886</v>
      </c>
      <c r="C1275" s="126">
        <v>79.599999999999994</v>
      </c>
      <c r="D1275" s="126">
        <v>79.900000000000006</v>
      </c>
      <c r="E1275" s="126"/>
      <c r="G1275" s="321">
        <v>0.7873</v>
      </c>
      <c r="H1275" s="123">
        <f t="shared" si="118"/>
        <v>284.03884031697976</v>
      </c>
      <c r="I1275" s="123">
        <f t="shared" si="119"/>
        <v>285.10933845887791</v>
      </c>
      <c r="J1275" s="123"/>
      <c r="K1275" s="123"/>
      <c r="L1275" s="176">
        <f t="shared" si="120"/>
        <v>284.57408938792884</v>
      </c>
      <c r="M1275" s="227"/>
      <c r="N1275" s="275"/>
    </row>
    <row r="1276" spans="1:14" ht="21.75" customHeight="1">
      <c r="A1276" t="s">
        <v>1685</v>
      </c>
      <c r="B1276" s="245">
        <v>41886</v>
      </c>
      <c r="C1276" s="126">
        <v>11</v>
      </c>
      <c r="D1276" s="126">
        <v>11.2</v>
      </c>
      <c r="E1276" s="126"/>
      <c r="G1276" s="321">
        <v>0.7873</v>
      </c>
      <c r="H1276" s="123">
        <f t="shared" si="118"/>
        <v>39.251598536266044</v>
      </c>
      <c r="I1276" s="123">
        <f t="shared" si="119"/>
        <v>39.965263964198158</v>
      </c>
      <c r="J1276" s="123"/>
      <c r="K1276" s="123"/>
      <c r="L1276" s="176">
        <f t="shared" si="120"/>
        <v>39.608431250232101</v>
      </c>
      <c r="M1276" s="227"/>
      <c r="N1276" s="275"/>
    </row>
    <row r="1277" spans="1:14" ht="21.75" customHeight="1">
      <c r="A1277" t="s">
        <v>1687</v>
      </c>
      <c r="B1277" s="245">
        <v>41886</v>
      </c>
      <c r="C1277" s="126">
        <v>8.1999999999999993</v>
      </c>
      <c r="D1277" s="126">
        <v>8.1999999999999993</v>
      </c>
      <c r="E1277" s="126"/>
      <c r="G1277" s="321">
        <v>0.7873</v>
      </c>
      <c r="H1277" s="123">
        <f t="shared" si="118"/>
        <v>29.260282545216509</v>
      </c>
      <c r="I1277" s="123">
        <f t="shared" si="119"/>
        <v>29.260282545216509</v>
      </c>
      <c r="J1277" s="123"/>
      <c r="K1277" s="123"/>
      <c r="L1277" s="176">
        <f t="shared" si="120"/>
        <v>29.260282545216509</v>
      </c>
      <c r="M1277" s="227"/>
      <c r="N1277" s="275"/>
    </row>
    <row r="1278" spans="1:14" ht="21.75" customHeight="1">
      <c r="A1278" t="s">
        <v>1688</v>
      </c>
      <c r="B1278" s="245">
        <v>41886</v>
      </c>
      <c r="C1278" s="126">
        <v>12.8</v>
      </c>
      <c r="D1278" s="126">
        <v>13</v>
      </c>
      <c r="E1278" s="126"/>
      <c r="G1278" s="321">
        <v>0.7873</v>
      </c>
      <c r="H1278" s="123">
        <f t="shared" si="118"/>
        <v>45.674587387655038</v>
      </c>
      <c r="I1278" s="123">
        <f t="shared" si="119"/>
        <v>46.388252815587151</v>
      </c>
      <c r="J1278" s="123"/>
      <c r="K1278" s="123"/>
      <c r="L1278" s="176">
        <f t="shared" si="120"/>
        <v>46.031420101621094</v>
      </c>
      <c r="M1278" s="227"/>
      <c r="N1278" s="275"/>
    </row>
    <row r="1279" spans="1:14" ht="21.75" customHeight="1">
      <c r="A1279" t="s">
        <v>1689</v>
      </c>
      <c r="B1279" s="245">
        <v>41886</v>
      </c>
      <c r="C1279" s="126">
        <v>8.4</v>
      </c>
      <c r="D1279" s="126">
        <v>8.3000000000000007</v>
      </c>
      <c r="E1279" s="126"/>
      <c r="G1279" s="321">
        <v>0.7873</v>
      </c>
      <c r="H1279" s="123">
        <f t="shared" si="118"/>
        <v>29.973947973148618</v>
      </c>
      <c r="I1279" s="123">
        <f t="shared" si="119"/>
        <v>29.617115259182569</v>
      </c>
      <c r="J1279" s="123"/>
      <c r="K1279" s="123"/>
      <c r="L1279" s="176">
        <f t="shared" si="120"/>
        <v>29.795531616165594</v>
      </c>
      <c r="M1279" s="227"/>
      <c r="N1279" s="275"/>
    </row>
    <row r="1280" spans="1:14" ht="21.75" customHeight="1">
      <c r="A1280" t="s">
        <v>1690</v>
      </c>
      <c r="B1280" s="245">
        <v>41892</v>
      </c>
      <c r="C1280" s="126">
        <v>159.6</v>
      </c>
      <c r="D1280" s="126">
        <v>159.5</v>
      </c>
      <c r="E1280" s="126"/>
      <c r="G1280" s="321">
        <v>0.7873</v>
      </c>
      <c r="H1280" s="123">
        <f t="shared" si="118"/>
        <v>569.5050114898238</v>
      </c>
      <c r="I1280" s="123">
        <f t="shared" si="119"/>
        <v>569.14817877585767</v>
      </c>
      <c r="J1280" s="123"/>
      <c r="K1280" s="123"/>
      <c r="L1280" s="176">
        <f t="shared" si="120"/>
        <v>569.32659513284079</v>
      </c>
      <c r="M1280" s="227"/>
      <c r="N1280" s="275"/>
    </row>
    <row r="1281" spans="1:14" ht="21.75" customHeight="1">
      <c r="A1281" t="s">
        <v>1691</v>
      </c>
      <c r="B1281" s="245">
        <v>41892</v>
      </c>
      <c r="C1281" s="126">
        <v>141.9</v>
      </c>
      <c r="D1281" s="126">
        <v>141.69999999999999</v>
      </c>
      <c r="E1281" s="126"/>
      <c r="G1281" s="321">
        <v>0.7873</v>
      </c>
      <c r="H1281" s="123">
        <f t="shared" si="118"/>
        <v>506.34562111783208</v>
      </c>
      <c r="I1281" s="123">
        <f t="shared" si="119"/>
        <v>505.63195568989983</v>
      </c>
      <c r="J1281" s="123"/>
      <c r="K1281" s="123"/>
      <c r="L1281" s="176">
        <f t="shared" si="120"/>
        <v>505.98878840386595</v>
      </c>
      <c r="M1281" s="227"/>
      <c r="N1281" s="275"/>
    </row>
    <row r="1282" spans="1:14" ht="21.75" customHeight="1">
      <c r="A1282" t="s">
        <v>1692</v>
      </c>
      <c r="B1282" s="245">
        <v>41892</v>
      </c>
      <c r="C1282" s="126">
        <v>115.9</v>
      </c>
      <c r="D1282" s="126">
        <v>119.4</v>
      </c>
      <c r="E1282" s="126"/>
      <c r="G1282" s="321">
        <v>0.7873</v>
      </c>
      <c r="H1282" s="123">
        <f t="shared" si="118"/>
        <v>413.56911548665772</v>
      </c>
      <c r="I1282" s="123">
        <f t="shared" si="119"/>
        <v>426.05826047546975</v>
      </c>
      <c r="J1282" s="123"/>
      <c r="K1282" s="123"/>
      <c r="L1282" s="176">
        <f t="shared" si="120"/>
        <v>419.81368798106371</v>
      </c>
      <c r="M1282" s="227"/>
      <c r="N1282" s="275"/>
    </row>
    <row r="1283" spans="1:14" ht="21.75" customHeight="1">
      <c r="A1283" t="s">
        <v>1693</v>
      </c>
      <c r="B1283" s="245">
        <v>41892</v>
      </c>
      <c r="C1283" s="126">
        <v>75.7</v>
      </c>
      <c r="D1283" s="126">
        <v>75.599999999999994</v>
      </c>
      <c r="E1283" s="126"/>
      <c r="G1283" s="321">
        <v>0.7873</v>
      </c>
      <c r="H1283" s="123">
        <f t="shared" si="118"/>
        <v>270.12236447230367</v>
      </c>
      <c r="I1283" s="123">
        <f t="shared" si="119"/>
        <v>269.76553175833754</v>
      </c>
      <c r="J1283" s="123"/>
      <c r="K1283" s="123"/>
      <c r="L1283" s="176">
        <f t="shared" si="120"/>
        <v>269.94394811532061</v>
      </c>
      <c r="M1283" s="227"/>
      <c r="N1283" s="275"/>
    </row>
    <row r="1284" spans="1:14" ht="21.75" customHeight="1">
      <c r="A1284" t="s">
        <v>1694</v>
      </c>
      <c r="B1284" s="245">
        <v>41892</v>
      </c>
      <c r="C1284" s="126">
        <v>8.8000000000000007</v>
      </c>
      <c r="D1284" s="126">
        <v>8.8000000000000007</v>
      </c>
      <c r="E1284" s="126"/>
      <c r="G1284" s="321">
        <v>0.7873</v>
      </c>
      <c r="H1284" s="123">
        <f t="shared" si="118"/>
        <v>31.401278829012838</v>
      </c>
      <c r="I1284" s="123">
        <f t="shared" si="119"/>
        <v>31.401278829012838</v>
      </c>
      <c r="J1284" s="123"/>
      <c r="K1284" s="123"/>
      <c r="L1284" s="176">
        <f t="shared" si="120"/>
        <v>31.401278829012838</v>
      </c>
      <c r="M1284" s="227"/>
      <c r="N1284" s="275"/>
    </row>
    <row r="1285" spans="1:14" ht="21.75" customHeight="1">
      <c r="A1285" t="s">
        <v>1696</v>
      </c>
      <c r="B1285" s="245">
        <v>41892</v>
      </c>
      <c r="C1285" s="126">
        <v>8.9</v>
      </c>
      <c r="D1285" s="126">
        <v>9</v>
      </c>
      <c r="E1285" s="126"/>
      <c r="G1285" s="321">
        <v>0.7873</v>
      </c>
      <c r="H1285" s="123">
        <f t="shared" si="118"/>
        <v>31.758111542978895</v>
      </c>
      <c r="I1285" s="123">
        <f t="shared" si="119"/>
        <v>32.114944256944952</v>
      </c>
      <c r="J1285" s="123"/>
      <c r="K1285" s="123"/>
      <c r="L1285" s="176">
        <f t="shared" si="120"/>
        <v>31.936527899961924</v>
      </c>
      <c r="M1285" s="227"/>
      <c r="N1285" s="275"/>
    </row>
    <row r="1286" spans="1:14" ht="21.75" customHeight="1">
      <c r="A1286" t="s">
        <v>1697</v>
      </c>
      <c r="B1286" s="245">
        <v>41892</v>
      </c>
      <c r="C1286" s="126">
        <v>7.6</v>
      </c>
      <c r="D1286" s="126">
        <v>7.6</v>
      </c>
      <c r="E1286" s="126"/>
      <c r="G1286" s="321">
        <v>0.7873</v>
      </c>
      <c r="H1286" s="123">
        <f t="shared" si="118"/>
        <v>27.119286261420179</v>
      </c>
      <c r="I1286" s="123">
        <f t="shared" si="119"/>
        <v>27.119286261420179</v>
      </c>
      <c r="J1286" s="123"/>
      <c r="K1286" s="123"/>
      <c r="L1286" s="176">
        <f t="shared" si="120"/>
        <v>27.119286261420179</v>
      </c>
      <c r="M1286" s="227"/>
      <c r="N1286" s="275"/>
    </row>
    <row r="1287" spans="1:14" ht="21.75" customHeight="1">
      <c r="A1287" t="s">
        <v>1698</v>
      </c>
      <c r="B1287" s="245">
        <v>41892</v>
      </c>
      <c r="C1287" s="126">
        <v>9.1</v>
      </c>
      <c r="D1287" s="126">
        <v>9</v>
      </c>
      <c r="E1287" s="126"/>
      <c r="G1287" s="321">
        <v>0.7873</v>
      </c>
      <c r="H1287" s="123">
        <f t="shared" si="118"/>
        <v>32.471776970911002</v>
      </c>
      <c r="I1287" s="123">
        <f t="shared" si="119"/>
        <v>32.114944256944952</v>
      </c>
      <c r="J1287" s="123"/>
      <c r="K1287" s="123"/>
      <c r="L1287" s="176">
        <f t="shared" si="120"/>
        <v>32.293360613927973</v>
      </c>
      <c r="M1287" s="227"/>
      <c r="N1287" s="275"/>
    </row>
    <row r="1288" spans="1:14" ht="21.75" customHeight="1">
      <c r="A1288" t="s">
        <v>1699</v>
      </c>
      <c r="B1288" s="245">
        <v>41892</v>
      </c>
      <c r="C1288" s="126">
        <v>9.1</v>
      </c>
      <c r="D1288" s="126">
        <v>9</v>
      </c>
      <c r="E1288" s="126"/>
      <c r="G1288" s="321">
        <v>0.7873</v>
      </c>
      <c r="H1288" s="123">
        <f t="shared" si="118"/>
        <v>32.471776970911002</v>
      </c>
      <c r="I1288" s="123">
        <f t="shared" si="119"/>
        <v>32.114944256944952</v>
      </c>
      <c r="J1288" s="123"/>
      <c r="K1288" s="123"/>
      <c r="L1288" s="176">
        <f t="shared" si="120"/>
        <v>32.293360613927973</v>
      </c>
      <c r="M1288" s="227"/>
      <c r="N1288" s="275"/>
    </row>
    <row r="1289" spans="1:14" ht="21.75" customHeight="1">
      <c r="A1289" t="s">
        <v>1700</v>
      </c>
      <c r="B1289" s="245">
        <v>41892</v>
      </c>
      <c r="C1289" s="126">
        <v>7.6</v>
      </c>
      <c r="D1289" s="126">
        <v>7.6</v>
      </c>
      <c r="E1289" s="126"/>
      <c r="G1289" s="321">
        <v>0.7873</v>
      </c>
      <c r="H1289" s="123">
        <f t="shared" si="118"/>
        <v>27.119286261420179</v>
      </c>
      <c r="I1289" s="123">
        <f t="shared" si="119"/>
        <v>27.119286261420179</v>
      </c>
      <c r="J1289" s="123"/>
      <c r="K1289" s="123"/>
      <c r="L1289" s="176">
        <f t="shared" si="120"/>
        <v>27.119286261420179</v>
      </c>
      <c r="M1289" s="227"/>
      <c r="N1289" s="275"/>
    </row>
    <row r="1290" spans="1:14" ht="21.75" customHeight="1">
      <c r="A1290" t="s">
        <v>1701</v>
      </c>
      <c r="B1290" s="245">
        <v>41899</v>
      </c>
      <c r="C1290" s="126"/>
      <c r="D1290" s="126"/>
      <c r="E1290" s="126"/>
      <c r="G1290" s="321">
        <v>0.7873</v>
      </c>
      <c r="H1290" s="123">
        <f t="shared" si="118"/>
        <v>0</v>
      </c>
      <c r="I1290" s="123">
        <f t="shared" si="119"/>
        <v>0</v>
      </c>
      <c r="J1290" s="123"/>
      <c r="K1290" s="123"/>
      <c r="L1290" s="176">
        <f t="shared" si="120"/>
        <v>0</v>
      </c>
      <c r="M1290" s="227"/>
      <c r="N1290" s="275"/>
    </row>
    <row r="1291" spans="1:14" ht="21.75" customHeight="1">
      <c r="A1291" t="s">
        <v>1702</v>
      </c>
      <c r="B1291" s="245">
        <v>41899</v>
      </c>
      <c r="C1291" s="126"/>
      <c r="D1291" s="126"/>
      <c r="E1291" s="126"/>
      <c r="G1291" s="321">
        <v>0.7873</v>
      </c>
      <c r="H1291" s="123">
        <f t="shared" ref="H1291:H1322" si="121">(C1291*(PI()/LN(2)))*$G1291</f>
        <v>0</v>
      </c>
      <c r="I1291" s="123">
        <f t="shared" si="119"/>
        <v>0</v>
      </c>
      <c r="J1291" s="123"/>
      <c r="K1291" s="123"/>
      <c r="L1291" s="176">
        <f t="shared" si="120"/>
        <v>0</v>
      </c>
      <c r="M1291" s="227"/>
      <c r="N1291" s="275"/>
    </row>
    <row r="1292" spans="1:14" ht="21.75" customHeight="1">
      <c r="A1292" t="s">
        <v>1703</v>
      </c>
      <c r="B1292" s="245">
        <v>41899</v>
      </c>
      <c r="C1292" s="126">
        <v>163.30000000000001</v>
      </c>
      <c r="D1292" s="126">
        <v>165.6</v>
      </c>
      <c r="E1292" s="126"/>
      <c r="G1292" s="321">
        <v>0.7873</v>
      </c>
      <c r="H1292" s="123">
        <f t="shared" si="121"/>
        <v>582.7078219065678</v>
      </c>
      <c r="I1292" s="123">
        <f t="shared" ref="I1292:I1323" si="122">(D1292*(PI()/LN(2)))*$G1292</f>
        <v>590.91497432778704</v>
      </c>
      <c r="J1292" s="123"/>
      <c r="K1292" s="123"/>
      <c r="L1292" s="176">
        <f t="shared" si="120"/>
        <v>586.81139811717742</v>
      </c>
      <c r="M1292" s="227"/>
      <c r="N1292" s="275"/>
    </row>
    <row r="1293" spans="1:14" ht="21.75" customHeight="1">
      <c r="A1293" t="s">
        <v>1704</v>
      </c>
      <c r="B1293" s="245">
        <v>41899</v>
      </c>
      <c r="C1293" s="126">
        <v>146.9</v>
      </c>
      <c r="D1293" s="126">
        <v>151.69999999999999</v>
      </c>
      <c r="E1293" s="126"/>
      <c r="G1293" s="321">
        <v>0.7873</v>
      </c>
      <c r="H1293" s="123">
        <f t="shared" si="121"/>
        <v>524.18725681613478</v>
      </c>
      <c r="I1293" s="123">
        <f t="shared" si="122"/>
        <v>541.31522708650539</v>
      </c>
      <c r="J1293" s="123"/>
      <c r="K1293" s="123"/>
      <c r="L1293" s="176">
        <f t="shared" si="120"/>
        <v>532.75124195132003</v>
      </c>
      <c r="M1293" s="227"/>
      <c r="N1293" s="275"/>
    </row>
    <row r="1294" spans="1:14" ht="21.75" customHeight="1">
      <c r="A1294" t="s">
        <v>1705</v>
      </c>
      <c r="B1294" s="245">
        <v>41899</v>
      </c>
      <c r="C1294" s="126">
        <v>147.4</v>
      </c>
      <c r="D1294" s="126">
        <v>144.4</v>
      </c>
      <c r="E1294" s="126"/>
      <c r="G1294" s="321">
        <v>0.7873</v>
      </c>
      <c r="H1294" s="123">
        <f t="shared" si="121"/>
        <v>525.97142038596508</v>
      </c>
      <c r="I1294" s="123">
        <f t="shared" si="122"/>
        <v>515.26643896698351</v>
      </c>
      <c r="J1294" s="123"/>
      <c r="K1294" s="123"/>
      <c r="L1294" s="176">
        <f t="shared" si="120"/>
        <v>520.61892967647429</v>
      </c>
      <c r="M1294" s="227"/>
      <c r="N1294" s="275"/>
    </row>
    <row r="1295" spans="1:14" ht="21.75" customHeight="1">
      <c r="A1295" t="s">
        <v>1706</v>
      </c>
      <c r="B1295" s="245">
        <v>41900</v>
      </c>
      <c r="C1295" s="126">
        <v>143.9</v>
      </c>
      <c r="D1295" s="126">
        <v>145.9</v>
      </c>
      <c r="E1295" s="126"/>
      <c r="G1295" s="321">
        <v>0.7873</v>
      </c>
      <c r="H1295" s="123">
        <f t="shared" si="121"/>
        <v>513.48227539715322</v>
      </c>
      <c r="I1295" s="123">
        <f t="shared" si="122"/>
        <v>520.61892967647418</v>
      </c>
      <c r="J1295" s="123"/>
      <c r="K1295" s="123"/>
      <c r="L1295" s="176">
        <f t="shared" si="120"/>
        <v>517.0506025368137</v>
      </c>
      <c r="M1295" s="227"/>
      <c r="N1295" s="275"/>
    </row>
    <row r="1296" spans="1:14" ht="21.75" customHeight="1">
      <c r="A1296" t="s">
        <v>1707</v>
      </c>
      <c r="B1296" s="245">
        <v>41900</v>
      </c>
      <c r="C1296" s="126">
        <v>126.6</v>
      </c>
      <c r="D1296" s="126">
        <v>126.8</v>
      </c>
      <c r="E1296" s="126"/>
      <c r="G1296" s="321">
        <v>0.7873</v>
      </c>
      <c r="H1296" s="123">
        <f t="shared" si="121"/>
        <v>451.75021588102561</v>
      </c>
      <c r="I1296" s="123">
        <f t="shared" si="122"/>
        <v>452.4638813089577</v>
      </c>
      <c r="J1296" s="123"/>
      <c r="K1296" s="123"/>
      <c r="L1296" s="176">
        <f t="shared" si="120"/>
        <v>452.10704859499162</v>
      </c>
      <c r="M1296" s="227"/>
      <c r="N1296" s="275"/>
    </row>
    <row r="1297" spans="1:14" ht="21.75" customHeight="1">
      <c r="A1297" t="s">
        <v>1708</v>
      </c>
      <c r="B1297" s="245">
        <v>41900</v>
      </c>
      <c r="C1297" s="126">
        <v>123</v>
      </c>
      <c r="D1297" s="126">
        <v>125.1</v>
      </c>
      <c r="E1297" s="126"/>
      <c r="G1297" s="321">
        <v>0.7873</v>
      </c>
      <c r="H1297" s="123">
        <f t="shared" si="121"/>
        <v>438.90423817824768</v>
      </c>
      <c r="I1297" s="123">
        <f t="shared" si="122"/>
        <v>446.39772517153477</v>
      </c>
      <c r="J1297" s="123"/>
      <c r="K1297" s="123"/>
      <c r="L1297" s="176">
        <f t="shared" si="120"/>
        <v>442.65098167489123</v>
      </c>
      <c r="M1297" s="227"/>
      <c r="N1297" s="275"/>
    </row>
    <row r="1298" spans="1:14" ht="21.75" customHeight="1">
      <c r="A1298" t="s">
        <v>1709</v>
      </c>
      <c r="B1298" s="245">
        <v>41900</v>
      </c>
      <c r="C1298" s="126">
        <v>139.1</v>
      </c>
      <c r="D1298" s="126">
        <v>139.1</v>
      </c>
      <c r="E1298" s="126"/>
      <c r="G1298" s="321">
        <v>0.7873</v>
      </c>
      <c r="H1298" s="123">
        <f t="shared" si="121"/>
        <v>496.35430512678249</v>
      </c>
      <c r="I1298" s="123">
        <f t="shared" si="122"/>
        <v>496.35430512678249</v>
      </c>
      <c r="J1298" s="123"/>
      <c r="K1298" s="123"/>
      <c r="L1298" s="176">
        <f t="shared" si="120"/>
        <v>496.35430512678249</v>
      </c>
      <c r="M1298" s="227"/>
      <c r="N1298" s="275"/>
    </row>
    <row r="1299" spans="1:14" ht="21.75" customHeight="1">
      <c r="A1299" t="s">
        <v>1710</v>
      </c>
      <c r="B1299" s="245">
        <v>41900</v>
      </c>
      <c r="C1299" s="126">
        <v>118.8</v>
      </c>
      <c r="D1299" s="126">
        <v>120.1</v>
      </c>
      <c r="E1299" s="126"/>
      <c r="G1299" s="321">
        <v>0.7873</v>
      </c>
      <c r="H1299" s="123">
        <f t="shared" si="121"/>
        <v>423.91726419167327</v>
      </c>
      <c r="I1299" s="123">
        <f t="shared" si="122"/>
        <v>428.55608947323202</v>
      </c>
      <c r="J1299" s="123"/>
      <c r="K1299" s="123"/>
      <c r="L1299" s="176">
        <f t="shared" si="120"/>
        <v>426.23667683245264</v>
      </c>
      <c r="M1299" s="227"/>
      <c r="N1299" s="275"/>
    </row>
    <row r="1300" spans="1:14" ht="21.75" customHeight="1">
      <c r="A1300" t="s">
        <v>1711</v>
      </c>
      <c r="B1300" s="245">
        <v>41900</v>
      </c>
      <c r="C1300" s="126">
        <v>119.7</v>
      </c>
      <c r="D1300" s="126">
        <v>119.6</v>
      </c>
      <c r="E1300" s="126"/>
      <c r="G1300" s="321">
        <v>0.7873</v>
      </c>
      <c r="H1300" s="123">
        <f t="shared" si="121"/>
        <v>427.12875861736779</v>
      </c>
      <c r="I1300" s="123">
        <f t="shared" si="122"/>
        <v>426.77192590340172</v>
      </c>
      <c r="J1300" s="123"/>
      <c r="K1300" s="123"/>
      <c r="L1300" s="176">
        <f t="shared" si="120"/>
        <v>426.95034226038479</v>
      </c>
      <c r="M1300" s="227"/>
      <c r="N1300" s="275"/>
    </row>
    <row r="1301" spans="1:14" ht="21.75" customHeight="1">
      <c r="A1301" t="s">
        <v>1694</v>
      </c>
      <c r="B1301" s="245">
        <v>41900</v>
      </c>
      <c r="C1301" s="126">
        <v>8.8000000000000007</v>
      </c>
      <c r="D1301" s="126">
        <v>8.8000000000000007</v>
      </c>
      <c r="E1301" s="126"/>
      <c r="G1301" s="321">
        <v>0.7873</v>
      </c>
      <c r="H1301" s="123">
        <f t="shared" si="121"/>
        <v>31.401278829012838</v>
      </c>
      <c r="I1301" s="123">
        <f t="shared" si="122"/>
        <v>31.401278829012838</v>
      </c>
      <c r="J1301" s="123"/>
      <c r="K1301" s="123"/>
      <c r="L1301" s="176">
        <f t="shared" si="120"/>
        <v>31.401278829012838</v>
      </c>
      <c r="M1301" s="227"/>
      <c r="N1301" s="275"/>
    </row>
    <row r="1302" spans="1:14" ht="21.75" customHeight="1">
      <c r="A1302" t="s">
        <v>1696</v>
      </c>
      <c r="B1302" s="245">
        <v>41900</v>
      </c>
      <c r="C1302" s="126">
        <v>8.9</v>
      </c>
      <c r="D1302" s="126">
        <v>9</v>
      </c>
      <c r="E1302" s="126"/>
      <c r="G1302" s="321">
        <v>0.7873</v>
      </c>
      <c r="H1302" s="123">
        <f t="shared" si="121"/>
        <v>31.758111542978895</v>
      </c>
      <c r="I1302" s="123">
        <f t="shared" si="122"/>
        <v>32.114944256944952</v>
      </c>
      <c r="J1302" s="123"/>
      <c r="K1302" s="123"/>
      <c r="L1302" s="176">
        <f t="shared" si="120"/>
        <v>31.936527899961924</v>
      </c>
      <c r="M1302" s="227"/>
      <c r="N1302" s="275"/>
    </row>
    <row r="1303" spans="1:14" ht="21.75" customHeight="1">
      <c r="A1303" t="s">
        <v>1697</v>
      </c>
      <c r="B1303" s="245">
        <v>41900</v>
      </c>
      <c r="C1303" s="126">
        <v>7.5</v>
      </c>
      <c r="D1303" s="126">
        <v>7.6</v>
      </c>
      <c r="E1303" s="126"/>
      <c r="G1303" s="321">
        <v>0.7873</v>
      </c>
      <c r="H1303" s="123">
        <f t="shared" si="121"/>
        <v>26.762453547454122</v>
      </c>
      <c r="I1303" s="123">
        <f t="shared" si="122"/>
        <v>27.119286261420179</v>
      </c>
      <c r="J1303" s="123"/>
      <c r="K1303" s="123"/>
      <c r="L1303" s="176">
        <f t="shared" si="120"/>
        <v>26.94086990443715</v>
      </c>
      <c r="M1303" s="227"/>
      <c r="N1303" s="275"/>
    </row>
    <row r="1304" spans="1:14" ht="21.75" customHeight="1">
      <c r="A1304" t="s">
        <v>1713</v>
      </c>
      <c r="B1304" s="245">
        <v>41907</v>
      </c>
      <c r="C1304" s="126">
        <v>113.6</v>
      </c>
      <c r="D1304" s="126">
        <v>114</v>
      </c>
      <c r="E1304" s="126"/>
      <c r="G1304" s="321">
        <v>0.7873</v>
      </c>
      <c r="H1304" s="123">
        <f t="shared" si="121"/>
        <v>405.36196306543843</v>
      </c>
      <c r="I1304" s="123">
        <f t="shared" si="122"/>
        <v>406.78929392130266</v>
      </c>
      <c r="J1304" s="123"/>
      <c r="K1304" s="123"/>
      <c r="L1304" s="176">
        <f t="shared" si="120"/>
        <v>406.07562849337057</v>
      </c>
      <c r="M1304" s="227"/>
      <c r="N1304" s="275"/>
    </row>
    <row r="1305" spans="1:14" ht="21.75" customHeight="1">
      <c r="A1305" t="s">
        <v>1715</v>
      </c>
      <c r="B1305" s="245">
        <v>41907</v>
      </c>
      <c r="C1305" s="126">
        <v>111.6</v>
      </c>
      <c r="D1305" s="126">
        <v>112.7</v>
      </c>
      <c r="E1305" s="126"/>
      <c r="G1305" s="321">
        <v>0.7873</v>
      </c>
      <c r="H1305" s="123">
        <f t="shared" si="121"/>
        <v>398.22530878611735</v>
      </c>
      <c r="I1305" s="123">
        <f t="shared" si="122"/>
        <v>402.15046863974396</v>
      </c>
      <c r="J1305" s="123"/>
      <c r="K1305" s="123"/>
      <c r="L1305" s="176">
        <f t="shared" si="120"/>
        <v>400.18788871293066</v>
      </c>
      <c r="M1305" s="227"/>
      <c r="N1305" s="275"/>
    </row>
    <row r="1306" spans="1:14" ht="21.75" customHeight="1">
      <c r="A1306" t="s">
        <v>1716</v>
      </c>
      <c r="B1306" s="245">
        <v>41908</v>
      </c>
      <c r="C1306" s="126">
        <v>262.3</v>
      </c>
      <c r="D1306" s="126">
        <v>262.2</v>
      </c>
      <c r="E1306" s="126"/>
      <c r="G1306" s="321">
        <v>0.7873</v>
      </c>
      <c r="H1306" s="123">
        <f t="shared" si="121"/>
        <v>935.97220873296237</v>
      </c>
      <c r="I1306" s="123">
        <f t="shared" si="122"/>
        <v>935.61537601899613</v>
      </c>
      <c r="J1306" s="123"/>
      <c r="K1306" s="123"/>
      <c r="L1306" s="176">
        <f t="shared" si="120"/>
        <v>935.79379237597925</v>
      </c>
      <c r="M1306" s="227"/>
      <c r="N1306" s="275"/>
    </row>
    <row r="1307" spans="1:14" ht="21.75" customHeight="1">
      <c r="A1307" t="s">
        <v>1718</v>
      </c>
      <c r="B1307" s="245">
        <v>41908</v>
      </c>
      <c r="C1307" s="126">
        <v>259.3</v>
      </c>
      <c r="D1307" s="126">
        <v>259.2</v>
      </c>
      <c r="E1307" s="126"/>
      <c r="G1307" s="321">
        <v>0.7873</v>
      </c>
      <c r="H1307" s="123">
        <f t="shared" si="121"/>
        <v>925.2672273139807</v>
      </c>
      <c r="I1307" s="123">
        <f t="shared" si="122"/>
        <v>924.91039460001457</v>
      </c>
      <c r="J1307" s="123"/>
      <c r="K1307" s="123"/>
      <c r="L1307" s="176">
        <f t="shared" si="120"/>
        <v>925.08881095699758</v>
      </c>
      <c r="M1307" s="227"/>
      <c r="N1307" s="275"/>
    </row>
    <row r="1308" spans="1:14" ht="21.75" customHeight="1">
      <c r="A1308" t="s">
        <v>1719</v>
      </c>
      <c r="B1308" s="245">
        <v>41908</v>
      </c>
      <c r="C1308" s="126">
        <v>183.4</v>
      </c>
      <c r="D1308" s="126">
        <v>184.5</v>
      </c>
      <c r="E1308" s="126"/>
      <c r="G1308" s="321">
        <v>0.7873</v>
      </c>
      <c r="H1308" s="123">
        <f t="shared" si="121"/>
        <v>654.43119741374494</v>
      </c>
      <c r="I1308" s="123">
        <f t="shared" si="122"/>
        <v>658.35635726737144</v>
      </c>
      <c r="J1308" s="123"/>
      <c r="K1308" s="123"/>
      <c r="L1308" s="176">
        <f t="shared" si="120"/>
        <v>656.39377734055824</v>
      </c>
      <c r="M1308" s="227"/>
      <c r="N1308" s="275"/>
    </row>
    <row r="1309" spans="1:14" ht="21.75" customHeight="1">
      <c r="A1309" t="s">
        <v>1722</v>
      </c>
      <c r="B1309" s="245">
        <v>41908</v>
      </c>
      <c r="C1309" s="126">
        <v>184.3</v>
      </c>
      <c r="D1309" s="126">
        <v>184.8</v>
      </c>
      <c r="E1309" s="126"/>
      <c r="G1309" s="321">
        <v>0.7873</v>
      </c>
      <c r="H1309" s="123">
        <f t="shared" si="121"/>
        <v>657.64269183943941</v>
      </c>
      <c r="I1309" s="123">
        <f t="shared" si="122"/>
        <v>659.42685540926971</v>
      </c>
      <c r="J1309" s="123"/>
      <c r="K1309" s="123"/>
      <c r="L1309" s="176">
        <f t="shared" si="120"/>
        <v>658.53477362435456</v>
      </c>
      <c r="M1309" s="227"/>
      <c r="N1309" s="275"/>
    </row>
    <row r="1310" spans="1:14" ht="21.75" customHeight="1">
      <c r="A1310" t="s">
        <v>1723</v>
      </c>
      <c r="B1310" s="245">
        <v>41908</v>
      </c>
      <c r="C1310" s="126">
        <v>145.30000000000001</v>
      </c>
      <c r="D1310" s="126">
        <v>145.1</v>
      </c>
      <c r="E1310" s="126"/>
      <c r="G1310" s="321">
        <v>0.7873</v>
      </c>
      <c r="H1310" s="123">
        <f t="shared" si="121"/>
        <v>518.47793339267798</v>
      </c>
      <c r="I1310" s="123">
        <f t="shared" si="122"/>
        <v>517.76426796474573</v>
      </c>
      <c r="J1310" s="123"/>
      <c r="K1310" s="123"/>
      <c r="L1310" s="176">
        <f t="shared" si="120"/>
        <v>518.12110067871185</v>
      </c>
      <c r="M1310" s="227"/>
      <c r="N1310" s="275"/>
    </row>
    <row r="1311" spans="1:14" ht="21.75" customHeight="1">
      <c r="A1311" t="s">
        <v>1724</v>
      </c>
      <c r="B1311" s="245">
        <v>41908</v>
      </c>
      <c r="C1311" s="126">
        <v>145.1</v>
      </c>
      <c r="D1311" s="126">
        <v>148.5</v>
      </c>
      <c r="E1311" s="126"/>
      <c r="G1311" s="321">
        <v>0.7873</v>
      </c>
      <c r="H1311" s="123">
        <f t="shared" si="121"/>
        <v>517.76426796474573</v>
      </c>
      <c r="I1311" s="123">
        <f t="shared" si="122"/>
        <v>529.89658023959169</v>
      </c>
      <c r="J1311" s="123"/>
      <c r="K1311" s="123"/>
      <c r="L1311" s="176">
        <f t="shared" si="120"/>
        <v>523.83042410216876</v>
      </c>
      <c r="M1311" s="227"/>
      <c r="N1311" s="275"/>
    </row>
    <row r="1312" spans="1:14" ht="21.75" customHeight="1">
      <c r="A1312" t="s">
        <v>1725</v>
      </c>
      <c r="B1312" s="245">
        <v>41908</v>
      </c>
      <c r="C1312" s="126">
        <v>199.9</v>
      </c>
      <c r="D1312" s="126">
        <v>199</v>
      </c>
      <c r="E1312" s="126"/>
      <c r="G1312" s="321">
        <v>0.7873</v>
      </c>
      <c r="H1312" s="123">
        <f t="shared" si="121"/>
        <v>713.30859521814398</v>
      </c>
      <c r="I1312" s="123">
        <f t="shared" si="122"/>
        <v>710.0971007924494</v>
      </c>
      <c r="J1312" s="123"/>
      <c r="K1312" s="123"/>
      <c r="L1312" s="176">
        <f t="shared" si="120"/>
        <v>711.70284800529669</v>
      </c>
      <c r="M1312" s="227"/>
      <c r="N1312" s="275"/>
    </row>
    <row r="1313" spans="1:14" ht="21.75" customHeight="1">
      <c r="A1313" t="s">
        <v>1726</v>
      </c>
      <c r="B1313" s="245">
        <v>41908</v>
      </c>
      <c r="C1313" s="126">
        <v>196</v>
      </c>
      <c r="D1313" s="126">
        <v>197.2</v>
      </c>
      <c r="E1313" s="126"/>
      <c r="G1313" s="321">
        <v>0.7873</v>
      </c>
      <c r="H1313" s="123">
        <f t="shared" si="121"/>
        <v>699.39211937346772</v>
      </c>
      <c r="I1313" s="123">
        <f t="shared" si="122"/>
        <v>703.67411194106046</v>
      </c>
      <c r="J1313" s="123"/>
      <c r="K1313" s="123"/>
      <c r="L1313" s="176">
        <f t="shared" si="120"/>
        <v>701.53311565726403</v>
      </c>
      <c r="M1313" s="227"/>
      <c r="N1313" s="275"/>
    </row>
    <row r="1314" spans="1:14" ht="21.75" customHeight="1">
      <c r="A1314" t="s">
        <v>1727</v>
      </c>
      <c r="B1314" s="245">
        <v>41908</v>
      </c>
      <c r="C1314" s="126">
        <v>118.4</v>
      </c>
      <c r="D1314" s="126">
        <v>119.7</v>
      </c>
      <c r="E1314" s="126"/>
      <c r="G1314" s="321">
        <v>0.7873</v>
      </c>
      <c r="H1314" s="123">
        <f t="shared" si="121"/>
        <v>422.48993333580916</v>
      </c>
      <c r="I1314" s="123">
        <f t="shared" si="122"/>
        <v>427.12875861736779</v>
      </c>
      <c r="J1314" s="123"/>
      <c r="K1314" s="123"/>
      <c r="L1314" s="176">
        <f t="shared" si="120"/>
        <v>424.80934597658847</v>
      </c>
      <c r="M1314" s="227"/>
      <c r="N1314" s="275"/>
    </row>
    <row r="1315" spans="1:14" ht="21.75" customHeight="1">
      <c r="A1315" t="s">
        <v>1728</v>
      </c>
      <c r="B1315" s="245">
        <v>41908</v>
      </c>
      <c r="C1315" s="126">
        <v>116.5</v>
      </c>
      <c r="D1315" s="126">
        <v>118.1</v>
      </c>
      <c r="E1315" s="126"/>
      <c r="G1315" s="321">
        <v>0.7873</v>
      </c>
      <c r="H1315" s="123">
        <f t="shared" si="121"/>
        <v>415.71011177045409</v>
      </c>
      <c r="I1315" s="123">
        <f t="shared" si="122"/>
        <v>421.41943519391089</v>
      </c>
      <c r="J1315" s="123"/>
      <c r="K1315" s="123"/>
      <c r="L1315" s="176">
        <f t="shared" si="120"/>
        <v>418.56477348218249</v>
      </c>
      <c r="M1315" s="227"/>
      <c r="N1315" s="275"/>
    </row>
    <row r="1316" spans="1:14" ht="21.75" customHeight="1">
      <c r="A1316" t="s">
        <v>1729</v>
      </c>
      <c r="B1316" s="245">
        <v>41908</v>
      </c>
      <c r="C1316" s="126">
        <v>146.80000000000001</v>
      </c>
      <c r="D1316" s="126">
        <v>146.4</v>
      </c>
      <c r="E1316" s="126"/>
      <c r="G1316" s="321">
        <v>0.7873</v>
      </c>
      <c r="H1316" s="123">
        <f t="shared" si="121"/>
        <v>523.83042410216876</v>
      </c>
      <c r="I1316" s="123">
        <f t="shared" si="122"/>
        <v>522.40309324630448</v>
      </c>
      <c r="J1316" s="123"/>
      <c r="K1316" s="123"/>
      <c r="L1316" s="176">
        <f t="shared" si="120"/>
        <v>523.11675867423662</v>
      </c>
      <c r="M1316" s="227"/>
      <c r="N1316" s="275"/>
    </row>
    <row r="1317" spans="1:14" ht="21.75" customHeight="1">
      <c r="A1317" t="s">
        <v>1730</v>
      </c>
      <c r="B1317" s="245">
        <v>41908</v>
      </c>
      <c r="C1317" s="126">
        <v>145.1</v>
      </c>
      <c r="D1317" s="126">
        <v>146.1</v>
      </c>
      <c r="E1317" s="126"/>
      <c r="G1317" s="321">
        <v>0.7873</v>
      </c>
      <c r="H1317" s="123">
        <f t="shared" si="121"/>
        <v>517.76426796474573</v>
      </c>
      <c r="I1317" s="123">
        <f t="shared" si="122"/>
        <v>521.33259510440632</v>
      </c>
      <c r="J1317" s="123"/>
      <c r="K1317" s="123"/>
      <c r="L1317" s="176">
        <f t="shared" si="120"/>
        <v>519.54843153457603</v>
      </c>
      <c r="M1317" s="227"/>
      <c r="N1317" s="275"/>
    </row>
    <row r="1318" spans="1:14" ht="21.75" customHeight="1">
      <c r="A1318" t="s">
        <v>1731</v>
      </c>
      <c r="B1318" s="245">
        <v>41908</v>
      </c>
      <c r="C1318" s="126">
        <v>18.7</v>
      </c>
      <c r="D1318" s="126">
        <v>19.3</v>
      </c>
      <c r="E1318" s="126"/>
      <c r="G1318" s="321">
        <v>0.7873</v>
      </c>
      <c r="H1318" s="123">
        <f t="shared" si="121"/>
        <v>66.727717511652273</v>
      </c>
      <c r="I1318" s="123">
        <f t="shared" si="122"/>
        <v>68.868713795448613</v>
      </c>
      <c r="J1318" s="123"/>
      <c r="K1318" s="123"/>
      <c r="L1318" s="176">
        <f t="shared" si="120"/>
        <v>67.798215653550443</v>
      </c>
      <c r="M1318" s="227"/>
      <c r="N1318" s="275"/>
    </row>
    <row r="1319" spans="1:14" ht="21.75" customHeight="1">
      <c r="A1319" t="s">
        <v>1733</v>
      </c>
      <c r="B1319" s="245">
        <v>41912</v>
      </c>
      <c r="C1319" s="126">
        <v>60.4</v>
      </c>
      <c r="D1319" s="126">
        <v>61.4</v>
      </c>
      <c r="E1319" s="126"/>
      <c r="G1319" s="321">
        <v>0.7873</v>
      </c>
      <c r="H1319" s="123">
        <f t="shared" si="121"/>
        <v>215.5269592354972</v>
      </c>
      <c r="I1319" s="123">
        <f t="shared" si="122"/>
        <v>219.09528637515777</v>
      </c>
      <c r="J1319" s="123"/>
      <c r="K1319" s="123"/>
      <c r="L1319" s="176">
        <f t="shared" si="120"/>
        <v>217.3111228053275</v>
      </c>
      <c r="M1319" s="227"/>
      <c r="N1319" s="275"/>
    </row>
    <row r="1320" spans="1:14" ht="21.75" customHeight="1">
      <c r="A1320" t="s">
        <v>1734</v>
      </c>
      <c r="B1320" s="245">
        <v>41912</v>
      </c>
      <c r="C1320" s="126">
        <v>59.8</v>
      </c>
      <c r="D1320" s="126">
        <v>59.6</v>
      </c>
      <c r="E1320" s="126"/>
      <c r="G1320" s="321">
        <v>0.7873</v>
      </c>
      <c r="H1320" s="123">
        <f t="shared" si="121"/>
        <v>213.38596295170086</v>
      </c>
      <c r="I1320" s="123">
        <f t="shared" si="122"/>
        <v>212.67229752376875</v>
      </c>
      <c r="J1320" s="123"/>
      <c r="K1320" s="123"/>
      <c r="L1320" s="176">
        <f t="shared" si="120"/>
        <v>213.02913023773482</v>
      </c>
      <c r="M1320" s="227"/>
      <c r="N1320" s="275"/>
    </row>
    <row r="1321" spans="1:14" ht="21.75" customHeight="1">
      <c r="A1321" t="s">
        <v>1735</v>
      </c>
      <c r="B1321" s="245">
        <v>41912</v>
      </c>
      <c r="C1321" s="126">
        <v>64.099999999999994</v>
      </c>
      <c r="D1321" s="126">
        <v>63.3</v>
      </c>
      <c r="E1321" s="126"/>
      <c r="G1321" s="321">
        <v>0.7873</v>
      </c>
      <c r="H1321" s="123">
        <f t="shared" si="121"/>
        <v>228.72976965224126</v>
      </c>
      <c r="I1321" s="123">
        <f t="shared" si="122"/>
        <v>225.87510794051281</v>
      </c>
      <c r="J1321" s="123"/>
      <c r="K1321" s="123"/>
      <c r="L1321" s="176">
        <f t="shared" si="120"/>
        <v>227.30243879637703</v>
      </c>
      <c r="M1321" s="227"/>
      <c r="N1321" s="275"/>
    </row>
    <row r="1322" spans="1:14" ht="21.75" customHeight="1">
      <c r="A1322" t="s">
        <v>1736</v>
      </c>
      <c r="B1322" s="245">
        <v>41912</v>
      </c>
      <c r="C1322" s="126">
        <v>62.7</v>
      </c>
      <c r="D1322" s="126">
        <v>62.9</v>
      </c>
      <c r="E1322" s="126"/>
      <c r="G1322" s="321">
        <v>0.7873</v>
      </c>
      <c r="H1322" s="123">
        <f t="shared" si="121"/>
        <v>223.73411165671652</v>
      </c>
      <c r="I1322" s="123">
        <f t="shared" si="122"/>
        <v>224.44777708464858</v>
      </c>
      <c r="J1322" s="123"/>
      <c r="K1322" s="123"/>
      <c r="L1322" s="176">
        <f t="shared" si="120"/>
        <v>224.09094437068256</v>
      </c>
      <c r="M1322" s="227"/>
      <c r="N1322" s="275"/>
    </row>
    <row r="1323" spans="1:14" ht="21.75" customHeight="1">
      <c r="A1323" t="s">
        <v>1737</v>
      </c>
      <c r="B1323" s="245">
        <v>41912</v>
      </c>
      <c r="C1323" s="126">
        <v>27.3</v>
      </c>
      <c r="D1323" s="126">
        <v>27.1</v>
      </c>
      <c r="E1323" s="126"/>
      <c r="G1323" s="321">
        <v>0.7873</v>
      </c>
      <c r="H1323" s="123">
        <f t="shared" ref="H1323:H1358" si="123">(C1323*(PI()/LN(2)))*$G1323</f>
        <v>97.415330912733012</v>
      </c>
      <c r="I1323" s="123">
        <f t="shared" si="122"/>
        <v>96.701665484800913</v>
      </c>
      <c r="J1323" s="123"/>
      <c r="K1323" s="123"/>
      <c r="L1323" s="176">
        <f t="shared" si="120"/>
        <v>97.058498198766955</v>
      </c>
      <c r="M1323" s="227"/>
      <c r="N1323" s="275"/>
    </row>
    <row r="1324" spans="1:14" ht="21.75" customHeight="1">
      <c r="A1324" t="s">
        <v>1738</v>
      </c>
      <c r="B1324" s="245">
        <v>41913</v>
      </c>
      <c r="C1324" s="126">
        <v>44.6</v>
      </c>
      <c r="D1324" s="126">
        <v>44.8</v>
      </c>
      <c r="E1324" s="126"/>
      <c r="G1324" s="321">
        <v>1</v>
      </c>
      <c r="H1324" s="123">
        <f t="shared" si="123"/>
        <v>202.14326232549286</v>
      </c>
      <c r="I1324" s="123">
        <f t="shared" ref="I1324:I1358" si="124">(D1324*(PI()/LN(2)))*$G1324</f>
        <v>203.0497343538583</v>
      </c>
      <c r="J1324" s="123"/>
      <c r="K1324" s="123"/>
      <c r="L1324" s="176">
        <f t="shared" si="120"/>
        <v>202.59649833967558</v>
      </c>
      <c r="M1324" s="227"/>
      <c r="N1324" s="275"/>
    </row>
    <row r="1325" spans="1:14" ht="21.75" customHeight="1">
      <c r="A1325" t="s">
        <v>1741</v>
      </c>
      <c r="B1325" s="245">
        <v>41947</v>
      </c>
      <c r="C1325" s="126">
        <v>263.39999999999998</v>
      </c>
      <c r="D1325" s="126">
        <v>265</v>
      </c>
      <c r="E1325" s="126"/>
      <c r="G1325" s="321">
        <v>0.7873</v>
      </c>
      <c r="H1325" s="123">
        <f t="shared" si="123"/>
        <v>939.89736858658875</v>
      </c>
      <c r="I1325" s="123">
        <f t="shared" si="124"/>
        <v>945.60669201004566</v>
      </c>
      <c r="J1325" s="123"/>
      <c r="K1325" s="123"/>
      <c r="L1325" s="176">
        <f t="shared" si="120"/>
        <v>942.75203029831721</v>
      </c>
      <c r="M1325" s="227"/>
      <c r="N1325" s="275"/>
    </row>
    <row r="1326" spans="1:14" ht="21.75" customHeight="1">
      <c r="A1326" t="s">
        <v>1743</v>
      </c>
      <c r="B1326" s="245">
        <v>41947</v>
      </c>
      <c r="C1326" s="126">
        <v>204.6</v>
      </c>
      <c r="D1326" s="126">
        <v>205.4</v>
      </c>
      <c r="E1326" s="126"/>
      <c r="G1326" s="321">
        <v>0.7873</v>
      </c>
      <c r="H1326" s="123">
        <f t="shared" si="123"/>
        <v>730.07973277454857</v>
      </c>
      <c r="I1326" s="123">
        <f t="shared" si="124"/>
        <v>732.93439448627691</v>
      </c>
      <c r="J1326" s="123"/>
      <c r="K1326" s="123"/>
      <c r="L1326" s="176">
        <f t="shared" si="120"/>
        <v>731.50706363041274</v>
      </c>
      <c r="M1326" s="227"/>
      <c r="N1326" s="275"/>
    </row>
    <row r="1327" spans="1:14" ht="21.75" customHeight="1">
      <c r="A1327" t="s">
        <v>1744</v>
      </c>
      <c r="B1327" s="245">
        <v>41947</v>
      </c>
      <c r="C1327" s="126">
        <v>208.1</v>
      </c>
      <c r="D1327" s="126">
        <v>209.3</v>
      </c>
      <c r="E1327" s="126"/>
      <c r="G1327" s="321">
        <v>0.7873</v>
      </c>
      <c r="H1327" s="123">
        <f t="shared" si="123"/>
        <v>742.56887776336043</v>
      </c>
      <c r="I1327" s="123">
        <f t="shared" si="124"/>
        <v>746.85087033095317</v>
      </c>
      <c r="J1327" s="123"/>
      <c r="K1327" s="123"/>
      <c r="L1327" s="176">
        <f t="shared" si="120"/>
        <v>744.70987404715675</v>
      </c>
      <c r="M1327" s="227"/>
      <c r="N1327" s="275"/>
    </row>
    <row r="1328" spans="1:14" ht="21.75" customHeight="1">
      <c r="A1328" t="s">
        <v>1910</v>
      </c>
      <c r="B1328" s="245">
        <v>41947</v>
      </c>
      <c r="C1328" s="126">
        <v>107.9</v>
      </c>
      <c r="D1328" s="126"/>
      <c r="E1328" s="126"/>
      <c r="G1328" s="321">
        <v>0.7873</v>
      </c>
      <c r="H1328" s="123">
        <f t="shared" si="123"/>
        <v>385.02249836937335</v>
      </c>
      <c r="I1328" s="123">
        <f t="shared" si="124"/>
        <v>0</v>
      </c>
      <c r="J1328" s="123"/>
      <c r="K1328" s="123"/>
      <c r="L1328" s="176">
        <f t="shared" si="120"/>
        <v>192.51124918468668</v>
      </c>
      <c r="M1328" s="227"/>
      <c r="N1328" s="275"/>
    </row>
    <row r="1329" spans="1:14" ht="21.75" customHeight="1">
      <c r="A1329" t="s">
        <v>1911</v>
      </c>
      <c r="B1329" s="245">
        <v>41947</v>
      </c>
      <c r="C1329" s="126">
        <v>111.7</v>
      </c>
      <c r="D1329" s="126"/>
      <c r="E1329" s="126"/>
      <c r="G1329" s="321">
        <v>0.7873</v>
      </c>
      <c r="H1329" s="123">
        <f t="shared" si="123"/>
        <v>398.58214150008342</v>
      </c>
      <c r="I1329" s="123">
        <f t="shared" si="124"/>
        <v>0</v>
      </c>
      <c r="J1329" s="123"/>
      <c r="K1329" s="123"/>
      <c r="L1329" s="176">
        <f t="shared" ref="L1329:L1358" si="125">AVERAGE(H1329:I1329)</f>
        <v>199.29107075004171</v>
      </c>
      <c r="M1329" s="227"/>
      <c r="N1329" s="275"/>
    </row>
    <row r="1330" spans="1:14" ht="21.75" customHeight="1">
      <c r="A1330" t="s">
        <v>1745</v>
      </c>
      <c r="B1330" s="245">
        <v>41948</v>
      </c>
      <c r="C1330" s="126">
        <v>251.7</v>
      </c>
      <c r="D1330" s="126">
        <v>252.8</v>
      </c>
      <c r="E1330" s="126"/>
      <c r="G1330" s="321">
        <v>0.7873</v>
      </c>
      <c r="H1330" s="123">
        <f t="shared" si="123"/>
        <v>898.14794105256033</v>
      </c>
      <c r="I1330" s="123">
        <f t="shared" si="124"/>
        <v>902.07310090618694</v>
      </c>
      <c r="J1330" s="123"/>
      <c r="K1330" s="123"/>
      <c r="L1330" s="176">
        <f t="shared" si="125"/>
        <v>900.11052097937363</v>
      </c>
      <c r="M1330" s="227"/>
      <c r="N1330" s="275"/>
    </row>
    <row r="1331" spans="1:14" ht="21.75" customHeight="1">
      <c r="A1331" t="s">
        <v>1747</v>
      </c>
      <c r="B1331" s="245">
        <v>41948</v>
      </c>
      <c r="C1331" s="126">
        <v>195.8</v>
      </c>
      <c r="D1331" s="126">
        <v>192.8</v>
      </c>
      <c r="E1331" s="126"/>
      <c r="G1331" s="321">
        <v>0.7873</v>
      </c>
      <c r="H1331" s="123">
        <f t="shared" si="123"/>
        <v>698.67845394553569</v>
      </c>
      <c r="I1331" s="123">
        <f t="shared" si="124"/>
        <v>687.97347252655402</v>
      </c>
      <c r="J1331" s="123"/>
      <c r="K1331" s="123"/>
      <c r="L1331" s="176">
        <f t="shared" si="125"/>
        <v>693.3259632360448</v>
      </c>
      <c r="M1331" s="227"/>
      <c r="N1331" s="275"/>
    </row>
    <row r="1332" spans="1:14" ht="21.75" customHeight="1">
      <c r="A1332" t="s">
        <v>1748</v>
      </c>
      <c r="B1332" s="245">
        <v>41948</v>
      </c>
      <c r="C1332" s="126">
        <v>195.7</v>
      </c>
      <c r="D1332" s="126">
        <v>199.5</v>
      </c>
      <c r="E1332" s="126"/>
      <c r="G1332" s="321">
        <v>0.7873</v>
      </c>
      <c r="H1332" s="123">
        <f t="shared" si="123"/>
        <v>698.32162123156957</v>
      </c>
      <c r="I1332" s="123">
        <f t="shared" si="124"/>
        <v>711.88126436227969</v>
      </c>
      <c r="J1332" s="123"/>
      <c r="K1332" s="123"/>
      <c r="L1332" s="176">
        <f t="shared" si="125"/>
        <v>705.10144279692463</v>
      </c>
      <c r="M1332" s="227"/>
      <c r="N1332" s="275"/>
    </row>
    <row r="1333" spans="1:14" ht="21.75" customHeight="1">
      <c r="A1333" t="s">
        <v>1749</v>
      </c>
      <c r="B1333" s="245">
        <v>41955</v>
      </c>
      <c r="C1333" s="126">
        <v>155.80000000000001</v>
      </c>
      <c r="D1333" s="126">
        <v>159.69999999999999</v>
      </c>
      <c r="E1333" s="126"/>
      <c r="G1333" s="321">
        <v>0.7873</v>
      </c>
      <c r="H1333" s="123">
        <f t="shared" si="123"/>
        <v>555.94536835911367</v>
      </c>
      <c r="I1333" s="123">
        <f t="shared" si="124"/>
        <v>569.86184420378981</v>
      </c>
      <c r="J1333" s="123"/>
      <c r="K1333" s="123"/>
      <c r="L1333" s="176">
        <f t="shared" si="125"/>
        <v>562.90360628145174</v>
      </c>
      <c r="M1333" s="227"/>
      <c r="N1333" s="275"/>
    </row>
    <row r="1334" spans="1:14" ht="21.75" customHeight="1">
      <c r="A1334" t="s">
        <v>1750</v>
      </c>
      <c r="B1334" s="245">
        <v>41955</v>
      </c>
      <c r="C1334" s="126">
        <v>162.80000000000001</v>
      </c>
      <c r="D1334" s="126">
        <v>168.7</v>
      </c>
      <c r="E1334" s="126"/>
      <c r="G1334" s="321">
        <v>0.7873</v>
      </c>
      <c r="H1334" s="123">
        <f t="shared" si="123"/>
        <v>580.92365833673762</v>
      </c>
      <c r="I1334" s="123">
        <f t="shared" si="124"/>
        <v>601.97678846073472</v>
      </c>
      <c r="J1334" s="123"/>
      <c r="K1334" s="123"/>
      <c r="L1334" s="176">
        <f t="shared" si="125"/>
        <v>591.45022339873617</v>
      </c>
      <c r="M1334" s="227"/>
      <c r="N1334" s="275"/>
    </row>
    <row r="1335" spans="1:14" ht="21.75" customHeight="1">
      <c r="A1335" t="s">
        <v>1751</v>
      </c>
      <c r="B1335" s="245">
        <v>41955</v>
      </c>
      <c r="C1335" s="126">
        <v>121.5</v>
      </c>
      <c r="D1335" s="126">
        <v>124.2</v>
      </c>
      <c r="E1335" s="126"/>
      <c r="G1335" s="321">
        <v>0.7873</v>
      </c>
      <c r="H1335" s="123">
        <f t="shared" si="123"/>
        <v>433.55174746875684</v>
      </c>
      <c r="I1335" s="123">
        <f t="shared" si="124"/>
        <v>443.18623074584036</v>
      </c>
      <c r="J1335" s="123"/>
      <c r="K1335" s="123"/>
      <c r="L1335" s="176">
        <f t="shared" si="125"/>
        <v>438.3689891072986</v>
      </c>
      <c r="M1335" s="227"/>
      <c r="N1335" s="275"/>
    </row>
    <row r="1336" spans="1:14" ht="21.75" customHeight="1">
      <c r="A1336" t="s">
        <v>1753</v>
      </c>
      <c r="B1336" s="245">
        <v>41968</v>
      </c>
      <c r="C1336" s="126">
        <v>156.30000000000001</v>
      </c>
      <c r="D1336" s="126">
        <v>159.30000000000001</v>
      </c>
      <c r="E1336" s="126"/>
      <c r="G1336" s="321">
        <v>0.7873</v>
      </c>
      <c r="H1336" s="123">
        <f t="shared" si="123"/>
        <v>557.72953192894397</v>
      </c>
      <c r="I1336" s="123">
        <f t="shared" si="124"/>
        <v>568.43451334792564</v>
      </c>
      <c r="J1336" s="123"/>
      <c r="K1336" s="123"/>
      <c r="L1336" s="176">
        <f t="shared" si="125"/>
        <v>563.08202263843486</v>
      </c>
      <c r="M1336" s="227"/>
      <c r="N1336" s="275"/>
    </row>
    <row r="1337" spans="1:14" ht="21.75" customHeight="1">
      <c r="A1337" t="s">
        <v>1754</v>
      </c>
      <c r="B1337" s="245">
        <v>41968</v>
      </c>
      <c r="C1337" s="126">
        <v>92.5</v>
      </c>
      <c r="D1337" s="126">
        <v>93</v>
      </c>
      <c r="E1337" s="126"/>
      <c r="G1337" s="321">
        <v>0.7873</v>
      </c>
      <c r="H1337" s="123">
        <f t="shared" si="123"/>
        <v>330.07026041860087</v>
      </c>
      <c r="I1337" s="123">
        <f t="shared" si="124"/>
        <v>331.85442398843117</v>
      </c>
      <c r="J1337" s="123"/>
      <c r="K1337" s="123"/>
      <c r="L1337" s="176">
        <f t="shared" si="125"/>
        <v>330.96234220351602</v>
      </c>
      <c r="M1337" s="227"/>
      <c r="N1337" s="275"/>
    </row>
    <row r="1338" spans="1:14" ht="21.75" customHeight="1">
      <c r="A1338" t="s">
        <v>1755</v>
      </c>
      <c r="B1338" s="245">
        <v>41968</v>
      </c>
      <c r="C1338" s="126">
        <v>127.3</v>
      </c>
      <c r="D1338" s="126">
        <v>129.30000000000001</v>
      </c>
      <c r="E1338" s="126"/>
      <c r="G1338" s="321">
        <v>0.7873</v>
      </c>
      <c r="H1338" s="123">
        <f t="shared" si="123"/>
        <v>454.24804487878799</v>
      </c>
      <c r="I1338" s="123">
        <f t="shared" si="124"/>
        <v>461.38469915810913</v>
      </c>
      <c r="J1338" s="123"/>
      <c r="K1338" s="123"/>
      <c r="L1338" s="176">
        <f t="shared" si="125"/>
        <v>457.81637201844853</v>
      </c>
      <c r="M1338" s="227"/>
      <c r="N1338" s="275"/>
    </row>
    <row r="1339" spans="1:14" ht="21.75" customHeight="1">
      <c r="A1339" t="s">
        <v>1756</v>
      </c>
      <c r="B1339" s="245">
        <v>41975</v>
      </c>
      <c r="C1339" s="126">
        <v>159.1</v>
      </c>
      <c r="D1339" s="126">
        <v>159.80000000000001</v>
      </c>
      <c r="E1339" s="126"/>
      <c r="G1339" s="321">
        <v>0.7873</v>
      </c>
      <c r="H1339" s="123">
        <f t="shared" si="123"/>
        <v>567.7208479199935</v>
      </c>
      <c r="I1339" s="123">
        <f t="shared" si="124"/>
        <v>570.21867691775583</v>
      </c>
      <c r="J1339" s="123"/>
      <c r="K1339" s="123"/>
      <c r="L1339" s="176">
        <f t="shared" si="125"/>
        <v>568.96976241887467</v>
      </c>
      <c r="M1339" s="227"/>
      <c r="N1339" s="275"/>
    </row>
    <row r="1340" spans="1:14" ht="21.75" customHeight="1">
      <c r="A1340" t="s">
        <v>1758</v>
      </c>
      <c r="B1340" s="245">
        <v>41975</v>
      </c>
      <c r="C1340" s="126">
        <v>103.2</v>
      </c>
      <c r="D1340" s="126">
        <v>103.4</v>
      </c>
      <c r="E1340" s="126"/>
      <c r="G1340" s="321">
        <v>0.7873</v>
      </c>
      <c r="H1340" s="123">
        <f t="shared" si="123"/>
        <v>368.25136081296876</v>
      </c>
      <c r="I1340" s="123">
        <f t="shared" si="124"/>
        <v>368.9650262409009</v>
      </c>
      <c r="J1340" s="123"/>
      <c r="K1340" s="123"/>
      <c r="L1340" s="176">
        <f t="shared" si="125"/>
        <v>368.60819352693483</v>
      </c>
      <c r="M1340" s="227"/>
      <c r="N1340" s="275"/>
    </row>
    <row r="1341" spans="1:14" ht="21.75" customHeight="1">
      <c r="A1341" t="s">
        <v>1759</v>
      </c>
      <c r="B1341" s="245">
        <v>41975</v>
      </c>
      <c r="C1341" s="126">
        <v>127.8</v>
      </c>
      <c r="D1341" s="126">
        <v>127</v>
      </c>
      <c r="E1341" s="126"/>
      <c r="G1341" s="321">
        <v>0.7873</v>
      </c>
      <c r="H1341" s="123">
        <f t="shared" si="123"/>
        <v>456.03220844861829</v>
      </c>
      <c r="I1341" s="123">
        <f t="shared" si="124"/>
        <v>453.17754673688984</v>
      </c>
      <c r="J1341" s="123"/>
      <c r="K1341" s="123"/>
      <c r="L1341" s="176">
        <f t="shared" si="125"/>
        <v>454.60487759275406</v>
      </c>
      <c r="M1341" s="227"/>
      <c r="N1341" s="275"/>
    </row>
    <row r="1342" spans="1:14" ht="21.75" customHeight="1">
      <c r="A1342" t="s">
        <v>1760</v>
      </c>
      <c r="B1342" s="245">
        <v>41988</v>
      </c>
      <c r="C1342" s="126">
        <v>150.19999999999999</v>
      </c>
      <c r="D1342" s="126">
        <v>155.30000000000001</v>
      </c>
      <c r="E1342" s="126"/>
      <c r="G1342" s="321">
        <v>0.7873</v>
      </c>
      <c r="H1342" s="123">
        <f t="shared" si="123"/>
        <v>535.96273637701461</v>
      </c>
      <c r="I1342" s="123">
        <f t="shared" si="124"/>
        <v>554.16120478928349</v>
      </c>
      <c r="J1342" s="123"/>
      <c r="K1342" s="123"/>
      <c r="L1342" s="176">
        <f t="shared" si="125"/>
        <v>545.0619705831491</v>
      </c>
      <c r="M1342" s="227"/>
      <c r="N1342" s="275"/>
    </row>
    <row r="1343" spans="1:14" ht="21.75" customHeight="1">
      <c r="A1343" t="s">
        <v>1761</v>
      </c>
      <c r="B1343" s="245">
        <v>41988</v>
      </c>
      <c r="C1343" s="126">
        <v>123.1</v>
      </c>
      <c r="D1343" s="126">
        <v>122.8</v>
      </c>
      <c r="E1343" s="126"/>
      <c r="G1343" s="321">
        <v>0.7873</v>
      </c>
      <c r="H1343" s="123">
        <f t="shared" si="123"/>
        <v>439.2610708922137</v>
      </c>
      <c r="I1343" s="123">
        <f t="shared" si="124"/>
        <v>438.19057275031554</v>
      </c>
      <c r="J1343" s="123"/>
      <c r="K1343" s="123"/>
      <c r="L1343" s="176">
        <f t="shared" si="125"/>
        <v>438.72582182126462</v>
      </c>
      <c r="M1343" s="227"/>
      <c r="N1343" s="275"/>
    </row>
    <row r="1344" spans="1:14" ht="21.75" customHeight="1">
      <c r="A1344" t="s">
        <v>1762</v>
      </c>
      <c r="B1344" s="245">
        <v>41989</v>
      </c>
      <c r="C1344" s="126">
        <v>146.19999999999999</v>
      </c>
      <c r="D1344" s="126">
        <v>147.1</v>
      </c>
      <c r="E1344" s="126"/>
      <c r="G1344" s="321">
        <v>0.7873</v>
      </c>
      <c r="H1344" s="123">
        <f t="shared" si="123"/>
        <v>521.68942781837234</v>
      </c>
      <c r="I1344" s="123">
        <f t="shared" si="124"/>
        <v>524.90092224406692</v>
      </c>
      <c r="J1344" s="123"/>
      <c r="K1344" s="123"/>
      <c r="L1344" s="176">
        <f t="shared" si="125"/>
        <v>523.29517503121963</v>
      </c>
      <c r="M1344" s="227"/>
      <c r="N1344" s="275"/>
    </row>
    <row r="1345" spans="1:14" ht="21.75" customHeight="1">
      <c r="A1345" t="s">
        <v>1763</v>
      </c>
      <c r="B1345" s="245">
        <v>41989</v>
      </c>
      <c r="C1345" s="126">
        <v>121.7</v>
      </c>
      <c r="D1345" s="126">
        <v>123.7</v>
      </c>
      <c r="E1345" s="126"/>
      <c r="G1345" s="321">
        <v>0.7873</v>
      </c>
      <c r="H1345" s="123">
        <f t="shared" si="123"/>
        <v>434.26541289668893</v>
      </c>
      <c r="I1345" s="123">
        <f t="shared" si="124"/>
        <v>441.40206717601006</v>
      </c>
      <c r="J1345" s="123"/>
      <c r="K1345" s="123"/>
      <c r="L1345" s="176">
        <f t="shared" si="125"/>
        <v>437.83374003634947</v>
      </c>
      <c r="M1345" s="227"/>
      <c r="N1345" s="275"/>
    </row>
    <row r="1346" spans="1:14" ht="21.75" customHeight="1">
      <c r="C1346" s="126"/>
      <c r="D1346" s="126"/>
      <c r="E1346" s="126"/>
      <c r="G1346" s="321">
        <v>0.7873</v>
      </c>
      <c r="H1346" s="123">
        <f t="shared" si="123"/>
        <v>0</v>
      </c>
      <c r="I1346" s="123">
        <f t="shared" si="124"/>
        <v>0</v>
      </c>
      <c r="J1346" s="123"/>
      <c r="K1346" s="123"/>
      <c r="L1346" s="176">
        <f t="shared" si="125"/>
        <v>0</v>
      </c>
      <c r="M1346" s="227"/>
      <c r="N1346" s="275"/>
    </row>
    <row r="1347" spans="1:14" ht="21.75" customHeight="1">
      <c r="C1347" s="126"/>
      <c r="D1347" s="126"/>
      <c r="E1347" s="126"/>
      <c r="G1347" s="321">
        <v>0.7873</v>
      </c>
      <c r="H1347" s="123">
        <f t="shared" si="123"/>
        <v>0</v>
      </c>
      <c r="I1347" s="123">
        <f t="shared" si="124"/>
        <v>0</v>
      </c>
      <c r="J1347" s="123"/>
      <c r="K1347" s="123"/>
      <c r="L1347" s="176">
        <f t="shared" si="125"/>
        <v>0</v>
      </c>
      <c r="M1347" s="227"/>
      <c r="N1347" s="275"/>
    </row>
    <row r="1348" spans="1:14" ht="21.75" customHeight="1">
      <c r="C1348" s="126"/>
      <c r="D1348" s="126"/>
      <c r="E1348" s="126"/>
      <c r="G1348" s="321">
        <v>0.7873</v>
      </c>
      <c r="H1348" s="123">
        <f t="shared" si="123"/>
        <v>0</v>
      </c>
      <c r="I1348" s="123">
        <f t="shared" si="124"/>
        <v>0</v>
      </c>
      <c r="J1348" s="123"/>
      <c r="K1348" s="123"/>
      <c r="L1348" s="176">
        <f t="shared" si="125"/>
        <v>0</v>
      </c>
      <c r="M1348" s="227"/>
      <c r="N1348" s="275"/>
    </row>
    <row r="1349" spans="1:14" ht="21.75" customHeight="1">
      <c r="C1349" s="126"/>
      <c r="D1349" s="126"/>
      <c r="E1349" s="126"/>
      <c r="G1349" s="321">
        <v>0.7873</v>
      </c>
      <c r="H1349" s="123">
        <f t="shared" si="123"/>
        <v>0</v>
      </c>
      <c r="I1349" s="123">
        <f t="shared" si="124"/>
        <v>0</v>
      </c>
      <c r="J1349" s="123"/>
      <c r="K1349" s="123"/>
      <c r="L1349" s="176">
        <f t="shared" si="125"/>
        <v>0</v>
      </c>
      <c r="M1349" s="227"/>
      <c r="N1349" s="275"/>
    </row>
    <row r="1350" spans="1:14" ht="21.75" customHeight="1">
      <c r="C1350" s="126"/>
      <c r="D1350" s="126"/>
      <c r="E1350" s="126"/>
      <c r="G1350" s="321">
        <v>0.7873</v>
      </c>
      <c r="H1350" s="123">
        <f t="shared" si="123"/>
        <v>0</v>
      </c>
      <c r="I1350" s="123">
        <f t="shared" si="124"/>
        <v>0</v>
      </c>
      <c r="J1350" s="123"/>
      <c r="K1350" s="123"/>
      <c r="L1350" s="176">
        <f t="shared" si="125"/>
        <v>0</v>
      </c>
      <c r="M1350" s="227"/>
      <c r="N1350" s="275"/>
    </row>
    <row r="1351" spans="1:14" ht="21.75" customHeight="1">
      <c r="C1351" s="126"/>
      <c r="D1351" s="126"/>
      <c r="E1351" s="126"/>
      <c r="G1351" s="321">
        <v>0.7873</v>
      </c>
      <c r="H1351" s="123">
        <f t="shared" si="123"/>
        <v>0</v>
      </c>
      <c r="I1351" s="123">
        <f t="shared" si="124"/>
        <v>0</v>
      </c>
      <c r="J1351" s="123"/>
      <c r="K1351" s="123"/>
      <c r="L1351" s="176">
        <f t="shared" si="125"/>
        <v>0</v>
      </c>
      <c r="M1351" s="227"/>
      <c r="N1351" s="275"/>
    </row>
    <row r="1352" spans="1:14" ht="21.75" customHeight="1">
      <c r="C1352" s="126"/>
      <c r="D1352" s="126"/>
      <c r="E1352" s="126"/>
      <c r="G1352" s="321">
        <v>0.7873</v>
      </c>
      <c r="H1352" s="123">
        <f t="shared" si="123"/>
        <v>0</v>
      </c>
      <c r="I1352" s="123">
        <f t="shared" si="124"/>
        <v>0</v>
      </c>
      <c r="J1352" s="123"/>
      <c r="K1352" s="123"/>
      <c r="L1352" s="176">
        <f t="shared" si="125"/>
        <v>0</v>
      </c>
      <c r="M1352" s="227"/>
      <c r="N1352" s="275"/>
    </row>
    <row r="1353" spans="1:14" ht="21.75" customHeight="1">
      <c r="C1353" s="126"/>
      <c r="D1353" s="126"/>
      <c r="E1353" s="126"/>
      <c r="G1353" s="321">
        <v>0.7873</v>
      </c>
      <c r="H1353" s="123">
        <f t="shared" si="123"/>
        <v>0</v>
      </c>
      <c r="I1353" s="123">
        <f t="shared" si="124"/>
        <v>0</v>
      </c>
      <c r="J1353" s="123"/>
      <c r="K1353" s="123"/>
      <c r="L1353" s="176">
        <f t="shared" si="125"/>
        <v>0</v>
      </c>
      <c r="M1353" s="227"/>
      <c r="N1353" s="275"/>
    </row>
    <row r="1354" spans="1:14" ht="21.75" customHeight="1">
      <c r="C1354" s="126"/>
      <c r="D1354" s="126"/>
      <c r="E1354" s="126"/>
      <c r="G1354" s="321">
        <v>0.7873</v>
      </c>
      <c r="H1354" s="123">
        <f t="shared" si="123"/>
        <v>0</v>
      </c>
      <c r="I1354" s="123">
        <f t="shared" si="124"/>
        <v>0</v>
      </c>
      <c r="J1354" s="123"/>
      <c r="K1354" s="123"/>
      <c r="L1354" s="176">
        <f t="shared" si="125"/>
        <v>0</v>
      </c>
      <c r="M1354" s="227"/>
      <c r="N1354" s="275"/>
    </row>
    <row r="1355" spans="1:14" ht="21.75" customHeight="1">
      <c r="C1355" s="126"/>
      <c r="D1355" s="126"/>
      <c r="E1355" s="126"/>
      <c r="G1355" s="321">
        <v>0.7873</v>
      </c>
      <c r="H1355" s="123">
        <f t="shared" si="123"/>
        <v>0</v>
      </c>
      <c r="I1355" s="123">
        <f t="shared" si="124"/>
        <v>0</v>
      </c>
      <c r="J1355" s="123"/>
      <c r="K1355" s="123"/>
      <c r="L1355" s="176">
        <f t="shared" si="125"/>
        <v>0</v>
      </c>
      <c r="M1355" s="227"/>
      <c r="N1355" s="275"/>
    </row>
    <row r="1356" spans="1:14" ht="21.75" customHeight="1">
      <c r="C1356" s="126"/>
      <c r="D1356" s="126"/>
      <c r="E1356" s="126"/>
      <c r="G1356" s="321">
        <v>0.7873</v>
      </c>
      <c r="H1356" s="123">
        <f t="shared" si="123"/>
        <v>0</v>
      </c>
      <c r="I1356" s="123">
        <f t="shared" si="124"/>
        <v>0</v>
      </c>
      <c r="J1356" s="123"/>
      <c r="K1356" s="123"/>
      <c r="L1356" s="176">
        <f t="shared" si="125"/>
        <v>0</v>
      </c>
      <c r="M1356" s="227"/>
      <c r="N1356" s="275"/>
    </row>
    <row r="1357" spans="1:14" ht="21.75" customHeight="1">
      <c r="C1357" s="126"/>
      <c r="D1357" s="126"/>
      <c r="E1357" s="126"/>
      <c r="G1357" s="321">
        <v>0.7873</v>
      </c>
      <c r="H1357" s="123">
        <f t="shared" si="123"/>
        <v>0</v>
      </c>
      <c r="I1357" s="123">
        <f t="shared" si="124"/>
        <v>0</v>
      </c>
      <c r="J1357" s="123"/>
      <c r="K1357" s="123"/>
      <c r="L1357" s="176">
        <f t="shared" si="125"/>
        <v>0</v>
      </c>
      <c r="M1357" s="227"/>
      <c r="N1357" s="275"/>
    </row>
    <row r="1358" spans="1:14" ht="21.75" customHeight="1">
      <c r="C1358" s="126"/>
      <c r="D1358" s="126"/>
      <c r="E1358" s="126"/>
      <c r="G1358" s="321">
        <v>0.7873</v>
      </c>
      <c r="H1358" s="123">
        <f t="shared" si="123"/>
        <v>0</v>
      </c>
      <c r="I1358" s="123">
        <f t="shared" si="124"/>
        <v>0</v>
      </c>
      <c r="J1358" s="123"/>
      <c r="K1358" s="123"/>
      <c r="L1358" s="176">
        <f t="shared" si="125"/>
        <v>0</v>
      </c>
      <c r="M1358" s="227"/>
      <c r="N1358" s="275"/>
    </row>
  </sheetData>
  <mergeCells count="126">
    <mergeCell ref="M426:M429"/>
    <mergeCell ref="N426:N429"/>
    <mergeCell ref="M434:M436"/>
    <mergeCell ref="N434:N436"/>
    <mergeCell ref="M438:M440"/>
    <mergeCell ref="N438:N440"/>
    <mergeCell ref="M409:M411"/>
    <mergeCell ref="N409:N411"/>
    <mergeCell ref="M412:M415"/>
    <mergeCell ref="N412:N415"/>
    <mergeCell ref="M416:M418"/>
    <mergeCell ref="N416:N418"/>
    <mergeCell ref="M419:M422"/>
    <mergeCell ref="N419:N422"/>
    <mergeCell ref="M423:M425"/>
    <mergeCell ref="N423:N425"/>
    <mergeCell ref="M390:M393"/>
    <mergeCell ref="N390:N393"/>
    <mergeCell ref="M394:M397"/>
    <mergeCell ref="N394:N397"/>
    <mergeCell ref="M398:M400"/>
    <mergeCell ref="N398:N400"/>
    <mergeCell ref="M401:M404"/>
    <mergeCell ref="N401:N404"/>
    <mergeCell ref="M405:M408"/>
    <mergeCell ref="N405:N408"/>
    <mergeCell ref="M369:M371"/>
    <mergeCell ref="N369:N371"/>
    <mergeCell ref="M374:M377"/>
    <mergeCell ref="N374:N377"/>
    <mergeCell ref="M378:M381"/>
    <mergeCell ref="N378:N381"/>
    <mergeCell ref="M382:M385"/>
    <mergeCell ref="N382:N385"/>
    <mergeCell ref="M386:M389"/>
    <mergeCell ref="N386:N389"/>
    <mergeCell ref="M353:M356"/>
    <mergeCell ref="N353:N356"/>
    <mergeCell ref="M357:M360"/>
    <mergeCell ref="N357:N360"/>
    <mergeCell ref="M361:M364"/>
    <mergeCell ref="N361:N364"/>
    <mergeCell ref="M365:M366"/>
    <mergeCell ref="N365:N366"/>
    <mergeCell ref="M367:M368"/>
    <mergeCell ref="N367:N368"/>
    <mergeCell ref="M331:M334"/>
    <mergeCell ref="N331:N334"/>
    <mergeCell ref="M335:M338"/>
    <mergeCell ref="N335:N338"/>
    <mergeCell ref="M339:M342"/>
    <mergeCell ref="N339:N342"/>
    <mergeCell ref="M343:M346"/>
    <mergeCell ref="N343:N346"/>
    <mergeCell ref="M349:M352"/>
    <mergeCell ref="N349:N352"/>
    <mergeCell ref="M308:M311"/>
    <mergeCell ref="N308:N311"/>
    <mergeCell ref="M312:M315"/>
    <mergeCell ref="N312:N315"/>
    <mergeCell ref="M317:M320"/>
    <mergeCell ref="N317:N320"/>
    <mergeCell ref="M321:M324"/>
    <mergeCell ref="N321:N324"/>
    <mergeCell ref="M327:M330"/>
    <mergeCell ref="N327:N330"/>
    <mergeCell ref="M286:M289"/>
    <mergeCell ref="N286:N289"/>
    <mergeCell ref="M292:M295"/>
    <mergeCell ref="N292:N295"/>
    <mergeCell ref="M296:M299"/>
    <mergeCell ref="N296:N299"/>
    <mergeCell ref="M300:M303"/>
    <mergeCell ref="N300:N303"/>
    <mergeCell ref="M304:M307"/>
    <mergeCell ref="N304:N307"/>
    <mergeCell ref="M266:M269"/>
    <mergeCell ref="N266:N269"/>
    <mergeCell ref="M270:M273"/>
    <mergeCell ref="N270:N273"/>
    <mergeCell ref="M274:M277"/>
    <mergeCell ref="N274:N277"/>
    <mergeCell ref="M278:M281"/>
    <mergeCell ref="N278:N281"/>
    <mergeCell ref="M282:M285"/>
    <mergeCell ref="N282:N285"/>
    <mergeCell ref="M246:M249"/>
    <mergeCell ref="N246:N249"/>
    <mergeCell ref="M250:M253"/>
    <mergeCell ref="N250:N253"/>
    <mergeCell ref="M254:M257"/>
    <mergeCell ref="N254:N257"/>
    <mergeCell ref="M258:M261"/>
    <mergeCell ref="N258:N261"/>
    <mergeCell ref="M262:M265"/>
    <mergeCell ref="N262:N265"/>
    <mergeCell ref="M226:M229"/>
    <mergeCell ref="N226:N229"/>
    <mergeCell ref="M230:M233"/>
    <mergeCell ref="N230:N233"/>
    <mergeCell ref="M234:M237"/>
    <mergeCell ref="N234:N237"/>
    <mergeCell ref="M238:M241"/>
    <mergeCell ref="N238:N241"/>
    <mergeCell ref="M242:M245"/>
    <mergeCell ref="N242:N245"/>
    <mergeCell ref="M206:M209"/>
    <mergeCell ref="N206:N209"/>
    <mergeCell ref="M210:M213"/>
    <mergeCell ref="N210:N213"/>
    <mergeCell ref="M214:M217"/>
    <mergeCell ref="N214:N217"/>
    <mergeCell ref="M218:M221"/>
    <mergeCell ref="N218:N221"/>
    <mergeCell ref="M222:M225"/>
    <mergeCell ref="N222:N225"/>
    <mergeCell ref="M186:M189"/>
    <mergeCell ref="N186:N189"/>
    <mergeCell ref="M190:M193"/>
    <mergeCell ref="N190:N193"/>
    <mergeCell ref="M194:M197"/>
    <mergeCell ref="N194:N197"/>
    <mergeCell ref="M198:M201"/>
    <mergeCell ref="N198:N201"/>
    <mergeCell ref="M202:M205"/>
    <mergeCell ref="N202:N205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/>
  </sheetViews>
  <sheetFormatPr baseColWidth="10" defaultColWidth="17.1640625" defaultRowHeight="12.75" customHeight="1" x14ac:dyDescent="0"/>
  <cols>
    <col min="4" max="4" width="10.6640625" customWidth="1"/>
    <col min="5" max="5" width="10.5" customWidth="1"/>
    <col min="6" max="6" width="11.83203125" customWidth="1"/>
    <col min="7" max="7" width="7.83203125" customWidth="1"/>
    <col min="8" max="8" width="6.6640625" customWidth="1"/>
    <col min="9" max="9" width="7.5" customWidth="1"/>
    <col min="10" max="10" width="13.5" customWidth="1"/>
    <col min="11" max="11" width="7.33203125" customWidth="1"/>
    <col min="12" max="12" width="11.1640625" customWidth="1"/>
    <col min="14" max="14" width="9.5" customWidth="1"/>
    <col min="15" max="15" width="8.1640625" customWidth="1"/>
    <col min="16" max="16" width="8.6640625" customWidth="1"/>
    <col min="17" max="17" width="7.6640625" customWidth="1"/>
    <col min="18" max="18" width="9.6640625" customWidth="1"/>
    <col min="21" max="21" width="3.83203125" customWidth="1"/>
  </cols>
  <sheetData>
    <row r="1" spans="1:22" ht="12.75" customHeight="1">
      <c r="A1" t="s">
        <v>1912</v>
      </c>
    </row>
    <row r="2" spans="1:22" ht="12.75" customHeight="1">
      <c r="A2" t="s">
        <v>1913</v>
      </c>
      <c r="B2" t="s">
        <v>1914</v>
      </c>
      <c r="C2" t="s">
        <v>1915</v>
      </c>
      <c r="D2" t="s">
        <v>1916</v>
      </c>
      <c r="E2" t="s">
        <v>1917</v>
      </c>
      <c r="F2" t="s">
        <v>1918</v>
      </c>
      <c r="G2" t="s">
        <v>1919</v>
      </c>
      <c r="H2" t="s">
        <v>1920</v>
      </c>
      <c r="I2" t="s">
        <v>1921</v>
      </c>
      <c r="J2" t="s">
        <v>1922</v>
      </c>
      <c r="K2" t="s">
        <v>1923</v>
      </c>
      <c r="L2" t="s">
        <v>1924</v>
      </c>
      <c r="M2" t="s">
        <v>1925</v>
      </c>
      <c r="N2" t="s">
        <v>1926</v>
      </c>
      <c r="O2" t="s">
        <v>1927</v>
      </c>
      <c r="P2" t="s">
        <v>1928</v>
      </c>
      <c r="Q2" s="365"/>
      <c r="R2" t="s">
        <v>1929</v>
      </c>
      <c r="S2" t="s">
        <v>1930</v>
      </c>
    </row>
    <row r="3" spans="1:22" ht="12.75" customHeight="1">
      <c r="A3">
        <v>238</v>
      </c>
      <c r="B3">
        <v>13.2</v>
      </c>
      <c r="C3">
        <v>13.3</v>
      </c>
      <c r="D3">
        <v>6.2</v>
      </c>
      <c r="E3">
        <v>6.24</v>
      </c>
      <c r="F3" s="275">
        <f t="shared" ref="F3:F11" si="0">(E3-D3)/D3</f>
        <v>6.4516129032258117E-3</v>
      </c>
      <c r="G3">
        <v>0.2984</v>
      </c>
      <c r="H3">
        <v>0.49</v>
      </c>
      <c r="I3">
        <v>0.21</v>
      </c>
      <c r="J3">
        <v>56.3</v>
      </c>
      <c r="K3">
        <f t="shared" ref="K3:K11" si="1">J3*3.57</f>
        <v>200.99099999999999</v>
      </c>
      <c r="L3" s="132">
        <v>188.407672974077</v>
      </c>
      <c r="M3" s="43">
        <f t="shared" ref="M3:M11" si="2">(K3-L3)/L3</f>
        <v>6.6787763084650606E-2</v>
      </c>
      <c r="N3" s="132">
        <f t="shared" ref="N3:N11" si="3">L3*D3</f>
        <v>1168.1275724392774</v>
      </c>
      <c r="O3" s="132">
        <f t="shared" ref="O3:O11" si="4">K3*E3</f>
        <v>1254.1838399999999</v>
      </c>
      <c r="P3" s="275">
        <f t="shared" ref="P3:P11" si="5">(O3-N3)/N3</f>
        <v>7.3670264781970946E-2</v>
      </c>
      <c r="Q3" s="365">
        <f t="shared" ref="Q3:Q11" si="6">(K3-L3)/L3</f>
        <v>6.6787763084650606E-2</v>
      </c>
      <c r="R3">
        <v>0.28899999999999998</v>
      </c>
      <c r="S3">
        <v>8.6999999999999993</v>
      </c>
      <c r="T3">
        <f t="shared" ref="T3:T11" si="7">D3-(N3/K3)</f>
        <v>0.3881598059650555</v>
      </c>
      <c r="U3">
        <v>6.2</v>
      </c>
      <c r="V3">
        <f t="shared" ref="V3:V11" si="8">1/(K3)</f>
        <v>4.9753471548477299E-3</v>
      </c>
    </row>
    <row r="4" spans="1:22" ht="12.75" customHeight="1">
      <c r="A4">
        <v>246</v>
      </c>
      <c r="B4">
        <v>12</v>
      </c>
      <c r="C4">
        <v>11.97</v>
      </c>
      <c r="D4">
        <v>4.4000000000000004</v>
      </c>
      <c r="E4">
        <v>4.4000000000000004</v>
      </c>
      <c r="F4" s="275">
        <f t="shared" si="0"/>
        <v>0</v>
      </c>
      <c r="G4">
        <v>0.23699999999999999</v>
      </c>
      <c r="H4">
        <v>0.57199999999999995</v>
      </c>
      <c r="I4">
        <v>0.19</v>
      </c>
      <c r="J4">
        <v>92.1</v>
      </c>
      <c r="K4">
        <f t="shared" si="1"/>
        <v>328.79699999999997</v>
      </c>
      <c r="L4" s="24">
        <v>297.836371923667</v>
      </c>
      <c r="M4" s="43">
        <f t="shared" si="2"/>
        <v>0.10395180372485842</v>
      </c>
      <c r="N4" s="132">
        <f t="shared" si="3"/>
        <v>1310.4800364641349</v>
      </c>
      <c r="O4" s="132">
        <f t="shared" si="4"/>
        <v>1446.7067999999999</v>
      </c>
      <c r="P4" s="275">
        <f t="shared" si="5"/>
        <v>0.10395180372485843</v>
      </c>
      <c r="Q4" s="365">
        <f t="shared" si="6"/>
        <v>0.10395180372485842</v>
      </c>
      <c r="R4">
        <v>0.37830000000000003</v>
      </c>
      <c r="S4">
        <v>6.2</v>
      </c>
      <c r="T4">
        <f t="shared" si="7"/>
        <v>0.41431875453810463</v>
      </c>
      <c r="U4">
        <v>4.4000000000000004</v>
      </c>
      <c r="V4">
        <f t="shared" si="8"/>
        <v>3.0413902803249422E-3</v>
      </c>
    </row>
    <row r="5" spans="1:22" ht="12.75" customHeight="1">
      <c r="A5">
        <v>268</v>
      </c>
      <c r="B5">
        <v>13.4</v>
      </c>
      <c r="C5">
        <v>13.55</v>
      </c>
      <c r="D5">
        <v>7.9</v>
      </c>
      <c r="E5">
        <v>7.83</v>
      </c>
      <c r="F5" s="275">
        <f t="shared" si="0"/>
        <v>-8.8607594936709212E-3</v>
      </c>
      <c r="G5">
        <v>0.32640000000000002</v>
      </c>
      <c r="H5">
        <v>0.43280000000000002</v>
      </c>
      <c r="I5">
        <v>0.24079999999999999</v>
      </c>
      <c r="J5">
        <v>43</v>
      </c>
      <c r="K5">
        <f t="shared" si="1"/>
        <v>153.51</v>
      </c>
      <c r="L5" s="24">
        <v>146.896133916026</v>
      </c>
      <c r="M5" s="43">
        <f t="shared" si="2"/>
        <v>4.5024099053245621E-2</v>
      </c>
      <c r="N5" s="132">
        <f t="shared" si="3"/>
        <v>1160.4794579366055</v>
      </c>
      <c r="O5" s="132">
        <f t="shared" si="4"/>
        <v>1201.9832999999999</v>
      </c>
      <c r="P5" s="275">
        <f t="shared" si="5"/>
        <v>3.5764391846444581E-2</v>
      </c>
      <c r="Q5" s="365">
        <f t="shared" si="6"/>
        <v>4.5024099053245621E-2</v>
      </c>
      <c r="R5">
        <v>0.22600000000000001</v>
      </c>
      <c r="S5">
        <v>11.2</v>
      </c>
      <c r="T5">
        <f t="shared" si="7"/>
        <v>0.34036572251576125</v>
      </c>
      <c r="U5">
        <v>7.9</v>
      </c>
      <c r="V5">
        <f t="shared" si="8"/>
        <v>6.514233600416911E-3</v>
      </c>
    </row>
    <row r="6" spans="1:22" ht="12.75" customHeight="1">
      <c r="A6">
        <v>270</v>
      </c>
      <c r="B6">
        <v>14.5</v>
      </c>
      <c r="C6">
        <v>14.52</v>
      </c>
      <c r="D6">
        <v>9.3000000000000007</v>
      </c>
      <c r="E6">
        <v>9.33</v>
      </c>
      <c r="F6" s="275">
        <f t="shared" si="0"/>
        <v>3.2258064516128343E-3</v>
      </c>
      <c r="G6">
        <v>0.33900000000000002</v>
      </c>
      <c r="H6">
        <v>0.38650000000000001</v>
      </c>
      <c r="I6">
        <v>0.27450000000000002</v>
      </c>
      <c r="J6">
        <v>30.6</v>
      </c>
      <c r="K6">
        <f t="shared" si="1"/>
        <v>109.242</v>
      </c>
      <c r="L6" s="24">
        <v>103.600431288145</v>
      </c>
      <c r="M6" s="43">
        <f t="shared" si="2"/>
        <v>5.4455069749314508E-2</v>
      </c>
      <c r="N6" s="132">
        <f t="shared" si="3"/>
        <v>963.48401097974863</v>
      </c>
      <c r="O6" s="132">
        <f t="shared" si="4"/>
        <v>1019.2278600000001</v>
      </c>
      <c r="P6" s="275">
        <f t="shared" si="5"/>
        <v>5.7856537716247707E-2</v>
      </c>
      <c r="Q6" s="365">
        <f t="shared" si="6"/>
        <v>5.4455069749314508E-2</v>
      </c>
      <c r="R6">
        <v>0.17699999999999999</v>
      </c>
      <c r="S6">
        <v>14</v>
      </c>
      <c r="T6">
        <f t="shared" si="7"/>
        <v>0.48027854689818383</v>
      </c>
      <c r="U6">
        <v>9.3000000000000007</v>
      </c>
      <c r="V6">
        <f t="shared" si="8"/>
        <v>9.1539883927427169E-3</v>
      </c>
    </row>
    <row r="7" spans="1:22" ht="12.75" customHeight="1">
      <c r="A7">
        <v>292</v>
      </c>
      <c r="B7" t="s">
        <v>1511</v>
      </c>
      <c r="C7" t="s">
        <v>1931</v>
      </c>
      <c r="D7">
        <v>2.4</v>
      </c>
      <c r="E7">
        <v>2.52</v>
      </c>
      <c r="F7" s="275">
        <f t="shared" si="0"/>
        <v>5.0000000000000044E-2</v>
      </c>
      <c r="G7">
        <v>0.16450000000000001</v>
      </c>
      <c r="H7">
        <v>0.67630000000000001</v>
      </c>
      <c r="I7">
        <v>0.15920000000000001</v>
      </c>
      <c r="J7">
        <v>288</v>
      </c>
      <c r="K7">
        <f t="shared" si="1"/>
        <v>1028.1599999999999</v>
      </c>
      <c r="L7" s="24">
        <v>853.662796044792</v>
      </c>
      <c r="M7" s="43">
        <f t="shared" si="2"/>
        <v>0.20440999041271551</v>
      </c>
      <c r="N7" s="132">
        <f t="shared" si="3"/>
        <v>2048.7907105075005</v>
      </c>
      <c r="O7" s="132">
        <f t="shared" si="4"/>
        <v>2590.9631999999997</v>
      </c>
      <c r="P7" s="275">
        <f t="shared" si="5"/>
        <v>0.26463048993335148</v>
      </c>
      <c r="Q7" s="365">
        <f t="shared" si="6"/>
        <v>0.20440999041271551</v>
      </c>
      <c r="R7">
        <v>0.5857</v>
      </c>
      <c r="S7">
        <v>2.9</v>
      </c>
      <c r="T7">
        <f t="shared" si="7"/>
        <v>0.40732307179086824</v>
      </c>
      <c r="U7">
        <v>2.4</v>
      </c>
      <c r="V7">
        <f t="shared" si="8"/>
        <v>9.7261126672891387E-4</v>
      </c>
    </row>
    <row r="8" spans="1:22" ht="12.75" customHeight="1">
      <c r="A8">
        <v>549</v>
      </c>
      <c r="B8" t="s">
        <v>1511</v>
      </c>
      <c r="D8">
        <v>3.29</v>
      </c>
      <c r="E8">
        <v>2.234</v>
      </c>
      <c r="F8" s="275">
        <f t="shared" si="0"/>
        <v>-0.32097264437689971</v>
      </c>
      <c r="G8">
        <v>0.27589999999999998</v>
      </c>
      <c r="H8">
        <v>0.63349999999999995</v>
      </c>
      <c r="I8">
        <v>9.0499999999999997E-2</v>
      </c>
      <c r="J8">
        <v>190.5</v>
      </c>
      <c r="K8">
        <f t="shared" si="1"/>
        <v>680.08499999999992</v>
      </c>
      <c r="L8" s="132">
        <v>592.43151336214305</v>
      </c>
      <c r="M8" s="43">
        <f t="shared" si="2"/>
        <v>0.14795547613665821</v>
      </c>
      <c r="N8" s="132">
        <f t="shared" si="3"/>
        <v>1949.0996789614508</v>
      </c>
      <c r="O8" s="132">
        <f t="shared" si="4"/>
        <v>1519.3098899999998</v>
      </c>
      <c r="P8" s="275">
        <f t="shared" si="5"/>
        <v>-0.22050682866586802</v>
      </c>
      <c r="Q8" s="365">
        <f t="shared" si="6"/>
        <v>0.14795547613665821</v>
      </c>
      <c r="R8">
        <v>0.49199999999999999</v>
      </c>
      <c r="S8">
        <v>4.0999999999999996</v>
      </c>
      <c r="T8">
        <f t="shared" si="7"/>
        <v>0.42403518830521048</v>
      </c>
      <c r="U8">
        <v>3.29</v>
      </c>
      <c r="V8">
        <f t="shared" si="8"/>
        <v>1.4704044347397752E-3</v>
      </c>
    </row>
    <row r="9" spans="1:22" ht="12.75" customHeight="1">
      <c r="A9">
        <v>560</v>
      </c>
      <c r="B9" t="s">
        <v>1511</v>
      </c>
      <c r="D9">
        <v>5.16</v>
      </c>
      <c r="E9">
        <v>5.09</v>
      </c>
      <c r="F9" s="275">
        <f t="shared" si="0"/>
        <v>-1.3565891472868272E-2</v>
      </c>
      <c r="G9">
        <v>0.2601</v>
      </c>
      <c r="H9">
        <v>0.53939999999999999</v>
      </c>
      <c r="I9">
        <v>0.20050000000000001</v>
      </c>
      <c r="J9">
        <v>117.3</v>
      </c>
      <c r="K9">
        <f t="shared" si="1"/>
        <v>418.76099999999997</v>
      </c>
      <c r="L9" s="24">
        <v>385.46853926183098</v>
      </c>
      <c r="M9" s="43">
        <f t="shared" si="2"/>
        <v>8.6368814435346053E-2</v>
      </c>
      <c r="N9" s="132">
        <f t="shared" si="3"/>
        <v>1989.0176625910478</v>
      </c>
      <c r="O9" s="132">
        <f t="shared" si="4"/>
        <v>2131.4934899999998</v>
      </c>
      <c r="P9" s="275">
        <f t="shared" si="5"/>
        <v>7.1631252999207654E-2</v>
      </c>
      <c r="Q9" s="365">
        <f t="shared" si="6"/>
        <v>8.6368814435346053E-2</v>
      </c>
      <c r="R9">
        <v>0.38</v>
      </c>
      <c r="S9">
        <v>6.2</v>
      </c>
      <c r="T9">
        <f t="shared" si="7"/>
        <v>0.41023184443859861</v>
      </c>
      <c r="U9">
        <v>5.16</v>
      </c>
      <c r="V9">
        <f t="shared" si="8"/>
        <v>2.3879969720198395E-3</v>
      </c>
    </row>
    <row r="10" spans="1:22" ht="12.75" customHeight="1">
      <c r="A10">
        <v>662</v>
      </c>
      <c r="B10">
        <v>9.1</v>
      </c>
      <c r="C10">
        <v>8.94</v>
      </c>
      <c r="D10">
        <v>4.1399999999999997</v>
      </c>
      <c r="E10">
        <v>4.1230000000000002</v>
      </c>
      <c r="F10" s="275">
        <f t="shared" si="0"/>
        <v>-4.1062801932365851E-3</v>
      </c>
      <c r="G10">
        <v>0.2311</v>
      </c>
      <c r="H10">
        <v>0.58560000000000001</v>
      </c>
      <c r="I10">
        <v>0.18329999999999999</v>
      </c>
      <c r="J10">
        <v>105.8</v>
      </c>
      <c r="K10">
        <f t="shared" si="1"/>
        <v>377.70599999999996</v>
      </c>
      <c r="L10" s="20">
        <v>366.64561360012101</v>
      </c>
      <c r="M10" s="43">
        <f t="shared" si="2"/>
        <v>3.0166422260657043E-2</v>
      </c>
      <c r="N10" s="132">
        <f t="shared" si="3"/>
        <v>1517.9128403045008</v>
      </c>
      <c r="O10" s="132">
        <f t="shared" si="4"/>
        <v>1557.2818379999999</v>
      </c>
      <c r="P10" s="275">
        <f t="shared" si="5"/>
        <v>2.5936270285190705E-2</v>
      </c>
      <c r="Q10" s="365">
        <f t="shared" si="6"/>
        <v>3.0166422260657043E-2</v>
      </c>
      <c r="R10">
        <v>0.38800000000000001</v>
      </c>
      <c r="S10">
        <v>6</v>
      </c>
      <c r="T10">
        <f t="shared" si="7"/>
        <v>0.12123185677616721</v>
      </c>
      <c r="U10">
        <v>4.1399999999999997</v>
      </c>
      <c r="V10">
        <f t="shared" si="8"/>
        <v>2.6475618602828659E-3</v>
      </c>
    </row>
    <row r="11" spans="1:22" ht="12.75" customHeight="1">
      <c r="A11">
        <v>774</v>
      </c>
      <c r="B11">
        <v>8.8000000000000007</v>
      </c>
      <c r="C11">
        <v>8.67</v>
      </c>
      <c r="D11">
        <v>6.88</v>
      </c>
      <c r="E11">
        <v>6.77</v>
      </c>
      <c r="F11" s="275">
        <f t="shared" si="0"/>
        <v>-1.5988372093023302E-2</v>
      </c>
      <c r="G11">
        <v>0.30280000000000001</v>
      </c>
      <c r="H11">
        <v>0.47049999999999997</v>
      </c>
      <c r="I11">
        <v>0.22670000000000001</v>
      </c>
      <c r="J11">
        <v>148.4</v>
      </c>
      <c r="K11">
        <f t="shared" si="1"/>
        <v>529.78800000000001</v>
      </c>
      <c r="L11" s="20">
        <v>501.08233858683298</v>
      </c>
      <c r="M11" s="43">
        <f t="shared" si="2"/>
        <v>5.728731428476122E-2</v>
      </c>
      <c r="N11" s="132">
        <f t="shared" si="3"/>
        <v>3447.446489477411</v>
      </c>
      <c r="O11" s="132">
        <f t="shared" si="4"/>
        <v>3586.6647599999997</v>
      </c>
      <c r="P11" s="275">
        <f t="shared" si="5"/>
        <v>4.0383011294743087E-2</v>
      </c>
      <c r="Q11" s="365">
        <f t="shared" si="6"/>
        <v>5.728731428476122E-2</v>
      </c>
      <c r="R11">
        <v>0.435</v>
      </c>
      <c r="S11">
        <v>5.0999999999999996</v>
      </c>
      <c r="T11">
        <f t="shared" si="7"/>
        <v>0.3727810945559149</v>
      </c>
      <c r="U11">
        <v>6.88</v>
      </c>
      <c r="V11">
        <f t="shared" si="8"/>
        <v>1.8875474718189162E-3</v>
      </c>
    </row>
    <row r="12" spans="1:22" ht="12.75" customHeight="1">
      <c r="Q12" s="365"/>
    </row>
    <row r="13" spans="1:22" ht="12.75" customHeight="1">
      <c r="Q13" s="365"/>
      <c r="S13" t="s">
        <v>1932</v>
      </c>
      <c r="T13">
        <f>AVERAGE(T3:T11)</f>
        <v>0.37319176508709606</v>
      </c>
    </row>
    <row r="14" spans="1:22" ht="12.75" customHeight="1">
      <c r="Q14" s="365"/>
      <c r="S14" t="s">
        <v>1933</v>
      </c>
      <c r="T14">
        <f>STDEV(T3:T11)</f>
        <v>0.10189855907048177</v>
      </c>
    </row>
    <row r="15" spans="1:22" ht="12.75" customHeight="1">
      <c r="Q15" s="365"/>
    </row>
    <row r="16" spans="1:22" ht="12.75" customHeight="1">
      <c r="Q16" s="365"/>
    </row>
    <row r="17" spans="12:17" ht="12.75" customHeight="1">
      <c r="Q17" s="365"/>
    </row>
    <row r="18" spans="12:17" ht="12.75" customHeight="1">
      <c r="L18" s="275"/>
      <c r="Q18" s="365"/>
    </row>
    <row r="19" spans="12:17" ht="12.75" customHeight="1">
      <c r="Q19" s="365"/>
    </row>
    <row r="20" spans="12:17" ht="12.75" customHeight="1">
      <c r="Q20" s="365"/>
    </row>
    <row r="21" spans="12:17" ht="12.75" customHeight="1">
      <c r="Q21" s="365"/>
    </row>
    <row r="22" spans="12:17" ht="12.75" customHeight="1">
      <c r="Q22" s="365"/>
    </row>
    <row r="23" spans="12:17" ht="12.75" customHeight="1">
      <c r="Q23" s="365"/>
    </row>
    <row r="24" spans="12:17" ht="12.75" customHeight="1">
      <c r="Q24" s="365"/>
    </row>
    <row r="25" spans="12:17" ht="12.75" customHeight="1">
      <c r="Q25" s="365"/>
    </row>
    <row r="26" spans="12:17" ht="12.75" customHeight="1">
      <c r="Q26" s="365"/>
    </row>
    <row r="27" spans="12:17" ht="12.75" customHeight="1">
      <c r="Q27" s="365"/>
    </row>
    <row r="28" spans="12:17" ht="12.75" customHeight="1">
      <c r="Q28" s="365"/>
    </row>
    <row r="29" spans="12:17" ht="12.75" customHeight="1">
      <c r="Q29" s="365"/>
    </row>
    <row r="30" spans="12:17" ht="12.75" customHeight="1">
      <c r="Q30" s="365"/>
    </row>
    <row r="31" spans="12:17" ht="12.75" customHeight="1">
      <c r="Q31" s="365"/>
    </row>
    <row r="32" spans="12:17" ht="12.75" customHeight="1">
      <c r="Q32" s="365"/>
    </row>
    <row r="33" spans="17:17" ht="12.75" customHeight="1">
      <c r="Q33" s="365"/>
    </row>
    <row r="34" spans="17:17" ht="12.75" customHeight="1">
      <c r="Q34" s="365"/>
    </row>
    <row r="35" spans="17:17" ht="12.75" customHeight="1">
      <c r="Q35" s="365"/>
    </row>
    <row r="36" spans="17:17" ht="12.75" customHeight="1">
      <c r="Q36" s="365"/>
    </row>
    <row r="37" spans="17:17" ht="12.75" customHeight="1">
      <c r="Q37" s="365"/>
    </row>
    <row r="38" spans="17:17" ht="12.75" customHeight="1">
      <c r="Q38" s="365"/>
    </row>
    <row r="39" spans="17:17" ht="12.75" customHeight="1">
      <c r="Q39" s="365"/>
    </row>
    <row r="40" spans="17:17" ht="12.75" customHeight="1">
      <c r="Q40" s="365"/>
    </row>
    <row r="41" spans="17:17" ht="12.75" customHeight="1">
      <c r="Q41" s="365"/>
    </row>
    <row r="42" spans="17:17" ht="12.75" customHeight="1">
      <c r="Q42" s="365"/>
    </row>
    <row r="43" spans="17:17" ht="12.75" customHeight="1">
      <c r="Q43" s="365"/>
    </row>
    <row r="44" spans="17:17" ht="12.75" customHeight="1">
      <c r="Q44" s="365"/>
    </row>
    <row r="45" spans="17:17" ht="12.75" customHeight="1">
      <c r="Q45" s="365"/>
    </row>
    <row r="46" spans="17:17" ht="12.75" customHeight="1">
      <c r="Q46" s="365"/>
    </row>
    <row r="47" spans="17:17" ht="12.75" customHeight="1">
      <c r="Q47" s="365"/>
    </row>
    <row r="48" spans="17:17" ht="12.75" customHeight="1">
      <c r="Q48" s="365"/>
    </row>
    <row r="49" spans="17:17" ht="12.75" customHeight="1">
      <c r="Q49" s="365"/>
    </row>
    <row r="50" spans="17:17" ht="12.75" customHeight="1">
      <c r="Q50" s="365"/>
    </row>
    <row r="51" spans="17:17" ht="12.75" customHeight="1">
      <c r="Q51" s="365"/>
    </row>
    <row r="52" spans="17:17" ht="12.75" customHeight="1">
      <c r="Q52" s="365"/>
    </row>
    <row r="53" spans="17:17" ht="12.75" customHeight="1">
      <c r="Q53" s="365"/>
    </row>
    <row r="54" spans="17:17" ht="12.75" customHeight="1">
      <c r="Q54" s="365"/>
    </row>
    <row r="55" spans="17:17" ht="12.75" customHeight="1">
      <c r="Q55" s="365"/>
    </row>
    <row r="56" spans="17:17" ht="12.75" customHeight="1">
      <c r="Q56" s="365"/>
    </row>
    <row r="57" spans="17:17" ht="12.75" customHeight="1">
      <c r="Q57" s="365"/>
    </row>
    <row r="58" spans="17:17" ht="12.75" customHeight="1">
      <c r="Q58" s="365"/>
    </row>
    <row r="59" spans="17:17" ht="12.75" customHeight="1">
      <c r="Q59" s="365"/>
    </row>
    <row r="60" spans="17:17" ht="12.75" customHeight="1">
      <c r="Q60" s="365"/>
    </row>
    <row r="61" spans="17:17" ht="12.75" customHeight="1">
      <c r="Q61" s="365"/>
    </row>
    <row r="62" spans="17:17" ht="12.75" customHeight="1">
      <c r="Q62" s="365"/>
    </row>
    <row r="63" spans="17:17" ht="12.75" customHeight="1">
      <c r="Q63" s="365"/>
    </row>
    <row r="64" spans="17:17" ht="12.75" customHeight="1">
      <c r="Q64" s="365"/>
    </row>
    <row r="65" spans="17:17" ht="12.75" customHeight="1">
      <c r="Q65" s="365"/>
    </row>
    <row r="66" spans="17:17" ht="12.75" customHeight="1">
      <c r="Q66" s="365"/>
    </row>
    <row r="67" spans="17:17" ht="12.75" customHeight="1">
      <c r="Q67" s="365"/>
    </row>
    <row r="68" spans="17:17" ht="12.75" customHeight="1">
      <c r="Q68" s="365"/>
    </row>
    <row r="69" spans="17:17" ht="12.75" customHeight="1">
      <c r="Q69" s="365"/>
    </row>
    <row r="70" spans="17:17" ht="12.75" customHeight="1">
      <c r="Q70" s="365"/>
    </row>
    <row r="71" spans="17:17" ht="12.75" customHeight="1">
      <c r="Q71" s="365"/>
    </row>
    <row r="72" spans="17:17" ht="12.75" customHeight="1">
      <c r="Q72" s="365"/>
    </row>
    <row r="73" spans="17:17" ht="12.75" customHeight="1">
      <c r="Q73" s="365"/>
    </row>
    <row r="74" spans="17:17" ht="12.75" customHeight="1">
      <c r="Q74" s="365"/>
    </row>
    <row r="75" spans="17:17" ht="12.75" customHeight="1">
      <c r="Q75" s="365"/>
    </row>
    <row r="76" spans="17:17" ht="12.75" customHeight="1">
      <c r="Q76" s="365"/>
    </row>
    <row r="77" spans="17:17" ht="12.75" customHeight="1">
      <c r="Q77" s="365"/>
    </row>
    <row r="78" spans="17:17" ht="12.75" customHeight="1">
      <c r="Q78" s="365"/>
    </row>
    <row r="79" spans="17:17" ht="12.75" customHeight="1">
      <c r="Q79" s="365"/>
    </row>
    <row r="80" spans="17:17" ht="12.75" customHeight="1">
      <c r="Q80" s="365"/>
    </row>
    <row r="81" spans="17:17" ht="12.75" customHeight="1">
      <c r="Q81" s="365"/>
    </row>
    <row r="82" spans="17:17" ht="12.75" customHeight="1">
      <c r="Q82" s="365"/>
    </row>
    <row r="83" spans="17:17" ht="12.75" customHeight="1">
      <c r="Q83" s="365"/>
    </row>
    <row r="84" spans="17:17" ht="12.75" customHeight="1">
      <c r="Q84" s="365"/>
    </row>
    <row r="85" spans="17:17" ht="12.75" customHeight="1">
      <c r="Q85" s="365"/>
    </row>
    <row r="86" spans="17:17" ht="12.75" customHeight="1">
      <c r="Q86" s="365"/>
    </row>
    <row r="87" spans="17:17" ht="12.75" customHeight="1">
      <c r="Q87" s="365"/>
    </row>
    <row r="88" spans="17:17" ht="12.75" customHeight="1">
      <c r="Q88" s="365"/>
    </row>
    <row r="89" spans="17:17" ht="12.75" customHeight="1">
      <c r="Q89" s="365"/>
    </row>
    <row r="90" spans="17:17" ht="12.75" customHeight="1">
      <c r="Q90" s="365"/>
    </row>
    <row r="91" spans="17:17" ht="12.75" customHeight="1">
      <c r="Q91" s="365"/>
    </row>
    <row r="92" spans="17:17" ht="12.75" customHeight="1">
      <c r="Q92" s="365"/>
    </row>
    <row r="93" spans="17:17" ht="12.75" customHeight="1">
      <c r="Q93" s="365"/>
    </row>
    <row r="94" spans="17:17" ht="12.75" customHeight="1">
      <c r="Q94" s="365"/>
    </row>
    <row r="95" spans="17:17" ht="12.75" customHeight="1">
      <c r="Q95" s="365"/>
    </row>
    <row r="96" spans="17:17" ht="12.75" customHeight="1">
      <c r="Q96" s="365"/>
    </row>
    <row r="97" spans="17:17" ht="12.75" customHeight="1">
      <c r="Q97" s="365"/>
    </row>
    <row r="98" spans="17:17" ht="12.75" customHeight="1">
      <c r="Q98" s="365"/>
    </row>
    <row r="99" spans="17:17" ht="12.75" customHeight="1">
      <c r="Q99" s="365"/>
    </row>
    <row r="100" spans="17:17" ht="12.75" customHeight="1">
      <c r="Q100" s="365"/>
    </row>
    <row r="101" spans="17:17" ht="12.75" customHeight="1">
      <c r="Q101" s="36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1640625" defaultRowHeight="12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8"/>
  <sheetViews>
    <sheetView workbookViewId="0"/>
  </sheetViews>
  <sheetFormatPr baseColWidth="10" defaultColWidth="17.1640625" defaultRowHeight="12.75" customHeight="1" x14ac:dyDescent="0"/>
  <cols>
    <col min="1" max="1" width="15.5" customWidth="1"/>
    <col min="2" max="2" width="14.83203125" customWidth="1"/>
    <col min="3" max="3" width="34.6640625" customWidth="1"/>
    <col min="4" max="4" width="24" customWidth="1"/>
    <col min="6" max="6" width="38.83203125" customWidth="1"/>
  </cols>
  <sheetData>
    <row r="1" spans="1:5" ht="12.75" customHeight="1">
      <c r="A1" s="359" t="s">
        <v>0</v>
      </c>
      <c r="B1" t="s">
        <v>1934</v>
      </c>
      <c r="C1" t="s">
        <v>3</v>
      </c>
    </row>
    <row r="2" spans="1:5" ht="12.75" customHeight="1">
      <c r="A2" s="359" t="s">
        <v>44</v>
      </c>
      <c r="B2" t="s">
        <v>1935</v>
      </c>
      <c r="D2" t="s">
        <v>1936</v>
      </c>
      <c r="E2">
        <f>COUNTIF(B2:B91, "yes")</f>
        <v>31</v>
      </c>
    </row>
    <row r="3" spans="1:5" ht="12.75" customHeight="1">
      <c r="A3" s="359" t="s">
        <v>49</v>
      </c>
      <c r="B3" t="s">
        <v>1937</v>
      </c>
      <c r="C3" t="s">
        <v>1938</v>
      </c>
    </row>
    <row r="4" spans="1:5" ht="12.75" customHeight="1">
      <c r="A4" s="359" t="s">
        <v>50</v>
      </c>
      <c r="B4" t="s">
        <v>1937</v>
      </c>
      <c r="C4" t="s">
        <v>1939</v>
      </c>
    </row>
    <row r="5" spans="1:5" ht="12.75" customHeight="1">
      <c r="A5" s="359" t="s">
        <v>51</v>
      </c>
      <c r="B5" t="s">
        <v>1937</v>
      </c>
      <c r="C5" t="s">
        <v>1938</v>
      </c>
    </row>
    <row r="6" spans="1:5" ht="12.75" customHeight="1">
      <c r="A6" s="359" t="s">
        <v>55</v>
      </c>
      <c r="B6" t="s">
        <v>1935</v>
      </c>
    </row>
    <row r="7" spans="1:5" ht="12.75" customHeight="1">
      <c r="A7" s="359" t="s">
        <v>57</v>
      </c>
      <c r="B7" t="s">
        <v>1935</v>
      </c>
    </row>
    <row r="8" spans="1:5" ht="12.75" customHeight="1">
      <c r="A8" s="359" t="s">
        <v>58</v>
      </c>
      <c r="B8" t="s">
        <v>1935</v>
      </c>
    </row>
    <row r="9" spans="1:5" ht="12.75" customHeight="1">
      <c r="A9" s="359" t="s">
        <v>59</v>
      </c>
      <c r="B9" t="s">
        <v>1937</v>
      </c>
      <c r="C9" t="s">
        <v>1938</v>
      </c>
    </row>
    <row r="10" spans="1:5" ht="12.75" customHeight="1">
      <c r="A10" s="359" t="s">
        <v>60</v>
      </c>
      <c r="B10" t="s">
        <v>1935</v>
      </c>
    </row>
    <row r="11" spans="1:5" ht="12.75" customHeight="1">
      <c r="A11" s="359" t="s">
        <v>61</v>
      </c>
      <c r="B11" t="s">
        <v>1935</v>
      </c>
    </row>
    <row r="12" spans="1:5" ht="12.75" customHeight="1">
      <c r="A12" s="359" t="s">
        <v>62</v>
      </c>
      <c r="B12" t="s">
        <v>1935</v>
      </c>
    </row>
    <row r="13" spans="1:5" ht="12.75" customHeight="1">
      <c r="A13" s="359" t="s">
        <v>63</v>
      </c>
      <c r="B13" t="s">
        <v>1937</v>
      </c>
      <c r="C13" t="s">
        <v>1938</v>
      </c>
    </row>
    <row r="14" spans="1:5" ht="12.75" customHeight="1">
      <c r="A14" s="359" t="s">
        <v>64</v>
      </c>
      <c r="B14" t="s">
        <v>1935</v>
      </c>
    </row>
    <row r="15" spans="1:5" ht="12.75" customHeight="1">
      <c r="A15" s="359" t="s">
        <v>65</v>
      </c>
      <c r="B15" t="s">
        <v>1935</v>
      </c>
    </row>
    <row r="16" spans="1:5" ht="12.75" customHeight="1">
      <c r="A16" s="359" t="s">
        <v>127</v>
      </c>
      <c r="B16" t="s">
        <v>1937</v>
      </c>
      <c r="C16" t="s">
        <v>1940</v>
      </c>
    </row>
    <row r="17" spans="1:3" ht="12.75" customHeight="1">
      <c r="A17" s="359" t="s">
        <v>128</v>
      </c>
      <c r="B17" t="s">
        <v>1937</v>
      </c>
      <c r="C17" t="s">
        <v>1940</v>
      </c>
    </row>
    <row r="18" spans="1:3" ht="12.75" customHeight="1">
      <c r="A18" s="359" t="s">
        <v>129</v>
      </c>
      <c r="B18" t="s">
        <v>1937</v>
      </c>
      <c r="C18" t="s">
        <v>1940</v>
      </c>
    </row>
    <row r="19" spans="1:3" ht="12.75" customHeight="1">
      <c r="A19" s="359" t="s">
        <v>130</v>
      </c>
      <c r="B19" t="s">
        <v>1937</v>
      </c>
      <c r="C19" t="s">
        <v>1940</v>
      </c>
    </row>
    <row r="20" spans="1:3" ht="12.75" customHeight="1">
      <c r="A20" s="359" t="s">
        <v>132</v>
      </c>
      <c r="B20" t="s">
        <v>1935</v>
      </c>
    </row>
    <row r="21" spans="1:3" ht="12.75" customHeight="1">
      <c r="A21" s="359" t="s">
        <v>136</v>
      </c>
      <c r="B21" t="s">
        <v>1935</v>
      </c>
    </row>
    <row r="22" spans="1:3" ht="12.75" customHeight="1">
      <c r="A22" s="359" t="s">
        <v>139</v>
      </c>
      <c r="B22" t="s">
        <v>1935</v>
      </c>
    </row>
    <row r="23" spans="1:3" ht="12.75" customHeight="1">
      <c r="A23" s="359" t="s">
        <v>142</v>
      </c>
      <c r="B23" t="s">
        <v>1935</v>
      </c>
    </row>
    <row r="24" spans="1:3" ht="12.75" customHeight="1">
      <c r="A24" s="359" t="s">
        <v>145</v>
      </c>
      <c r="B24" t="s">
        <v>1935</v>
      </c>
    </row>
    <row r="25" spans="1:3" ht="12.75" customHeight="1">
      <c r="A25" s="359" t="s">
        <v>146</v>
      </c>
      <c r="B25" t="s">
        <v>1935</v>
      </c>
    </row>
    <row r="26" spans="1:3" ht="12.75" customHeight="1">
      <c r="A26" s="359" t="s">
        <v>147</v>
      </c>
      <c r="B26" t="s">
        <v>1935</v>
      </c>
    </row>
    <row r="27" spans="1:3" ht="12.75" customHeight="1">
      <c r="A27" s="359" t="s">
        <v>148</v>
      </c>
      <c r="B27" t="s">
        <v>1935</v>
      </c>
    </row>
    <row r="28" spans="1:3" ht="12.75" customHeight="1">
      <c r="A28" s="359" t="s">
        <v>150</v>
      </c>
      <c r="B28" t="s">
        <v>1935</v>
      </c>
    </row>
    <row r="29" spans="1:3" ht="12.75" customHeight="1">
      <c r="A29" s="359" t="s">
        <v>151</v>
      </c>
      <c r="B29" t="s">
        <v>1935</v>
      </c>
    </row>
    <row r="30" spans="1:3" ht="12.75" customHeight="1">
      <c r="A30" s="359" t="s">
        <v>152</v>
      </c>
      <c r="B30" t="s">
        <v>1935</v>
      </c>
    </row>
    <row r="31" spans="1:3" ht="12.75" customHeight="1">
      <c r="A31" s="359" t="s">
        <v>153</v>
      </c>
      <c r="B31" t="s">
        <v>1935</v>
      </c>
    </row>
    <row r="32" spans="1:3" ht="12.75" customHeight="1">
      <c r="A32" s="359" t="s">
        <v>154</v>
      </c>
      <c r="B32" t="s">
        <v>1937</v>
      </c>
      <c r="C32" t="s">
        <v>1941</v>
      </c>
    </row>
    <row r="33" spans="1:3" ht="12.75" customHeight="1">
      <c r="A33" s="359" t="s">
        <v>157</v>
      </c>
      <c r="B33" t="s">
        <v>1937</v>
      </c>
      <c r="C33" t="s">
        <v>1940</v>
      </c>
    </row>
    <row r="34" spans="1:3" ht="12.75" customHeight="1">
      <c r="A34" s="359" t="s">
        <v>158</v>
      </c>
      <c r="B34" t="s">
        <v>1937</v>
      </c>
      <c r="C34" t="s">
        <v>1940</v>
      </c>
    </row>
    <row r="35" spans="1:3" ht="12.75" customHeight="1">
      <c r="A35" s="359" t="s">
        <v>159</v>
      </c>
      <c r="B35" t="s">
        <v>1937</v>
      </c>
      <c r="C35" t="s">
        <v>1940</v>
      </c>
    </row>
    <row r="36" spans="1:3" ht="12.75" customHeight="1">
      <c r="A36" s="359" t="s">
        <v>160</v>
      </c>
      <c r="B36" t="s">
        <v>1937</v>
      </c>
      <c r="C36" t="s">
        <v>1940</v>
      </c>
    </row>
    <row r="37" spans="1:3" ht="12.75" customHeight="1">
      <c r="A37" s="359" t="s">
        <v>161</v>
      </c>
      <c r="B37" t="s">
        <v>1937</v>
      </c>
      <c r="C37" t="s">
        <v>1940</v>
      </c>
    </row>
    <row r="38" spans="1:3" ht="12.75" customHeight="1">
      <c r="A38" s="359" t="s">
        <v>162</v>
      </c>
      <c r="B38" t="s">
        <v>1937</v>
      </c>
      <c r="C38" t="s">
        <v>1940</v>
      </c>
    </row>
    <row r="39" spans="1:3" ht="12.75" customHeight="1">
      <c r="A39" s="359" t="s">
        <v>163</v>
      </c>
      <c r="B39" t="s">
        <v>1937</v>
      </c>
      <c r="C39" t="s">
        <v>1940</v>
      </c>
    </row>
    <row r="40" spans="1:3" ht="12.75" customHeight="1">
      <c r="A40" s="359" t="s">
        <v>164</v>
      </c>
      <c r="B40" t="s">
        <v>1937</v>
      </c>
      <c r="C40" t="s">
        <v>1942</v>
      </c>
    </row>
    <row r="41" spans="1:3" ht="12.75" customHeight="1">
      <c r="A41" s="359" t="s">
        <v>170</v>
      </c>
      <c r="B41" t="s">
        <v>1935</v>
      </c>
    </row>
    <row r="42" spans="1:3" ht="12.75" customHeight="1">
      <c r="A42" s="359" t="s">
        <v>172</v>
      </c>
      <c r="B42" t="s">
        <v>1935</v>
      </c>
    </row>
    <row r="43" spans="1:3" ht="12.75" customHeight="1">
      <c r="A43" s="359" t="s">
        <v>174</v>
      </c>
      <c r="B43" t="s">
        <v>1937</v>
      </c>
      <c r="C43" t="s">
        <v>1942</v>
      </c>
    </row>
    <row r="44" spans="1:3" ht="12.75" customHeight="1">
      <c r="A44" s="359" t="s">
        <v>175</v>
      </c>
      <c r="B44" t="s">
        <v>1935</v>
      </c>
    </row>
    <row r="45" spans="1:3" ht="12.75" customHeight="1">
      <c r="A45" s="359" t="s">
        <v>177</v>
      </c>
      <c r="B45" t="s">
        <v>1937</v>
      </c>
      <c r="C45" t="s">
        <v>1942</v>
      </c>
    </row>
    <row r="46" spans="1:3" ht="12.75" customHeight="1">
      <c r="A46" s="359" t="s">
        <v>178</v>
      </c>
      <c r="B46" t="s">
        <v>1935</v>
      </c>
    </row>
    <row r="47" spans="1:3" ht="12.75" customHeight="1">
      <c r="A47" s="359" t="s">
        <v>179</v>
      </c>
      <c r="B47" t="s">
        <v>1935</v>
      </c>
    </row>
    <row r="48" spans="1:3" ht="12.75" customHeight="1">
      <c r="A48" s="359" t="s">
        <v>180</v>
      </c>
      <c r="B48" t="s">
        <v>1935</v>
      </c>
    </row>
    <row r="49" spans="1:3" ht="12.75" customHeight="1">
      <c r="A49" s="359" t="s">
        <v>182</v>
      </c>
      <c r="B49" t="s">
        <v>1935</v>
      </c>
    </row>
    <row r="50" spans="1:3" ht="12.75" customHeight="1">
      <c r="A50" s="359" t="s">
        <v>183</v>
      </c>
      <c r="B50" t="s">
        <v>1935</v>
      </c>
    </row>
    <row r="51" spans="1:3" ht="12.75" customHeight="1">
      <c r="A51" s="359" t="s">
        <v>184</v>
      </c>
      <c r="B51" t="s">
        <v>1935</v>
      </c>
    </row>
    <row r="52" spans="1:3" ht="12.75" customHeight="1">
      <c r="A52" s="359" t="s">
        <v>185</v>
      </c>
      <c r="B52" t="s">
        <v>1937</v>
      </c>
      <c r="C52" t="s">
        <v>1943</v>
      </c>
    </row>
    <row r="53" spans="1:3" ht="12.75" customHeight="1">
      <c r="A53" s="359" t="s">
        <v>188</v>
      </c>
      <c r="B53" t="s">
        <v>1937</v>
      </c>
      <c r="C53" t="s">
        <v>1943</v>
      </c>
    </row>
    <row r="54" spans="1:3" ht="12.75" customHeight="1">
      <c r="A54" s="359" t="s">
        <v>189</v>
      </c>
      <c r="B54" t="s">
        <v>1937</v>
      </c>
      <c r="C54" t="s">
        <v>1943</v>
      </c>
    </row>
    <row r="55" spans="1:3" ht="12.75" customHeight="1">
      <c r="A55" s="359" t="s">
        <v>190</v>
      </c>
      <c r="B55" t="s">
        <v>1937</v>
      </c>
      <c r="C55" t="s">
        <v>1943</v>
      </c>
    </row>
    <row r="56" spans="1:3" ht="12.75" customHeight="1">
      <c r="A56" s="359" t="s">
        <v>191</v>
      </c>
      <c r="B56" t="s">
        <v>1937</v>
      </c>
      <c r="C56" t="s">
        <v>1944</v>
      </c>
    </row>
    <row r="57" spans="1:3" ht="12.75" customHeight="1">
      <c r="A57" s="359" t="s">
        <v>195</v>
      </c>
      <c r="B57" t="s">
        <v>1937</v>
      </c>
      <c r="C57" t="s">
        <v>1944</v>
      </c>
    </row>
    <row r="58" spans="1:3" ht="12.75" customHeight="1">
      <c r="A58" s="359" t="s">
        <v>196</v>
      </c>
      <c r="B58" t="s">
        <v>1937</v>
      </c>
      <c r="C58" t="s">
        <v>1944</v>
      </c>
    </row>
    <row r="59" spans="1:3" ht="12.75" customHeight="1">
      <c r="A59" s="359" t="s">
        <v>197</v>
      </c>
      <c r="B59" t="s">
        <v>1937</v>
      </c>
      <c r="C59" t="s">
        <v>1944</v>
      </c>
    </row>
    <row r="60" spans="1:3" ht="12.75" customHeight="1">
      <c r="A60" s="359" t="s">
        <v>198</v>
      </c>
      <c r="B60" t="s">
        <v>1935</v>
      </c>
    </row>
    <row r="61" spans="1:3" ht="12.75" customHeight="1">
      <c r="A61" s="359" t="s">
        <v>200</v>
      </c>
      <c r="B61" t="s">
        <v>1935</v>
      </c>
    </row>
    <row r="62" spans="1:3" ht="12.75" customHeight="1">
      <c r="A62" s="359" t="s">
        <v>201</v>
      </c>
      <c r="B62" t="s">
        <v>1935</v>
      </c>
    </row>
    <row r="63" spans="1:3" ht="12.75" customHeight="1">
      <c r="A63" s="359" t="s">
        <v>202</v>
      </c>
      <c r="B63" t="s">
        <v>1935</v>
      </c>
    </row>
    <row r="64" spans="1:3" ht="12.75" customHeight="1">
      <c r="A64" s="359" t="s">
        <v>203</v>
      </c>
      <c r="B64" t="s">
        <v>1935</v>
      </c>
    </row>
    <row r="65" spans="1:3" ht="12.75" customHeight="1">
      <c r="A65" s="359" t="s">
        <v>207</v>
      </c>
      <c r="B65" t="s">
        <v>1935</v>
      </c>
    </row>
    <row r="66" spans="1:3" ht="12.75" customHeight="1">
      <c r="A66" s="359" t="s">
        <v>209</v>
      </c>
      <c r="B66" t="s">
        <v>1935</v>
      </c>
    </row>
    <row r="67" spans="1:3" ht="12.75" customHeight="1">
      <c r="A67" s="359" t="s">
        <v>211</v>
      </c>
      <c r="B67" t="s">
        <v>1935</v>
      </c>
    </row>
    <row r="68" spans="1:3" ht="12.75" customHeight="1">
      <c r="A68" s="359" t="s">
        <v>212</v>
      </c>
      <c r="B68" t="s">
        <v>1935</v>
      </c>
    </row>
    <row r="69" spans="1:3" ht="12.75" customHeight="1">
      <c r="A69" s="359" t="s">
        <v>214</v>
      </c>
      <c r="B69" t="s">
        <v>1935</v>
      </c>
    </row>
    <row r="70" spans="1:3" ht="12.75" customHeight="1">
      <c r="A70" s="359" t="s">
        <v>216</v>
      </c>
      <c r="B70" t="s">
        <v>1935</v>
      </c>
    </row>
    <row r="71" spans="1:3" ht="12.75" customHeight="1">
      <c r="A71" s="359" t="s">
        <v>218</v>
      </c>
      <c r="B71" t="s">
        <v>1935</v>
      </c>
    </row>
    <row r="72" spans="1:3" ht="12.75" customHeight="1">
      <c r="A72" s="359" t="s">
        <v>221</v>
      </c>
      <c r="B72" t="s">
        <v>1935</v>
      </c>
    </row>
    <row r="73" spans="1:3" ht="12.75" customHeight="1">
      <c r="A73" s="359" t="s">
        <v>222</v>
      </c>
      <c r="B73" t="s">
        <v>1935</v>
      </c>
    </row>
    <row r="74" spans="1:3" ht="12.75" customHeight="1">
      <c r="A74" s="359" t="s">
        <v>223</v>
      </c>
      <c r="B74" t="s">
        <v>1935</v>
      </c>
    </row>
    <row r="75" spans="1:3" ht="12.75" customHeight="1">
      <c r="A75" s="359" t="s">
        <v>224</v>
      </c>
      <c r="B75" t="s">
        <v>1935</v>
      </c>
    </row>
    <row r="76" spans="1:3" ht="12.75" customHeight="1">
      <c r="A76" s="359" t="s">
        <v>225</v>
      </c>
      <c r="B76" t="s">
        <v>1937</v>
      </c>
      <c r="C76" t="s">
        <v>1943</v>
      </c>
    </row>
    <row r="77" spans="1:3" ht="12.75" customHeight="1">
      <c r="A77" s="359" t="s">
        <v>228</v>
      </c>
      <c r="B77" t="s">
        <v>1935</v>
      </c>
    </row>
    <row r="78" spans="1:3" ht="12.75" customHeight="1">
      <c r="A78" s="359" t="s">
        <v>230</v>
      </c>
      <c r="B78" t="s">
        <v>1935</v>
      </c>
    </row>
    <row r="79" spans="1:3" ht="12.75" customHeight="1">
      <c r="A79" s="359" t="s">
        <v>231</v>
      </c>
      <c r="B79" t="s">
        <v>1935</v>
      </c>
    </row>
    <row r="80" spans="1:3" ht="12.75" customHeight="1">
      <c r="A80" s="359" t="s">
        <v>232</v>
      </c>
      <c r="B80" t="s">
        <v>1935</v>
      </c>
    </row>
    <row r="81" spans="1:3" ht="12.75" customHeight="1">
      <c r="A81" s="359" t="s">
        <v>233</v>
      </c>
      <c r="B81" t="s">
        <v>1935</v>
      </c>
    </row>
    <row r="82" spans="1:3" ht="12.75" customHeight="1">
      <c r="A82" s="359" t="s">
        <v>234</v>
      </c>
      <c r="B82" t="s">
        <v>1935</v>
      </c>
    </row>
    <row r="83" spans="1:3" ht="12.75" customHeight="1">
      <c r="A83" s="359" t="s">
        <v>235</v>
      </c>
      <c r="B83" t="s">
        <v>1935</v>
      </c>
    </row>
    <row r="84" spans="1:3" ht="12.75" customHeight="1">
      <c r="A84" s="359" t="s">
        <v>236</v>
      </c>
      <c r="B84" t="s">
        <v>1935</v>
      </c>
    </row>
    <row r="85" spans="1:3" ht="12.75" customHeight="1">
      <c r="A85" s="359" t="s">
        <v>237</v>
      </c>
      <c r="B85" t="s">
        <v>1935</v>
      </c>
    </row>
    <row r="86" spans="1:3" ht="12.75" customHeight="1">
      <c r="A86" s="359" t="s">
        <v>238</v>
      </c>
      <c r="B86" t="s">
        <v>1935</v>
      </c>
    </row>
    <row r="87" spans="1:3" ht="12.75" customHeight="1">
      <c r="A87" s="359" t="s">
        <v>239</v>
      </c>
      <c r="B87" t="s">
        <v>1935</v>
      </c>
    </row>
    <row r="88" spans="1:3" ht="12.75" customHeight="1">
      <c r="A88" s="359" t="s">
        <v>240</v>
      </c>
      <c r="B88" t="s">
        <v>1935</v>
      </c>
    </row>
    <row r="89" spans="1:3" ht="12.75" customHeight="1">
      <c r="A89" s="359" t="s">
        <v>241</v>
      </c>
      <c r="B89" t="s">
        <v>1937</v>
      </c>
      <c r="C89" t="s">
        <v>1945</v>
      </c>
    </row>
    <row r="90" spans="1:3" ht="12.75" customHeight="1">
      <c r="A90" s="359" t="s">
        <v>242</v>
      </c>
      <c r="B90" t="s">
        <v>1935</v>
      </c>
    </row>
    <row r="91" spans="1:3" ht="12.75" customHeight="1">
      <c r="A91" s="359" t="s">
        <v>243</v>
      </c>
      <c r="B91" t="s">
        <v>1937</v>
      </c>
      <c r="C91" t="s">
        <v>1946</v>
      </c>
    </row>
    <row r="92" spans="1:3" ht="12.75" customHeight="1">
      <c r="A92" s="359" t="s">
        <v>244</v>
      </c>
    </row>
    <row r="93" spans="1:3" ht="12.75" customHeight="1">
      <c r="A93" s="359" t="s">
        <v>245</v>
      </c>
      <c r="B93" t="s">
        <v>1937</v>
      </c>
      <c r="C93" t="s">
        <v>1943</v>
      </c>
    </row>
    <row r="94" spans="1:3" ht="12.75" customHeight="1">
      <c r="A94" s="359" t="s">
        <v>246</v>
      </c>
      <c r="B94" t="s">
        <v>1937</v>
      </c>
      <c r="C94" t="s">
        <v>1943</v>
      </c>
    </row>
    <row r="95" spans="1:3" ht="12.75" customHeight="1">
      <c r="A95" s="359" t="s">
        <v>247</v>
      </c>
      <c r="B95" t="s">
        <v>1937</v>
      </c>
      <c r="C95" t="s">
        <v>1943</v>
      </c>
    </row>
    <row r="96" spans="1:3" ht="12.75" customHeight="1">
      <c r="A96" s="359" t="s">
        <v>249</v>
      </c>
      <c r="B96" t="s">
        <v>1937</v>
      </c>
      <c r="C96" t="s">
        <v>1947</v>
      </c>
    </row>
    <row r="97" spans="1:3" ht="12.75" customHeight="1">
      <c r="A97" s="359" t="s">
        <v>250</v>
      </c>
      <c r="B97" t="s">
        <v>1935</v>
      </c>
    </row>
    <row r="98" spans="1:3" ht="12.75" customHeight="1">
      <c r="A98" s="359" t="s">
        <v>251</v>
      </c>
      <c r="B98" t="s">
        <v>1935</v>
      </c>
    </row>
    <row r="99" spans="1:3" ht="12.75" customHeight="1">
      <c r="A99" s="359" t="s">
        <v>252</v>
      </c>
      <c r="B99" t="s">
        <v>1937</v>
      </c>
      <c r="C99" t="s">
        <v>1948</v>
      </c>
    </row>
    <row r="100" spans="1:3" ht="12.75" customHeight="1">
      <c r="A100" s="359" t="s">
        <v>253</v>
      </c>
      <c r="B100" t="s">
        <v>1935</v>
      </c>
    </row>
    <row r="101" spans="1:3" ht="12.75" customHeight="1">
      <c r="A101" s="359" t="s">
        <v>254</v>
      </c>
      <c r="B101" t="s">
        <v>1935</v>
      </c>
    </row>
    <row r="102" spans="1:3" ht="12.75" customHeight="1">
      <c r="A102" s="359" t="s">
        <v>255</v>
      </c>
      <c r="B102" t="s">
        <v>1935</v>
      </c>
    </row>
    <row r="103" spans="1:3" ht="12.75" customHeight="1">
      <c r="A103" s="359" t="s">
        <v>256</v>
      </c>
      <c r="B103" t="s">
        <v>1935</v>
      </c>
    </row>
    <row r="104" spans="1:3" ht="12.75" customHeight="1">
      <c r="A104" s="359" t="s">
        <v>257</v>
      </c>
      <c r="B104" t="s">
        <v>1935</v>
      </c>
    </row>
    <row r="105" spans="1:3" ht="12.75" customHeight="1">
      <c r="A105" s="359" t="s">
        <v>259</v>
      </c>
      <c r="B105" t="s">
        <v>1935</v>
      </c>
    </row>
    <row r="106" spans="1:3" ht="12.75" customHeight="1">
      <c r="A106" s="359" t="s">
        <v>260</v>
      </c>
      <c r="B106" t="s">
        <v>1935</v>
      </c>
    </row>
    <row r="107" spans="1:3" ht="12.75" customHeight="1">
      <c r="A107" s="359" t="s">
        <v>261</v>
      </c>
      <c r="B107" t="s">
        <v>1935</v>
      </c>
    </row>
    <row r="108" spans="1:3" ht="12.75" customHeight="1">
      <c r="A108" s="359" t="s">
        <v>262</v>
      </c>
      <c r="B108" t="s">
        <v>1935</v>
      </c>
    </row>
    <row r="109" spans="1:3" ht="12.75" customHeight="1">
      <c r="A109" s="359" t="s">
        <v>263</v>
      </c>
      <c r="B109" t="s">
        <v>1935</v>
      </c>
    </row>
    <row r="110" spans="1:3" ht="12.75" customHeight="1">
      <c r="A110" s="359" t="s">
        <v>264</v>
      </c>
      <c r="B110" t="s">
        <v>1935</v>
      </c>
    </row>
    <row r="111" spans="1:3" ht="12.75" customHeight="1">
      <c r="A111" s="359" t="s">
        <v>265</v>
      </c>
      <c r="B111" t="s">
        <v>1935</v>
      </c>
    </row>
    <row r="112" spans="1:3" ht="12.75" customHeight="1">
      <c r="A112" s="359" t="s">
        <v>266</v>
      </c>
      <c r="B112" t="s">
        <v>1935</v>
      </c>
    </row>
    <row r="113" spans="1:3" ht="12.75" customHeight="1">
      <c r="A113" s="359" t="s">
        <v>267</v>
      </c>
      <c r="B113" t="s">
        <v>1935</v>
      </c>
    </row>
    <row r="114" spans="1:3" ht="12.75" customHeight="1">
      <c r="A114" s="359" t="s">
        <v>268</v>
      </c>
      <c r="B114" t="s">
        <v>1935</v>
      </c>
    </row>
    <row r="115" spans="1:3" ht="12.75" customHeight="1">
      <c r="A115" s="359" t="s">
        <v>269</v>
      </c>
      <c r="B115" t="s">
        <v>1935</v>
      </c>
    </row>
    <row r="116" spans="1:3" ht="12.75" customHeight="1">
      <c r="A116" s="359" t="s">
        <v>270</v>
      </c>
      <c r="B116" t="s">
        <v>1935</v>
      </c>
    </row>
    <row r="117" spans="1:3" ht="12.75" customHeight="1">
      <c r="A117" s="359" t="s">
        <v>271</v>
      </c>
      <c r="B117" t="s">
        <v>1937</v>
      </c>
      <c r="C117" t="s">
        <v>1949</v>
      </c>
    </row>
    <row r="118" spans="1:3" ht="12.75" customHeight="1">
      <c r="A118" s="359" t="s">
        <v>272</v>
      </c>
      <c r="B118" t="s">
        <v>1937</v>
      </c>
      <c r="C118" t="s">
        <v>1949</v>
      </c>
    </row>
    <row r="119" spans="1:3" ht="12.75" customHeight="1">
      <c r="A119" s="359" t="s">
        <v>273</v>
      </c>
      <c r="B119" t="s">
        <v>1935</v>
      </c>
    </row>
    <row r="120" spans="1:3" ht="12.75" customHeight="1">
      <c r="A120" s="359" t="s">
        <v>274</v>
      </c>
      <c r="B120" t="s">
        <v>1935</v>
      </c>
    </row>
    <row r="121" spans="1:3" ht="12.75" customHeight="1">
      <c r="A121" s="359" t="s">
        <v>275</v>
      </c>
      <c r="B121" t="s">
        <v>1937</v>
      </c>
      <c r="C121" t="s">
        <v>1942</v>
      </c>
    </row>
    <row r="122" spans="1:3" ht="12.75" customHeight="1">
      <c r="A122" s="359" t="s">
        <v>276</v>
      </c>
      <c r="B122" t="s">
        <v>1935</v>
      </c>
    </row>
    <row r="123" spans="1:3" ht="12.75" customHeight="1">
      <c r="A123" s="359" t="s">
        <v>277</v>
      </c>
      <c r="B123" t="s">
        <v>1935</v>
      </c>
    </row>
    <row r="124" spans="1:3" ht="12.75" customHeight="1">
      <c r="A124" s="359" t="s">
        <v>278</v>
      </c>
      <c r="B124" t="s">
        <v>1935</v>
      </c>
    </row>
    <row r="125" spans="1:3" ht="12.75" customHeight="1">
      <c r="A125" s="359" t="s">
        <v>279</v>
      </c>
      <c r="B125" t="s">
        <v>1935</v>
      </c>
    </row>
    <row r="126" spans="1:3" ht="12.75" customHeight="1">
      <c r="A126" s="359" t="s">
        <v>280</v>
      </c>
      <c r="B126" t="s">
        <v>1935</v>
      </c>
    </row>
    <row r="127" spans="1:3" ht="12.75" customHeight="1">
      <c r="A127" s="359" t="s">
        <v>281</v>
      </c>
      <c r="B127" t="s">
        <v>1935</v>
      </c>
    </row>
    <row r="128" spans="1:3" ht="12.75" customHeight="1">
      <c r="A128" s="359" t="s">
        <v>282</v>
      </c>
      <c r="B128" t="s">
        <v>1935</v>
      </c>
    </row>
    <row r="129" spans="1:3" ht="12.75" customHeight="1">
      <c r="A129" s="359" t="s">
        <v>283</v>
      </c>
      <c r="B129" t="s">
        <v>1937</v>
      </c>
    </row>
    <row r="130" spans="1:3" ht="12.75" customHeight="1">
      <c r="A130" s="359" t="s">
        <v>285</v>
      </c>
      <c r="B130" t="s">
        <v>1937</v>
      </c>
    </row>
    <row r="131" spans="1:3" ht="12.75" customHeight="1">
      <c r="A131" s="359" t="s">
        <v>286</v>
      </c>
      <c r="B131" t="s">
        <v>1937</v>
      </c>
    </row>
    <row r="132" spans="1:3" ht="12.75" customHeight="1">
      <c r="A132" s="359" t="s">
        <v>287</v>
      </c>
      <c r="B132" t="s">
        <v>1937</v>
      </c>
    </row>
    <row r="133" spans="1:3" ht="12.75" customHeight="1">
      <c r="A133" s="359" t="s">
        <v>288</v>
      </c>
      <c r="B133" t="s">
        <v>1937</v>
      </c>
      <c r="C133" t="s">
        <v>1950</v>
      </c>
    </row>
    <row r="134" spans="1:3" ht="12.75" customHeight="1">
      <c r="A134" s="359" t="s">
        <v>291</v>
      </c>
      <c r="B134" t="s">
        <v>1937</v>
      </c>
      <c r="C134" t="s">
        <v>1950</v>
      </c>
    </row>
    <row r="135" spans="1:3" ht="12.75" customHeight="1">
      <c r="A135" s="359" t="s">
        <v>292</v>
      </c>
      <c r="B135" t="s">
        <v>1937</v>
      </c>
      <c r="C135" t="s">
        <v>1950</v>
      </c>
    </row>
    <row r="136" spans="1:3" ht="12.75" customHeight="1">
      <c r="A136" s="359" t="s">
        <v>293</v>
      </c>
      <c r="B136" t="s">
        <v>1937</v>
      </c>
      <c r="C136" t="s">
        <v>1950</v>
      </c>
    </row>
    <row r="137" spans="1:3" ht="12.75" customHeight="1">
      <c r="A137" s="359" t="s">
        <v>294</v>
      </c>
      <c r="B137" t="s">
        <v>1937</v>
      </c>
      <c r="C137" t="s">
        <v>1950</v>
      </c>
    </row>
    <row r="138" spans="1:3" ht="12.75" customHeight="1">
      <c r="A138" s="359" t="s">
        <v>295</v>
      </c>
      <c r="B138" t="s">
        <v>1937</v>
      </c>
      <c r="C138" t="s">
        <v>1950</v>
      </c>
    </row>
    <row r="139" spans="1:3" ht="12.75" customHeight="1">
      <c r="A139" s="359" t="s">
        <v>296</v>
      </c>
      <c r="B139" t="s">
        <v>1937</v>
      </c>
      <c r="C139" t="s">
        <v>1950</v>
      </c>
    </row>
    <row r="140" spans="1:3" ht="12.75" customHeight="1">
      <c r="A140" s="359" t="s">
        <v>297</v>
      </c>
      <c r="B140" t="s">
        <v>1937</v>
      </c>
      <c r="C140" t="s">
        <v>1950</v>
      </c>
    </row>
    <row r="141" spans="1:3" ht="12.75" customHeight="1">
      <c r="A141" s="359" t="s">
        <v>298</v>
      </c>
      <c r="B141" t="s">
        <v>1937</v>
      </c>
      <c r="C141" t="s">
        <v>1950</v>
      </c>
    </row>
    <row r="142" spans="1:3" ht="12.75" customHeight="1">
      <c r="A142" s="359" t="s">
        <v>299</v>
      </c>
      <c r="B142" t="s">
        <v>1937</v>
      </c>
      <c r="C142" t="s">
        <v>1950</v>
      </c>
    </row>
    <row r="143" spans="1:3" ht="12.75" customHeight="1">
      <c r="A143" s="359" t="s">
        <v>300</v>
      </c>
      <c r="B143" t="s">
        <v>1937</v>
      </c>
      <c r="C143" t="s">
        <v>1950</v>
      </c>
    </row>
    <row r="144" spans="1:3" ht="12.75" customHeight="1">
      <c r="A144" s="359" t="s">
        <v>301</v>
      </c>
      <c r="B144" t="s">
        <v>1937</v>
      </c>
      <c r="C144" t="s">
        <v>1950</v>
      </c>
    </row>
    <row r="145" spans="1:3" ht="12.75" customHeight="1">
      <c r="A145" s="359" t="s">
        <v>302</v>
      </c>
      <c r="B145" t="s">
        <v>1937</v>
      </c>
      <c r="C145" t="s">
        <v>1950</v>
      </c>
    </row>
    <row r="146" spans="1:3" ht="12.75" customHeight="1">
      <c r="A146" s="359" t="s">
        <v>303</v>
      </c>
      <c r="B146" t="s">
        <v>1937</v>
      </c>
      <c r="C146" t="s">
        <v>1950</v>
      </c>
    </row>
    <row r="147" spans="1:3" ht="12.75" customHeight="1">
      <c r="A147" s="359" t="s">
        <v>304</v>
      </c>
      <c r="B147" t="s">
        <v>1937</v>
      </c>
      <c r="C147" t="s">
        <v>1950</v>
      </c>
    </row>
    <row r="148" spans="1:3" ht="12.75" customHeight="1">
      <c r="A148" s="359" t="s">
        <v>305</v>
      </c>
      <c r="B148" t="s">
        <v>1937</v>
      </c>
      <c r="C148" t="s">
        <v>1950</v>
      </c>
    </row>
    <row r="149" spans="1:3" ht="12.75" customHeight="1">
      <c r="A149" s="359" t="s">
        <v>306</v>
      </c>
      <c r="B149" t="s">
        <v>1937</v>
      </c>
      <c r="C149" t="s">
        <v>1950</v>
      </c>
    </row>
    <row r="150" spans="1:3" ht="12.75" customHeight="1">
      <c r="A150" s="359" t="s">
        <v>307</v>
      </c>
      <c r="B150" t="s">
        <v>1937</v>
      </c>
      <c r="C150" t="s">
        <v>1950</v>
      </c>
    </row>
    <row r="151" spans="1:3" ht="12.75" customHeight="1">
      <c r="A151" s="359" t="s">
        <v>308</v>
      </c>
      <c r="B151" t="s">
        <v>1937</v>
      </c>
      <c r="C151" t="s">
        <v>1950</v>
      </c>
    </row>
    <row r="152" spans="1:3" ht="12.75" customHeight="1">
      <c r="A152" s="359" t="s">
        <v>309</v>
      </c>
      <c r="B152" t="s">
        <v>1937</v>
      </c>
      <c r="C152" t="s">
        <v>1950</v>
      </c>
    </row>
    <row r="153" spans="1:3" ht="12.75" customHeight="1">
      <c r="A153" s="359" t="s">
        <v>311</v>
      </c>
      <c r="B153" t="s">
        <v>1937</v>
      </c>
      <c r="C153" t="s">
        <v>1950</v>
      </c>
    </row>
    <row r="154" spans="1:3" ht="12.75" customHeight="1">
      <c r="A154" s="359" t="s">
        <v>312</v>
      </c>
      <c r="B154" t="s">
        <v>1937</v>
      </c>
      <c r="C154" t="s">
        <v>1950</v>
      </c>
    </row>
    <row r="155" spans="1:3" ht="12.75" customHeight="1">
      <c r="A155" s="359" t="s">
        <v>313</v>
      </c>
      <c r="B155" t="s">
        <v>1937</v>
      </c>
      <c r="C155" t="s">
        <v>1950</v>
      </c>
    </row>
    <row r="156" spans="1:3" ht="12.75" customHeight="1">
      <c r="A156" s="359" t="s">
        <v>314</v>
      </c>
      <c r="B156" t="s">
        <v>1937</v>
      </c>
      <c r="C156" t="s">
        <v>1950</v>
      </c>
    </row>
    <row r="157" spans="1:3" ht="12.75" customHeight="1">
      <c r="A157" s="359" t="s">
        <v>315</v>
      </c>
      <c r="B157" t="s">
        <v>1937</v>
      </c>
      <c r="C157" t="s">
        <v>1950</v>
      </c>
    </row>
    <row r="158" spans="1:3" ht="12.75" customHeight="1">
      <c r="A158" s="359" t="s">
        <v>316</v>
      </c>
      <c r="B158" t="s">
        <v>1937</v>
      </c>
      <c r="C158" t="s">
        <v>1950</v>
      </c>
    </row>
    <row r="159" spans="1:3" ht="12.75" customHeight="1">
      <c r="A159" s="359" t="s">
        <v>317</v>
      </c>
      <c r="B159" t="s">
        <v>1937</v>
      </c>
      <c r="C159" t="s">
        <v>1950</v>
      </c>
    </row>
    <row r="160" spans="1:3" ht="12.75" customHeight="1">
      <c r="A160" s="359" t="s">
        <v>318</v>
      </c>
      <c r="B160" t="s">
        <v>1937</v>
      </c>
      <c r="C160" t="s">
        <v>1950</v>
      </c>
    </row>
    <row r="161" spans="1:3" ht="12.75" customHeight="1">
      <c r="A161" s="359" t="s">
        <v>319</v>
      </c>
      <c r="B161" t="s">
        <v>1937</v>
      </c>
      <c r="C161" t="s">
        <v>1950</v>
      </c>
    </row>
    <row r="162" spans="1:3" ht="12.75" customHeight="1">
      <c r="A162" s="359" t="s">
        <v>320</v>
      </c>
      <c r="B162" t="s">
        <v>1937</v>
      </c>
      <c r="C162" t="s">
        <v>1950</v>
      </c>
    </row>
    <row r="163" spans="1:3" ht="12.75" customHeight="1">
      <c r="A163" s="359" t="s">
        <v>321</v>
      </c>
      <c r="B163" t="s">
        <v>1937</v>
      </c>
      <c r="C163" t="s">
        <v>1950</v>
      </c>
    </row>
    <row r="164" spans="1:3" ht="12.75" customHeight="1">
      <c r="A164" s="359" t="s">
        <v>322</v>
      </c>
      <c r="B164" t="s">
        <v>1937</v>
      </c>
      <c r="C164" t="s">
        <v>1950</v>
      </c>
    </row>
    <row r="165" spans="1:3" ht="12.75" customHeight="1">
      <c r="A165" s="359" t="s">
        <v>323</v>
      </c>
      <c r="B165" t="s">
        <v>1937</v>
      </c>
      <c r="C165" t="s">
        <v>1950</v>
      </c>
    </row>
    <row r="166" spans="1:3" ht="12.75" customHeight="1">
      <c r="A166" s="359" t="s">
        <v>324</v>
      </c>
      <c r="B166" t="s">
        <v>1937</v>
      </c>
      <c r="C166" t="s">
        <v>1950</v>
      </c>
    </row>
    <row r="167" spans="1:3" ht="12.75" customHeight="1">
      <c r="A167" s="359" t="s">
        <v>325</v>
      </c>
      <c r="B167" t="s">
        <v>1937</v>
      </c>
      <c r="C167" t="s">
        <v>1950</v>
      </c>
    </row>
    <row r="168" spans="1:3" ht="12.75" customHeight="1">
      <c r="A168" s="359" t="s">
        <v>326</v>
      </c>
      <c r="B168" t="s">
        <v>1937</v>
      </c>
      <c r="C168" t="s">
        <v>1950</v>
      </c>
    </row>
    <row r="169" spans="1:3" ht="12.75" customHeight="1">
      <c r="A169" s="359" t="s">
        <v>327</v>
      </c>
      <c r="B169" t="s">
        <v>1935</v>
      </c>
    </row>
    <row r="170" spans="1:3" ht="12.75" customHeight="1">
      <c r="A170" s="359" t="s">
        <v>329</v>
      </c>
      <c r="B170" t="s">
        <v>1937</v>
      </c>
    </row>
    <row r="171" spans="1:3" ht="12.75" customHeight="1">
      <c r="A171" s="359" t="s">
        <v>330</v>
      </c>
      <c r="B171" t="s">
        <v>1937</v>
      </c>
    </row>
    <row r="172" spans="1:3" ht="12.75" customHeight="1">
      <c r="A172" s="359" t="s">
        <v>331</v>
      </c>
      <c r="B172" t="s">
        <v>1937</v>
      </c>
    </row>
    <row r="173" spans="1:3" ht="12.75" customHeight="1">
      <c r="A173" s="359" t="s">
        <v>332</v>
      </c>
      <c r="B173" t="s">
        <v>1935</v>
      </c>
    </row>
    <row r="174" spans="1:3" ht="12.75" customHeight="1">
      <c r="A174" s="359" t="s">
        <v>334</v>
      </c>
      <c r="B174" t="s">
        <v>1935</v>
      </c>
    </row>
    <row r="175" spans="1:3" ht="12.75" customHeight="1">
      <c r="A175" s="359" t="s">
        <v>335</v>
      </c>
      <c r="B175" t="s">
        <v>1937</v>
      </c>
      <c r="C175" t="s">
        <v>1951</v>
      </c>
    </row>
    <row r="176" spans="1:3" ht="12.75" customHeight="1">
      <c r="A176" s="359" t="s">
        <v>336</v>
      </c>
      <c r="B176" t="s">
        <v>1937</v>
      </c>
      <c r="C176" t="s">
        <v>1951</v>
      </c>
    </row>
    <row r="177" spans="1:3" ht="12.75" customHeight="1">
      <c r="A177" s="359" t="s">
        <v>337</v>
      </c>
      <c r="B177" t="s">
        <v>1937</v>
      </c>
      <c r="C177" t="s">
        <v>1951</v>
      </c>
    </row>
    <row r="178" spans="1:3" ht="12.75" customHeight="1">
      <c r="A178" s="359" t="s">
        <v>342</v>
      </c>
      <c r="B178" t="s">
        <v>1937</v>
      </c>
      <c r="C178" t="s">
        <v>1951</v>
      </c>
    </row>
    <row r="179" spans="1:3" ht="12.75" customHeight="1">
      <c r="A179" s="359" t="s">
        <v>343</v>
      </c>
      <c r="B179" t="s">
        <v>1937</v>
      </c>
      <c r="C179" t="s">
        <v>1951</v>
      </c>
    </row>
    <row r="180" spans="1:3" ht="12.75" customHeight="1">
      <c r="A180" s="359" t="s">
        <v>344</v>
      </c>
      <c r="B180" t="s">
        <v>1937</v>
      </c>
      <c r="C180" t="s">
        <v>1951</v>
      </c>
    </row>
    <row r="181" spans="1:3" ht="12.75" customHeight="1">
      <c r="A181" s="359" t="s">
        <v>345</v>
      </c>
      <c r="B181" t="s">
        <v>1937</v>
      </c>
      <c r="C181" t="s">
        <v>1951</v>
      </c>
    </row>
    <row r="182" spans="1:3" ht="12.75" customHeight="1">
      <c r="A182" s="359" t="s">
        <v>347</v>
      </c>
      <c r="B182" t="s">
        <v>1937</v>
      </c>
      <c r="C182" t="s">
        <v>1951</v>
      </c>
    </row>
    <row r="183" spans="1:3" ht="12.75" customHeight="1">
      <c r="A183" s="359" t="s">
        <v>348</v>
      </c>
      <c r="B183" t="s">
        <v>1937</v>
      </c>
      <c r="C183" t="s">
        <v>1951</v>
      </c>
    </row>
    <row r="184" spans="1:3" ht="12.75" customHeight="1">
      <c r="A184" s="359" t="s">
        <v>349</v>
      </c>
      <c r="B184" t="s">
        <v>1937</v>
      </c>
      <c r="C184" t="s">
        <v>1951</v>
      </c>
    </row>
    <row r="185" spans="1:3" ht="12.75" customHeight="1">
      <c r="A185" s="359" t="s">
        <v>350</v>
      </c>
      <c r="B185" t="s">
        <v>1937</v>
      </c>
      <c r="C185" t="s">
        <v>1951</v>
      </c>
    </row>
    <row r="186" spans="1:3" ht="12.75" customHeight="1">
      <c r="A186" s="359" t="s">
        <v>352</v>
      </c>
      <c r="B186" t="s">
        <v>1937</v>
      </c>
      <c r="C186" t="s">
        <v>1951</v>
      </c>
    </row>
    <row r="187" spans="1:3" ht="12.75" customHeight="1">
      <c r="A187" s="359" t="s">
        <v>353</v>
      </c>
      <c r="B187" t="s">
        <v>1937</v>
      </c>
      <c r="C187" t="s">
        <v>1951</v>
      </c>
    </row>
    <row r="188" spans="1:3" ht="12.75" customHeight="1">
      <c r="A188" s="359" t="s">
        <v>354</v>
      </c>
      <c r="B188" t="s">
        <v>1937</v>
      </c>
      <c r="C188" t="s">
        <v>1951</v>
      </c>
    </row>
    <row r="189" spans="1:3" ht="12.75" customHeight="1">
      <c r="A189" s="173" t="s">
        <v>355</v>
      </c>
      <c r="B189" t="s">
        <v>1937</v>
      </c>
      <c r="C189" t="s">
        <v>1951</v>
      </c>
    </row>
    <row r="190" spans="1:3" ht="12.75" customHeight="1">
      <c r="A190" s="173" t="s">
        <v>358</v>
      </c>
      <c r="B190" t="s">
        <v>1937</v>
      </c>
      <c r="C190" t="s">
        <v>1951</v>
      </c>
    </row>
    <row r="191" spans="1:3" ht="12.75" customHeight="1">
      <c r="A191" s="173" t="s">
        <v>359</v>
      </c>
      <c r="B191" t="s">
        <v>1937</v>
      </c>
      <c r="C191" t="s">
        <v>1951</v>
      </c>
    </row>
    <row r="192" spans="1:3" ht="12.75" customHeight="1">
      <c r="A192" s="173" t="s">
        <v>360</v>
      </c>
      <c r="B192" t="s">
        <v>1937</v>
      </c>
      <c r="C192" t="s">
        <v>1951</v>
      </c>
    </row>
    <row r="193" spans="1:3" ht="12.75" customHeight="1">
      <c r="A193" s="359" t="s">
        <v>361</v>
      </c>
      <c r="B193" t="s">
        <v>1937</v>
      </c>
      <c r="C193" t="s">
        <v>1951</v>
      </c>
    </row>
    <row r="194" spans="1:3" ht="12.75" customHeight="1">
      <c r="A194" s="359" t="s">
        <v>364</v>
      </c>
      <c r="B194" t="s">
        <v>1937</v>
      </c>
      <c r="C194" t="s">
        <v>1951</v>
      </c>
    </row>
    <row r="195" spans="1:3" ht="12.75" customHeight="1">
      <c r="A195" s="359" t="s">
        <v>365</v>
      </c>
      <c r="B195" t="s">
        <v>1937</v>
      </c>
      <c r="C195" t="s">
        <v>1951</v>
      </c>
    </row>
    <row r="196" spans="1:3" ht="12.75" customHeight="1">
      <c r="A196" s="359" t="s">
        <v>366</v>
      </c>
      <c r="B196" t="s">
        <v>1937</v>
      </c>
      <c r="C196" t="s">
        <v>1951</v>
      </c>
    </row>
    <row r="197" spans="1:3" ht="12.75" customHeight="1">
      <c r="A197" s="359" t="s">
        <v>367</v>
      </c>
      <c r="B197" t="s">
        <v>1937</v>
      </c>
      <c r="C197" t="s">
        <v>1950</v>
      </c>
    </row>
    <row r="198" spans="1:3" ht="12.75" customHeight="1">
      <c r="A198" s="359" t="s">
        <v>369</v>
      </c>
      <c r="B198" t="s">
        <v>1937</v>
      </c>
      <c r="C198" t="s">
        <v>1950</v>
      </c>
    </row>
    <row r="199" spans="1:3" ht="12.75" customHeight="1">
      <c r="A199" s="359" t="s">
        <v>370</v>
      </c>
      <c r="B199" t="s">
        <v>1937</v>
      </c>
      <c r="C199" t="s">
        <v>1950</v>
      </c>
    </row>
    <row r="200" spans="1:3" ht="12.75" customHeight="1">
      <c r="A200" s="359" t="s">
        <v>371</v>
      </c>
      <c r="B200" t="s">
        <v>1937</v>
      </c>
      <c r="C200" t="s">
        <v>1950</v>
      </c>
    </row>
    <row r="201" spans="1:3" ht="12.75" customHeight="1">
      <c r="A201" s="359" t="s">
        <v>372</v>
      </c>
      <c r="B201" t="s">
        <v>1937</v>
      </c>
      <c r="C201" t="s">
        <v>1951</v>
      </c>
    </row>
    <row r="202" spans="1:3" ht="12.75" customHeight="1">
      <c r="A202" s="359" t="s">
        <v>376</v>
      </c>
      <c r="B202" t="s">
        <v>1937</v>
      </c>
      <c r="C202" t="s">
        <v>1951</v>
      </c>
    </row>
    <row r="203" spans="1:3" ht="12.75" customHeight="1">
      <c r="A203" s="359" t="s">
        <v>377</v>
      </c>
      <c r="B203" t="s">
        <v>1937</v>
      </c>
      <c r="C203" t="s">
        <v>1951</v>
      </c>
    </row>
    <row r="204" spans="1:3" ht="12.75" customHeight="1">
      <c r="A204" s="359" t="s">
        <v>378</v>
      </c>
      <c r="B204" t="s">
        <v>1937</v>
      </c>
      <c r="C204" t="s">
        <v>1951</v>
      </c>
    </row>
    <row r="205" spans="1:3" ht="12.75" customHeight="1">
      <c r="A205" s="359" t="s">
        <v>379</v>
      </c>
      <c r="B205" t="s">
        <v>1935</v>
      </c>
    </row>
    <row r="206" spans="1:3" ht="12.75" customHeight="1">
      <c r="A206" s="359" t="s">
        <v>380</v>
      </c>
      <c r="B206" t="s">
        <v>1935</v>
      </c>
    </row>
    <row r="207" spans="1:3" ht="12.75" customHeight="1">
      <c r="A207" s="359" t="s">
        <v>381</v>
      </c>
      <c r="B207" t="s">
        <v>1935</v>
      </c>
    </row>
    <row r="208" spans="1:3" ht="12.75" customHeight="1">
      <c r="A208" s="359" t="s">
        <v>382</v>
      </c>
      <c r="B208" t="s">
        <v>1935</v>
      </c>
    </row>
    <row r="209" spans="1:3" ht="12.75" customHeight="1">
      <c r="A209" s="359" t="s">
        <v>384</v>
      </c>
      <c r="B209" t="s">
        <v>1937</v>
      </c>
      <c r="C209" t="s">
        <v>1951</v>
      </c>
    </row>
    <row r="210" spans="1:3" ht="12.75" customHeight="1">
      <c r="A210" s="359" t="s">
        <v>386</v>
      </c>
      <c r="B210" t="s">
        <v>1937</v>
      </c>
      <c r="C210" t="s">
        <v>1951</v>
      </c>
    </row>
    <row r="211" spans="1:3" ht="12.75" customHeight="1">
      <c r="A211" s="359" t="s">
        <v>387</v>
      </c>
      <c r="B211" t="s">
        <v>1937</v>
      </c>
      <c r="C211" t="s">
        <v>1951</v>
      </c>
    </row>
    <row r="212" spans="1:3" ht="12.75" customHeight="1">
      <c r="A212" s="359" t="s">
        <v>388</v>
      </c>
      <c r="B212" t="s">
        <v>1937</v>
      </c>
      <c r="C212" t="s">
        <v>1951</v>
      </c>
    </row>
    <row r="213" spans="1:3" ht="12.75" customHeight="1">
      <c r="A213" s="359" t="s">
        <v>389</v>
      </c>
      <c r="B213" t="s">
        <v>1935</v>
      </c>
    </row>
    <row r="214" spans="1:3" ht="12.75" customHeight="1">
      <c r="A214" s="359" t="s">
        <v>390</v>
      </c>
      <c r="B214" t="s">
        <v>1937</v>
      </c>
      <c r="C214" t="s">
        <v>1951</v>
      </c>
    </row>
    <row r="215" spans="1:3" ht="12.75" customHeight="1">
      <c r="A215" s="359" t="s">
        <v>391</v>
      </c>
      <c r="B215" t="s">
        <v>1937</v>
      </c>
      <c r="C215" t="s">
        <v>1951</v>
      </c>
    </row>
    <row r="216" spans="1:3" ht="12.75" customHeight="1">
      <c r="A216" s="359" t="s">
        <v>392</v>
      </c>
      <c r="B216" t="s">
        <v>1937</v>
      </c>
      <c r="C216" t="s">
        <v>1951</v>
      </c>
    </row>
    <row r="217" spans="1:3" ht="12.75" customHeight="1">
      <c r="A217" s="359" t="s">
        <v>393</v>
      </c>
      <c r="B217" t="s">
        <v>1937</v>
      </c>
      <c r="C217" t="s">
        <v>1951</v>
      </c>
    </row>
    <row r="218" spans="1:3" ht="12.75" customHeight="1">
      <c r="A218" s="359" t="s">
        <v>394</v>
      </c>
      <c r="B218" t="s">
        <v>1937</v>
      </c>
      <c r="C218" t="s">
        <v>1951</v>
      </c>
    </row>
    <row r="219" spans="1:3" ht="12.75" customHeight="1">
      <c r="A219" s="359" t="s">
        <v>395</v>
      </c>
      <c r="B219" t="s">
        <v>1937</v>
      </c>
      <c r="C219" t="s">
        <v>1951</v>
      </c>
    </row>
    <row r="220" spans="1:3" ht="12.75" customHeight="1">
      <c r="A220" s="359" t="s">
        <v>396</v>
      </c>
      <c r="B220" t="s">
        <v>1937</v>
      </c>
      <c r="C220" t="s">
        <v>1951</v>
      </c>
    </row>
    <row r="221" spans="1:3" ht="12.75" customHeight="1">
      <c r="A221" s="359" t="s">
        <v>397</v>
      </c>
      <c r="B221" t="s">
        <v>1937</v>
      </c>
      <c r="C221" t="s">
        <v>1951</v>
      </c>
    </row>
    <row r="222" spans="1:3" ht="12.75" customHeight="1">
      <c r="A222" s="359" t="s">
        <v>398</v>
      </c>
      <c r="B222" t="s">
        <v>1937</v>
      </c>
      <c r="C222" t="s">
        <v>1951</v>
      </c>
    </row>
    <row r="223" spans="1:3" ht="12.75" customHeight="1">
      <c r="A223" s="359" t="s">
        <v>399</v>
      </c>
      <c r="B223" t="s">
        <v>1937</v>
      </c>
      <c r="C223" t="s">
        <v>1951</v>
      </c>
    </row>
    <row r="224" spans="1:3" ht="12.75" customHeight="1">
      <c r="A224" s="359" t="s">
        <v>400</v>
      </c>
      <c r="B224" t="s">
        <v>1937</v>
      </c>
      <c r="C224" t="s">
        <v>1951</v>
      </c>
    </row>
    <row r="225" spans="1:3" ht="12.75" customHeight="1">
      <c r="A225" s="359" t="s">
        <v>401</v>
      </c>
      <c r="B225" t="s">
        <v>1935</v>
      </c>
    </row>
    <row r="226" spans="1:3" ht="12.75" customHeight="1">
      <c r="A226" s="359" t="s">
        <v>402</v>
      </c>
      <c r="B226" t="s">
        <v>1935</v>
      </c>
    </row>
    <row r="227" spans="1:3" ht="12.75" customHeight="1">
      <c r="A227" s="359" t="s">
        <v>403</v>
      </c>
      <c r="B227" t="s">
        <v>1935</v>
      </c>
    </row>
    <row r="228" spans="1:3" ht="12.75" customHeight="1">
      <c r="A228" s="359" t="s">
        <v>404</v>
      </c>
      <c r="B228" t="s">
        <v>1937</v>
      </c>
      <c r="C228" t="s">
        <v>1951</v>
      </c>
    </row>
    <row r="229" spans="1:3" ht="12.75" customHeight="1">
      <c r="A229" s="359" t="s">
        <v>406</v>
      </c>
      <c r="B229" t="s">
        <v>1935</v>
      </c>
    </row>
    <row r="230" spans="1:3" ht="12.75" customHeight="1">
      <c r="A230" s="359" t="s">
        <v>407</v>
      </c>
      <c r="B230" t="s">
        <v>1935</v>
      </c>
    </row>
    <row r="231" spans="1:3" ht="12.75" customHeight="1">
      <c r="A231" s="359" t="s">
        <v>408</v>
      </c>
      <c r="B231" t="s">
        <v>1935</v>
      </c>
    </row>
    <row r="232" spans="1:3" ht="12.75" customHeight="1">
      <c r="A232" s="359" t="s">
        <v>409</v>
      </c>
      <c r="B232" t="s">
        <v>1935</v>
      </c>
    </row>
    <row r="233" spans="1:3" ht="12.75" customHeight="1">
      <c r="A233" s="359" t="s">
        <v>410</v>
      </c>
      <c r="B233" t="s">
        <v>1937</v>
      </c>
      <c r="C233" t="s">
        <v>1951</v>
      </c>
    </row>
    <row r="234" spans="1:3" ht="12.75" customHeight="1">
      <c r="A234" s="359" t="s">
        <v>411</v>
      </c>
      <c r="B234" t="s">
        <v>1937</v>
      </c>
      <c r="C234" t="s">
        <v>1951</v>
      </c>
    </row>
    <row r="235" spans="1:3" ht="12.75" customHeight="1">
      <c r="A235" s="359" t="s">
        <v>412</v>
      </c>
      <c r="B235" t="s">
        <v>1937</v>
      </c>
      <c r="C235" t="s">
        <v>1952</v>
      </c>
    </row>
    <row r="236" spans="1:3" ht="12.75" customHeight="1">
      <c r="A236" s="359" t="s">
        <v>413</v>
      </c>
      <c r="B236" t="s">
        <v>1937</v>
      </c>
      <c r="C236" t="s">
        <v>1951</v>
      </c>
    </row>
    <row r="237" spans="1:3" ht="12.75" customHeight="1">
      <c r="A237" s="359" t="s">
        <v>414</v>
      </c>
      <c r="B237" t="s">
        <v>1935</v>
      </c>
    </row>
    <row r="238" spans="1:3" ht="12.75" customHeight="1">
      <c r="A238" s="359" t="s">
        <v>415</v>
      </c>
      <c r="B238" t="s">
        <v>1935</v>
      </c>
    </row>
    <row r="239" spans="1:3" ht="12.75" customHeight="1">
      <c r="A239" s="359" t="s">
        <v>416</v>
      </c>
      <c r="B239" t="s">
        <v>1935</v>
      </c>
    </row>
    <row r="240" spans="1:3" ht="12.75" customHeight="1">
      <c r="A240" s="359" t="s">
        <v>417</v>
      </c>
      <c r="B240" t="s">
        <v>1935</v>
      </c>
    </row>
    <row r="241" spans="1:3" ht="12.75" customHeight="1">
      <c r="A241" s="359" t="s">
        <v>418</v>
      </c>
      <c r="B241" t="s">
        <v>1937</v>
      </c>
      <c r="C241" t="s">
        <v>1951</v>
      </c>
    </row>
    <row r="242" spans="1:3" ht="12.75" customHeight="1">
      <c r="A242" s="359" t="s">
        <v>419</v>
      </c>
      <c r="B242" t="s">
        <v>1937</v>
      </c>
      <c r="C242" t="s">
        <v>1951</v>
      </c>
    </row>
    <row r="243" spans="1:3" ht="12.75" customHeight="1">
      <c r="A243" s="359" t="s">
        <v>420</v>
      </c>
      <c r="B243" t="s">
        <v>1935</v>
      </c>
    </row>
    <row r="244" spans="1:3" ht="12.75" customHeight="1">
      <c r="A244" s="359" t="s">
        <v>421</v>
      </c>
      <c r="B244" t="s">
        <v>1937</v>
      </c>
      <c r="C244" t="s">
        <v>1951</v>
      </c>
    </row>
    <row r="245" spans="1:3" ht="12.75" customHeight="1">
      <c r="A245" s="359" t="s">
        <v>422</v>
      </c>
      <c r="B245" t="s">
        <v>1937</v>
      </c>
      <c r="C245" t="s">
        <v>1951</v>
      </c>
    </row>
    <row r="246" spans="1:3" ht="12.75" customHeight="1">
      <c r="A246" s="359" t="s">
        <v>423</v>
      </c>
      <c r="B246" t="s">
        <v>1937</v>
      </c>
      <c r="C246" t="s">
        <v>1951</v>
      </c>
    </row>
    <row r="247" spans="1:3" ht="12.75" customHeight="1">
      <c r="A247" s="359" t="s">
        <v>424</v>
      </c>
      <c r="B247" t="s">
        <v>1937</v>
      </c>
      <c r="C247" t="s">
        <v>1951</v>
      </c>
    </row>
    <row r="248" spans="1:3" ht="12.75" customHeight="1">
      <c r="A248" s="359" t="s">
        <v>425</v>
      </c>
      <c r="B248" t="s">
        <v>1937</v>
      </c>
      <c r="C248" t="s">
        <v>1951</v>
      </c>
    </row>
    <row r="249" spans="1:3" ht="12.75" customHeight="1">
      <c r="A249" s="359" t="s">
        <v>426</v>
      </c>
      <c r="B249" t="s">
        <v>1937</v>
      </c>
      <c r="C249" t="s">
        <v>1951</v>
      </c>
    </row>
    <row r="250" spans="1:3" ht="12.75" customHeight="1">
      <c r="A250" s="359" t="s">
        <v>429</v>
      </c>
      <c r="B250" t="s">
        <v>1937</v>
      </c>
      <c r="C250" t="s">
        <v>1951</v>
      </c>
    </row>
    <row r="251" spans="1:3" ht="12.75" customHeight="1">
      <c r="A251" s="359" t="s">
        <v>430</v>
      </c>
      <c r="B251" t="s">
        <v>1937</v>
      </c>
      <c r="C251" t="s">
        <v>1951</v>
      </c>
    </row>
    <row r="252" spans="1:3" ht="12.75" customHeight="1">
      <c r="A252" s="359" t="s">
        <v>431</v>
      </c>
      <c r="B252" t="s">
        <v>1937</v>
      </c>
      <c r="C252" t="s">
        <v>1951</v>
      </c>
    </row>
    <row r="253" spans="1:3" ht="12.75" customHeight="1">
      <c r="A253" s="359" t="s">
        <v>432</v>
      </c>
      <c r="B253" t="s">
        <v>1935</v>
      </c>
    </row>
    <row r="254" spans="1:3" ht="12.75" customHeight="1">
      <c r="A254" s="359" t="s">
        <v>433</v>
      </c>
      <c r="B254" t="s">
        <v>1937</v>
      </c>
      <c r="C254" t="s">
        <v>1951</v>
      </c>
    </row>
    <row r="255" spans="1:3" ht="12.75" customHeight="1">
      <c r="A255" s="359" t="s">
        <v>434</v>
      </c>
      <c r="B255" t="s">
        <v>1935</v>
      </c>
    </row>
    <row r="256" spans="1:3" ht="12.75" customHeight="1">
      <c r="A256" s="359" t="s">
        <v>435</v>
      </c>
      <c r="B256" t="s">
        <v>1935</v>
      </c>
    </row>
    <row r="257" spans="1:3" ht="12.75" customHeight="1">
      <c r="A257" s="359" t="s">
        <v>436</v>
      </c>
      <c r="B257" t="s">
        <v>1937</v>
      </c>
      <c r="C257" t="s">
        <v>1953</v>
      </c>
    </row>
    <row r="258" spans="1:3" ht="12.75" customHeight="1">
      <c r="A258" s="359" t="s">
        <v>437</v>
      </c>
      <c r="B258" t="s">
        <v>1937</v>
      </c>
      <c r="C258" t="s">
        <v>1953</v>
      </c>
    </row>
    <row r="259" spans="1:3" ht="12.75" customHeight="1">
      <c r="A259" s="359" t="s">
        <v>438</v>
      </c>
      <c r="B259" t="s">
        <v>1937</v>
      </c>
      <c r="C259" t="s">
        <v>1953</v>
      </c>
    </row>
    <row r="260" spans="1:3" ht="12.75" customHeight="1">
      <c r="A260" s="359" t="s">
        <v>439</v>
      </c>
      <c r="B260" t="s">
        <v>1937</v>
      </c>
      <c r="C260" t="s">
        <v>1953</v>
      </c>
    </row>
    <row r="261" spans="1:3" ht="12.75" customHeight="1">
      <c r="A261" s="359" t="s">
        <v>440</v>
      </c>
      <c r="B261" t="s">
        <v>1935</v>
      </c>
    </row>
    <row r="262" spans="1:3" ht="12.75" customHeight="1">
      <c r="A262" s="359" t="s">
        <v>442</v>
      </c>
      <c r="B262" t="s">
        <v>1937</v>
      </c>
      <c r="C262" t="s">
        <v>1951</v>
      </c>
    </row>
    <row r="263" spans="1:3" ht="12.75" customHeight="1">
      <c r="A263" s="359" t="s">
        <v>443</v>
      </c>
      <c r="B263" t="s">
        <v>1935</v>
      </c>
    </row>
    <row r="264" spans="1:3" ht="12.75" customHeight="1">
      <c r="A264" s="359" t="s">
        <v>444</v>
      </c>
      <c r="B264" t="s">
        <v>1935</v>
      </c>
    </row>
    <row r="265" spans="1:3" ht="12.75" customHeight="1">
      <c r="A265" s="359" t="s">
        <v>445</v>
      </c>
      <c r="B265" t="s">
        <v>1935</v>
      </c>
    </row>
    <row r="266" spans="1:3" ht="12.75" customHeight="1">
      <c r="A266" s="359" t="s">
        <v>446</v>
      </c>
      <c r="B266" t="s">
        <v>1935</v>
      </c>
    </row>
    <row r="267" spans="1:3" ht="12.75" customHeight="1">
      <c r="A267" s="359" t="s">
        <v>447</v>
      </c>
      <c r="B267" t="s">
        <v>1935</v>
      </c>
    </row>
    <row r="268" spans="1:3" ht="12.75" customHeight="1">
      <c r="A268" s="359" t="s">
        <v>448</v>
      </c>
      <c r="B268" t="s">
        <v>1935</v>
      </c>
    </row>
    <row r="269" spans="1:3" ht="12.75" customHeight="1">
      <c r="A269" s="359" t="s">
        <v>449</v>
      </c>
      <c r="B269" t="s">
        <v>1935</v>
      </c>
    </row>
    <row r="270" spans="1:3" ht="12.75" customHeight="1">
      <c r="A270" s="359" t="s">
        <v>450</v>
      </c>
      <c r="B270" t="s">
        <v>1935</v>
      </c>
    </row>
    <row r="271" spans="1:3" ht="12.75" customHeight="1">
      <c r="A271" s="359" t="s">
        <v>451</v>
      </c>
      <c r="B271" t="s">
        <v>1935</v>
      </c>
    </row>
    <row r="272" spans="1:3" ht="12.75" customHeight="1">
      <c r="A272" s="359" t="s">
        <v>452</v>
      </c>
      <c r="B272" t="s">
        <v>1937</v>
      </c>
      <c r="C272" t="s">
        <v>1951</v>
      </c>
    </row>
    <row r="273" spans="1:3" ht="12.75" customHeight="1">
      <c r="A273" s="359" t="s">
        <v>453</v>
      </c>
      <c r="B273" t="s">
        <v>1935</v>
      </c>
    </row>
    <row r="274" spans="1:3" ht="12.75" customHeight="1">
      <c r="A274" s="359" t="s">
        <v>454</v>
      </c>
      <c r="B274" t="s">
        <v>1935</v>
      </c>
    </row>
    <row r="275" spans="1:3" ht="12.75" customHeight="1">
      <c r="A275" s="359" t="s">
        <v>455</v>
      </c>
      <c r="B275" t="s">
        <v>1935</v>
      </c>
    </row>
    <row r="276" spans="1:3" ht="12.75" customHeight="1">
      <c r="A276" s="359" t="s">
        <v>456</v>
      </c>
      <c r="B276" t="s">
        <v>1935</v>
      </c>
    </row>
    <row r="277" spans="1:3" ht="12.75" customHeight="1">
      <c r="A277" s="359" t="s">
        <v>457</v>
      </c>
      <c r="B277" t="s">
        <v>1937</v>
      </c>
      <c r="C277" t="s">
        <v>1950</v>
      </c>
    </row>
    <row r="278" spans="1:3" ht="12.75" customHeight="1">
      <c r="A278" s="359" t="s">
        <v>458</v>
      </c>
      <c r="B278" t="s">
        <v>1937</v>
      </c>
      <c r="C278" t="s">
        <v>1950</v>
      </c>
    </row>
    <row r="279" spans="1:3" ht="12.75" customHeight="1">
      <c r="A279" s="359" t="s">
        <v>459</v>
      </c>
      <c r="B279" t="s">
        <v>1937</v>
      </c>
      <c r="C279" t="s">
        <v>1950</v>
      </c>
    </row>
    <row r="280" spans="1:3" ht="12.75" customHeight="1">
      <c r="A280" s="359" t="s">
        <v>460</v>
      </c>
      <c r="B280" t="s">
        <v>1937</v>
      </c>
      <c r="C280" t="s">
        <v>1950</v>
      </c>
    </row>
    <row r="281" spans="1:3" ht="12.75" customHeight="1">
      <c r="A281" s="359" t="s">
        <v>461</v>
      </c>
      <c r="B281" t="s">
        <v>1935</v>
      </c>
    </row>
    <row r="282" spans="1:3" ht="12.75" customHeight="1">
      <c r="A282" s="359" t="s">
        <v>462</v>
      </c>
      <c r="B282" t="s">
        <v>1935</v>
      </c>
    </row>
    <row r="283" spans="1:3" ht="12.75" customHeight="1">
      <c r="A283" s="359" t="s">
        <v>463</v>
      </c>
      <c r="B283" t="s">
        <v>1937</v>
      </c>
      <c r="C283" t="s">
        <v>1950</v>
      </c>
    </row>
    <row r="284" spans="1:3" ht="12.75" customHeight="1">
      <c r="A284" s="359" t="s">
        <v>464</v>
      </c>
      <c r="B284" t="s">
        <v>1935</v>
      </c>
    </row>
    <row r="285" spans="1:3" ht="12.75" customHeight="1">
      <c r="A285" s="359" t="s">
        <v>465</v>
      </c>
      <c r="B285" t="s">
        <v>1935</v>
      </c>
    </row>
    <row r="286" spans="1:3" ht="12.75" customHeight="1">
      <c r="A286" s="359" t="s">
        <v>466</v>
      </c>
      <c r="B286" t="s">
        <v>1937</v>
      </c>
      <c r="C286" t="s">
        <v>1951</v>
      </c>
    </row>
    <row r="287" spans="1:3" ht="12.75" customHeight="1">
      <c r="A287" s="359" t="s">
        <v>467</v>
      </c>
      <c r="B287" t="s">
        <v>1937</v>
      </c>
      <c r="C287" t="s">
        <v>1951</v>
      </c>
    </row>
    <row r="288" spans="1:3" ht="12.75" customHeight="1">
      <c r="A288" s="359" t="s">
        <v>468</v>
      </c>
      <c r="B288" t="s">
        <v>1937</v>
      </c>
      <c r="C288" t="s">
        <v>1954</v>
      </c>
    </row>
    <row r="289" spans="1:3" ht="12.75" customHeight="1">
      <c r="A289" s="359" t="s">
        <v>470</v>
      </c>
      <c r="B289" t="s">
        <v>1937</v>
      </c>
      <c r="C289" t="s">
        <v>1954</v>
      </c>
    </row>
    <row r="290" spans="1:3" ht="12.75" customHeight="1">
      <c r="A290" s="359" t="s">
        <v>471</v>
      </c>
      <c r="B290" t="s">
        <v>1937</v>
      </c>
      <c r="C290" t="s">
        <v>1954</v>
      </c>
    </row>
    <row r="291" spans="1:3" ht="12.75" customHeight="1">
      <c r="A291" s="359" t="s">
        <v>472</v>
      </c>
      <c r="B291" t="s">
        <v>1937</v>
      </c>
      <c r="C291" t="s">
        <v>1954</v>
      </c>
    </row>
    <row r="292" spans="1:3" ht="12.75" customHeight="1">
      <c r="A292" s="381" t="s">
        <v>473</v>
      </c>
      <c r="B292" t="s">
        <v>1937</v>
      </c>
    </row>
    <row r="293" spans="1:3" ht="12.75" customHeight="1">
      <c r="A293" s="381" t="s">
        <v>474</v>
      </c>
      <c r="B293" t="s">
        <v>1937</v>
      </c>
    </row>
    <row r="294" spans="1:3" ht="12.75" customHeight="1">
      <c r="A294" s="359" t="s">
        <v>475</v>
      </c>
      <c r="B294" t="s">
        <v>1937</v>
      </c>
    </row>
    <row r="295" spans="1:3" ht="12.75" customHeight="1">
      <c r="A295" s="359" t="s">
        <v>477</v>
      </c>
      <c r="B295" t="s">
        <v>1937</v>
      </c>
    </row>
    <row r="296" spans="1:3" ht="12.75" customHeight="1">
      <c r="A296" s="359" t="s">
        <v>478</v>
      </c>
      <c r="B296" t="s">
        <v>1937</v>
      </c>
    </row>
    <row r="297" spans="1:3" ht="12.75" customHeight="1">
      <c r="A297" s="359" t="s">
        <v>479</v>
      </c>
      <c r="B297" t="s">
        <v>1937</v>
      </c>
    </row>
    <row r="298" spans="1:3" ht="12.75" customHeight="1">
      <c r="A298" s="359" t="s">
        <v>480</v>
      </c>
      <c r="B298" t="s">
        <v>1937</v>
      </c>
    </row>
    <row r="299" spans="1:3" ht="12.75" customHeight="1">
      <c r="A299" s="359" t="s">
        <v>481</v>
      </c>
      <c r="B299" t="s">
        <v>1937</v>
      </c>
    </row>
    <row r="300" spans="1:3" ht="12.75" customHeight="1">
      <c r="A300" s="359" t="s">
        <v>482</v>
      </c>
      <c r="B300" t="s">
        <v>1937</v>
      </c>
    </row>
    <row r="301" spans="1:3" ht="12.75" customHeight="1">
      <c r="A301" s="359" t="s">
        <v>483</v>
      </c>
      <c r="B301" t="s">
        <v>1937</v>
      </c>
    </row>
    <row r="302" spans="1:3" ht="12.75" customHeight="1">
      <c r="A302" s="359" t="s">
        <v>484</v>
      </c>
      <c r="B302" t="s">
        <v>1937</v>
      </c>
    </row>
    <row r="303" spans="1:3" ht="12.75" customHeight="1">
      <c r="A303" s="359" t="s">
        <v>485</v>
      </c>
      <c r="B303" t="s">
        <v>1935</v>
      </c>
    </row>
    <row r="304" spans="1:3" ht="12.75" customHeight="1">
      <c r="A304" s="359" t="s">
        <v>487</v>
      </c>
      <c r="B304" t="s">
        <v>1935</v>
      </c>
    </row>
    <row r="305" spans="1:3" ht="12.75" customHeight="1">
      <c r="A305" s="359" t="s">
        <v>488</v>
      </c>
      <c r="B305" t="s">
        <v>1935</v>
      </c>
    </row>
    <row r="306" spans="1:3" ht="12.75" customHeight="1">
      <c r="A306" s="359" t="s">
        <v>490</v>
      </c>
      <c r="B306" t="s">
        <v>1935</v>
      </c>
    </row>
    <row r="307" spans="1:3" ht="12.75" customHeight="1">
      <c r="A307" s="359" t="s">
        <v>491</v>
      </c>
      <c r="B307" t="s">
        <v>1935</v>
      </c>
    </row>
    <row r="308" spans="1:3" ht="12.75" customHeight="1">
      <c r="A308" s="359" t="s">
        <v>492</v>
      </c>
      <c r="B308" t="s">
        <v>1935</v>
      </c>
    </row>
    <row r="309" spans="1:3" ht="12.75" customHeight="1">
      <c r="A309" s="359" t="s">
        <v>493</v>
      </c>
      <c r="B309" t="s">
        <v>1937</v>
      </c>
      <c r="C309" t="s">
        <v>1954</v>
      </c>
    </row>
    <row r="310" spans="1:3" ht="12.75" customHeight="1">
      <c r="A310" s="359" t="s">
        <v>494</v>
      </c>
      <c r="B310" t="s">
        <v>1935</v>
      </c>
    </row>
    <row r="311" spans="1:3" ht="12.75" customHeight="1">
      <c r="A311" s="359" t="s">
        <v>495</v>
      </c>
      <c r="B311" t="s">
        <v>1935</v>
      </c>
    </row>
    <row r="312" spans="1:3" ht="12.75" customHeight="1">
      <c r="A312" s="359" t="s">
        <v>496</v>
      </c>
      <c r="B312" t="s">
        <v>1937</v>
      </c>
      <c r="C312" t="s">
        <v>1954</v>
      </c>
    </row>
    <row r="313" spans="1:3" ht="12.75" customHeight="1">
      <c r="A313" s="359" t="s">
        <v>497</v>
      </c>
      <c r="B313" t="s">
        <v>1935</v>
      </c>
    </row>
    <row r="314" spans="1:3" ht="12.75" customHeight="1">
      <c r="A314" s="359" t="s">
        <v>498</v>
      </c>
      <c r="B314" t="s">
        <v>1935</v>
      </c>
    </row>
    <row r="315" spans="1:3" ht="12.75" customHeight="1">
      <c r="A315" s="359" t="s">
        <v>499</v>
      </c>
      <c r="B315" t="s">
        <v>1937</v>
      </c>
    </row>
    <row r="316" spans="1:3" ht="12.75" customHeight="1">
      <c r="A316" s="359" t="s">
        <v>500</v>
      </c>
      <c r="B316" t="s">
        <v>1935</v>
      </c>
    </row>
    <row r="317" spans="1:3" ht="12.75" customHeight="1">
      <c r="A317" s="359" t="s">
        <v>501</v>
      </c>
      <c r="B317" t="s">
        <v>1935</v>
      </c>
    </row>
    <row r="318" spans="1:3" ht="12.75" customHeight="1">
      <c r="A318" s="359" t="s">
        <v>502</v>
      </c>
      <c r="B318" t="s">
        <v>1935</v>
      </c>
    </row>
    <row r="319" spans="1:3" ht="12.75" customHeight="1">
      <c r="A319" s="359" t="s">
        <v>503</v>
      </c>
      <c r="B319" t="s">
        <v>1935</v>
      </c>
    </row>
    <row r="320" spans="1:3" ht="12.75" customHeight="1">
      <c r="A320" s="359" t="s">
        <v>504</v>
      </c>
      <c r="B320" t="s">
        <v>1937</v>
      </c>
      <c r="C320" t="s">
        <v>1951</v>
      </c>
    </row>
    <row r="321" spans="1:3" ht="12.75" customHeight="1">
      <c r="A321" s="359" t="s">
        <v>506</v>
      </c>
      <c r="B321" t="s">
        <v>1937</v>
      </c>
      <c r="C321" t="s">
        <v>1951</v>
      </c>
    </row>
    <row r="322" spans="1:3" ht="12.75" customHeight="1">
      <c r="A322" s="359" t="s">
        <v>507</v>
      </c>
      <c r="B322" t="s">
        <v>1937</v>
      </c>
      <c r="C322" t="s">
        <v>1951</v>
      </c>
    </row>
    <row r="323" spans="1:3" ht="12.75" customHeight="1">
      <c r="A323" s="359" t="s">
        <v>508</v>
      </c>
      <c r="B323" t="s">
        <v>1937</v>
      </c>
      <c r="C323" t="s">
        <v>1951</v>
      </c>
    </row>
    <row r="324" spans="1:3" ht="12.75" customHeight="1">
      <c r="A324" s="359" t="s">
        <v>509</v>
      </c>
      <c r="B324" t="s">
        <v>1937</v>
      </c>
      <c r="C324" t="s">
        <v>1951</v>
      </c>
    </row>
    <row r="325" spans="1:3" ht="12.75" customHeight="1">
      <c r="A325" s="359" t="s">
        <v>510</v>
      </c>
      <c r="B325" t="s">
        <v>1937</v>
      </c>
      <c r="C325" t="s">
        <v>1951</v>
      </c>
    </row>
    <row r="326" spans="1:3" ht="12.75" customHeight="1">
      <c r="A326" s="359" t="s">
        <v>511</v>
      </c>
      <c r="B326" t="s">
        <v>1937</v>
      </c>
      <c r="C326" t="s">
        <v>1951</v>
      </c>
    </row>
    <row r="327" spans="1:3" ht="12.75" customHeight="1">
      <c r="A327" s="359" t="s">
        <v>512</v>
      </c>
      <c r="B327" t="s">
        <v>1937</v>
      </c>
      <c r="C327" t="s">
        <v>1951</v>
      </c>
    </row>
    <row r="328" spans="1:3" ht="12.75" customHeight="1">
      <c r="A328" s="359" t="s">
        <v>513</v>
      </c>
      <c r="B328" t="s">
        <v>1935</v>
      </c>
    </row>
    <row r="329" spans="1:3" ht="12.75" customHeight="1">
      <c r="A329" s="359" t="s">
        <v>514</v>
      </c>
      <c r="B329" t="s">
        <v>1935</v>
      </c>
    </row>
    <row r="330" spans="1:3" ht="12.75" customHeight="1">
      <c r="A330" s="359" t="s">
        <v>515</v>
      </c>
      <c r="B330" t="s">
        <v>1935</v>
      </c>
    </row>
    <row r="331" spans="1:3" ht="12.75" customHeight="1">
      <c r="A331" s="359" t="s">
        <v>516</v>
      </c>
      <c r="B331" t="s">
        <v>1935</v>
      </c>
    </row>
    <row r="332" spans="1:3" ht="12.75" customHeight="1">
      <c r="A332" s="359" t="s">
        <v>518</v>
      </c>
      <c r="B332" t="s">
        <v>1935</v>
      </c>
    </row>
    <row r="333" spans="1:3" ht="12.75" customHeight="1">
      <c r="A333" s="359" t="s">
        <v>519</v>
      </c>
      <c r="B333" t="s">
        <v>1935</v>
      </c>
    </row>
    <row r="334" spans="1:3" ht="12.75" customHeight="1">
      <c r="A334" s="359" t="s">
        <v>520</v>
      </c>
      <c r="B334" t="s">
        <v>1937</v>
      </c>
    </row>
    <row r="335" spans="1:3" ht="12.75" customHeight="1">
      <c r="A335" s="359" t="s">
        <v>521</v>
      </c>
      <c r="B335" t="s">
        <v>1935</v>
      </c>
    </row>
    <row r="336" spans="1:3" ht="12.75" customHeight="1">
      <c r="A336" s="359" t="s">
        <v>522</v>
      </c>
      <c r="B336" t="s">
        <v>1935</v>
      </c>
    </row>
    <row r="337" spans="1:3" ht="12.75" customHeight="1">
      <c r="A337" s="359" t="s">
        <v>523</v>
      </c>
      <c r="B337" t="s">
        <v>1935</v>
      </c>
    </row>
    <row r="338" spans="1:3" ht="12.75" customHeight="1">
      <c r="A338" s="359" t="s">
        <v>524</v>
      </c>
      <c r="B338" t="s">
        <v>1937</v>
      </c>
    </row>
    <row r="339" spans="1:3" ht="12.75" customHeight="1">
      <c r="A339" s="359" t="s">
        <v>525</v>
      </c>
      <c r="B339" t="s">
        <v>1937</v>
      </c>
    </row>
    <row r="340" spans="1:3" ht="12.75" customHeight="1">
      <c r="A340" s="359" t="s">
        <v>526</v>
      </c>
      <c r="B340" t="s">
        <v>1937</v>
      </c>
    </row>
    <row r="341" spans="1:3" ht="12.75" customHeight="1">
      <c r="A341" s="359" t="s">
        <v>527</v>
      </c>
      <c r="B341" t="s">
        <v>1937</v>
      </c>
    </row>
    <row r="342" spans="1:3" ht="12.75" customHeight="1">
      <c r="A342" s="359" t="s">
        <v>528</v>
      </c>
      <c r="B342" t="s">
        <v>1937</v>
      </c>
      <c r="C342" t="s">
        <v>1955</v>
      </c>
    </row>
    <row r="343" spans="1:3" ht="12.75" customHeight="1">
      <c r="A343" s="359" t="s">
        <v>532</v>
      </c>
      <c r="B343" t="s">
        <v>1937</v>
      </c>
      <c r="C343" t="s">
        <v>1955</v>
      </c>
    </row>
    <row r="344" spans="1:3" ht="12.75" customHeight="1">
      <c r="A344" s="359" t="s">
        <v>533</v>
      </c>
      <c r="B344" t="s">
        <v>1937</v>
      </c>
      <c r="C344" t="s">
        <v>1955</v>
      </c>
    </row>
    <row r="345" spans="1:3" ht="12.75" customHeight="1">
      <c r="A345" s="359" t="s">
        <v>534</v>
      </c>
      <c r="B345" t="s">
        <v>1937</v>
      </c>
      <c r="C345" t="s">
        <v>1955</v>
      </c>
    </row>
    <row r="346" spans="1:3" ht="12.75" customHeight="1">
      <c r="A346" s="359" t="s">
        <v>535</v>
      </c>
      <c r="B346" t="s">
        <v>1937</v>
      </c>
    </row>
    <row r="347" spans="1:3" ht="12.75" customHeight="1">
      <c r="A347" s="359" t="s">
        <v>536</v>
      </c>
      <c r="B347" t="s">
        <v>1937</v>
      </c>
    </row>
    <row r="348" spans="1:3" ht="12.75" customHeight="1">
      <c r="A348" s="359" t="s">
        <v>537</v>
      </c>
      <c r="B348" t="s">
        <v>1937</v>
      </c>
    </row>
    <row r="349" spans="1:3" ht="12.75" customHeight="1">
      <c r="A349" s="359" t="s">
        <v>538</v>
      </c>
      <c r="B349" t="s">
        <v>1937</v>
      </c>
    </row>
    <row r="350" spans="1:3" ht="12.75" customHeight="1">
      <c r="A350" s="359" t="s">
        <v>539</v>
      </c>
      <c r="B350" t="s">
        <v>1935</v>
      </c>
    </row>
    <row r="351" spans="1:3" ht="12.75" customHeight="1">
      <c r="A351" s="359" t="s">
        <v>540</v>
      </c>
      <c r="B351" t="s">
        <v>1935</v>
      </c>
    </row>
    <row r="352" spans="1:3" ht="12.75" customHeight="1">
      <c r="A352" s="359" t="s">
        <v>541</v>
      </c>
      <c r="B352" t="s">
        <v>1935</v>
      </c>
    </row>
    <row r="353" spans="1:2" ht="12.75" customHeight="1">
      <c r="A353" s="359" t="s">
        <v>542</v>
      </c>
      <c r="B353" t="s">
        <v>1935</v>
      </c>
    </row>
    <row r="354" spans="1:2" ht="12.75" customHeight="1">
      <c r="A354" s="359" t="s">
        <v>543</v>
      </c>
      <c r="B354" t="s">
        <v>1937</v>
      </c>
    </row>
    <row r="355" spans="1:2" ht="12.75" customHeight="1">
      <c r="A355" s="359" t="s">
        <v>544</v>
      </c>
      <c r="B355" t="s">
        <v>1937</v>
      </c>
    </row>
    <row r="356" spans="1:2" ht="12.75" customHeight="1">
      <c r="A356" s="359" t="s">
        <v>547</v>
      </c>
      <c r="B356" t="s">
        <v>1937</v>
      </c>
    </row>
    <row r="357" spans="1:2" ht="12.75" customHeight="1">
      <c r="A357" s="359" t="s">
        <v>548</v>
      </c>
      <c r="B357" t="s">
        <v>1937</v>
      </c>
    </row>
    <row r="358" spans="1:2" ht="12.75" customHeight="1">
      <c r="A358" s="359" t="s">
        <v>550</v>
      </c>
      <c r="B358" t="s">
        <v>1937</v>
      </c>
    </row>
    <row r="359" spans="1:2" ht="12.75" customHeight="1">
      <c r="A359" s="359" t="s">
        <v>552</v>
      </c>
      <c r="B359" t="s">
        <v>1937</v>
      </c>
    </row>
    <row r="360" spans="1:2" ht="12.75" customHeight="1">
      <c r="A360" s="359" t="s">
        <v>553</v>
      </c>
      <c r="B360" t="s">
        <v>1937</v>
      </c>
    </row>
    <row r="361" spans="1:2" ht="12.75" customHeight="1">
      <c r="A361" s="359" t="s">
        <v>554</v>
      </c>
      <c r="B361" t="s">
        <v>1937</v>
      </c>
    </row>
    <row r="362" spans="1:2" ht="12.75" customHeight="1">
      <c r="A362" s="67" t="s">
        <v>556</v>
      </c>
      <c r="B362" t="s">
        <v>1937</v>
      </c>
    </row>
    <row r="363" spans="1:2" ht="12.75" customHeight="1">
      <c r="A363" s="359" t="s">
        <v>557</v>
      </c>
      <c r="B363" t="s">
        <v>1937</v>
      </c>
    </row>
    <row r="364" spans="1:2" ht="12.75" customHeight="1">
      <c r="A364" s="359" t="s">
        <v>558</v>
      </c>
      <c r="B364" t="s">
        <v>1937</v>
      </c>
    </row>
    <row r="365" spans="1:2" ht="12.75" customHeight="1">
      <c r="A365" s="359" t="s">
        <v>559</v>
      </c>
      <c r="B365" t="s">
        <v>1937</v>
      </c>
    </row>
    <row r="366" spans="1:2" ht="12.75" customHeight="1">
      <c r="A366" s="359" t="s">
        <v>560</v>
      </c>
      <c r="B366" t="s">
        <v>1937</v>
      </c>
    </row>
    <row r="367" spans="1:2" ht="12.75" customHeight="1">
      <c r="A367" s="359" t="s">
        <v>561</v>
      </c>
      <c r="B367" t="s">
        <v>1937</v>
      </c>
    </row>
    <row r="368" spans="1:2" ht="12.75" customHeight="1">
      <c r="A368" s="359" t="s">
        <v>562</v>
      </c>
      <c r="B368" t="s">
        <v>1937</v>
      </c>
    </row>
    <row r="369" spans="1:2" ht="12.75" customHeight="1">
      <c r="A369" s="359" t="s">
        <v>563</v>
      </c>
      <c r="B369" t="s">
        <v>1937</v>
      </c>
    </row>
    <row r="370" spans="1:2" ht="12.75" customHeight="1">
      <c r="A370" s="359" t="s">
        <v>565</v>
      </c>
      <c r="B370" t="s">
        <v>1937</v>
      </c>
    </row>
    <row r="371" spans="1:2" ht="12.75" customHeight="1">
      <c r="A371" s="359" t="s">
        <v>566</v>
      </c>
      <c r="B371" t="s">
        <v>1937</v>
      </c>
    </row>
    <row r="372" spans="1:2" ht="12.75" customHeight="1">
      <c r="A372" s="359" t="s">
        <v>567</v>
      </c>
      <c r="B372" t="s">
        <v>1937</v>
      </c>
    </row>
    <row r="373" spans="1:2" ht="12.75" customHeight="1">
      <c r="A373" s="359" t="s">
        <v>568</v>
      </c>
      <c r="B373" t="s">
        <v>1937</v>
      </c>
    </row>
    <row r="374" spans="1:2" ht="12.75" customHeight="1">
      <c r="A374" s="359" t="s">
        <v>569</v>
      </c>
      <c r="B374" t="s">
        <v>1937</v>
      </c>
    </row>
    <row r="375" spans="1:2" ht="12.75" customHeight="1">
      <c r="A375" s="359" t="s">
        <v>570</v>
      </c>
      <c r="B375" t="s">
        <v>1937</v>
      </c>
    </row>
    <row r="376" spans="1:2" ht="12.75" customHeight="1">
      <c r="A376" s="359" t="s">
        <v>571</v>
      </c>
      <c r="B376" t="s">
        <v>1937</v>
      </c>
    </row>
    <row r="377" spans="1:2" ht="12.75" customHeight="1">
      <c r="A377" s="359" t="s">
        <v>572</v>
      </c>
      <c r="B377" t="s">
        <v>1937</v>
      </c>
    </row>
    <row r="378" spans="1:2" ht="12.75" customHeight="1">
      <c r="A378" s="359" t="s">
        <v>576</v>
      </c>
      <c r="B378" t="s">
        <v>1937</v>
      </c>
    </row>
    <row r="379" spans="1:2" ht="12.75" customHeight="1">
      <c r="A379" s="359" t="s">
        <v>577</v>
      </c>
      <c r="B379" t="s">
        <v>1937</v>
      </c>
    </row>
    <row r="380" spans="1:2" ht="12.75" customHeight="1">
      <c r="A380" s="359" t="s">
        <v>578</v>
      </c>
      <c r="B380" t="s">
        <v>1937</v>
      </c>
    </row>
    <row r="381" spans="1:2" ht="12.75" customHeight="1">
      <c r="A381" s="359" t="s">
        <v>580</v>
      </c>
      <c r="B381" t="s">
        <v>1935</v>
      </c>
    </row>
    <row r="382" spans="1:2" ht="12.75" customHeight="1">
      <c r="A382" s="359" t="s">
        <v>583</v>
      </c>
      <c r="B382" t="s">
        <v>1937</v>
      </c>
    </row>
    <row r="383" spans="1:2" ht="12.75" customHeight="1">
      <c r="A383" s="359" t="s">
        <v>584</v>
      </c>
      <c r="B383" t="s">
        <v>1937</v>
      </c>
    </row>
    <row r="384" spans="1:2" ht="12.75" customHeight="1">
      <c r="A384" s="359" t="s">
        <v>585</v>
      </c>
      <c r="B384" t="s">
        <v>1937</v>
      </c>
    </row>
    <row r="385" spans="1:2" ht="12.75" customHeight="1">
      <c r="A385" s="359" t="s">
        <v>586</v>
      </c>
      <c r="B385" t="s">
        <v>1935</v>
      </c>
    </row>
    <row r="386" spans="1:2" ht="12.75" customHeight="1">
      <c r="A386" s="359" t="s">
        <v>587</v>
      </c>
      <c r="B386" t="s">
        <v>1937</v>
      </c>
    </row>
    <row r="387" spans="1:2" ht="12.75" customHeight="1">
      <c r="A387" s="359" t="s">
        <v>588</v>
      </c>
      <c r="B387" t="s">
        <v>1935</v>
      </c>
    </row>
    <row r="388" spans="1:2" ht="12.75" customHeight="1">
      <c r="A388" s="359" t="s">
        <v>589</v>
      </c>
      <c r="B388" t="s">
        <v>1937</v>
      </c>
    </row>
    <row r="389" spans="1:2" ht="12.75" customHeight="1">
      <c r="A389" s="359" t="s">
        <v>590</v>
      </c>
      <c r="B389" t="s">
        <v>1937</v>
      </c>
    </row>
    <row r="390" spans="1:2" ht="12.75" customHeight="1">
      <c r="A390" s="359" t="s">
        <v>592</v>
      </c>
      <c r="B390" t="s">
        <v>1937</v>
      </c>
    </row>
    <row r="391" spans="1:2" ht="12.75" customHeight="1">
      <c r="A391" s="359" t="s">
        <v>593</v>
      </c>
      <c r="B391" t="s">
        <v>1935</v>
      </c>
    </row>
    <row r="392" spans="1:2" ht="12.75" customHeight="1">
      <c r="A392" s="359" t="s">
        <v>594</v>
      </c>
      <c r="B392" t="s">
        <v>1935</v>
      </c>
    </row>
    <row r="393" spans="1:2" ht="12.75" customHeight="1">
      <c r="A393" s="359" t="s">
        <v>595</v>
      </c>
      <c r="B393" t="s">
        <v>1937</v>
      </c>
    </row>
    <row r="394" spans="1:2" ht="12.75" customHeight="1">
      <c r="A394" s="359" t="s">
        <v>596</v>
      </c>
      <c r="B394" t="s">
        <v>1937</v>
      </c>
    </row>
    <row r="395" spans="1:2" ht="12.75" customHeight="1">
      <c r="A395" s="359" t="s">
        <v>597</v>
      </c>
      <c r="B395" t="s">
        <v>1937</v>
      </c>
    </row>
    <row r="396" spans="1:2" ht="12.75" customHeight="1">
      <c r="A396" s="359" t="s">
        <v>598</v>
      </c>
      <c r="B396" t="s">
        <v>1937</v>
      </c>
    </row>
    <row r="397" spans="1:2" ht="12.75" customHeight="1">
      <c r="A397" s="359" t="s">
        <v>599</v>
      </c>
      <c r="B397" t="s">
        <v>1937</v>
      </c>
    </row>
    <row r="398" spans="1:2" ht="12.75" customHeight="1">
      <c r="A398" s="359" t="s">
        <v>600</v>
      </c>
      <c r="B398" t="s">
        <v>1937</v>
      </c>
    </row>
    <row r="399" spans="1:2" ht="12.75" customHeight="1">
      <c r="A399" s="359" t="s">
        <v>601</v>
      </c>
      <c r="B399" t="s">
        <v>1937</v>
      </c>
    </row>
    <row r="400" spans="1:2" ht="12.75" customHeight="1">
      <c r="A400" s="359" t="s">
        <v>602</v>
      </c>
      <c r="B400" t="s">
        <v>1937</v>
      </c>
    </row>
    <row r="401" spans="1:3" ht="12.75" customHeight="1">
      <c r="A401" s="359" t="s">
        <v>603</v>
      </c>
      <c r="B401" t="s">
        <v>1937</v>
      </c>
    </row>
    <row r="402" spans="1:3" ht="12.75" customHeight="1">
      <c r="A402" s="359" t="s">
        <v>605</v>
      </c>
      <c r="B402" t="s">
        <v>1937</v>
      </c>
    </row>
    <row r="403" spans="1:3" ht="12.75" customHeight="1">
      <c r="A403" s="359" t="s">
        <v>606</v>
      </c>
      <c r="B403" t="s">
        <v>1937</v>
      </c>
    </row>
    <row r="404" spans="1:3" ht="12.75" customHeight="1">
      <c r="A404" s="359" t="s">
        <v>607</v>
      </c>
      <c r="B404" t="s">
        <v>1937</v>
      </c>
    </row>
    <row r="405" spans="1:3" ht="12.75" customHeight="1">
      <c r="A405" s="359" t="s">
        <v>608</v>
      </c>
      <c r="B405" t="s">
        <v>1937</v>
      </c>
    </row>
    <row r="406" spans="1:3" ht="12.75" customHeight="1">
      <c r="A406" s="359" t="s">
        <v>610</v>
      </c>
      <c r="B406" t="s">
        <v>1937</v>
      </c>
    </row>
    <row r="407" spans="1:3" ht="12.75" customHeight="1">
      <c r="A407" s="359" t="s">
        <v>611</v>
      </c>
      <c r="B407" t="s">
        <v>1937</v>
      </c>
    </row>
    <row r="408" spans="1:3" ht="12.75" customHeight="1">
      <c r="A408" s="359" t="s">
        <v>612</v>
      </c>
      <c r="B408" t="s">
        <v>1937</v>
      </c>
    </row>
    <row r="409" spans="1:3" ht="12.75" customHeight="1">
      <c r="A409" s="359" t="s">
        <v>613</v>
      </c>
      <c r="B409" t="s">
        <v>1937</v>
      </c>
      <c r="C409" t="s">
        <v>1956</v>
      </c>
    </row>
    <row r="410" spans="1:3" ht="12.75" customHeight="1">
      <c r="A410" s="359" t="s">
        <v>615</v>
      </c>
      <c r="B410" t="s">
        <v>1937</v>
      </c>
      <c r="C410" t="s">
        <v>1956</v>
      </c>
    </row>
    <row r="411" spans="1:3" ht="12.75" customHeight="1">
      <c r="A411" s="359" t="s">
        <v>616</v>
      </c>
      <c r="B411" t="s">
        <v>1937</v>
      </c>
    </row>
    <row r="412" spans="1:3" ht="12.75" customHeight="1">
      <c r="A412" s="359" t="s">
        <v>617</v>
      </c>
      <c r="B412" t="s">
        <v>1935</v>
      </c>
    </row>
    <row r="413" spans="1:3" ht="12.75" customHeight="1">
      <c r="A413" s="359" t="s">
        <v>619</v>
      </c>
      <c r="B413" t="s">
        <v>1937</v>
      </c>
    </row>
    <row r="414" spans="1:3" ht="12.75" customHeight="1">
      <c r="A414" s="359" t="s">
        <v>620</v>
      </c>
      <c r="B414" t="s">
        <v>1937</v>
      </c>
    </row>
    <row r="415" spans="1:3" ht="12.75" customHeight="1">
      <c r="A415" s="359" t="s">
        <v>623</v>
      </c>
      <c r="B415" t="s">
        <v>1937</v>
      </c>
    </row>
    <row r="416" spans="1:3" ht="12.75" customHeight="1">
      <c r="A416" s="359" t="s">
        <v>625</v>
      </c>
      <c r="B416" t="s">
        <v>1937</v>
      </c>
    </row>
    <row r="417" spans="1:2" ht="12.75" customHeight="1">
      <c r="A417" s="359" t="s">
        <v>627</v>
      </c>
      <c r="B417" t="s">
        <v>1937</v>
      </c>
    </row>
    <row r="418" spans="1:2" ht="12.75" customHeight="1">
      <c r="A418" s="359" t="s">
        <v>629</v>
      </c>
      <c r="B418" t="s">
        <v>1937</v>
      </c>
    </row>
    <row r="419" spans="1:2" ht="12.75" customHeight="1">
      <c r="A419" s="359" t="s">
        <v>630</v>
      </c>
      <c r="B419" t="s">
        <v>1937</v>
      </c>
    </row>
    <row r="420" spans="1:2" ht="12.75" customHeight="1">
      <c r="A420" s="359" t="s">
        <v>631</v>
      </c>
      <c r="B420" t="s">
        <v>1935</v>
      </c>
    </row>
    <row r="421" spans="1:2" ht="12.75" customHeight="1">
      <c r="A421" s="359" t="s">
        <v>632</v>
      </c>
      <c r="B421" t="s">
        <v>1935</v>
      </c>
    </row>
    <row r="422" spans="1:2" ht="12.75" customHeight="1">
      <c r="A422" s="359" t="s">
        <v>633</v>
      </c>
      <c r="B422" t="s">
        <v>1937</v>
      </c>
    </row>
    <row r="423" spans="1:2" ht="12.75" customHeight="1">
      <c r="A423" s="359" t="s">
        <v>635</v>
      </c>
      <c r="B423" t="s">
        <v>1937</v>
      </c>
    </row>
    <row r="424" spans="1:2" ht="12.75" customHeight="1">
      <c r="A424" s="359" t="s">
        <v>638</v>
      </c>
      <c r="B424" t="s">
        <v>1937</v>
      </c>
    </row>
    <row r="425" spans="1:2" ht="12.75" customHeight="1">
      <c r="A425" s="359" t="s">
        <v>639</v>
      </c>
      <c r="B425" t="s">
        <v>1937</v>
      </c>
    </row>
    <row r="426" spans="1:2" ht="12.75" customHeight="1">
      <c r="A426" s="359" t="s">
        <v>640</v>
      </c>
      <c r="B426" t="s">
        <v>1937</v>
      </c>
    </row>
    <row r="427" spans="1:2" ht="12.75" customHeight="1">
      <c r="A427" s="359" t="s">
        <v>643</v>
      </c>
      <c r="B427" t="s">
        <v>1937</v>
      </c>
    </row>
    <row r="428" spans="1:2" ht="12.75" customHeight="1">
      <c r="A428" s="359" t="s">
        <v>644</v>
      </c>
      <c r="B428" t="s">
        <v>1937</v>
      </c>
    </row>
    <row r="429" spans="1:2" ht="12.75" customHeight="1">
      <c r="A429" s="359" t="s">
        <v>645</v>
      </c>
      <c r="B429" t="s">
        <v>1937</v>
      </c>
    </row>
    <row r="430" spans="1:2" ht="12.75" customHeight="1">
      <c r="A430" s="359" t="s">
        <v>646</v>
      </c>
      <c r="B430" t="s">
        <v>1935</v>
      </c>
    </row>
    <row r="431" spans="1:2" ht="12.75" customHeight="1">
      <c r="A431" s="359" t="s">
        <v>648</v>
      </c>
      <c r="B431" t="s">
        <v>1935</v>
      </c>
    </row>
    <row r="432" spans="1:2" ht="12.75" customHeight="1">
      <c r="A432" s="359" t="s">
        <v>649</v>
      </c>
      <c r="B432" t="s">
        <v>1937</v>
      </c>
    </row>
    <row r="433" spans="1:2" ht="12.75" customHeight="1">
      <c r="A433" s="359" t="s">
        <v>650</v>
      </c>
      <c r="B433" t="s">
        <v>1937</v>
      </c>
    </row>
    <row r="434" spans="1:2" ht="12.75" customHeight="1">
      <c r="A434" s="359" t="s">
        <v>651</v>
      </c>
      <c r="B434" t="s">
        <v>1937</v>
      </c>
    </row>
    <row r="435" spans="1:2" ht="12.75" customHeight="1">
      <c r="A435" s="359" t="s">
        <v>653</v>
      </c>
      <c r="B435" t="s">
        <v>1937</v>
      </c>
    </row>
    <row r="436" spans="1:2" ht="12.75" customHeight="1">
      <c r="A436" s="359" t="s">
        <v>655</v>
      </c>
      <c r="B436" t="s">
        <v>1937</v>
      </c>
    </row>
    <row r="437" spans="1:2" ht="12.75" customHeight="1">
      <c r="A437" s="359" t="s">
        <v>656</v>
      </c>
      <c r="B437" t="s">
        <v>1937</v>
      </c>
    </row>
    <row r="438" spans="1:2" ht="12.75" customHeight="1">
      <c r="A438" s="359" t="s">
        <v>657</v>
      </c>
      <c r="B438" t="s">
        <v>1937</v>
      </c>
    </row>
    <row r="439" spans="1:2" ht="12.75" customHeight="1">
      <c r="A439" s="359" t="s">
        <v>660</v>
      </c>
      <c r="B439" t="s">
        <v>1935</v>
      </c>
    </row>
    <row r="440" spans="1:2" ht="12.75" customHeight="1">
      <c r="A440" s="359" t="s">
        <v>663</v>
      </c>
      <c r="B440" t="s">
        <v>1937</v>
      </c>
    </row>
    <row r="441" spans="1:2" ht="12.75" customHeight="1">
      <c r="A441" s="359" t="s">
        <v>664</v>
      </c>
      <c r="B441" t="s">
        <v>1937</v>
      </c>
    </row>
    <row r="442" spans="1:2" ht="12.75" customHeight="1">
      <c r="A442" s="359" t="s">
        <v>665</v>
      </c>
      <c r="B442" t="s">
        <v>1937</v>
      </c>
    </row>
    <row r="443" spans="1:2" ht="12.75" customHeight="1">
      <c r="A443" s="359" t="s">
        <v>667</v>
      </c>
      <c r="B443" t="s">
        <v>1937</v>
      </c>
    </row>
    <row r="444" spans="1:2" ht="12.75" customHeight="1">
      <c r="A444" s="359" t="s">
        <v>668</v>
      </c>
      <c r="B444" t="s">
        <v>1937</v>
      </c>
    </row>
    <row r="445" spans="1:2" ht="12.75" customHeight="1">
      <c r="A445" s="359" t="s">
        <v>669</v>
      </c>
      <c r="B445" t="s">
        <v>1937</v>
      </c>
    </row>
    <row r="446" spans="1:2" ht="12.75" customHeight="1">
      <c r="A446" s="359" t="s">
        <v>670</v>
      </c>
      <c r="B446" t="s">
        <v>1937</v>
      </c>
    </row>
    <row r="447" spans="1:2" ht="12.75" customHeight="1">
      <c r="A447" s="359" t="s">
        <v>671</v>
      </c>
      <c r="B447" t="s">
        <v>1937</v>
      </c>
    </row>
    <row r="448" spans="1:2" ht="12.75" customHeight="1">
      <c r="A448" s="359" t="s">
        <v>672</v>
      </c>
      <c r="B448" t="s">
        <v>1937</v>
      </c>
    </row>
    <row r="449" spans="1:2" ht="12.75" customHeight="1">
      <c r="A449" s="359" t="s">
        <v>673</v>
      </c>
      <c r="B449" t="s">
        <v>1937</v>
      </c>
    </row>
    <row r="450" spans="1:2" ht="12.75" customHeight="1">
      <c r="A450" s="359" t="s">
        <v>674</v>
      </c>
      <c r="B450" t="s">
        <v>1937</v>
      </c>
    </row>
    <row r="451" spans="1:2" ht="12.75" customHeight="1">
      <c r="A451" s="359" t="s">
        <v>676</v>
      </c>
      <c r="B451" t="s">
        <v>1937</v>
      </c>
    </row>
    <row r="452" spans="1:2" ht="12.75" customHeight="1">
      <c r="A452" s="359" t="s">
        <v>677</v>
      </c>
      <c r="B452" t="s">
        <v>1937</v>
      </c>
    </row>
    <row r="453" spans="1:2" ht="12.75" customHeight="1">
      <c r="A453" s="359" t="s">
        <v>678</v>
      </c>
      <c r="B453" t="s">
        <v>1937</v>
      </c>
    </row>
    <row r="454" spans="1:2" ht="12.75" customHeight="1">
      <c r="A454" s="359" t="s">
        <v>681</v>
      </c>
      <c r="B454" t="s">
        <v>1937</v>
      </c>
    </row>
    <row r="455" spans="1:2" ht="12.75" customHeight="1">
      <c r="A455" s="359" t="s">
        <v>683</v>
      </c>
      <c r="B455" t="s">
        <v>1937</v>
      </c>
    </row>
    <row r="456" spans="1:2" ht="12.75" customHeight="1">
      <c r="A456" s="359" t="s">
        <v>685</v>
      </c>
      <c r="B456" t="s">
        <v>1937</v>
      </c>
    </row>
    <row r="457" spans="1:2" ht="12.75" customHeight="1">
      <c r="A457" s="359" t="s">
        <v>686</v>
      </c>
      <c r="B457" t="s">
        <v>1937</v>
      </c>
    </row>
    <row r="458" spans="1:2" ht="12.75" customHeight="1">
      <c r="A458" s="359" t="s">
        <v>687</v>
      </c>
      <c r="B458" t="s">
        <v>1937</v>
      </c>
    </row>
    <row r="459" spans="1:2" ht="12.75" customHeight="1">
      <c r="A459" s="359" t="s">
        <v>689</v>
      </c>
      <c r="B459" t="s">
        <v>1937</v>
      </c>
    </row>
    <row r="460" spans="1:2" ht="12.75" customHeight="1">
      <c r="A460" s="359" t="s">
        <v>690</v>
      </c>
      <c r="B460" t="s">
        <v>1937</v>
      </c>
    </row>
    <row r="461" spans="1:2" ht="12.75" customHeight="1">
      <c r="A461" s="359" t="s">
        <v>691</v>
      </c>
      <c r="B461" t="s">
        <v>1937</v>
      </c>
    </row>
    <row r="462" spans="1:2" ht="12.75" customHeight="1">
      <c r="A462" s="359" t="s">
        <v>692</v>
      </c>
      <c r="B462" t="s">
        <v>1937</v>
      </c>
    </row>
    <row r="463" spans="1:2" ht="12.75" customHeight="1">
      <c r="A463" s="359" t="s">
        <v>695</v>
      </c>
      <c r="B463" t="s">
        <v>1937</v>
      </c>
    </row>
    <row r="464" spans="1:2" ht="12.75" customHeight="1">
      <c r="A464" s="359" t="s">
        <v>696</v>
      </c>
      <c r="B464" t="s">
        <v>1937</v>
      </c>
    </row>
    <row r="465" spans="1:2" ht="12.75" customHeight="1">
      <c r="A465" s="359" t="s">
        <v>697</v>
      </c>
      <c r="B465" t="s">
        <v>1937</v>
      </c>
    </row>
    <row r="466" spans="1:2" ht="12.75" customHeight="1">
      <c r="A466" s="359" t="s">
        <v>698</v>
      </c>
      <c r="B466" t="s">
        <v>1937</v>
      </c>
    </row>
    <row r="467" spans="1:2" ht="12.75" customHeight="1">
      <c r="A467" s="359" t="s">
        <v>700</v>
      </c>
      <c r="B467" t="s">
        <v>1937</v>
      </c>
    </row>
    <row r="468" spans="1:2" ht="12.75" customHeight="1">
      <c r="A468" s="359" t="s">
        <v>701</v>
      </c>
      <c r="B468" t="s">
        <v>1937</v>
      </c>
    </row>
    <row r="469" spans="1:2" ht="12.75" customHeight="1">
      <c r="A469" s="359" t="s">
        <v>702</v>
      </c>
      <c r="B469" t="s">
        <v>1937</v>
      </c>
    </row>
    <row r="470" spans="1:2" ht="12.75" customHeight="1">
      <c r="A470" s="359" t="s">
        <v>703</v>
      </c>
      <c r="B470" t="s">
        <v>1937</v>
      </c>
    </row>
    <row r="471" spans="1:2" ht="12.75" customHeight="1">
      <c r="A471" s="359" t="s">
        <v>705</v>
      </c>
      <c r="B471" t="s">
        <v>1937</v>
      </c>
    </row>
    <row r="472" spans="1:2" ht="12.75" customHeight="1">
      <c r="A472" s="359" t="s">
        <v>706</v>
      </c>
      <c r="B472" t="s">
        <v>1937</v>
      </c>
    </row>
    <row r="473" spans="1:2" ht="12.75" customHeight="1">
      <c r="A473" s="359" t="s">
        <v>707</v>
      </c>
      <c r="B473" t="s">
        <v>1937</v>
      </c>
    </row>
    <row r="474" spans="1:2" ht="12.75" customHeight="1">
      <c r="A474" s="359" t="s">
        <v>708</v>
      </c>
      <c r="B474" t="s">
        <v>1937</v>
      </c>
    </row>
    <row r="475" spans="1:2" ht="12.75" customHeight="1">
      <c r="A475" s="359" t="s">
        <v>710</v>
      </c>
      <c r="B475" t="s">
        <v>1935</v>
      </c>
    </row>
    <row r="476" spans="1:2" ht="12.75" customHeight="1">
      <c r="A476" s="359" t="s">
        <v>711</v>
      </c>
      <c r="B476" t="s">
        <v>1937</v>
      </c>
    </row>
    <row r="477" spans="1:2" ht="12.75" customHeight="1">
      <c r="A477" s="359" t="s">
        <v>712</v>
      </c>
      <c r="B477" t="s">
        <v>1937</v>
      </c>
    </row>
    <row r="478" spans="1:2" ht="12.75" customHeight="1">
      <c r="A478" s="359" t="s">
        <v>713</v>
      </c>
      <c r="B478" t="s">
        <v>1937</v>
      </c>
    </row>
    <row r="479" spans="1:2" ht="12.75" customHeight="1">
      <c r="A479" s="359" t="s">
        <v>715</v>
      </c>
      <c r="B479" t="s">
        <v>1935</v>
      </c>
    </row>
    <row r="480" spans="1:2" ht="12.75" customHeight="1">
      <c r="A480" s="359" t="s">
        <v>716</v>
      </c>
      <c r="B480" t="s">
        <v>1937</v>
      </c>
    </row>
    <row r="481" spans="1:2" ht="12.75" customHeight="1">
      <c r="A481" s="359" t="s">
        <v>717</v>
      </c>
      <c r="B481" t="s">
        <v>1937</v>
      </c>
    </row>
    <row r="482" spans="1:2" ht="12.75" customHeight="1">
      <c r="A482" s="359" t="s">
        <v>718</v>
      </c>
      <c r="B482" t="s">
        <v>1935</v>
      </c>
    </row>
    <row r="483" spans="1:2" ht="12.75" customHeight="1">
      <c r="A483" s="359" t="s">
        <v>720</v>
      </c>
      <c r="B483" t="s">
        <v>1937</v>
      </c>
    </row>
    <row r="484" spans="1:2" ht="12.75" customHeight="1">
      <c r="A484" s="359" t="s">
        <v>721</v>
      </c>
      <c r="B484" t="s">
        <v>1937</v>
      </c>
    </row>
    <row r="485" spans="1:2" ht="12.75" customHeight="1">
      <c r="A485" s="359" t="s">
        <v>722</v>
      </c>
      <c r="B485" t="s">
        <v>1937</v>
      </c>
    </row>
    <row r="486" spans="1:2" ht="12.75" customHeight="1">
      <c r="A486" s="359" t="s">
        <v>1957</v>
      </c>
      <c r="B486" t="s">
        <v>1937</v>
      </c>
    </row>
    <row r="487" spans="1:2" ht="12.75" customHeight="1">
      <c r="A487" s="359" t="s">
        <v>1958</v>
      </c>
      <c r="B487" t="s">
        <v>1937</v>
      </c>
    </row>
    <row r="488" spans="1:2" ht="12.75" customHeight="1">
      <c r="A488" s="359" t="s">
        <v>1959</v>
      </c>
      <c r="B488" t="s">
        <v>1937</v>
      </c>
    </row>
    <row r="489" spans="1:2" ht="12.75" customHeight="1">
      <c r="A489" s="359" t="s">
        <v>1841</v>
      </c>
      <c r="B489" t="s">
        <v>1937</v>
      </c>
    </row>
    <row r="490" spans="1:2" ht="12.75" customHeight="1">
      <c r="A490" s="359" t="s">
        <v>1842</v>
      </c>
      <c r="B490" t="s">
        <v>1937</v>
      </c>
    </row>
    <row r="491" spans="1:2" ht="12.75" customHeight="1">
      <c r="A491" s="359" t="s">
        <v>1843</v>
      </c>
      <c r="B491" t="s">
        <v>1935</v>
      </c>
    </row>
    <row r="492" spans="1:2" ht="12.75" customHeight="1">
      <c r="A492" s="359" t="s">
        <v>1844</v>
      </c>
      <c r="B492" t="s">
        <v>1937</v>
      </c>
    </row>
    <row r="493" spans="1:2" ht="12.75" customHeight="1">
      <c r="A493" s="359" t="s">
        <v>1845</v>
      </c>
      <c r="B493" t="s">
        <v>1937</v>
      </c>
    </row>
    <row r="494" spans="1:2" ht="12.75" customHeight="1">
      <c r="A494" s="359" t="s">
        <v>1846</v>
      </c>
      <c r="B494" t="s">
        <v>1937</v>
      </c>
    </row>
    <row r="495" spans="1:2" ht="12.75" customHeight="1">
      <c r="A495" s="359" t="s">
        <v>1847</v>
      </c>
      <c r="B495" t="s">
        <v>1937</v>
      </c>
    </row>
    <row r="496" spans="1:2" ht="12.75" customHeight="1">
      <c r="A496" s="359" t="s">
        <v>1848</v>
      </c>
      <c r="B496" t="s">
        <v>1937</v>
      </c>
    </row>
    <row r="497" spans="1:2" ht="12.75" customHeight="1">
      <c r="A497" s="359" t="s">
        <v>1849</v>
      </c>
      <c r="B497" t="s">
        <v>1937</v>
      </c>
    </row>
    <row r="498" spans="1:2" ht="12.75" customHeight="1">
      <c r="A498" s="359" t="s">
        <v>1850</v>
      </c>
      <c r="B498" t="s">
        <v>1937</v>
      </c>
    </row>
    <row r="499" spans="1:2" ht="12.75" customHeight="1">
      <c r="A499" s="359" t="s">
        <v>1851</v>
      </c>
      <c r="B499" t="s">
        <v>1935</v>
      </c>
    </row>
    <row r="500" spans="1:2" ht="12.75" customHeight="1">
      <c r="A500" s="359" t="s">
        <v>1852</v>
      </c>
      <c r="B500" t="s">
        <v>1935</v>
      </c>
    </row>
    <row r="501" spans="1:2" ht="12.75" customHeight="1">
      <c r="A501" s="359" t="s">
        <v>1853</v>
      </c>
      <c r="B501" t="s">
        <v>1937</v>
      </c>
    </row>
    <row r="502" spans="1:2" ht="12.75" customHeight="1">
      <c r="A502" s="359" t="s">
        <v>1854</v>
      </c>
      <c r="B502" t="s">
        <v>1935</v>
      </c>
    </row>
    <row r="503" spans="1:2" ht="12.75" customHeight="1">
      <c r="A503" s="359" t="s">
        <v>1855</v>
      </c>
      <c r="B503" t="s">
        <v>1935</v>
      </c>
    </row>
    <row r="504" spans="1:2" ht="12.75" customHeight="1">
      <c r="A504" s="359" t="s">
        <v>1856</v>
      </c>
      <c r="B504" t="s">
        <v>1935</v>
      </c>
    </row>
    <row r="505" spans="1:2" ht="12.75" customHeight="1">
      <c r="A505" s="359" t="s">
        <v>1857</v>
      </c>
      <c r="B505" t="s">
        <v>1937</v>
      </c>
    </row>
    <row r="506" spans="1:2" ht="12.75" customHeight="1">
      <c r="A506" s="262" t="s">
        <v>1858</v>
      </c>
      <c r="B506" t="s">
        <v>1937</v>
      </c>
    </row>
    <row r="507" spans="1:2" ht="12.75" customHeight="1">
      <c r="A507" s="262" t="s">
        <v>1859</v>
      </c>
      <c r="B507" t="s">
        <v>1937</v>
      </c>
    </row>
    <row r="508" spans="1:2" ht="12.75" customHeight="1">
      <c r="A508" s="262" t="s">
        <v>1860</v>
      </c>
      <c r="B508" t="s">
        <v>1937</v>
      </c>
    </row>
    <row r="509" spans="1:2" ht="12.75" customHeight="1">
      <c r="A509" s="262" t="s">
        <v>1861</v>
      </c>
      <c r="B509" t="s">
        <v>1937</v>
      </c>
    </row>
    <row r="510" spans="1:2" ht="12.75" customHeight="1">
      <c r="A510" s="262" t="s">
        <v>1862</v>
      </c>
      <c r="B510" t="s">
        <v>1935</v>
      </c>
    </row>
    <row r="511" spans="1:2" ht="12.75" customHeight="1">
      <c r="A511" s="262" t="s">
        <v>1863</v>
      </c>
      <c r="B511" t="s">
        <v>1935</v>
      </c>
    </row>
    <row r="512" spans="1:2" ht="12.75" customHeight="1">
      <c r="A512" s="262" t="s">
        <v>1864</v>
      </c>
      <c r="B512" t="s">
        <v>1937</v>
      </c>
    </row>
    <row r="513" spans="1:2" ht="12.75" customHeight="1">
      <c r="A513" s="262" t="s">
        <v>1865</v>
      </c>
      <c r="B513" t="s">
        <v>1937</v>
      </c>
    </row>
    <row r="514" spans="1:2" ht="12.75" customHeight="1">
      <c r="A514" s="262" t="s">
        <v>1866</v>
      </c>
      <c r="B514" t="s">
        <v>1935</v>
      </c>
    </row>
    <row r="515" spans="1:2" ht="12.75" customHeight="1">
      <c r="A515" s="262" t="s">
        <v>1867</v>
      </c>
      <c r="B515" t="s">
        <v>1935</v>
      </c>
    </row>
    <row r="516" spans="1:2" ht="12.75" customHeight="1">
      <c r="A516" s="262" t="s">
        <v>1868</v>
      </c>
      <c r="B516" t="s">
        <v>1937</v>
      </c>
    </row>
    <row r="517" spans="1:2" ht="12.75" customHeight="1">
      <c r="A517" s="262" t="s">
        <v>1869</v>
      </c>
      <c r="B517" t="s">
        <v>1937</v>
      </c>
    </row>
    <row r="518" spans="1:2" ht="12.75" customHeight="1">
      <c r="A518" s="359" t="s">
        <v>1870</v>
      </c>
      <c r="B518" t="s">
        <v>1937</v>
      </c>
    </row>
    <row r="519" spans="1:2" ht="12.75" customHeight="1">
      <c r="A519" s="359" t="s">
        <v>1871</v>
      </c>
      <c r="B519" t="s">
        <v>1935</v>
      </c>
    </row>
    <row r="520" spans="1:2" ht="12.75" customHeight="1">
      <c r="A520" s="359" t="s">
        <v>1872</v>
      </c>
      <c r="B520" t="s">
        <v>1937</v>
      </c>
    </row>
    <row r="521" spans="1:2" ht="12.75" customHeight="1">
      <c r="A521" s="359" t="s">
        <v>1873</v>
      </c>
      <c r="B521" t="s">
        <v>1937</v>
      </c>
    </row>
    <row r="522" spans="1:2" ht="12.75" customHeight="1">
      <c r="A522" s="262" t="s">
        <v>1874</v>
      </c>
      <c r="B522" t="s">
        <v>1937</v>
      </c>
    </row>
    <row r="523" spans="1:2" ht="12.75" customHeight="1">
      <c r="A523" s="262" t="s">
        <v>1875</v>
      </c>
      <c r="B523" t="s">
        <v>1937</v>
      </c>
    </row>
    <row r="524" spans="1:2" ht="12.75" customHeight="1">
      <c r="A524" s="262" t="s">
        <v>1876</v>
      </c>
      <c r="B524" t="s">
        <v>1937</v>
      </c>
    </row>
    <row r="525" spans="1:2" ht="12.75" customHeight="1">
      <c r="A525" s="262" t="s">
        <v>1877</v>
      </c>
      <c r="B525" t="s">
        <v>1937</v>
      </c>
    </row>
    <row r="526" spans="1:2" ht="12.75" customHeight="1">
      <c r="A526" s="359" t="s">
        <v>1960</v>
      </c>
      <c r="B526" t="s">
        <v>1937</v>
      </c>
    </row>
    <row r="527" spans="1:2" ht="12.75" customHeight="1">
      <c r="A527" s="359" t="s">
        <v>1961</v>
      </c>
      <c r="B527" t="s">
        <v>1937</v>
      </c>
    </row>
    <row r="528" spans="1:2" ht="12.75" customHeight="1">
      <c r="A528" s="359" t="s">
        <v>1962</v>
      </c>
      <c r="B528" t="s">
        <v>1937</v>
      </c>
    </row>
    <row r="529" spans="1:2" ht="12.75" customHeight="1">
      <c r="A529" s="359" t="s">
        <v>1963</v>
      </c>
      <c r="B529" t="s">
        <v>1937</v>
      </c>
    </row>
    <row r="530" spans="1:2" ht="12.75" customHeight="1">
      <c r="A530" s="359" t="s">
        <v>1964</v>
      </c>
      <c r="B530" t="s">
        <v>1937</v>
      </c>
    </row>
    <row r="531" spans="1:2" ht="12.75" customHeight="1">
      <c r="A531" s="359" t="s">
        <v>1965</v>
      </c>
      <c r="B531" t="s">
        <v>1937</v>
      </c>
    </row>
    <row r="532" spans="1:2" ht="12.75" customHeight="1">
      <c r="A532" s="262" t="s">
        <v>1966</v>
      </c>
      <c r="B532" t="s">
        <v>1935</v>
      </c>
    </row>
    <row r="533" spans="1:2" ht="12.75" customHeight="1">
      <c r="A533" s="359" t="s">
        <v>1967</v>
      </c>
      <c r="B533" t="s">
        <v>1935</v>
      </c>
    </row>
    <row r="534" spans="1:2" ht="12.75" customHeight="1">
      <c r="A534" s="359" t="s">
        <v>1968</v>
      </c>
      <c r="B534" t="s">
        <v>1937</v>
      </c>
    </row>
    <row r="535" spans="1:2" ht="12.75" customHeight="1">
      <c r="A535" s="359" t="s">
        <v>1969</v>
      </c>
      <c r="B535" t="s">
        <v>1937</v>
      </c>
    </row>
    <row r="536" spans="1:2" ht="12.75" customHeight="1">
      <c r="A536" s="359" t="s">
        <v>1970</v>
      </c>
      <c r="B536" t="s">
        <v>1937</v>
      </c>
    </row>
    <row r="537" spans="1:2" ht="12.75" customHeight="1">
      <c r="A537" s="359" t="s">
        <v>1971</v>
      </c>
      <c r="B537" t="s">
        <v>1937</v>
      </c>
    </row>
    <row r="538" spans="1:2" ht="12.75" customHeight="1">
      <c r="A538" s="359" t="s">
        <v>1972</v>
      </c>
      <c r="B538" t="s">
        <v>1937</v>
      </c>
    </row>
    <row r="539" spans="1:2" ht="12.75" customHeight="1">
      <c r="A539" s="262" t="s">
        <v>1973</v>
      </c>
      <c r="B539" t="s">
        <v>1937</v>
      </c>
    </row>
    <row r="540" spans="1:2" ht="12.75" customHeight="1">
      <c r="A540" s="359" t="s">
        <v>1974</v>
      </c>
      <c r="B540" t="s">
        <v>1937</v>
      </c>
    </row>
    <row r="541" spans="1:2" ht="12.75" customHeight="1">
      <c r="A541" s="262" t="s">
        <v>1975</v>
      </c>
      <c r="B541" t="s">
        <v>1937</v>
      </c>
    </row>
    <row r="542" spans="1:2" ht="12.75" customHeight="1">
      <c r="A542" s="262" t="s">
        <v>1976</v>
      </c>
      <c r="B542" t="s">
        <v>1937</v>
      </c>
    </row>
    <row r="543" spans="1:2" ht="12.75" customHeight="1">
      <c r="A543" s="359" t="s">
        <v>1977</v>
      </c>
      <c r="B543" t="s">
        <v>1937</v>
      </c>
    </row>
    <row r="544" spans="1:2" ht="12.75" customHeight="1">
      <c r="A544" s="262" t="s">
        <v>1978</v>
      </c>
      <c r="B544" t="s">
        <v>1937</v>
      </c>
    </row>
    <row r="545" spans="1:3" ht="12.75" customHeight="1">
      <c r="A545" s="262" t="s">
        <v>1979</v>
      </c>
      <c r="B545" t="s">
        <v>1937</v>
      </c>
    </row>
    <row r="546" spans="1:3" ht="12.75" customHeight="1">
      <c r="A546" t="s">
        <v>1791</v>
      </c>
      <c r="B546" t="s">
        <v>1937</v>
      </c>
      <c r="C546" t="s">
        <v>1980</v>
      </c>
    </row>
    <row r="547" spans="1:3" ht="12.75" customHeight="1">
      <c r="A547" t="s">
        <v>1792</v>
      </c>
      <c r="B547" t="s">
        <v>1937</v>
      </c>
      <c r="C547" t="s">
        <v>1980</v>
      </c>
    </row>
    <row r="548" spans="1:3" ht="12.75" customHeight="1">
      <c r="A548" t="s">
        <v>1793</v>
      </c>
      <c r="B548" t="s">
        <v>1937</v>
      </c>
      <c r="C548" t="s">
        <v>1980</v>
      </c>
    </row>
    <row r="549" spans="1:3" ht="12.75" customHeight="1">
      <c r="A549" t="s">
        <v>1794</v>
      </c>
      <c r="B549" t="s">
        <v>1937</v>
      </c>
      <c r="C549" t="s">
        <v>1980</v>
      </c>
    </row>
    <row r="550" spans="1:3" ht="12.75" customHeight="1">
      <c r="A550" t="s">
        <v>1981</v>
      </c>
      <c r="B550" t="s">
        <v>1937</v>
      </c>
      <c r="C550" t="s">
        <v>1982</v>
      </c>
    </row>
    <row r="551" spans="1:3" ht="12.75" customHeight="1">
      <c r="A551" t="s">
        <v>1983</v>
      </c>
      <c r="B551" t="s">
        <v>1937</v>
      </c>
      <c r="C551" t="s">
        <v>1982</v>
      </c>
    </row>
    <row r="552" spans="1:3" ht="12.75" customHeight="1">
      <c r="A552" t="s">
        <v>1984</v>
      </c>
      <c r="B552" t="s">
        <v>1937</v>
      </c>
      <c r="C552" t="s">
        <v>1985</v>
      </c>
    </row>
    <row r="553" spans="1:3" ht="12.75" customHeight="1">
      <c r="A553" t="s">
        <v>1986</v>
      </c>
      <c r="B553" t="s">
        <v>1937</v>
      </c>
      <c r="C553" t="s">
        <v>1987</v>
      </c>
    </row>
    <row r="554" spans="1:3" ht="12.75" customHeight="1">
      <c r="A554" t="s">
        <v>1988</v>
      </c>
      <c r="B554" t="s">
        <v>1937</v>
      </c>
      <c r="C554" t="s">
        <v>1989</v>
      </c>
    </row>
    <row r="555" spans="1:3" ht="12.75" customHeight="1">
      <c r="A555" t="s">
        <v>1990</v>
      </c>
      <c r="B555" t="s">
        <v>1937</v>
      </c>
      <c r="C555" t="s">
        <v>1989</v>
      </c>
    </row>
    <row r="556" spans="1:3" ht="12.75" customHeight="1">
      <c r="A556" t="s">
        <v>1991</v>
      </c>
      <c r="B556" t="s">
        <v>1937</v>
      </c>
      <c r="C556" t="s">
        <v>1942</v>
      </c>
    </row>
    <row r="557" spans="1:3" ht="12.75" customHeight="1">
      <c r="A557" t="s">
        <v>1992</v>
      </c>
      <c r="B557" t="s">
        <v>1937</v>
      </c>
      <c r="C557" t="s">
        <v>1993</v>
      </c>
    </row>
    <row r="558" spans="1:3" ht="12.75" customHeight="1">
      <c r="A558" t="s">
        <v>1831</v>
      </c>
      <c r="B558" t="s">
        <v>1937</v>
      </c>
      <c r="C558" t="s">
        <v>1994</v>
      </c>
    </row>
    <row r="559" spans="1:3" ht="12.75" customHeight="1">
      <c r="A559" t="s">
        <v>1833</v>
      </c>
      <c r="B559" t="s">
        <v>1937</v>
      </c>
      <c r="C559" t="s">
        <v>1994</v>
      </c>
    </row>
    <row r="560" spans="1:3" ht="12.75" customHeight="1">
      <c r="A560" t="s">
        <v>1836</v>
      </c>
      <c r="B560" t="s">
        <v>1937</v>
      </c>
      <c r="C560" t="s">
        <v>1989</v>
      </c>
    </row>
    <row r="561" spans="1:3" ht="12.75" customHeight="1">
      <c r="A561" t="s">
        <v>1995</v>
      </c>
      <c r="B561" t="s">
        <v>1937</v>
      </c>
      <c r="C561" t="s">
        <v>1989</v>
      </c>
    </row>
    <row r="562" spans="1:3" ht="12.75" customHeight="1">
      <c r="A562" t="s">
        <v>1996</v>
      </c>
      <c r="B562" t="s">
        <v>1937</v>
      </c>
      <c r="C562" t="s">
        <v>1989</v>
      </c>
    </row>
    <row r="563" spans="1:3" ht="12.75" customHeight="1">
      <c r="A563" t="s">
        <v>1997</v>
      </c>
      <c r="B563" t="s">
        <v>1937</v>
      </c>
      <c r="C563" t="s">
        <v>1998</v>
      </c>
    </row>
    <row r="564" spans="1:3" ht="12.75" customHeight="1">
      <c r="A564" t="s">
        <v>1821</v>
      </c>
      <c r="B564" t="s">
        <v>1937</v>
      </c>
      <c r="C564" t="s">
        <v>1998</v>
      </c>
    </row>
    <row r="565" spans="1:3" ht="12.75" customHeight="1">
      <c r="A565" t="s">
        <v>1999</v>
      </c>
      <c r="B565" t="s">
        <v>1937</v>
      </c>
      <c r="C565" t="s">
        <v>2000</v>
      </c>
    </row>
    <row r="566" spans="1:3" ht="12.75" customHeight="1">
      <c r="A566" t="s">
        <v>2001</v>
      </c>
      <c r="B566" t="s">
        <v>1937</v>
      </c>
      <c r="C566" t="s">
        <v>2000</v>
      </c>
    </row>
    <row r="567" spans="1:3" ht="12.75" customHeight="1">
      <c r="A567" t="s">
        <v>2002</v>
      </c>
      <c r="B567" t="s">
        <v>1937</v>
      </c>
      <c r="C567" t="s">
        <v>2000</v>
      </c>
    </row>
    <row r="568" spans="1:3" ht="12.75" customHeight="1">
      <c r="A568" t="s">
        <v>2003</v>
      </c>
      <c r="B568" t="s">
        <v>1937</v>
      </c>
      <c r="C568" t="s">
        <v>2000</v>
      </c>
    </row>
    <row r="569" spans="1:3" ht="12.75" customHeight="1">
      <c r="A569" t="s">
        <v>1824</v>
      </c>
      <c r="B569" t="s">
        <v>1937</v>
      </c>
      <c r="C569" t="s">
        <v>2000</v>
      </c>
    </row>
    <row r="570" spans="1:3" ht="12.75" customHeight="1">
      <c r="A570" t="s">
        <v>2004</v>
      </c>
      <c r="B570" t="s">
        <v>1937</v>
      </c>
      <c r="C570" t="s">
        <v>2000</v>
      </c>
    </row>
    <row r="571" spans="1:3" ht="12.75" customHeight="1">
      <c r="A571" t="s">
        <v>2005</v>
      </c>
      <c r="B571" t="s">
        <v>1937</v>
      </c>
      <c r="C571" t="s">
        <v>2000</v>
      </c>
    </row>
    <row r="572" spans="1:3" ht="12.75" customHeight="1">
      <c r="A572" t="s">
        <v>2006</v>
      </c>
      <c r="B572" t="s">
        <v>1937</v>
      </c>
      <c r="C572" t="s">
        <v>2000</v>
      </c>
    </row>
    <row r="573" spans="1:3" ht="12.75" customHeight="1">
      <c r="A573" t="s">
        <v>1825</v>
      </c>
      <c r="B573" t="s">
        <v>1937</v>
      </c>
      <c r="C573" t="s">
        <v>2000</v>
      </c>
    </row>
    <row r="574" spans="1:3" ht="12.75" customHeight="1">
      <c r="A574" t="s">
        <v>2007</v>
      </c>
      <c r="B574" t="s">
        <v>1937</v>
      </c>
      <c r="C574" t="s">
        <v>2000</v>
      </c>
    </row>
    <row r="575" spans="1:3" ht="12.75" customHeight="1">
      <c r="A575" t="s">
        <v>2008</v>
      </c>
      <c r="B575" t="s">
        <v>1937</v>
      </c>
      <c r="C575" t="s">
        <v>2000</v>
      </c>
    </row>
    <row r="576" spans="1:3" ht="12.75" customHeight="1">
      <c r="A576" t="s">
        <v>2009</v>
      </c>
      <c r="B576" t="s">
        <v>1937</v>
      </c>
      <c r="C576" t="s">
        <v>2000</v>
      </c>
    </row>
    <row r="577" spans="1:3" ht="12.75" customHeight="1">
      <c r="A577" t="s">
        <v>1826</v>
      </c>
      <c r="B577" t="s">
        <v>1937</v>
      </c>
      <c r="C577" t="s">
        <v>2010</v>
      </c>
    </row>
    <row r="578" spans="1:3" ht="12.75" customHeight="1">
      <c r="A578" t="s">
        <v>1828</v>
      </c>
      <c r="B578" t="s">
        <v>1937</v>
      </c>
      <c r="C578" t="s">
        <v>2010</v>
      </c>
    </row>
    <row r="579" spans="1:3" ht="12.75" customHeight="1">
      <c r="A579" t="s">
        <v>2011</v>
      </c>
      <c r="B579" t="s">
        <v>1937</v>
      </c>
      <c r="C579" t="s">
        <v>1942</v>
      </c>
    </row>
    <row r="580" spans="1:3" ht="12.75" customHeight="1">
      <c r="A580" t="s">
        <v>1829</v>
      </c>
      <c r="B580" t="s">
        <v>1937</v>
      </c>
      <c r="C580" t="s">
        <v>2010</v>
      </c>
    </row>
    <row r="581" spans="1:3" ht="12.75" customHeight="1">
      <c r="A581" t="s">
        <v>2012</v>
      </c>
      <c r="B581" t="s">
        <v>1937</v>
      </c>
      <c r="C581" t="s">
        <v>1942</v>
      </c>
    </row>
    <row r="582" spans="1:3" ht="12.75" customHeight="1">
      <c r="A582" t="s">
        <v>2013</v>
      </c>
      <c r="B582" t="s">
        <v>1937</v>
      </c>
      <c r="C582" t="s">
        <v>2014</v>
      </c>
    </row>
    <row r="583" spans="1:3" ht="12.75" customHeight="1">
      <c r="A583" t="s">
        <v>2015</v>
      </c>
      <c r="B583" t="s">
        <v>1937</v>
      </c>
      <c r="C583" t="s">
        <v>2014</v>
      </c>
    </row>
    <row r="584" spans="1:3" ht="12.75" customHeight="1">
      <c r="A584" t="s">
        <v>2016</v>
      </c>
      <c r="B584" t="s">
        <v>1937</v>
      </c>
      <c r="C584" t="s">
        <v>2014</v>
      </c>
    </row>
    <row r="585" spans="1:3" ht="12.75" customHeight="1">
      <c r="A585" t="s">
        <v>2017</v>
      </c>
      <c r="B585" t="s">
        <v>1937</v>
      </c>
      <c r="C585" t="s">
        <v>2014</v>
      </c>
    </row>
    <row r="586" spans="1:3" ht="12.75" customHeight="1">
      <c r="A586" t="s">
        <v>2018</v>
      </c>
      <c r="B586" t="s">
        <v>1937</v>
      </c>
      <c r="C586" t="s">
        <v>2014</v>
      </c>
    </row>
    <row r="587" spans="1:3" ht="12.75" customHeight="1">
      <c r="A587" t="s">
        <v>2019</v>
      </c>
      <c r="B587" t="s">
        <v>1937</v>
      </c>
      <c r="C587" t="s">
        <v>2014</v>
      </c>
    </row>
    <row r="588" spans="1:3" ht="12.75" customHeight="1">
      <c r="A588" t="s">
        <v>2020</v>
      </c>
      <c r="B588" t="s">
        <v>1937</v>
      </c>
      <c r="C588" t="s">
        <v>2014</v>
      </c>
    </row>
    <row r="589" spans="1:3" ht="12.75" customHeight="1">
      <c r="A589" t="s">
        <v>2021</v>
      </c>
      <c r="B589" t="s">
        <v>1937</v>
      </c>
      <c r="C589" t="s">
        <v>2014</v>
      </c>
    </row>
    <row r="590" spans="1:3" ht="12.75" customHeight="1">
      <c r="A590" t="s">
        <v>2022</v>
      </c>
      <c r="B590" t="s">
        <v>1937</v>
      </c>
      <c r="C590" t="s">
        <v>2014</v>
      </c>
    </row>
    <row r="591" spans="1:3" ht="12.75" customHeight="1">
      <c r="A591" t="s">
        <v>2023</v>
      </c>
      <c r="B591" t="s">
        <v>1937</v>
      </c>
      <c r="C591" t="s">
        <v>2014</v>
      </c>
    </row>
    <row r="592" spans="1:3" ht="12.75" customHeight="1">
      <c r="A592" t="s">
        <v>2024</v>
      </c>
      <c r="B592" t="s">
        <v>1937</v>
      </c>
      <c r="C592" t="s">
        <v>2014</v>
      </c>
    </row>
    <row r="593" spans="1:3" ht="12.75" customHeight="1">
      <c r="A593" t="s">
        <v>2025</v>
      </c>
      <c r="B593" t="s">
        <v>1937</v>
      </c>
      <c r="C593" t="s">
        <v>2014</v>
      </c>
    </row>
    <row r="594" spans="1:3" ht="12.75" customHeight="1">
      <c r="A594" t="s">
        <v>1830</v>
      </c>
      <c r="B594" t="s">
        <v>1937</v>
      </c>
      <c r="C594" t="s">
        <v>2026</v>
      </c>
    </row>
    <row r="595" spans="1:3" ht="12.75" customHeight="1">
      <c r="A595" t="s">
        <v>2027</v>
      </c>
      <c r="B595" t="s">
        <v>1937</v>
      </c>
      <c r="C595" t="s">
        <v>2026</v>
      </c>
    </row>
    <row r="596" spans="1:3" ht="12.75" customHeight="1">
      <c r="A596" t="s">
        <v>2028</v>
      </c>
      <c r="B596" t="s">
        <v>1937</v>
      </c>
      <c r="C596" t="s">
        <v>2026</v>
      </c>
    </row>
    <row r="597" spans="1:3" ht="12.75" customHeight="1">
      <c r="A597" t="s">
        <v>1832</v>
      </c>
      <c r="B597" t="s">
        <v>1937</v>
      </c>
      <c r="C597" t="s">
        <v>2026</v>
      </c>
    </row>
    <row r="598" spans="1:3" ht="12.75" customHeight="1">
      <c r="A598" t="s">
        <v>2029</v>
      </c>
      <c r="B598" t="s">
        <v>1937</v>
      </c>
      <c r="C598" t="s">
        <v>2026</v>
      </c>
    </row>
    <row r="599" spans="1:3" ht="12.75" customHeight="1">
      <c r="A599" t="s">
        <v>2030</v>
      </c>
      <c r="B599" t="s">
        <v>1937</v>
      </c>
      <c r="C599" t="s">
        <v>2026</v>
      </c>
    </row>
    <row r="600" spans="1:3" ht="12.75" customHeight="1">
      <c r="A600" t="s">
        <v>1834</v>
      </c>
      <c r="B600" t="s">
        <v>1937</v>
      </c>
      <c r="C600" t="s">
        <v>2031</v>
      </c>
    </row>
    <row r="601" spans="1:3" ht="12.75" customHeight="1">
      <c r="A601" t="s">
        <v>2032</v>
      </c>
      <c r="B601" t="s">
        <v>1937</v>
      </c>
      <c r="C601" t="s">
        <v>2031</v>
      </c>
    </row>
    <row r="602" spans="1:3" ht="12.75" customHeight="1">
      <c r="A602" t="s">
        <v>2033</v>
      </c>
      <c r="B602" t="s">
        <v>1937</v>
      </c>
      <c r="C602" t="s">
        <v>2031</v>
      </c>
    </row>
    <row r="603" spans="1:3" ht="12.75" customHeight="1">
      <c r="A603" t="s">
        <v>2034</v>
      </c>
      <c r="B603" t="s">
        <v>1937</v>
      </c>
      <c r="C603" t="s">
        <v>1956</v>
      </c>
    </row>
    <row r="604" spans="1:3" ht="12.75" customHeight="1">
      <c r="A604" t="s">
        <v>2035</v>
      </c>
      <c r="B604" t="s">
        <v>1937</v>
      </c>
      <c r="C604" t="s">
        <v>2036</v>
      </c>
    </row>
    <row r="605" spans="1:3" ht="12.75" customHeight="1">
      <c r="A605" t="s">
        <v>2037</v>
      </c>
      <c r="B605" t="s">
        <v>1937</v>
      </c>
      <c r="C605" t="s">
        <v>2038</v>
      </c>
    </row>
    <row r="606" spans="1:3" ht="12.75" customHeight="1">
      <c r="A606" t="s">
        <v>2039</v>
      </c>
      <c r="B606" t="s">
        <v>1937</v>
      </c>
      <c r="C606" t="s">
        <v>2038</v>
      </c>
    </row>
    <row r="607" spans="1:3" ht="12.75" customHeight="1">
      <c r="A607" t="s">
        <v>2040</v>
      </c>
      <c r="B607" t="s">
        <v>1937</v>
      </c>
      <c r="C607" t="s">
        <v>1942</v>
      </c>
    </row>
    <row r="608" spans="1:3" ht="12.75" customHeight="1">
      <c r="A608" t="s">
        <v>2041</v>
      </c>
      <c r="B608" t="s">
        <v>1937</v>
      </c>
      <c r="C608" t="s">
        <v>1942</v>
      </c>
    </row>
    <row r="609" spans="1:3" ht="12.75" customHeight="1">
      <c r="A609" t="s">
        <v>2042</v>
      </c>
      <c r="B609" t="s">
        <v>1937</v>
      </c>
      <c r="C609" t="s">
        <v>1942</v>
      </c>
    </row>
    <row r="610" spans="1:3" ht="12.75" customHeight="1">
      <c r="A610" t="s">
        <v>2043</v>
      </c>
      <c r="B610" t="s">
        <v>1937</v>
      </c>
      <c r="C610" t="s">
        <v>1942</v>
      </c>
    </row>
    <row r="611" spans="1:3" ht="12.75" customHeight="1">
      <c r="A611" t="s">
        <v>2044</v>
      </c>
      <c r="B611" t="s">
        <v>1937</v>
      </c>
      <c r="C611" t="s">
        <v>2014</v>
      </c>
    </row>
    <row r="612" spans="1:3" ht="12.75" customHeight="1">
      <c r="A612" t="s">
        <v>2045</v>
      </c>
      <c r="B612" t="s">
        <v>1937</v>
      </c>
      <c r="C612" t="s">
        <v>2014</v>
      </c>
    </row>
    <row r="613" spans="1:3" ht="12.75" customHeight="1">
      <c r="A613" t="s">
        <v>2046</v>
      </c>
      <c r="B613" t="s">
        <v>1937</v>
      </c>
      <c r="C613" t="s">
        <v>2014</v>
      </c>
    </row>
    <row r="614" spans="1:3" ht="12.75" customHeight="1">
      <c r="A614" t="s">
        <v>2047</v>
      </c>
      <c r="B614" t="s">
        <v>1937</v>
      </c>
      <c r="C614" t="s">
        <v>2014</v>
      </c>
    </row>
    <row r="615" spans="1:3" ht="12.75" customHeight="1">
      <c r="A615" t="s">
        <v>2048</v>
      </c>
      <c r="B615" t="s">
        <v>1937</v>
      </c>
      <c r="C615" t="s">
        <v>2049</v>
      </c>
    </row>
    <row r="616" spans="1:3" ht="12.75" customHeight="1">
      <c r="A616" t="s">
        <v>2050</v>
      </c>
      <c r="B616" t="s">
        <v>1937</v>
      </c>
      <c r="C616" t="s">
        <v>2049</v>
      </c>
    </row>
    <row r="617" spans="1:3" ht="12.75" customHeight="1">
      <c r="A617" t="s">
        <v>2051</v>
      </c>
      <c r="B617" t="s">
        <v>1937</v>
      </c>
      <c r="C617" t="s">
        <v>2049</v>
      </c>
    </row>
    <row r="618" spans="1:3" ht="12.75" customHeight="1">
      <c r="A618" t="s">
        <v>2052</v>
      </c>
      <c r="B618" t="s">
        <v>1937</v>
      </c>
      <c r="C618" t="s">
        <v>2049</v>
      </c>
    </row>
    <row r="619" spans="1:3" ht="12.75" customHeight="1">
      <c r="A619" t="s">
        <v>2053</v>
      </c>
      <c r="B619" t="s">
        <v>1937</v>
      </c>
      <c r="C619" t="s">
        <v>2049</v>
      </c>
    </row>
    <row r="620" spans="1:3" ht="12.75" customHeight="1">
      <c r="A620" t="s">
        <v>2054</v>
      </c>
      <c r="B620" t="s">
        <v>1937</v>
      </c>
      <c r="C620" t="s">
        <v>2049</v>
      </c>
    </row>
    <row r="621" spans="1:3" ht="12.75" customHeight="1">
      <c r="A621" t="s">
        <v>2055</v>
      </c>
      <c r="B621" t="s">
        <v>1937</v>
      </c>
      <c r="C621" t="s">
        <v>2049</v>
      </c>
    </row>
    <row r="622" spans="1:3" ht="12.75" customHeight="1">
      <c r="A622" t="s">
        <v>2056</v>
      </c>
      <c r="B622" t="s">
        <v>1937</v>
      </c>
      <c r="C622" t="s">
        <v>2049</v>
      </c>
    </row>
    <row r="623" spans="1:3" ht="12.75" customHeight="1">
      <c r="A623" t="s">
        <v>2057</v>
      </c>
      <c r="B623" t="s">
        <v>1937</v>
      </c>
      <c r="C623" t="s">
        <v>2049</v>
      </c>
    </row>
    <row r="624" spans="1:3" ht="12.75" customHeight="1">
      <c r="A624" t="s">
        <v>2058</v>
      </c>
      <c r="B624" t="s">
        <v>1937</v>
      </c>
      <c r="C624" t="s">
        <v>2049</v>
      </c>
    </row>
    <row r="625" spans="1:3" ht="12.75" customHeight="1">
      <c r="A625" t="s">
        <v>2059</v>
      </c>
      <c r="B625" t="s">
        <v>1937</v>
      </c>
      <c r="C625" t="s">
        <v>2049</v>
      </c>
    </row>
    <row r="626" spans="1:3" ht="12.75" customHeight="1">
      <c r="A626" t="s">
        <v>2060</v>
      </c>
      <c r="B626" t="s">
        <v>1937</v>
      </c>
      <c r="C626" t="s">
        <v>2049</v>
      </c>
    </row>
    <row r="627" spans="1:3" ht="12.75" customHeight="1">
      <c r="A627" t="s">
        <v>2061</v>
      </c>
      <c r="B627" t="s">
        <v>1937</v>
      </c>
      <c r="C627" t="s">
        <v>2049</v>
      </c>
    </row>
    <row r="628" spans="1:3" ht="12.75" customHeight="1">
      <c r="A628" t="s">
        <v>2062</v>
      </c>
      <c r="B628" t="s">
        <v>1937</v>
      </c>
      <c r="C628" t="s">
        <v>2049</v>
      </c>
    </row>
    <row r="629" spans="1:3" ht="12.75" customHeight="1">
      <c r="A629" t="s">
        <v>2063</v>
      </c>
      <c r="B629" t="s">
        <v>1937</v>
      </c>
      <c r="C629" t="s">
        <v>2049</v>
      </c>
    </row>
    <row r="630" spans="1:3" ht="12.75" customHeight="1">
      <c r="A630" t="s">
        <v>2064</v>
      </c>
      <c r="B630" t="s">
        <v>1937</v>
      </c>
      <c r="C630" t="s">
        <v>2049</v>
      </c>
    </row>
    <row r="631" spans="1:3" ht="12.75" customHeight="1">
      <c r="A631" t="s">
        <v>2065</v>
      </c>
      <c r="B631" t="s">
        <v>1937</v>
      </c>
      <c r="C631" t="s">
        <v>2066</v>
      </c>
    </row>
    <row r="632" spans="1:3" ht="12.75" customHeight="1">
      <c r="A632" t="s">
        <v>2067</v>
      </c>
      <c r="B632" t="s">
        <v>1937</v>
      </c>
      <c r="C632" t="s">
        <v>2066</v>
      </c>
    </row>
    <row r="633" spans="1:3" ht="12.75" customHeight="1">
      <c r="A633" t="s">
        <v>2068</v>
      </c>
      <c r="B633" t="s">
        <v>1937</v>
      </c>
      <c r="C633" t="s">
        <v>2066</v>
      </c>
    </row>
    <row r="634" spans="1:3" ht="12.75" customHeight="1">
      <c r="A634" t="s">
        <v>2069</v>
      </c>
      <c r="B634" t="s">
        <v>1937</v>
      </c>
      <c r="C634" t="s">
        <v>2066</v>
      </c>
    </row>
    <row r="635" spans="1:3" ht="12.75" customHeight="1">
      <c r="A635" t="s">
        <v>2070</v>
      </c>
      <c r="B635" t="s">
        <v>1937</v>
      </c>
      <c r="C635" t="s">
        <v>2014</v>
      </c>
    </row>
    <row r="636" spans="1:3" ht="12.75" customHeight="1">
      <c r="A636" t="s">
        <v>2071</v>
      </c>
      <c r="B636" t="s">
        <v>1937</v>
      </c>
      <c r="C636" t="s">
        <v>2014</v>
      </c>
    </row>
    <row r="637" spans="1:3" ht="12.75" customHeight="1">
      <c r="A637" t="s">
        <v>2072</v>
      </c>
      <c r="B637" t="s">
        <v>1937</v>
      </c>
      <c r="C637" t="s">
        <v>2014</v>
      </c>
    </row>
    <row r="638" spans="1:3" ht="12.75" customHeight="1">
      <c r="A638" t="s">
        <v>2073</v>
      </c>
      <c r="B638" t="s">
        <v>1937</v>
      </c>
      <c r="C638" t="s">
        <v>2014</v>
      </c>
    </row>
    <row r="639" spans="1:3" ht="12.75" customHeight="1">
      <c r="A639" t="s">
        <v>2074</v>
      </c>
      <c r="B639" t="s">
        <v>1937</v>
      </c>
      <c r="C639" t="s">
        <v>1942</v>
      </c>
    </row>
    <row r="640" spans="1:3" ht="12.75" customHeight="1">
      <c r="A640" t="s">
        <v>2075</v>
      </c>
      <c r="B640" t="s">
        <v>1937</v>
      </c>
      <c r="C640" t="s">
        <v>1942</v>
      </c>
    </row>
    <row r="641" spans="1:3" ht="12.75" customHeight="1">
      <c r="A641" t="s">
        <v>2076</v>
      </c>
      <c r="B641" t="s">
        <v>1937</v>
      </c>
      <c r="C641" t="s">
        <v>1942</v>
      </c>
    </row>
    <row r="642" spans="1:3" ht="12.75" customHeight="1">
      <c r="A642" t="s">
        <v>2077</v>
      </c>
      <c r="B642" t="s">
        <v>1937</v>
      </c>
      <c r="C642" t="s">
        <v>1942</v>
      </c>
    </row>
    <row r="643" spans="1:3" ht="12.75" customHeight="1">
      <c r="A643" t="s">
        <v>2078</v>
      </c>
      <c r="B643" t="s">
        <v>1937</v>
      </c>
      <c r="C643" t="s">
        <v>2079</v>
      </c>
    </row>
    <row r="644" spans="1:3" ht="12.75" customHeight="1">
      <c r="A644" t="s">
        <v>2080</v>
      </c>
      <c r="B644" t="s">
        <v>1937</v>
      </c>
      <c r="C644" t="s">
        <v>2079</v>
      </c>
    </row>
    <row r="645" spans="1:3" ht="12.75" customHeight="1">
      <c r="A645" t="s">
        <v>1815</v>
      </c>
      <c r="B645" t="s">
        <v>1937</v>
      </c>
      <c r="C645" t="s">
        <v>2079</v>
      </c>
    </row>
    <row r="646" spans="1:3" ht="12.75" customHeight="1">
      <c r="A646" t="s">
        <v>2081</v>
      </c>
      <c r="B646" t="s">
        <v>1937</v>
      </c>
      <c r="C646" t="s">
        <v>2079</v>
      </c>
    </row>
    <row r="647" spans="1:3" ht="12.75" customHeight="1">
      <c r="A647" t="s">
        <v>2082</v>
      </c>
      <c r="B647" t="s">
        <v>1937</v>
      </c>
      <c r="C647" t="s">
        <v>2079</v>
      </c>
    </row>
    <row r="648" spans="1:3" ht="12.75" customHeight="1">
      <c r="A648" t="s">
        <v>2083</v>
      </c>
      <c r="B648" t="s">
        <v>1937</v>
      </c>
      <c r="C648" t="s">
        <v>2079</v>
      </c>
    </row>
    <row r="649" spans="1:3" ht="12.75" customHeight="1">
      <c r="A649" t="s">
        <v>2084</v>
      </c>
      <c r="B649" t="s">
        <v>1937</v>
      </c>
      <c r="C649" t="s">
        <v>2079</v>
      </c>
    </row>
    <row r="650" spans="1:3" ht="12.75" customHeight="1">
      <c r="A650" t="s">
        <v>2085</v>
      </c>
      <c r="B650" t="s">
        <v>1937</v>
      </c>
      <c r="C650" t="s">
        <v>2079</v>
      </c>
    </row>
    <row r="651" spans="1:3" ht="12.75" customHeight="1">
      <c r="A651" t="s">
        <v>2086</v>
      </c>
      <c r="B651" t="s">
        <v>1937</v>
      </c>
      <c r="C651" t="s">
        <v>2079</v>
      </c>
    </row>
    <row r="652" spans="1:3" ht="12.75" customHeight="1">
      <c r="A652" t="s">
        <v>2087</v>
      </c>
      <c r="B652" t="s">
        <v>1937</v>
      </c>
      <c r="C652" t="s">
        <v>2079</v>
      </c>
    </row>
    <row r="653" spans="1:3" ht="12.75" customHeight="1">
      <c r="A653" t="s">
        <v>2088</v>
      </c>
      <c r="B653" t="s">
        <v>1937</v>
      </c>
      <c r="C653" t="s">
        <v>2079</v>
      </c>
    </row>
    <row r="654" spans="1:3" ht="12.75" customHeight="1">
      <c r="A654" t="s">
        <v>2089</v>
      </c>
      <c r="B654" t="s">
        <v>1937</v>
      </c>
      <c r="C654" t="s">
        <v>2079</v>
      </c>
    </row>
    <row r="655" spans="1:3" ht="12.75" customHeight="1">
      <c r="A655" t="s">
        <v>2090</v>
      </c>
      <c r="B655" t="s">
        <v>1937</v>
      </c>
      <c r="C655" t="s">
        <v>2079</v>
      </c>
    </row>
    <row r="656" spans="1:3" ht="12.75" customHeight="1">
      <c r="A656" t="s">
        <v>2091</v>
      </c>
      <c r="B656" t="s">
        <v>1937</v>
      </c>
      <c r="C656" t="s">
        <v>2079</v>
      </c>
    </row>
    <row r="657" spans="1:3" ht="12.75" customHeight="1">
      <c r="A657" t="s">
        <v>2092</v>
      </c>
      <c r="B657" t="s">
        <v>1937</v>
      </c>
      <c r="C657" t="s">
        <v>2079</v>
      </c>
    </row>
    <row r="658" spans="1:3" ht="12.75" customHeight="1">
      <c r="A658" t="s">
        <v>2093</v>
      </c>
      <c r="B658" t="s">
        <v>1937</v>
      </c>
      <c r="C658" t="s">
        <v>2079</v>
      </c>
    </row>
    <row r="659" spans="1:3" ht="12.75" customHeight="1">
      <c r="A659" t="s">
        <v>2094</v>
      </c>
      <c r="B659" t="s">
        <v>1937</v>
      </c>
      <c r="C659" t="s">
        <v>2079</v>
      </c>
    </row>
    <row r="660" spans="1:3" ht="12.75" customHeight="1">
      <c r="A660" t="s">
        <v>2095</v>
      </c>
      <c r="B660" t="s">
        <v>1937</v>
      </c>
      <c r="C660" t="s">
        <v>2079</v>
      </c>
    </row>
    <row r="661" spans="1:3" ht="12.75" customHeight="1">
      <c r="A661" t="s">
        <v>2096</v>
      </c>
      <c r="B661" t="s">
        <v>1937</v>
      </c>
      <c r="C661" t="s">
        <v>2079</v>
      </c>
    </row>
    <row r="662" spans="1:3" ht="12.75" customHeight="1">
      <c r="A662" t="s">
        <v>2097</v>
      </c>
      <c r="B662" t="s">
        <v>1937</v>
      </c>
      <c r="C662" t="s">
        <v>2079</v>
      </c>
    </row>
    <row r="663" spans="1:3" ht="12.75" customHeight="1">
      <c r="A663" t="s">
        <v>1816</v>
      </c>
      <c r="B663" t="s">
        <v>1937</v>
      </c>
      <c r="C663" t="s">
        <v>2079</v>
      </c>
    </row>
    <row r="664" spans="1:3" ht="12.75" customHeight="1">
      <c r="A664" t="s">
        <v>2098</v>
      </c>
      <c r="B664" t="s">
        <v>1937</v>
      </c>
      <c r="C664" t="s">
        <v>2079</v>
      </c>
    </row>
    <row r="665" spans="1:3" ht="12.75" customHeight="1">
      <c r="A665" t="s">
        <v>2099</v>
      </c>
      <c r="B665" t="s">
        <v>1937</v>
      </c>
      <c r="C665" t="s">
        <v>2079</v>
      </c>
    </row>
    <row r="666" spans="1:3" ht="12.75" customHeight="1">
      <c r="A666" t="s">
        <v>2100</v>
      </c>
      <c r="B666" t="s">
        <v>1937</v>
      </c>
      <c r="C666" t="s">
        <v>2079</v>
      </c>
    </row>
    <row r="667" spans="1:3" ht="12.75" customHeight="1">
      <c r="A667" t="s">
        <v>1817</v>
      </c>
      <c r="B667" t="s">
        <v>1937</v>
      </c>
      <c r="C667" t="s">
        <v>2079</v>
      </c>
    </row>
    <row r="668" spans="1:3" ht="12.75" customHeight="1">
      <c r="A668" t="s">
        <v>2101</v>
      </c>
      <c r="B668" t="s">
        <v>1937</v>
      </c>
      <c r="C668" t="s">
        <v>2079</v>
      </c>
    </row>
    <row r="669" spans="1:3" ht="12.75" customHeight="1">
      <c r="A669" t="s">
        <v>2102</v>
      </c>
      <c r="B669" t="s">
        <v>1937</v>
      </c>
      <c r="C669" t="s">
        <v>2079</v>
      </c>
    </row>
    <row r="670" spans="1:3" ht="12.75" customHeight="1">
      <c r="A670" t="s">
        <v>2103</v>
      </c>
      <c r="B670" t="s">
        <v>1937</v>
      </c>
      <c r="C670" t="s">
        <v>2079</v>
      </c>
    </row>
    <row r="671" spans="1:3" ht="12.75" customHeight="1">
      <c r="A671" t="s">
        <v>2104</v>
      </c>
      <c r="B671" t="s">
        <v>1937</v>
      </c>
      <c r="C671" t="s">
        <v>2079</v>
      </c>
    </row>
    <row r="672" spans="1:3" ht="12.75" customHeight="1">
      <c r="A672" t="s">
        <v>2105</v>
      </c>
      <c r="B672" t="s">
        <v>1937</v>
      </c>
      <c r="C672" t="s">
        <v>2079</v>
      </c>
    </row>
    <row r="673" spans="1:3" ht="12.75" customHeight="1">
      <c r="A673" t="s">
        <v>2106</v>
      </c>
      <c r="B673" t="s">
        <v>1937</v>
      </c>
      <c r="C673" t="s">
        <v>2079</v>
      </c>
    </row>
    <row r="674" spans="1:3" ht="12.75" customHeight="1">
      <c r="A674" t="s">
        <v>2107</v>
      </c>
      <c r="B674" t="s">
        <v>1937</v>
      </c>
      <c r="C674" t="s">
        <v>2079</v>
      </c>
    </row>
    <row r="675" spans="1:3" ht="12.75" customHeight="1">
      <c r="A675" t="s">
        <v>1818</v>
      </c>
      <c r="B675" t="s">
        <v>1937</v>
      </c>
      <c r="C675" t="s">
        <v>1943</v>
      </c>
    </row>
    <row r="676" spans="1:3" ht="12.75" customHeight="1">
      <c r="A676" t="s">
        <v>1819</v>
      </c>
      <c r="B676" t="s">
        <v>1937</v>
      </c>
      <c r="C676" t="s">
        <v>1943</v>
      </c>
    </row>
    <row r="677" spans="1:3" ht="12.75" customHeight="1">
      <c r="A677" t="s">
        <v>2108</v>
      </c>
      <c r="B677" t="s">
        <v>1937</v>
      </c>
      <c r="C677" t="s">
        <v>1943</v>
      </c>
    </row>
    <row r="678" spans="1:3" ht="12.75" customHeight="1">
      <c r="A678" t="s">
        <v>2109</v>
      </c>
      <c r="B678" t="s">
        <v>1937</v>
      </c>
      <c r="C678" t="s">
        <v>1943</v>
      </c>
    </row>
    <row r="679" spans="1:3" ht="12.75" customHeight="1">
      <c r="A679" t="s">
        <v>1820</v>
      </c>
      <c r="B679" t="s">
        <v>1937</v>
      </c>
      <c r="C679" t="s">
        <v>1943</v>
      </c>
    </row>
    <row r="680" spans="1:3" ht="12.75" customHeight="1">
      <c r="A680" t="s">
        <v>2110</v>
      </c>
      <c r="B680" t="s">
        <v>1937</v>
      </c>
      <c r="C680" t="s">
        <v>1943</v>
      </c>
    </row>
    <row r="681" spans="1:3" ht="12.75" customHeight="1">
      <c r="A681" t="s">
        <v>2111</v>
      </c>
      <c r="B681" t="s">
        <v>1937</v>
      </c>
      <c r="C681" t="s">
        <v>1943</v>
      </c>
    </row>
    <row r="682" spans="1:3" ht="12.75" customHeight="1">
      <c r="A682" t="s">
        <v>2112</v>
      </c>
      <c r="B682" t="s">
        <v>1937</v>
      </c>
      <c r="C682" t="s">
        <v>1943</v>
      </c>
    </row>
    <row r="683" spans="1:3" ht="12.75" customHeight="1">
      <c r="A683" t="s">
        <v>1821</v>
      </c>
      <c r="B683" t="s">
        <v>1937</v>
      </c>
      <c r="C683" t="s">
        <v>1943</v>
      </c>
    </row>
    <row r="684" spans="1:3" ht="12.75" customHeight="1">
      <c r="A684" t="s">
        <v>1822</v>
      </c>
      <c r="B684" t="s">
        <v>1937</v>
      </c>
      <c r="C684" t="s">
        <v>1943</v>
      </c>
    </row>
    <row r="685" spans="1:3" ht="12.75" customHeight="1">
      <c r="A685" t="s">
        <v>2113</v>
      </c>
      <c r="B685" t="s">
        <v>1937</v>
      </c>
      <c r="C685" t="s">
        <v>1943</v>
      </c>
    </row>
    <row r="686" spans="1:3" ht="12.75" customHeight="1">
      <c r="A686" t="s">
        <v>2114</v>
      </c>
      <c r="B686" t="s">
        <v>1937</v>
      </c>
      <c r="C686" t="s">
        <v>1943</v>
      </c>
    </row>
    <row r="687" spans="1:3" ht="12.75" customHeight="1">
      <c r="A687" t="s">
        <v>1823</v>
      </c>
      <c r="B687" t="s">
        <v>1937</v>
      </c>
      <c r="C687" t="s">
        <v>1943</v>
      </c>
    </row>
    <row r="688" spans="1:3" ht="12.75" customHeight="1">
      <c r="A688" t="s">
        <v>2115</v>
      </c>
      <c r="B688" t="s">
        <v>1937</v>
      </c>
      <c r="C688" t="s">
        <v>1943</v>
      </c>
    </row>
    <row r="689" spans="1:3" ht="12.75" customHeight="1">
      <c r="A689" t="s">
        <v>2116</v>
      </c>
      <c r="B689" t="s">
        <v>1937</v>
      </c>
      <c r="C689" t="s">
        <v>1943</v>
      </c>
    </row>
    <row r="690" spans="1:3" ht="12.75" customHeight="1">
      <c r="A690" t="s">
        <v>2117</v>
      </c>
      <c r="B690" t="s">
        <v>1937</v>
      </c>
      <c r="C690" t="s">
        <v>1943</v>
      </c>
    </row>
    <row r="691" spans="1:3" ht="12.75" customHeight="1">
      <c r="A691" t="s">
        <v>2118</v>
      </c>
      <c r="B691" t="s">
        <v>1937</v>
      </c>
      <c r="C691" t="s">
        <v>1943</v>
      </c>
    </row>
    <row r="692" spans="1:3" ht="12.75" customHeight="1">
      <c r="A692" t="s">
        <v>2119</v>
      </c>
      <c r="B692" t="s">
        <v>1937</v>
      </c>
      <c r="C692" t="s">
        <v>2120</v>
      </c>
    </row>
    <row r="693" spans="1:3" ht="12.75" customHeight="1">
      <c r="A693" t="s">
        <v>2121</v>
      </c>
      <c r="B693" t="s">
        <v>1937</v>
      </c>
      <c r="C693" t="s">
        <v>2120</v>
      </c>
    </row>
    <row r="694" spans="1:3" ht="12.75" customHeight="1">
      <c r="A694" t="s">
        <v>2122</v>
      </c>
      <c r="B694" t="s">
        <v>1937</v>
      </c>
      <c r="C694" t="s">
        <v>1943</v>
      </c>
    </row>
    <row r="695" spans="1:3" ht="12.75" customHeight="1">
      <c r="A695" t="s">
        <v>2123</v>
      </c>
      <c r="B695" t="s">
        <v>1937</v>
      </c>
      <c r="C695" t="s">
        <v>2124</v>
      </c>
    </row>
    <row r="696" spans="1:3" ht="12.75" customHeight="1">
      <c r="A696" t="s">
        <v>2125</v>
      </c>
      <c r="B696" t="s">
        <v>1937</v>
      </c>
      <c r="C696" t="s">
        <v>2124</v>
      </c>
    </row>
    <row r="697" spans="1:3" ht="12.75" customHeight="1">
      <c r="A697" t="s">
        <v>1812</v>
      </c>
      <c r="B697" t="s">
        <v>1937</v>
      </c>
      <c r="C697" t="s">
        <v>2124</v>
      </c>
    </row>
    <row r="698" spans="1:3" ht="12.75" customHeight="1">
      <c r="A698" t="s">
        <v>1813</v>
      </c>
      <c r="B698" t="s">
        <v>1937</v>
      </c>
      <c r="C698" t="s">
        <v>2124</v>
      </c>
    </row>
    <row r="699" spans="1:3" ht="12.75" customHeight="1">
      <c r="A699" t="s">
        <v>1814</v>
      </c>
      <c r="B699" t="s">
        <v>1937</v>
      </c>
      <c r="C699" t="s">
        <v>1943</v>
      </c>
    </row>
    <row r="700" spans="1:3" ht="12.75" customHeight="1">
      <c r="A700" t="s">
        <v>2126</v>
      </c>
      <c r="B700" t="s">
        <v>1937</v>
      </c>
      <c r="C700" t="s">
        <v>1943</v>
      </c>
    </row>
    <row r="701" spans="1:3" ht="12.75" customHeight="1">
      <c r="A701" t="s">
        <v>2127</v>
      </c>
      <c r="B701" t="s">
        <v>1937</v>
      </c>
      <c r="C701" t="s">
        <v>2128</v>
      </c>
    </row>
    <row r="702" spans="1:3" ht="12.75" customHeight="1">
      <c r="A702" t="s">
        <v>2129</v>
      </c>
      <c r="B702" t="s">
        <v>1937</v>
      </c>
      <c r="C702" t="s">
        <v>2128</v>
      </c>
    </row>
    <row r="703" spans="1:3" ht="12.75" customHeight="1">
      <c r="A703" t="s">
        <v>2130</v>
      </c>
      <c r="B703" t="s">
        <v>1937</v>
      </c>
      <c r="C703" t="s">
        <v>2128</v>
      </c>
    </row>
    <row r="704" spans="1:3" ht="12.75" customHeight="1">
      <c r="A704" t="s">
        <v>2131</v>
      </c>
      <c r="B704" t="s">
        <v>1937</v>
      </c>
      <c r="C704" t="s">
        <v>2128</v>
      </c>
    </row>
    <row r="705" spans="1:3" ht="12.75" customHeight="1">
      <c r="A705" t="s">
        <v>1808</v>
      </c>
      <c r="B705" t="s">
        <v>1937</v>
      </c>
      <c r="C705" t="s">
        <v>2010</v>
      </c>
    </row>
    <row r="706" spans="1:3" ht="12.75" customHeight="1">
      <c r="A706" t="s">
        <v>1809</v>
      </c>
      <c r="B706" t="s">
        <v>1937</v>
      </c>
      <c r="C706" t="s">
        <v>2010</v>
      </c>
    </row>
    <row r="707" spans="1:3" ht="12.75" customHeight="1">
      <c r="A707" t="s">
        <v>1810</v>
      </c>
      <c r="B707" t="s">
        <v>1937</v>
      </c>
      <c r="C707" t="s">
        <v>2010</v>
      </c>
    </row>
    <row r="708" spans="1:3" ht="12.75" customHeight="1">
      <c r="A708" t="s">
        <v>1811</v>
      </c>
      <c r="B708" t="s">
        <v>1937</v>
      </c>
      <c r="C708" t="s">
        <v>2010</v>
      </c>
    </row>
    <row r="709" spans="1:3" ht="12.75" customHeight="1">
      <c r="A709" t="s">
        <v>2132</v>
      </c>
      <c r="B709" t="s">
        <v>1937</v>
      </c>
      <c r="C709" t="s">
        <v>1938</v>
      </c>
    </row>
    <row r="710" spans="1:3" ht="12.75" customHeight="1">
      <c r="A710" t="s">
        <v>2133</v>
      </c>
      <c r="B710" t="s">
        <v>1937</v>
      </c>
      <c r="C710" t="s">
        <v>1942</v>
      </c>
    </row>
    <row r="711" spans="1:3" ht="12.75" customHeight="1">
      <c r="A711" t="s">
        <v>2134</v>
      </c>
      <c r="B711" t="s">
        <v>1937</v>
      </c>
      <c r="C711" t="s">
        <v>2010</v>
      </c>
    </row>
    <row r="712" spans="1:3" ht="12.75" customHeight="1">
      <c r="A712" t="s">
        <v>66</v>
      </c>
      <c r="B712" t="s">
        <v>1937</v>
      </c>
      <c r="C712" t="s">
        <v>2135</v>
      </c>
    </row>
    <row r="713" spans="1:3" ht="12.75" customHeight="1">
      <c r="A713" t="s">
        <v>68</v>
      </c>
      <c r="B713" t="s">
        <v>1937</v>
      </c>
      <c r="C713" t="s">
        <v>2135</v>
      </c>
    </row>
    <row r="714" spans="1:3" ht="12.75" customHeight="1">
      <c r="A714" t="s">
        <v>69</v>
      </c>
      <c r="B714" t="s">
        <v>1937</v>
      </c>
      <c r="C714" t="s">
        <v>2135</v>
      </c>
    </row>
    <row r="715" spans="1:3" ht="12.75" customHeight="1">
      <c r="A715" t="s">
        <v>70</v>
      </c>
      <c r="B715" t="s">
        <v>1937</v>
      </c>
      <c r="C715" t="s">
        <v>2135</v>
      </c>
    </row>
    <row r="716" spans="1:3" ht="12.75" customHeight="1">
      <c r="A716" t="s">
        <v>71</v>
      </c>
      <c r="B716" t="s">
        <v>1937</v>
      </c>
      <c r="C716" t="s">
        <v>2135</v>
      </c>
    </row>
    <row r="717" spans="1:3" ht="12.75" customHeight="1">
      <c r="A717" t="s">
        <v>72</v>
      </c>
      <c r="B717" t="s">
        <v>1937</v>
      </c>
      <c r="C717" t="s">
        <v>2135</v>
      </c>
    </row>
    <row r="718" spans="1:3" ht="12.75" customHeight="1">
      <c r="A718" t="s">
        <v>73</v>
      </c>
      <c r="B718" t="s">
        <v>1937</v>
      </c>
      <c r="C718" t="s">
        <v>2135</v>
      </c>
    </row>
    <row r="719" spans="1:3" ht="12.75" customHeight="1">
      <c r="A719" t="s">
        <v>109</v>
      </c>
      <c r="B719" t="s">
        <v>1937</v>
      </c>
      <c r="C719" t="s">
        <v>2136</v>
      </c>
    </row>
    <row r="720" spans="1:3" ht="12.75" customHeight="1">
      <c r="A720" t="s">
        <v>111</v>
      </c>
      <c r="B720" t="s">
        <v>1937</v>
      </c>
      <c r="C720" t="s">
        <v>2136</v>
      </c>
    </row>
    <row r="721" spans="1:3" ht="12.75" customHeight="1">
      <c r="A721" t="s">
        <v>112</v>
      </c>
      <c r="B721" t="s">
        <v>1937</v>
      </c>
      <c r="C721" t="s">
        <v>2136</v>
      </c>
    </row>
    <row r="722" spans="1:3" ht="12.75" customHeight="1">
      <c r="A722" t="s">
        <v>113</v>
      </c>
      <c r="B722" t="s">
        <v>1937</v>
      </c>
      <c r="C722" t="s">
        <v>2136</v>
      </c>
    </row>
    <row r="723" spans="1:3" ht="12.75" customHeight="1">
      <c r="A723" t="s">
        <v>114</v>
      </c>
      <c r="B723" t="s">
        <v>1937</v>
      </c>
      <c r="C723" t="s">
        <v>2136</v>
      </c>
    </row>
    <row r="724" spans="1:3" ht="12.75" customHeight="1">
      <c r="A724" t="s">
        <v>115</v>
      </c>
      <c r="B724" t="s">
        <v>1937</v>
      </c>
      <c r="C724" t="s">
        <v>2136</v>
      </c>
    </row>
    <row r="725" spans="1:3" ht="12.75" customHeight="1">
      <c r="A725" t="s">
        <v>116</v>
      </c>
      <c r="B725" t="s">
        <v>1937</v>
      </c>
      <c r="C725" t="s">
        <v>2136</v>
      </c>
    </row>
    <row r="726" spans="1:3" ht="12.75" customHeight="1">
      <c r="A726" t="s">
        <v>117</v>
      </c>
      <c r="B726" t="s">
        <v>1937</v>
      </c>
      <c r="C726" t="s">
        <v>2136</v>
      </c>
    </row>
    <row r="727" spans="1:3" ht="12.75" customHeight="1">
      <c r="A727" t="s">
        <v>122</v>
      </c>
      <c r="B727" t="s">
        <v>1937</v>
      </c>
      <c r="C727" t="s">
        <v>2136</v>
      </c>
    </row>
    <row r="728" spans="1:3" ht="12.75" customHeight="1">
      <c r="A728" t="s">
        <v>2137</v>
      </c>
      <c r="B728" t="s">
        <v>1937</v>
      </c>
      <c r="C728" t="s">
        <v>2138</v>
      </c>
    </row>
    <row r="729" spans="1:3" ht="12.75" customHeight="1">
      <c r="A729" t="s">
        <v>2139</v>
      </c>
      <c r="B729" t="s">
        <v>1937</v>
      </c>
      <c r="C729" t="s">
        <v>2140</v>
      </c>
    </row>
    <row r="730" spans="1:3" ht="12.75" customHeight="1">
      <c r="A730" t="s">
        <v>2141</v>
      </c>
      <c r="B730" t="s">
        <v>1937</v>
      </c>
      <c r="C730" t="s">
        <v>2140</v>
      </c>
    </row>
    <row r="731" spans="1:3" ht="12.75" customHeight="1">
      <c r="A731" t="s">
        <v>2142</v>
      </c>
      <c r="B731" t="s">
        <v>1937</v>
      </c>
      <c r="C731" t="s">
        <v>2140</v>
      </c>
    </row>
    <row r="732" spans="1:3" ht="12.75" customHeight="1">
      <c r="A732" t="s">
        <v>2143</v>
      </c>
      <c r="B732" t="s">
        <v>1937</v>
      </c>
      <c r="C732" t="s">
        <v>2140</v>
      </c>
    </row>
    <row r="733" spans="1:3" ht="12.75" customHeight="1">
      <c r="A733" t="s">
        <v>2144</v>
      </c>
      <c r="B733" t="s">
        <v>1937</v>
      </c>
      <c r="C733" t="s">
        <v>2140</v>
      </c>
    </row>
    <row r="734" spans="1:3" ht="12.75" customHeight="1">
      <c r="A734" t="s">
        <v>2145</v>
      </c>
      <c r="B734" t="s">
        <v>1937</v>
      </c>
      <c r="C734" t="s">
        <v>2140</v>
      </c>
    </row>
    <row r="735" spans="1:3" ht="12.75" customHeight="1">
      <c r="A735" t="s">
        <v>2146</v>
      </c>
      <c r="B735" t="s">
        <v>1937</v>
      </c>
      <c r="C735" t="s">
        <v>2140</v>
      </c>
    </row>
    <row r="736" spans="1:3" ht="12.75" customHeight="1">
      <c r="A736" t="s">
        <v>2147</v>
      </c>
      <c r="B736" t="s">
        <v>1937</v>
      </c>
      <c r="C736" t="s">
        <v>2140</v>
      </c>
    </row>
    <row r="737" spans="1:3" ht="12.75" customHeight="1">
      <c r="A737" t="s">
        <v>2148</v>
      </c>
      <c r="B737" t="s">
        <v>1937</v>
      </c>
      <c r="C737" t="s">
        <v>2140</v>
      </c>
    </row>
    <row r="738" spans="1:3" ht="12.75" customHeight="1">
      <c r="A738" t="s">
        <v>2149</v>
      </c>
      <c r="B738" t="s">
        <v>1937</v>
      </c>
      <c r="C738" t="s">
        <v>2140</v>
      </c>
    </row>
    <row r="739" spans="1:3" ht="12.75" customHeight="1">
      <c r="A739" t="s">
        <v>2150</v>
      </c>
      <c r="B739" t="s">
        <v>1937</v>
      </c>
      <c r="C739" t="s">
        <v>2140</v>
      </c>
    </row>
    <row r="740" spans="1:3" ht="12.75" customHeight="1">
      <c r="A740" t="s">
        <v>2151</v>
      </c>
      <c r="B740" t="s">
        <v>1937</v>
      </c>
      <c r="C740" t="s">
        <v>2140</v>
      </c>
    </row>
    <row r="741" spans="1:3" ht="12.75" customHeight="1">
      <c r="A741" t="s">
        <v>2152</v>
      </c>
      <c r="B741" t="s">
        <v>1937</v>
      </c>
      <c r="C741" t="s">
        <v>2140</v>
      </c>
    </row>
    <row r="742" spans="1:3" ht="12.75" customHeight="1">
      <c r="A742" t="s">
        <v>2153</v>
      </c>
      <c r="B742" t="s">
        <v>1937</v>
      </c>
      <c r="C742" t="s">
        <v>2140</v>
      </c>
    </row>
    <row r="743" spans="1:3" ht="12.75" customHeight="1">
      <c r="A743" t="s">
        <v>2154</v>
      </c>
      <c r="B743" t="s">
        <v>1937</v>
      </c>
      <c r="C743" t="s">
        <v>2140</v>
      </c>
    </row>
    <row r="744" spans="1:3" ht="12.75" customHeight="1">
      <c r="A744" t="s">
        <v>2155</v>
      </c>
      <c r="B744" t="s">
        <v>1937</v>
      </c>
      <c r="C744" t="s">
        <v>2156</v>
      </c>
    </row>
    <row r="745" spans="1:3" ht="12.75" customHeight="1">
      <c r="A745" t="s">
        <v>2157</v>
      </c>
      <c r="B745" t="s">
        <v>1937</v>
      </c>
      <c r="C745" t="s">
        <v>2158</v>
      </c>
    </row>
    <row r="746" spans="1:3" ht="12.75" customHeight="1">
      <c r="A746" t="s">
        <v>2159</v>
      </c>
      <c r="B746" t="s">
        <v>1937</v>
      </c>
      <c r="C746" t="s">
        <v>2160</v>
      </c>
    </row>
    <row r="747" spans="1:3" ht="12.75" customHeight="1">
      <c r="A747" t="s">
        <v>2161</v>
      </c>
      <c r="B747" t="s">
        <v>1937</v>
      </c>
      <c r="C747" t="s">
        <v>2128</v>
      </c>
    </row>
    <row r="748" spans="1:3" ht="12.75" customHeight="1">
      <c r="A748" t="s">
        <v>2162</v>
      </c>
      <c r="B748" t="s">
        <v>1937</v>
      </c>
      <c r="C748" t="s">
        <v>2128</v>
      </c>
    </row>
    <row r="749" spans="1:3" ht="12.75" customHeight="1">
      <c r="A749" t="s">
        <v>85</v>
      </c>
      <c r="B749" t="s">
        <v>1937</v>
      </c>
      <c r="C749" t="s">
        <v>1942</v>
      </c>
    </row>
    <row r="750" spans="1:3" ht="12.75" customHeight="1">
      <c r="A750" t="s">
        <v>80</v>
      </c>
      <c r="B750" t="s">
        <v>1937</v>
      </c>
      <c r="C750" t="s">
        <v>2163</v>
      </c>
    </row>
    <row r="751" spans="1:3" ht="12.75" customHeight="1">
      <c r="A751" t="s">
        <v>2164</v>
      </c>
      <c r="B751" t="s">
        <v>1937</v>
      </c>
      <c r="C751" t="s">
        <v>2165</v>
      </c>
    </row>
    <row r="752" spans="1:3" ht="12.75" customHeight="1">
      <c r="A752" t="s">
        <v>2166</v>
      </c>
      <c r="B752" t="s">
        <v>1937</v>
      </c>
      <c r="C752" t="s">
        <v>2165</v>
      </c>
    </row>
    <row r="753" spans="1:3" ht="12.75" customHeight="1">
      <c r="A753" t="s">
        <v>1800</v>
      </c>
      <c r="B753" t="s">
        <v>1937</v>
      </c>
      <c r="C753" t="s">
        <v>1945</v>
      </c>
    </row>
    <row r="754" spans="1:3" ht="12.75" customHeight="1">
      <c r="A754" t="s">
        <v>1801</v>
      </c>
      <c r="B754" t="s">
        <v>1937</v>
      </c>
      <c r="C754" t="s">
        <v>1945</v>
      </c>
    </row>
    <row r="755" spans="1:3" ht="12.75" customHeight="1">
      <c r="A755" t="s">
        <v>1802</v>
      </c>
      <c r="B755" t="s">
        <v>1937</v>
      </c>
      <c r="C755" t="s">
        <v>1945</v>
      </c>
    </row>
    <row r="756" spans="1:3" ht="12.75" customHeight="1">
      <c r="A756" t="s">
        <v>2167</v>
      </c>
      <c r="B756" t="s">
        <v>1937</v>
      </c>
      <c r="C756" t="s">
        <v>1943</v>
      </c>
    </row>
    <row r="757" spans="1:3" ht="12.75" customHeight="1">
      <c r="A757" t="s">
        <v>1803</v>
      </c>
      <c r="B757" t="s">
        <v>1937</v>
      </c>
      <c r="C757" t="s">
        <v>1943</v>
      </c>
    </row>
    <row r="758" spans="1:3" ht="12.75" customHeight="1">
      <c r="A758" t="s">
        <v>1804</v>
      </c>
      <c r="B758" t="s">
        <v>1937</v>
      </c>
      <c r="C758" t="s">
        <v>1989</v>
      </c>
    </row>
    <row r="759" spans="1:3" ht="12.75" customHeight="1">
      <c r="A759" t="s">
        <v>1805</v>
      </c>
      <c r="B759" t="s">
        <v>1937</v>
      </c>
      <c r="C759" t="s">
        <v>1989</v>
      </c>
    </row>
    <row r="760" spans="1:3" ht="12.75" customHeight="1">
      <c r="A760" t="s">
        <v>1806</v>
      </c>
      <c r="B760" t="s">
        <v>1937</v>
      </c>
      <c r="C760" t="s">
        <v>1989</v>
      </c>
    </row>
    <row r="761" spans="1:3" ht="12.75" customHeight="1">
      <c r="A761" t="s">
        <v>1807</v>
      </c>
      <c r="B761" t="s">
        <v>1937</v>
      </c>
      <c r="C761" t="s">
        <v>1989</v>
      </c>
    </row>
    <row r="762" spans="1:3" ht="12.75" customHeight="1">
      <c r="A762" t="s">
        <v>2168</v>
      </c>
      <c r="B762" t="s">
        <v>1937</v>
      </c>
    </row>
    <row r="763" spans="1:3" ht="12.75" customHeight="1">
      <c r="A763" t="s">
        <v>2169</v>
      </c>
      <c r="B763" t="s">
        <v>1937</v>
      </c>
    </row>
    <row r="764" spans="1:3" ht="12.75" customHeight="1">
      <c r="A764" t="s">
        <v>2170</v>
      </c>
      <c r="B764" t="s">
        <v>1937</v>
      </c>
    </row>
    <row r="765" spans="1:3" ht="12.75" customHeight="1">
      <c r="A765" t="s">
        <v>2171</v>
      </c>
      <c r="B765" t="s">
        <v>1937</v>
      </c>
    </row>
    <row r="766" spans="1:3" ht="12.75" customHeight="1">
      <c r="A766" t="s">
        <v>2172</v>
      </c>
      <c r="B766" t="s">
        <v>1937</v>
      </c>
    </row>
    <row r="767" spans="1:3" ht="12.75" customHeight="1">
      <c r="A767" t="s">
        <v>2173</v>
      </c>
      <c r="B767" t="s">
        <v>1937</v>
      </c>
    </row>
    <row r="768" spans="1:3" ht="12.75" customHeight="1">
      <c r="A768" t="s">
        <v>2174</v>
      </c>
      <c r="B768" t="s">
        <v>1937</v>
      </c>
    </row>
    <row r="769" spans="1:2" ht="12.75" customHeight="1">
      <c r="A769" t="s">
        <v>2175</v>
      </c>
      <c r="B769" t="s">
        <v>1937</v>
      </c>
    </row>
    <row r="770" spans="1:2" ht="12.75" customHeight="1">
      <c r="A770" t="s">
        <v>2176</v>
      </c>
      <c r="B770" t="s">
        <v>1937</v>
      </c>
    </row>
    <row r="771" spans="1:2" ht="12.75" customHeight="1">
      <c r="A771" t="s">
        <v>2177</v>
      </c>
      <c r="B771" t="s">
        <v>1937</v>
      </c>
    </row>
    <row r="772" spans="1:2" ht="12.75" customHeight="1">
      <c r="A772" t="s">
        <v>2178</v>
      </c>
      <c r="B772" t="s">
        <v>1937</v>
      </c>
    </row>
    <row r="773" spans="1:2" ht="12.75" customHeight="1">
      <c r="A773" t="s">
        <v>2179</v>
      </c>
      <c r="B773" t="s">
        <v>1937</v>
      </c>
    </row>
    <row r="774" spans="1:2" ht="12.75" customHeight="1">
      <c r="A774" t="s">
        <v>2180</v>
      </c>
      <c r="B774" t="s">
        <v>1937</v>
      </c>
    </row>
    <row r="775" spans="1:2" ht="12.75" customHeight="1">
      <c r="A775" t="s">
        <v>2181</v>
      </c>
      <c r="B775" t="s">
        <v>1937</v>
      </c>
    </row>
    <row r="776" spans="1:2" ht="12.75" customHeight="1">
      <c r="A776" t="s">
        <v>2182</v>
      </c>
      <c r="B776" t="s">
        <v>1937</v>
      </c>
    </row>
    <row r="777" spans="1:2" ht="12.75" customHeight="1">
      <c r="A777" t="s">
        <v>2183</v>
      </c>
      <c r="B777" t="s">
        <v>1937</v>
      </c>
    </row>
    <row r="778" spans="1:2" ht="12.75" customHeight="1">
      <c r="A778" t="s">
        <v>2184</v>
      </c>
      <c r="B778" t="s">
        <v>1937</v>
      </c>
    </row>
    <row r="779" spans="1:2" ht="12.75" customHeight="1">
      <c r="A779" t="s">
        <v>2185</v>
      </c>
      <c r="B779" t="s">
        <v>1937</v>
      </c>
    </row>
    <row r="780" spans="1:2" ht="12.75" customHeight="1">
      <c r="A780" t="s">
        <v>2186</v>
      </c>
      <c r="B780" t="s">
        <v>1937</v>
      </c>
    </row>
    <row r="781" spans="1:2" ht="12.75" customHeight="1">
      <c r="A781" t="s">
        <v>2187</v>
      </c>
      <c r="B781" t="s">
        <v>1937</v>
      </c>
    </row>
    <row r="782" spans="1:2" ht="12.75" customHeight="1">
      <c r="A782" t="s">
        <v>2188</v>
      </c>
      <c r="B782" t="s">
        <v>1937</v>
      </c>
    </row>
    <row r="783" spans="1:2" ht="12.75" customHeight="1">
      <c r="A783" t="s">
        <v>2189</v>
      </c>
      <c r="B783" t="s">
        <v>1937</v>
      </c>
    </row>
    <row r="784" spans="1:2" ht="12.75" customHeight="1">
      <c r="A784" t="s">
        <v>2190</v>
      </c>
      <c r="B784" t="s">
        <v>1937</v>
      </c>
    </row>
    <row r="785" spans="1:2" ht="12.75" customHeight="1">
      <c r="A785" t="s">
        <v>2191</v>
      </c>
      <c r="B785" t="s">
        <v>1937</v>
      </c>
    </row>
    <row r="786" spans="1:2" ht="12.75" customHeight="1">
      <c r="A786" t="s">
        <v>2192</v>
      </c>
      <c r="B786" t="s">
        <v>1937</v>
      </c>
    </row>
    <row r="787" spans="1:2" ht="12.75" customHeight="1">
      <c r="A787" t="s">
        <v>2193</v>
      </c>
      <c r="B787" t="s">
        <v>1937</v>
      </c>
    </row>
    <row r="788" spans="1:2" ht="12.75" customHeight="1">
      <c r="A788" t="s">
        <v>2194</v>
      </c>
      <c r="B788" t="s">
        <v>1937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1640625" defaultRowHeight="12.75" customHeight="1" x14ac:dyDescent="0"/>
  <cols>
    <col min="1" max="1" width="14.33203125" customWidth="1"/>
    <col min="2" max="2" width="20.83203125" customWidth="1"/>
    <col min="3" max="3" width="11.83203125" customWidth="1"/>
    <col min="4" max="4" width="15.5" customWidth="1"/>
    <col min="5" max="5" width="37" customWidth="1"/>
    <col min="6" max="6" width="6.83203125" customWidth="1"/>
    <col min="7" max="7" width="21.1640625" customWidth="1"/>
    <col min="8" max="8" width="9.1640625" customWidth="1"/>
    <col min="9" max="9" width="6.6640625" customWidth="1"/>
    <col min="10" max="10" width="5.5" customWidth="1"/>
    <col min="11" max="11" width="6.1640625" customWidth="1"/>
    <col min="12" max="12" width="13" customWidth="1"/>
    <col min="13" max="13" width="16.83203125" customWidth="1"/>
  </cols>
  <sheetData>
    <row r="1" spans="1:26" ht="27" customHeight="1">
      <c r="A1" s="330" t="s">
        <v>2195</v>
      </c>
      <c r="B1" s="330" t="s">
        <v>2196</v>
      </c>
      <c r="C1" s="330" t="s">
        <v>2197</v>
      </c>
      <c r="D1" s="330" t="s">
        <v>2198</v>
      </c>
      <c r="E1" s="330" t="s">
        <v>2199</v>
      </c>
      <c r="F1" s="330" t="s">
        <v>18</v>
      </c>
      <c r="G1" s="330" t="s">
        <v>2200</v>
      </c>
      <c r="H1" s="330" t="s">
        <v>2201</v>
      </c>
      <c r="I1" s="330" t="s">
        <v>2202</v>
      </c>
      <c r="J1" s="330" t="s">
        <v>2203</v>
      </c>
      <c r="K1" s="330" t="s">
        <v>38</v>
      </c>
      <c r="L1" s="330" t="s">
        <v>2204</v>
      </c>
      <c r="M1" s="330" t="s">
        <v>2205</v>
      </c>
      <c r="N1" s="325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6" ht="12">
      <c r="A2" s="108" t="s">
        <v>49</v>
      </c>
      <c r="B2" s="47">
        <v>40976</v>
      </c>
      <c r="C2" s="231">
        <v>0.70833333333333304</v>
      </c>
      <c r="D2" s="108" t="s">
        <v>2206</v>
      </c>
      <c r="E2" s="108" t="s">
        <v>2207</v>
      </c>
      <c r="F2" s="108">
        <v>1000</v>
      </c>
      <c r="G2" s="108">
        <v>100</v>
      </c>
      <c r="H2" s="328">
        <v>776.45439757443103</v>
      </c>
      <c r="I2" s="108" t="s">
        <v>1511</v>
      </c>
      <c r="J2" s="108" t="s">
        <v>1511</v>
      </c>
      <c r="K2" s="108" t="s">
        <v>1511</v>
      </c>
      <c r="L2" s="108" t="s">
        <v>1511</v>
      </c>
      <c r="M2" s="108" t="s">
        <v>1511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6" ht="12">
      <c r="A3" t="s">
        <v>51</v>
      </c>
      <c r="B3" s="245">
        <v>40976</v>
      </c>
      <c r="C3" s="28">
        <v>0.70833333333333304</v>
      </c>
      <c r="D3" t="s">
        <v>2206</v>
      </c>
      <c r="E3" t="s">
        <v>2207</v>
      </c>
      <c r="F3">
        <v>1001</v>
      </c>
      <c r="G3">
        <v>100</v>
      </c>
      <c r="H3" s="123">
        <v>362.74223173697601</v>
      </c>
      <c r="I3" t="s">
        <v>1511</v>
      </c>
      <c r="J3" t="s">
        <v>1511</v>
      </c>
      <c r="K3" t="s">
        <v>1511</v>
      </c>
      <c r="L3" t="s">
        <v>1511</v>
      </c>
      <c r="M3" t="s">
        <v>1511</v>
      </c>
    </row>
    <row r="4" spans="1:26" ht="12">
      <c r="A4" t="s">
        <v>59</v>
      </c>
      <c r="B4" s="245">
        <v>40976</v>
      </c>
      <c r="C4" s="28">
        <v>0.70833333333333304</v>
      </c>
      <c r="D4" t="s">
        <v>2206</v>
      </c>
      <c r="E4" t="s">
        <v>2207</v>
      </c>
      <c r="F4">
        <v>1002</v>
      </c>
      <c r="G4">
        <v>100</v>
      </c>
      <c r="H4" s="123">
        <v>306.93573454667199</v>
      </c>
      <c r="I4" t="s">
        <v>1511</v>
      </c>
      <c r="J4" t="s">
        <v>1511</v>
      </c>
      <c r="K4" t="s">
        <v>1511</v>
      </c>
      <c r="L4" t="s">
        <v>1511</v>
      </c>
      <c r="M4" t="s">
        <v>1511</v>
      </c>
    </row>
    <row r="5" spans="1:26" ht="12">
      <c r="A5" t="s">
        <v>60</v>
      </c>
      <c r="B5" s="245">
        <v>40976</v>
      </c>
      <c r="C5" s="28">
        <v>0.70833333333333304</v>
      </c>
      <c r="D5" t="s">
        <v>2206</v>
      </c>
      <c r="E5" t="s">
        <v>2207</v>
      </c>
      <c r="F5">
        <v>1003</v>
      </c>
      <c r="G5">
        <v>100</v>
      </c>
      <c r="H5" s="123">
        <v>296.39450729961499</v>
      </c>
      <c r="I5" t="s">
        <v>1511</v>
      </c>
      <c r="J5" t="s">
        <v>1511</v>
      </c>
      <c r="K5" t="s">
        <v>1511</v>
      </c>
      <c r="L5" t="s">
        <v>1511</v>
      </c>
      <c r="M5" t="s">
        <v>1511</v>
      </c>
    </row>
    <row r="6" spans="1:26" ht="12">
      <c r="A6" t="s">
        <v>61</v>
      </c>
      <c r="B6" s="245">
        <v>40976</v>
      </c>
      <c r="C6" s="28">
        <v>0.70833333333333304</v>
      </c>
      <c r="D6" t="s">
        <v>2206</v>
      </c>
      <c r="E6" t="s">
        <v>2207</v>
      </c>
      <c r="F6">
        <v>1004</v>
      </c>
      <c r="G6">
        <v>100</v>
      </c>
      <c r="H6" s="123">
        <v>302.719243647849</v>
      </c>
      <c r="I6" t="s">
        <v>1511</v>
      </c>
      <c r="J6" t="s">
        <v>1511</v>
      </c>
      <c r="K6" t="s">
        <v>1511</v>
      </c>
      <c r="L6" t="s">
        <v>1511</v>
      </c>
      <c r="M6" t="s">
        <v>1511</v>
      </c>
    </row>
    <row r="7" spans="1:26" ht="12">
      <c r="A7" t="s">
        <v>63</v>
      </c>
      <c r="B7" s="245">
        <v>40976</v>
      </c>
      <c r="C7" s="28">
        <v>0.70833333333333304</v>
      </c>
      <c r="D7" t="s">
        <v>2206</v>
      </c>
      <c r="E7" t="s">
        <v>2207</v>
      </c>
      <c r="F7">
        <v>1005</v>
      </c>
      <c r="G7">
        <v>100</v>
      </c>
      <c r="H7" s="123">
        <v>326.03395802957601</v>
      </c>
      <c r="I7" t="s">
        <v>1511</v>
      </c>
      <c r="J7" t="s">
        <v>1511</v>
      </c>
      <c r="K7" t="s">
        <v>1511</v>
      </c>
      <c r="L7" t="s">
        <v>1511</v>
      </c>
      <c r="M7" t="s">
        <v>1511</v>
      </c>
    </row>
    <row r="8" spans="1:26" ht="12">
      <c r="A8" t="s">
        <v>64</v>
      </c>
      <c r="B8" s="245">
        <v>40976</v>
      </c>
      <c r="C8" s="28">
        <v>0.70833333333333304</v>
      </c>
      <c r="D8" t="s">
        <v>2206</v>
      </c>
      <c r="E8" t="s">
        <v>2207</v>
      </c>
      <c r="F8">
        <v>1006</v>
      </c>
      <c r="G8">
        <v>100</v>
      </c>
      <c r="H8" s="123">
        <v>271.46760522127897</v>
      </c>
      <c r="I8" t="s">
        <v>1511</v>
      </c>
      <c r="J8" t="s">
        <v>1511</v>
      </c>
      <c r="K8" t="s">
        <v>1511</v>
      </c>
      <c r="L8" t="s">
        <v>1511</v>
      </c>
      <c r="M8" t="s">
        <v>1511</v>
      </c>
    </row>
    <row r="9" spans="1:26" ht="12">
      <c r="A9" t="s">
        <v>65</v>
      </c>
      <c r="B9" s="245">
        <v>40976</v>
      </c>
      <c r="C9" s="28">
        <v>0.70833333333333304</v>
      </c>
      <c r="D9" t="s">
        <v>2206</v>
      </c>
      <c r="E9" t="s">
        <v>2207</v>
      </c>
      <c r="F9">
        <v>1007</v>
      </c>
      <c r="G9">
        <v>100</v>
      </c>
      <c r="H9" s="123">
        <v>284.98517898515303</v>
      </c>
      <c r="I9" t="s">
        <v>1511</v>
      </c>
      <c r="J9" t="s">
        <v>1511</v>
      </c>
      <c r="K9" t="s">
        <v>1511</v>
      </c>
      <c r="L9" t="s">
        <v>1511</v>
      </c>
      <c r="M9" t="s">
        <v>1511</v>
      </c>
    </row>
    <row r="10" spans="1:26" ht="12">
      <c r="A10" t="s">
        <v>66</v>
      </c>
      <c r="B10" s="245">
        <v>40977</v>
      </c>
      <c r="C10" s="28">
        <v>0.58333333333333304</v>
      </c>
      <c r="D10" t="s">
        <v>2208</v>
      </c>
      <c r="E10" t="s">
        <v>2209</v>
      </c>
      <c r="F10">
        <v>1000</v>
      </c>
      <c r="G10">
        <v>100</v>
      </c>
      <c r="H10" s="123">
        <v>408.87560274762802</v>
      </c>
      <c r="I10">
        <v>122</v>
      </c>
      <c r="J10">
        <v>147.30000000000001</v>
      </c>
      <c r="K10">
        <v>11.8</v>
      </c>
      <c r="L10" s="123">
        <f t="shared" ref="L10:L24" si="0">I10/J10</f>
        <v>0.82824168363883222</v>
      </c>
    </row>
    <row r="11" spans="1:26" ht="12">
      <c r="A11" t="s">
        <v>68</v>
      </c>
      <c r="B11" s="245">
        <v>40977</v>
      </c>
      <c r="C11" s="28">
        <v>0.58333333333333304</v>
      </c>
      <c r="D11" t="s">
        <v>2208</v>
      </c>
      <c r="E11" t="s">
        <v>2209</v>
      </c>
      <c r="F11">
        <v>1000</v>
      </c>
      <c r="G11">
        <v>100</v>
      </c>
      <c r="H11" s="123">
        <v>423.75733533170899</v>
      </c>
      <c r="I11">
        <v>133.69999999999999</v>
      </c>
      <c r="J11">
        <v>165.7</v>
      </c>
      <c r="K11">
        <v>11.3</v>
      </c>
      <c r="L11" s="123">
        <f t="shared" si="0"/>
        <v>0.80687990343995175</v>
      </c>
    </row>
    <row r="12" spans="1:26" ht="12">
      <c r="A12" t="s">
        <v>69</v>
      </c>
      <c r="B12" s="245">
        <v>40977</v>
      </c>
      <c r="C12" s="28">
        <v>0.75</v>
      </c>
      <c r="D12" t="s">
        <v>2208</v>
      </c>
      <c r="E12" t="s">
        <v>2209</v>
      </c>
      <c r="F12">
        <v>1001</v>
      </c>
      <c r="G12">
        <v>100</v>
      </c>
      <c r="H12" s="123">
        <v>655.54032032877205</v>
      </c>
      <c r="I12">
        <v>203.9</v>
      </c>
      <c r="J12">
        <v>258.10000000000002</v>
      </c>
      <c r="K12">
        <v>11.6</v>
      </c>
      <c r="L12" s="123">
        <f t="shared" si="0"/>
        <v>0.79000387446726072</v>
      </c>
    </row>
    <row r="13" spans="1:26" ht="12">
      <c r="A13" t="s">
        <v>70</v>
      </c>
      <c r="B13" s="245">
        <v>40977</v>
      </c>
      <c r="C13" s="28">
        <v>0.75</v>
      </c>
      <c r="D13" t="s">
        <v>2208</v>
      </c>
      <c r="E13" t="s">
        <v>2209</v>
      </c>
      <c r="F13">
        <v>1001</v>
      </c>
      <c r="G13">
        <v>100</v>
      </c>
      <c r="H13" s="123">
        <v>669.30592296904695</v>
      </c>
      <c r="I13">
        <v>206.2</v>
      </c>
      <c r="J13">
        <v>282.8</v>
      </c>
      <c r="K13">
        <v>11.4</v>
      </c>
      <c r="L13" s="123">
        <f t="shared" si="0"/>
        <v>0.72913719943422906</v>
      </c>
    </row>
    <row r="14" spans="1:26" ht="12">
      <c r="A14" t="s">
        <v>51</v>
      </c>
      <c r="B14" s="245">
        <v>40984</v>
      </c>
      <c r="C14" s="28">
        <v>0.66666666666666696</v>
      </c>
      <c r="D14" t="s">
        <v>2208</v>
      </c>
      <c r="E14" t="s">
        <v>2209</v>
      </c>
      <c r="F14">
        <v>1002</v>
      </c>
      <c r="G14">
        <v>100</v>
      </c>
      <c r="H14">
        <v>373.66</v>
      </c>
      <c r="I14">
        <v>110.8</v>
      </c>
      <c r="J14">
        <v>152.9</v>
      </c>
      <c r="K14">
        <v>11.2</v>
      </c>
      <c r="L14" s="123">
        <f t="shared" si="0"/>
        <v>0.72465663832570304</v>
      </c>
    </row>
    <row r="15" spans="1:26" ht="12">
      <c r="A15" t="s">
        <v>59</v>
      </c>
      <c r="B15" s="245">
        <v>40984</v>
      </c>
      <c r="C15" s="28">
        <v>0.66666666666666696</v>
      </c>
      <c r="D15" t="s">
        <v>2208</v>
      </c>
      <c r="E15" t="s">
        <v>2209</v>
      </c>
      <c r="F15">
        <v>1002</v>
      </c>
      <c r="G15">
        <v>100</v>
      </c>
      <c r="H15">
        <v>323.55</v>
      </c>
      <c r="I15">
        <v>109.2</v>
      </c>
      <c r="J15">
        <v>129.80000000000001</v>
      </c>
      <c r="K15">
        <v>12.4</v>
      </c>
      <c r="L15" s="123">
        <f t="shared" si="0"/>
        <v>0.84129429892141749</v>
      </c>
    </row>
    <row r="16" spans="1:26" ht="12">
      <c r="A16" t="s">
        <v>63</v>
      </c>
      <c r="B16" s="245">
        <v>40984</v>
      </c>
      <c r="C16" s="28">
        <v>0.83333333333333304</v>
      </c>
      <c r="D16" t="s">
        <v>2208</v>
      </c>
      <c r="E16" t="s">
        <v>2209</v>
      </c>
      <c r="F16">
        <v>1003</v>
      </c>
      <c r="G16">
        <v>100</v>
      </c>
      <c r="H16">
        <v>343.77</v>
      </c>
      <c r="I16">
        <v>113.3</v>
      </c>
      <c r="J16">
        <v>133.5</v>
      </c>
      <c r="K16">
        <v>12</v>
      </c>
      <c r="L16" s="123">
        <f t="shared" si="0"/>
        <v>0.84868913857677897</v>
      </c>
    </row>
    <row r="17" spans="1:12" ht="12">
      <c r="A17" t="s">
        <v>154</v>
      </c>
      <c r="B17" s="245">
        <v>40994</v>
      </c>
      <c r="C17" s="28">
        <v>0.66666666666666696</v>
      </c>
      <c r="D17" t="s">
        <v>2208</v>
      </c>
      <c r="E17" t="s">
        <v>2209</v>
      </c>
      <c r="F17">
        <v>1004</v>
      </c>
      <c r="G17">
        <v>100</v>
      </c>
      <c r="H17">
        <v>292.05</v>
      </c>
      <c r="I17">
        <v>98.85</v>
      </c>
      <c r="J17">
        <v>91.96</v>
      </c>
      <c r="K17">
        <v>10.7</v>
      </c>
      <c r="L17" s="123">
        <f t="shared" si="0"/>
        <v>1.0749238799478034</v>
      </c>
    </row>
    <row r="18" spans="1:12" ht="12">
      <c r="A18" t="s">
        <v>157</v>
      </c>
      <c r="B18" s="245">
        <v>40994</v>
      </c>
      <c r="C18" s="28">
        <v>0.66666666666666696</v>
      </c>
      <c r="D18" t="s">
        <v>2208</v>
      </c>
      <c r="E18" t="s">
        <v>2209</v>
      </c>
      <c r="F18">
        <v>1004</v>
      </c>
      <c r="G18">
        <v>100</v>
      </c>
      <c r="H18">
        <v>302.60000000000002</v>
      </c>
      <c r="I18">
        <v>98.99</v>
      </c>
      <c r="J18">
        <v>95.2</v>
      </c>
      <c r="K18">
        <v>10.9</v>
      </c>
      <c r="L18" s="123">
        <f t="shared" si="0"/>
        <v>1.0398109243697478</v>
      </c>
    </row>
    <row r="19" spans="1:12" ht="12">
      <c r="A19" t="s">
        <v>158</v>
      </c>
      <c r="B19" s="245">
        <v>40994</v>
      </c>
      <c r="C19" s="28">
        <v>0.83333333333333304</v>
      </c>
      <c r="D19" t="s">
        <v>2208</v>
      </c>
      <c r="E19" t="s">
        <v>2209</v>
      </c>
      <c r="F19">
        <v>1005</v>
      </c>
      <c r="G19">
        <v>100</v>
      </c>
      <c r="H19">
        <v>302.60000000000002</v>
      </c>
      <c r="I19">
        <v>92.48</v>
      </c>
      <c r="J19">
        <v>87.96</v>
      </c>
      <c r="K19">
        <v>10.7</v>
      </c>
      <c r="L19" s="123">
        <f t="shared" si="0"/>
        <v>1.0513869940882221</v>
      </c>
    </row>
    <row r="20" spans="1:12" ht="12">
      <c r="A20" t="s">
        <v>159</v>
      </c>
      <c r="B20" s="245">
        <v>40994</v>
      </c>
      <c r="C20" s="28">
        <v>0.83333333333333304</v>
      </c>
      <c r="D20" t="s">
        <v>2208</v>
      </c>
      <c r="E20" t="s">
        <v>2209</v>
      </c>
      <c r="F20">
        <v>1005</v>
      </c>
      <c r="G20">
        <v>100</v>
      </c>
      <c r="H20">
        <v>297.76</v>
      </c>
      <c r="I20">
        <v>88.5</v>
      </c>
      <c r="J20">
        <v>89.4</v>
      </c>
      <c r="K20">
        <v>11.3</v>
      </c>
      <c r="L20" s="123">
        <f t="shared" si="0"/>
        <v>0.98993288590604023</v>
      </c>
    </row>
    <row r="21" spans="1:12" ht="12">
      <c r="A21" t="s">
        <v>160</v>
      </c>
      <c r="B21" s="245">
        <v>40995</v>
      </c>
      <c r="C21" s="28">
        <v>0.70833333333333304</v>
      </c>
      <c r="D21" t="s">
        <v>2208</v>
      </c>
      <c r="E21" t="s">
        <v>2209</v>
      </c>
      <c r="F21">
        <v>1006</v>
      </c>
      <c r="G21">
        <v>100</v>
      </c>
      <c r="H21" s="123">
        <v>275.3120528055</v>
      </c>
      <c r="I21">
        <v>101.68</v>
      </c>
      <c r="J21">
        <v>106.44</v>
      </c>
      <c r="K21" s="71">
        <v>11.5</v>
      </c>
      <c r="L21" s="123">
        <f t="shared" si="0"/>
        <v>0.9552799699361143</v>
      </c>
    </row>
    <row r="22" spans="1:12" ht="12">
      <c r="A22" t="s">
        <v>161</v>
      </c>
      <c r="B22" s="245">
        <v>40995</v>
      </c>
      <c r="C22" s="28">
        <v>0.70833333333333304</v>
      </c>
      <c r="D22" t="s">
        <v>2208</v>
      </c>
      <c r="E22" t="s">
        <v>2209</v>
      </c>
      <c r="F22">
        <v>1006</v>
      </c>
      <c r="G22">
        <v>100</v>
      </c>
      <c r="H22" s="123">
        <v>271.09556190667701</v>
      </c>
      <c r="I22">
        <v>91.6</v>
      </c>
      <c r="J22">
        <v>90.84</v>
      </c>
      <c r="K22" s="71">
        <v>11.7</v>
      </c>
      <c r="L22" s="123">
        <f t="shared" si="0"/>
        <v>1.0083663584324085</v>
      </c>
    </row>
    <row r="23" spans="1:12" ht="12">
      <c r="A23" t="s">
        <v>162</v>
      </c>
      <c r="B23" s="245">
        <v>40996</v>
      </c>
      <c r="C23" s="28">
        <v>0.58333333333333304</v>
      </c>
      <c r="D23" t="s">
        <v>2208</v>
      </c>
      <c r="E23" t="s">
        <v>2209</v>
      </c>
      <c r="F23">
        <v>1007</v>
      </c>
      <c r="G23">
        <v>100</v>
      </c>
      <c r="H23" s="123">
        <v>252.98945392937799</v>
      </c>
      <c r="I23">
        <v>84.02</v>
      </c>
      <c r="J23">
        <v>80.91</v>
      </c>
      <c r="K23" s="71">
        <v>11.545</v>
      </c>
      <c r="L23" s="123">
        <f t="shared" si="0"/>
        <v>1.0384377703621308</v>
      </c>
    </row>
    <row r="24" spans="1:12" ht="12">
      <c r="A24" t="s">
        <v>163</v>
      </c>
      <c r="B24" s="245">
        <v>40996</v>
      </c>
      <c r="C24" s="28">
        <v>0.58333333333333304</v>
      </c>
      <c r="D24" t="s">
        <v>2208</v>
      </c>
      <c r="E24" t="s">
        <v>2209</v>
      </c>
      <c r="F24">
        <v>1007</v>
      </c>
      <c r="G24">
        <v>100</v>
      </c>
      <c r="H24" s="123">
        <v>259.06616140121201</v>
      </c>
      <c r="I24">
        <v>84.92</v>
      </c>
      <c r="J24">
        <v>82.04</v>
      </c>
      <c r="K24" s="71">
        <v>11.565</v>
      </c>
      <c r="L24" s="123">
        <f t="shared" si="0"/>
        <v>1.0351048269137006</v>
      </c>
    </row>
    <row r="25" spans="1:12" ht="12.75" customHeight="1"/>
    <row r="26" spans="1:12" ht="12.75" customHeight="1"/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17.1640625" defaultRowHeight="12.75" customHeight="1" x14ac:dyDescent="0"/>
  <cols>
    <col min="2" max="2" width="13" customWidth="1"/>
    <col min="3" max="3" width="84.5" customWidth="1"/>
  </cols>
  <sheetData>
    <row r="1" spans="1:3" ht="12.75" customHeight="1">
      <c r="B1" t="s">
        <v>2210</v>
      </c>
      <c r="C1" t="s">
        <v>2211</v>
      </c>
    </row>
    <row r="2" spans="1:3" ht="12.75" customHeight="1">
      <c r="A2">
        <v>1</v>
      </c>
      <c r="B2" t="s">
        <v>2212</v>
      </c>
      <c r="C2" t="s">
        <v>2213</v>
      </c>
    </row>
    <row r="3" spans="1:3" ht="12.75" customHeight="1">
      <c r="A3">
        <v>2</v>
      </c>
      <c r="B3" t="s">
        <v>2214</v>
      </c>
      <c r="C3" t="s">
        <v>2215</v>
      </c>
    </row>
    <row r="4" spans="1:3" ht="12.75" customHeight="1">
      <c r="A4">
        <v>3</v>
      </c>
      <c r="B4" t="s">
        <v>2216</v>
      </c>
      <c r="C4" t="s">
        <v>2217</v>
      </c>
    </row>
    <row r="5" spans="1:3" ht="12.75" customHeight="1">
      <c r="A5">
        <v>4</v>
      </c>
      <c r="B5" t="s">
        <v>2218</v>
      </c>
    </row>
    <row r="6" spans="1:3" ht="12.75" customHeight="1">
      <c r="B6" t="s">
        <v>2219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10.6640625" customWidth="1"/>
    <col min="2" max="2" width="11.1640625" customWidth="1"/>
    <col min="3" max="3" width="15" customWidth="1"/>
    <col min="4" max="4" width="11.1640625" customWidth="1"/>
    <col min="5" max="5" width="7.33203125" customWidth="1"/>
    <col min="6" max="6" width="15" customWidth="1"/>
    <col min="10" max="10" width="9.5" customWidth="1"/>
    <col min="11" max="11" width="17.83203125" customWidth="1"/>
    <col min="12" max="12" width="28.33203125" customWidth="1"/>
    <col min="13" max="13" width="19.1640625" customWidth="1"/>
  </cols>
  <sheetData>
    <row r="1" spans="1:13" ht="12.75" customHeight="1">
      <c r="A1" s="230" t="s">
        <v>2220</v>
      </c>
      <c r="B1" s="230" t="s">
        <v>2221</v>
      </c>
      <c r="C1" s="230" t="s">
        <v>2222</v>
      </c>
      <c r="D1" s="230" t="s">
        <v>2223</v>
      </c>
      <c r="E1" s="230" t="s">
        <v>2224</v>
      </c>
      <c r="F1" s="230" t="s">
        <v>2225</v>
      </c>
      <c r="G1" t="s">
        <v>2226</v>
      </c>
      <c r="H1" t="s">
        <v>30</v>
      </c>
      <c r="I1" t="s">
        <v>32</v>
      </c>
      <c r="J1" t="s">
        <v>9</v>
      </c>
      <c r="K1" t="s">
        <v>2227</v>
      </c>
      <c r="L1" t="s">
        <v>2228</v>
      </c>
      <c r="M1" t="s">
        <v>2229</v>
      </c>
    </row>
    <row r="2" spans="1:13" ht="12.75" customHeight="1">
      <c r="A2" s="230" t="s">
        <v>1789</v>
      </c>
      <c r="B2" s="230">
        <v>9999</v>
      </c>
      <c r="C2" s="230">
        <v>53600000</v>
      </c>
      <c r="D2" s="230">
        <v>12277.441000000001</v>
      </c>
      <c r="E2" s="230">
        <v>2.29216E-4</v>
      </c>
      <c r="F2" s="230">
        <f>VLOOKUP(A2,'Rsheet Data'!$A$2:$M$50,10)</f>
        <v>0</v>
      </c>
      <c r="K2">
        <v>85</v>
      </c>
      <c r="L2">
        <v>200</v>
      </c>
      <c r="M2">
        <v>23</v>
      </c>
    </row>
    <row r="3" spans="1:13" ht="12.75" customHeight="1">
      <c r="A3" s="230" t="s">
        <v>1790</v>
      </c>
      <c r="B3" s="230">
        <v>9999</v>
      </c>
      <c r="C3" s="230">
        <v>6672930</v>
      </c>
      <c r="D3" s="230">
        <v>10276.612999999999</v>
      </c>
      <c r="E3" s="230">
        <v>1.5400450000000001E-3</v>
      </c>
      <c r="F3" s="230">
        <f>VLOOKUP(A3,'Rsheet Data'!$A$2:$M$50,10)</f>
        <v>0</v>
      </c>
      <c r="K3">
        <v>85</v>
      </c>
      <c r="L3">
        <v>200</v>
      </c>
      <c r="M3">
        <v>23</v>
      </c>
    </row>
    <row r="4" spans="1:13" ht="12.75" customHeight="1">
      <c r="A4" s="230" t="s">
        <v>1791</v>
      </c>
      <c r="B4" s="230">
        <v>8.9659610000000001</v>
      </c>
      <c r="C4" s="230">
        <v>149.65427</v>
      </c>
      <c r="D4" s="230">
        <v>123.52956399999999</v>
      </c>
      <c r="E4" s="230">
        <v>0.82543294</v>
      </c>
      <c r="F4" s="230">
        <f>VLOOKUP(A4,'Rsheet Data'!$A$2:$M$50,10)</f>
        <v>488.8649153870636</v>
      </c>
      <c r="K4">
        <v>85</v>
      </c>
      <c r="L4">
        <v>400</v>
      </c>
      <c r="M4">
        <v>23</v>
      </c>
    </row>
    <row r="5" spans="1:13" ht="12.75" customHeight="1">
      <c r="A5" s="230" t="s">
        <v>1792</v>
      </c>
      <c r="B5" s="230">
        <v>9.0826069999999994</v>
      </c>
      <c r="C5" s="230">
        <v>149.00493</v>
      </c>
      <c r="D5" s="230">
        <v>123.0457</v>
      </c>
      <c r="E5" s="230">
        <v>0.82578274399999996</v>
      </c>
      <c r="F5" s="230">
        <f>VLOOKUP(A5,'Rsheet Data'!$A$2:$M$50,10)</f>
        <v>470.26274965696217</v>
      </c>
      <c r="K5">
        <v>85</v>
      </c>
      <c r="L5">
        <v>400</v>
      </c>
      <c r="M5">
        <v>23</v>
      </c>
    </row>
    <row r="6" spans="1:13" ht="12.75" customHeight="1">
      <c r="A6" s="230" t="s">
        <v>1793</v>
      </c>
      <c r="B6" s="230">
        <v>9.2520310000000006</v>
      </c>
      <c r="C6" s="230">
        <v>146.78351000000001</v>
      </c>
      <c r="D6" s="230">
        <v>122.22311000000001</v>
      </c>
      <c r="E6" s="230">
        <v>0.83267602699999999</v>
      </c>
      <c r="F6" s="230">
        <f>VLOOKUP(A6,'Rsheet Data'!$A$2:$M$50,10)</f>
        <v>447.94015078084055</v>
      </c>
      <c r="K6">
        <v>85</v>
      </c>
      <c r="L6">
        <v>400</v>
      </c>
      <c r="M6">
        <v>23</v>
      </c>
    </row>
    <row r="7" spans="1:13" ht="12.75" customHeight="1">
      <c r="A7" s="230" t="s">
        <v>1794</v>
      </c>
      <c r="B7" s="230">
        <v>9.0663870000000006</v>
      </c>
      <c r="C7" s="230">
        <v>110.39164</v>
      </c>
      <c r="D7" s="230">
        <v>91.61806</v>
      </c>
      <c r="E7" s="230">
        <v>0.82993657899999995</v>
      </c>
      <c r="F7" s="230">
        <f>VLOOKUP(A7,'Rsheet Data'!$A$2:$M$50,10)</f>
        <v>480.6799624658189</v>
      </c>
      <c r="K7">
        <v>85</v>
      </c>
      <c r="L7">
        <v>400</v>
      </c>
      <c r="M7">
        <v>23</v>
      </c>
    </row>
    <row r="8" spans="1:13" ht="12.75" customHeight="1">
      <c r="A8" s="230" t="s">
        <v>1795</v>
      </c>
      <c r="B8" s="230">
        <v>14.289697</v>
      </c>
      <c r="C8" s="230">
        <v>59.817534999999999</v>
      </c>
      <c r="D8" s="230">
        <v>57.721397000000003</v>
      </c>
      <c r="E8" s="230">
        <v>0.96495779999999998</v>
      </c>
      <c r="F8" s="230">
        <f>VLOOKUP(A8,'Rsheet Data'!$A$2:$M$50,10)</f>
        <v>187.50983055942163</v>
      </c>
      <c r="K8">
        <v>85</v>
      </c>
      <c r="L8">
        <v>400</v>
      </c>
      <c r="M8">
        <v>800</v>
      </c>
    </row>
    <row r="9" spans="1:13" ht="12.75" customHeight="1">
      <c r="A9" s="230" t="s">
        <v>1796</v>
      </c>
      <c r="B9" s="230">
        <v>14.078633999999999</v>
      </c>
      <c r="C9" s="230">
        <v>79.410870000000003</v>
      </c>
      <c r="D9" s="230">
        <v>73.616339999999994</v>
      </c>
      <c r="E9" s="230">
        <v>0.92703102199999998</v>
      </c>
      <c r="F9" s="230">
        <f>VLOOKUP(A9,'Rsheet Data'!$A$2:$M$50,10)</f>
        <v>252.61741061477639</v>
      </c>
      <c r="K9">
        <v>85</v>
      </c>
      <c r="L9">
        <v>400</v>
      </c>
      <c r="M9">
        <v>800</v>
      </c>
    </row>
    <row r="10" spans="1:13" ht="12.75" customHeight="1">
      <c r="A10" s="230" t="s">
        <v>1797</v>
      </c>
      <c r="B10" s="230">
        <v>13.606490000000001</v>
      </c>
      <c r="C10" s="230">
        <v>71.106840000000005</v>
      </c>
      <c r="D10" s="230">
        <v>66.119889999999998</v>
      </c>
      <c r="E10" s="230">
        <v>0.92986680300000002</v>
      </c>
      <c r="F10" s="230">
        <f>VLOOKUP(A10,'Rsheet Data'!$A$2:$M$50,10)</f>
        <v>242.57224112052168</v>
      </c>
      <c r="J10" t="s">
        <v>340</v>
      </c>
      <c r="K10">
        <v>85</v>
      </c>
      <c r="L10">
        <v>400</v>
      </c>
      <c r="M10">
        <v>800</v>
      </c>
    </row>
    <row r="11" spans="1:13" ht="12.75" customHeight="1">
      <c r="A11" s="230" t="s">
        <v>1798</v>
      </c>
      <c r="B11" s="230">
        <v>13.5659685</v>
      </c>
      <c r="C11" s="230">
        <v>74.543459999999996</v>
      </c>
      <c r="D11" s="230">
        <v>71.793149999999997</v>
      </c>
      <c r="E11" s="230">
        <v>0.96310461000000003</v>
      </c>
      <c r="F11" s="230">
        <f>VLOOKUP(A11,'Rsheet Data'!$A$2:$M$50,10)</f>
        <v>239.22385128910341</v>
      </c>
      <c r="J11" t="s">
        <v>340</v>
      </c>
      <c r="K11">
        <v>85</v>
      </c>
      <c r="L11">
        <v>400</v>
      </c>
      <c r="M11">
        <v>800</v>
      </c>
    </row>
    <row r="12" spans="1:13" ht="12.75" customHeight="1">
      <c r="A12" s="230" t="s">
        <v>1799</v>
      </c>
      <c r="B12" s="230">
        <v>9999</v>
      </c>
      <c r="C12" s="230">
        <v>1226.3501000000001</v>
      </c>
      <c r="D12" s="230">
        <v>202.27153000000001</v>
      </c>
      <c r="E12" s="230">
        <v>0.164937835</v>
      </c>
      <c r="F12" s="230">
        <f>VLOOKUP(A12,'Rsheet Data'!$A$2:$M$50,10)</f>
        <v>0</v>
      </c>
      <c r="J12" t="s">
        <v>2230</v>
      </c>
    </row>
    <row r="13" spans="1:13" ht="12.75" customHeight="1">
      <c r="A13" s="230" t="s">
        <v>1800</v>
      </c>
      <c r="B13" s="230">
        <v>10.945983999999999</v>
      </c>
      <c r="C13" s="230">
        <v>111.00789</v>
      </c>
      <c r="D13" s="230">
        <v>68.787864999999996</v>
      </c>
      <c r="E13" s="230">
        <v>0.61966644900000001</v>
      </c>
      <c r="F13" s="230">
        <f>VLOOKUP(A13,'Rsheet Data'!$A$2:$M$50,10)</f>
        <v>318.46907729933514</v>
      </c>
    </row>
    <row r="14" spans="1:13" ht="12.75" customHeight="1">
      <c r="A14" s="230" t="s">
        <v>1801</v>
      </c>
      <c r="B14" s="230">
        <v>9999</v>
      </c>
      <c r="C14" s="230">
        <v>9999</v>
      </c>
      <c r="D14" s="230">
        <v>66.801550000000006</v>
      </c>
      <c r="E14" s="230">
        <v>6.6808229999999998E-3</v>
      </c>
      <c r="F14" s="230">
        <f>VLOOKUP(A14,'Rsheet Data'!$A$2:$M$50,10)</f>
        <v>297.63465168162168</v>
      </c>
    </row>
    <row r="15" spans="1:13" ht="12.75" customHeight="1">
      <c r="A15" s="230" t="s">
        <v>1802</v>
      </c>
      <c r="B15" s="230">
        <v>10.275895999999999</v>
      </c>
      <c r="C15" s="230">
        <v>137.14381</v>
      </c>
      <c r="D15" s="230">
        <v>82.937380000000005</v>
      </c>
      <c r="E15" s="230">
        <v>0.60474752700000001</v>
      </c>
      <c r="F15" s="230">
        <f>VLOOKUP(A15,'Rsheet Data'!$A$2:$M$50,10)</f>
        <v>331.86263662500812</v>
      </c>
    </row>
    <row r="16" spans="1:13" ht="12.75" customHeight="1">
      <c r="A16" s="230" t="s">
        <v>1803</v>
      </c>
      <c r="B16" s="230">
        <v>9999</v>
      </c>
      <c r="C16" s="230">
        <v>9999</v>
      </c>
      <c r="D16" s="230">
        <v>157.99538999999999</v>
      </c>
      <c r="E16" s="230">
        <v>1.5801118999999999E-2</v>
      </c>
      <c r="F16" s="230">
        <f>VLOOKUP(A16,'Rsheet Data'!$A$2:$M$50,10)</f>
        <v>0</v>
      </c>
    </row>
    <row r="17" spans="1:6" ht="12.75" customHeight="1">
      <c r="A17" s="230" t="s">
        <v>1804</v>
      </c>
      <c r="B17" s="230">
        <v>8.5573650000000008</v>
      </c>
      <c r="C17" s="230">
        <v>141.38151999999999</v>
      </c>
      <c r="D17" s="230">
        <v>111.920395</v>
      </c>
      <c r="E17" s="230">
        <v>0.79161968999999999</v>
      </c>
      <c r="F17" s="80">
        <v>521.4</v>
      </c>
    </row>
    <row r="18" spans="1:6" ht="12.75" customHeight="1">
      <c r="A18" s="230" t="s">
        <v>1805</v>
      </c>
      <c r="B18" s="230">
        <v>8.5573630000000005</v>
      </c>
      <c r="C18" s="230">
        <v>152.34267</v>
      </c>
      <c r="D18" s="230">
        <v>120.16016999999999</v>
      </c>
      <c r="E18" s="230">
        <v>0.788749272</v>
      </c>
      <c r="F18" s="80">
        <v>538.79999999999995</v>
      </c>
    </row>
    <row r="19" spans="1:6" ht="12.75" customHeight="1">
      <c r="A19" s="230" t="s">
        <v>1806</v>
      </c>
      <c r="B19" s="230">
        <v>8.7187260000000002</v>
      </c>
      <c r="C19" s="230">
        <v>138.43411</v>
      </c>
      <c r="D19" s="230">
        <v>109.83781399999999</v>
      </c>
      <c r="E19" s="230">
        <v>0.79343027499999996</v>
      </c>
      <c r="F19" s="80">
        <v>500.6</v>
      </c>
    </row>
    <row r="20" spans="1:6" ht="12.75" customHeight="1">
      <c r="A20" s="230" t="s">
        <v>1807</v>
      </c>
      <c r="B20" s="230">
        <v>9.9120454999999996</v>
      </c>
      <c r="C20" s="230">
        <v>98.118030000000005</v>
      </c>
      <c r="D20" s="230">
        <v>79.245679999999993</v>
      </c>
      <c r="E20" s="230">
        <v>0.80765665600000003</v>
      </c>
      <c r="F20" s="80">
        <v>407.13</v>
      </c>
    </row>
    <row r="21" spans="1:6" ht="12.75" customHeight="1">
      <c r="A21" s="230" t="s">
        <v>1808</v>
      </c>
      <c r="B21" s="230">
        <v>5.316338</v>
      </c>
      <c r="C21" s="230">
        <v>427.16433999999998</v>
      </c>
      <c r="D21" s="230">
        <v>157.32232999999999</v>
      </c>
      <c r="E21" s="230">
        <v>0.36829462400000001</v>
      </c>
      <c r="F21" s="230">
        <v>762.44</v>
      </c>
    </row>
    <row r="22" spans="1:6" ht="12.75" customHeight="1">
      <c r="A22" s="230" t="s">
        <v>1809</v>
      </c>
      <c r="B22" s="230">
        <v>5.8813459999999997</v>
      </c>
      <c r="C22" s="230">
        <v>410.21361999999999</v>
      </c>
      <c r="D22" s="230">
        <v>149.75989000000001</v>
      </c>
      <c r="E22" s="230">
        <v>0.36507781</v>
      </c>
      <c r="F22" s="230">
        <v>749.67</v>
      </c>
    </row>
    <row r="23" spans="1:6" ht="12.75" customHeight="1">
      <c r="A23" s="230" t="s">
        <v>1810</v>
      </c>
      <c r="B23" s="230">
        <v>5.8596880000000002</v>
      </c>
      <c r="C23" s="230">
        <v>399.67383000000001</v>
      </c>
      <c r="D23" s="230">
        <v>150.17767000000001</v>
      </c>
      <c r="E23" s="230">
        <v>0.37575057099999998</v>
      </c>
      <c r="F23" s="230">
        <v>726.85</v>
      </c>
    </row>
    <row r="24" spans="1:6" ht="12.75" customHeight="1">
      <c r="A24" s="230" t="s">
        <v>1811</v>
      </c>
      <c r="B24" s="230">
        <v>5.8215174999999997</v>
      </c>
      <c r="C24" s="230">
        <v>413.98671999999999</v>
      </c>
      <c r="D24" s="230">
        <v>126.09193399999999</v>
      </c>
      <c r="E24" s="230">
        <v>0.304579659</v>
      </c>
      <c r="F24" s="230">
        <v>719.41</v>
      </c>
    </row>
    <row r="25" spans="1:6" ht="12.75" customHeight="1">
      <c r="A25" s="230" t="s">
        <v>1812</v>
      </c>
      <c r="B25" s="230">
        <v>9.6333769999999994</v>
      </c>
      <c r="C25" s="230">
        <v>76.292609999999996</v>
      </c>
      <c r="D25" s="230">
        <v>74.991240000000005</v>
      </c>
      <c r="E25" s="230">
        <v>0.98294238499999997</v>
      </c>
      <c r="F25" s="230">
        <f>VLOOKUP(A25,'Rsheet Data'!$A$2:$M$50,10)</f>
        <v>0</v>
      </c>
    </row>
    <row r="26" spans="1:6" ht="12.75" customHeight="1">
      <c r="A26" s="230" t="s">
        <v>1813</v>
      </c>
      <c r="B26" s="230">
        <v>10.013202</v>
      </c>
      <c r="C26" s="230">
        <v>83.790360000000007</v>
      </c>
      <c r="D26" s="230">
        <v>78.730490000000003</v>
      </c>
      <c r="E26" s="230">
        <v>0.93961274299999997</v>
      </c>
      <c r="F26" s="230">
        <f>VLOOKUP(A26,'Rsheet Data'!$A$2:$M$50,10)</f>
        <v>0</v>
      </c>
    </row>
    <row r="27" spans="1:6" ht="12.75" customHeight="1">
      <c r="A27" s="230" t="s">
        <v>1814</v>
      </c>
      <c r="B27" s="230">
        <v>4.9646872999999996</v>
      </c>
      <c r="C27" s="230">
        <v>2697199</v>
      </c>
      <c r="D27" s="230">
        <v>1414.8232</v>
      </c>
      <c r="E27" s="230">
        <v>5.2455299999999998E-4</v>
      </c>
      <c r="F27" s="230">
        <f>VLOOKUP(A27,'Rsheet Data'!$A$2:$M$50,10)</f>
        <v>0</v>
      </c>
    </row>
    <row r="28" spans="1:6" ht="12.75" customHeight="1">
      <c r="A28" s="230" t="s">
        <v>1815</v>
      </c>
      <c r="B28" s="230">
        <v>9999</v>
      </c>
      <c r="C28" s="230">
        <v>9999</v>
      </c>
      <c r="D28" s="230">
        <v>71.912505999999993</v>
      </c>
      <c r="E28" s="230">
        <v>7.1919699999999998E-3</v>
      </c>
      <c r="F28" s="230">
        <f>VLOOKUP(A28,'Rsheet Data'!$A$2:$M$50,10)</f>
        <v>130215160.11070947</v>
      </c>
    </row>
    <row r="29" spans="1:6" ht="12.75" customHeight="1">
      <c r="A29" s="230" t="s">
        <v>1816</v>
      </c>
      <c r="B29" s="230">
        <v>9999</v>
      </c>
      <c r="C29" s="230">
        <v>9999</v>
      </c>
      <c r="D29" s="230">
        <v>638.37369999999999</v>
      </c>
      <c r="E29" s="230">
        <v>6.3843754000000003E-2</v>
      </c>
      <c r="F29" s="230">
        <f>VLOOKUP(A29,'Rsheet Data'!$A$2:$M$50,10)</f>
        <v>2451.0213565981544</v>
      </c>
    </row>
    <row r="30" spans="1:6" ht="12.75" customHeight="1">
      <c r="A30" s="230" t="s">
        <v>1817</v>
      </c>
      <c r="B30" s="230">
        <v>9999</v>
      </c>
      <c r="C30" s="230">
        <v>9999</v>
      </c>
      <c r="D30" s="230">
        <v>391.86615</v>
      </c>
      <c r="E30" s="230">
        <v>3.9190533999999999E-2</v>
      </c>
      <c r="F30" s="230">
        <f>VLOOKUP(A30,'Rsheet Data'!$A$2:$M$50,10)</f>
        <v>1558.4894448678913</v>
      </c>
    </row>
    <row r="31" spans="1:6" ht="12.75" customHeight="1">
      <c r="A31" s="230" t="s">
        <v>1818</v>
      </c>
      <c r="B31" s="230">
        <v>8.4299389999999992</v>
      </c>
      <c r="C31" s="230">
        <v>367.16933999999998</v>
      </c>
      <c r="D31" s="230">
        <v>194.32401999999999</v>
      </c>
      <c r="E31" s="230">
        <v>0.529249038</v>
      </c>
      <c r="F31" s="230">
        <f>VLOOKUP(A31,'Rsheet Data'!$A$2:$M$50,10)</f>
        <v>626.52094178981361</v>
      </c>
    </row>
    <row r="32" spans="1:6" ht="12.75" customHeight="1">
      <c r="A32" s="230" t="s">
        <v>1819</v>
      </c>
      <c r="B32" s="230">
        <v>9999</v>
      </c>
      <c r="C32" s="230">
        <v>1949.0954999999999</v>
      </c>
      <c r="D32" s="230">
        <v>369.43572999999998</v>
      </c>
      <c r="E32" s="230">
        <v>0.189542139</v>
      </c>
      <c r="F32" s="230">
        <f>VLOOKUP(A32,'Rsheet Data'!$A$2:$M$50,10)</f>
        <v>1285.7816952646056</v>
      </c>
    </row>
    <row r="33" spans="1:6" ht="12.75" customHeight="1">
      <c r="A33" s="230" t="s">
        <v>1820</v>
      </c>
      <c r="B33" s="230">
        <v>9999</v>
      </c>
      <c r="C33" s="230">
        <v>9999</v>
      </c>
      <c r="D33" s="230">
        <v>300.36554000000001</v>
      </c>
      <c r="E33" s="230">
        <v>3.0039558000000001E-2</v>
      </c>
      <c r="F33" s="230">
        <f>VLOOKUP(A33,'Rsheet Data'!$A$2:$M$50,10)</f>
        <v>858.30392678687645</v>
      </c>
    </row>
    <row r="34" spans="1:6" ht="12.75" customHeight="1">
      <c r="A34" s="230" t="s">
        <v>1821</v>
      </c>
      <c r="B34" s="230">
        <v>9999</v>
      </c>
      <c r="C34" s="230">
        <v>9999</v>
      </c>
      <c r="D34" s="230">
        <v>315.91829999999999</v>
      </c>
      <c r="E34" s="230">
        <v>3.1594988999999997E-2</v>
      </c>
      <c r="F34" s="230">
        <f>VLOOKUP(A34,'Rsheet Data'!$A$2:$M$50,10)</f>
        <v>1275.3644824557489</v>
      </c>
    </row>
    <row r="35" spans="1:6" ht="12.75" customHeight="1">
      <c r="A35" s="230" t="s">
        <v>1822</v>
      </c>
      <c r="B35" s="230">
        <v>7.602557</v>
      </c>
      <c r="C35" s="230">
        <v>281.20535000000001</v>
      </c>
      <c r="D35" s="230">
        <v>158.83936</v>
      </c>
      <c r="E35" s="230">
        <v>0.56485184200000005</v>
      </c>
      <c r="F35" s="230">
        <f>VLOOKUP(A35,'Rsheet Data'!$A$2:$M$50,10)</f>
        <v>600.84995308227371</v>
      </c>
    </row>
    <row r="36" spans="1:6" ht="12.75" customHeight="1">
      <c r="A36" s="230" t="s">
        <v>1823</v>
      </c>
      <c r="B36" s="230">
        <v>8.8403329999999993</v>
      </c>
      <c r="C36" s="230">
        <v>274.35120000000001</v>
      </c>
      <c r="D36" s="230">
        <v>9999</v>
      </c>
      <c r="E36" s="230">
        <v>36.445986019999999</v>
      </c>
      <c r="F36" s="230">
        <f>VLOOKUP(A36,'Rsheet Data'!$A$2:$M$50,10)</f>
        <v>469.51866302775812</v>
      </c>
    </row>
    <row r="37" spans="1:6" ht="12.75" customHeight="1">
      <c r="A37" s="230" t="s">
        <v>1824</v>
      </c>
      <c r="B37" s="230">
        <v>9.4185660000000002</v>
      </c>
      <c r="C37" s="230">
        <v>206.97407999999999</v>
      </c>
      <c r="D37" s="230">
        <v>119.13462</v>
      </c>
      <c r="E37" s="230">
        <v>0.575601641</v>
      </c>
      <c r="F37" s="230">
        <f>VLOOKUP(A37,'Rsheet Data'!$A$2:$M$50,10)</f>
        <v>385.06483061309802</v>
      </c>
    </row>
    <row r="38" spans="1:6" ht="12.75" customHeight="1">
      <c r="A38" s="230" t="s">
        <v>1825</v>
      </c>
      <c r="B38" s="230">
        <v>10.002644</v>
      </c>
      <c r="C38" s="230">
        <v>133.50845000000001</v>
      </c>
      <c r="D38" s="230">
        <v>9999</v>
      </c>
      <c r="E38" s="230">
        <v>74.894135910000003</v>
      </c>
      <c r="F38" s="230">
        <f>VLOOKUP(A38,'Rsheet Data'!$A$2:$M$50,10)</f>
        <v>290.19378538958114</v>
      </c>
    </row>
    <row r="39" spans="1:6" ht="12.75" customHeight="1">
      <c r="A39" s="230" t="s">
        <v>1826</v>
      </c>
      <c r="B39" s="230">
        <v>9999</v>
      </c>
      <c r="C39" s="230">
        <v>9999</v>
      </c>
      <c r="D39" s="230">
        <v>212.76137</v>
      </c>
      <c r="E39" s="230">
        <v>2.1278265000000001E-2</v>
      </c>
      <c r="F39" s="230">
        <f>VLOOKUP(A39,'Rsheet Data'!$A$2:$M$50,10)</f>
        <v>389.15730707372029</v>
      </c>
    </row>
    <row r="40" spans="1:6" ht="12.75" customHeight="1">
      <c r="A40" s="230" t="s">
        <v>1827</v>
      </c>
      <c r="B40" s="230">
        <v>9999</v>
      </c>
      <c r="C40" s="230">
        <v>9999</v>
      </c>
      <c r="D40" s="230">
        <v>87.013810000000007</v>
      </c>
      <c r="E40" s="230">
        <v>8.7022509999999994E-3</v>
      </c>
      <c r="F40" s="230">
        <f>VLOOKUP(A40,'Rsheet Data'!$A$2:$M$50,10)</f>
        <v>0</v>
      </c>
    </row>
    <row r="41" spans="1:6" ht="12.75" customHeight="1">
      <c r="A41" s="230" t="s">
        <v>1828</v>
      </c>
      <c r="B41" s="230">
        <v>9999</v>
      </c>
      <c r="C41" s="230">
        <v>9999</v>
      </c>
      <c r="D41" s="230">
        <v>119.69862000000001</v>
      </c>
      <c r="E41" s="230">
        <v>1.1971058999999999E-2</v>
      </c>
      <c r="F41" s="230">
        <f>VLOOKUP(A41,'Rsheet Data'!$A$2:$M$50,10)</f>
        <v>406.64334286001559</v>
      </c>
    </row>
    <row r="42" spans="1:6" ht="12.75" customHeight="1">
      <c r="A42" s="230" t="s">
        <v>1829</v>
      </c>
      <c r="B42" s="230">
        <v>9999</v>
      </c>
      <c r="C42" s="230">
        <v>9999</v>
      </c>
      <c r="D42" s="230">
        <v>63.985855000000001</v>
      </c>
      <c r="E42" s="230">
        <v>6.3992249999999997E-3</v>
      </c>
      <c r="F42" s="230">
        <f>VLOOKUP(A42,'Rsheet Data'!$A$2:$M$50,10)</f>
        <v>192.71843696385002</v>
      </c>
    </row>
    <row r="43" spans="1:6" ht="12.75" customHeight="1">
      <c r="A43" s="230" t="s">
        <v>1830</v>
      </c>
      <c r="B43" s="230">
        <v>9999</v>
      </c>
      <c r="C43" s="230">
        <v>56500000</v>
      </c>
      <c r="D43" s="230">
        <v>4.0048063000000002E-2</v>
      </c>
      <c r="E43" s="230">
        <v>7.0851700000000003E-10</v>
      </c>
      <c r="F43" s="230">
        <f>VLOOKUP(A43,'Rsheet Data'!$A$2:$M$50,10)</f>
        <v>105.28825803237366</v>
      </c>
    </row>
    <row r="44" spans="1:6" ht="12.75" customHeight="1">
      <c r="A44" s="230" t="s">
        <v>1831</v>
      </c>
      <c r="B44" s="230">
        <v>9999</v>
      </c>
      <c r="C44" s="230">
        <v>640.18539999999996</v>
      </c>
      <c r="D44" s="230">
        <v>36.465164000000001</v>
      </c>
      <c r="E44" s="230">
        <v>5.6960318000000003E-2</v>
      </c>
      <c r="F44" s="230">
        <f>VLOOKUP(A44,'Rsheet Data'!$A$2:$M$50,10)</f>
        <v>0</v>
      </c>
    </row>
    <row r="45" spans="1:6" ht="12.75" customHeight="1">
      <c r="A45" s="230" t="s">
        <v>1832</v>
      </c>
      <c r="B45" s="230">
        <v>15.720901</v>
      </c>
      <c r="C45" s="230">
        <v>18.736606999999999</v>
      </c>
      <c r="D45" s="230">
        <v>20.614301999999999</v>
      </c>
      <c r="E45" s="230">
        <v>1.1002153160000001</v>
      </c>
      <c r="F45" s="230">
        <f>VLOOKUP(A45,'Rsheet Data'!$A$2:$M$50,10)</f>
        <v>70.688229774385135</v>
      </c>
    </row>
    <row r="46" spans="1:6" ht="12.75" customHeight="1">
      <c r="A46" s="230" t="s">
        <v>1833</v>
      </c>
      <c r="B46" s="230">
        <v>13.599107</v>
      </c>
      <c r="C46" s="230">
        <v>37.121493999999998</v>
      </c>
      <c r="D46" s="230">
        <v>34.5794</v>
      </c>
      <c r="E46" s="230">
        <v>0.93151961999999999</v>
      </c>
      <c r="F46" s="230">
        <f>VLOOKUP(A46,'Rsheet Data'!$A$2:$M$50,10)</f>
        <v>0</v>
      </c>
    </row>
    <row r="47" spans="1:6" ht="12.75" customHeight="1">
      <c r="A47" s="230" t="s">
        <v>1834</v>
      </c>
      <c r="B47" s="230">
        <v>15.827260000000001</v>
      </c>
      <c r="C47" s="230">
        <v>7.0409480000000002</v>
      </c>
      <c r="D47" s="230">
        <v>7.3559859999999997</v>
      </c>
      <c r="E47" s="230">
        <v>1.0447436910000001</v>
      </c>
      <c r="F47" s="230">
        <f>VLOOKUP(A47,'Rsheet Data'!$A$2:$M$50,10)</f>
        <v>20.834425617713517</v>
      </c>
    </row>
    <row r="48" spans="1:6" ht="12.75" customHeight="1">
      <c r="A48" s="230" t="s">
        <v>1835</v>
      </c>
      <c r="B48" s="230">
        <v>9999</v>
      </c>
      <c r="C48" s="230">
        <v>9999</v>
      </c>
      <c r="D48" s="230">
        <v>4.9162907999999996</v>
      </c>
      <c r="E48" s="230">
        <v>4.9167799999999995E-4</v>
      </c>
      <c r="F48" s="230">
        <f>VLOOKUP(A48,'Rsheet Data'!$A$2:$M$50,10)</f>
        <v>0</v>
      </c>
    </row>
    <row r="49" spans="1:6" ht="12.75" customHeight="1">
      <c r="A49" s="230" t="s">
        <v>1836</v>
      </c>
      <c r="B49" s="230">
        <v>15.104364</v>
      </c>
      <c r="C49" s="230">
        <v>3.9813337</v>
      </c>
      <c r="D49" s="230">
        <v>4.6402729999999996</v>
      </c>
      <c r="E49" s="230">
        <v>1.1655071770000001</v>
      </c>
      <c r="F49" s="230">
        <f>VLOOKUP(A49,'Rsheet Data'!$A$2:$M$50,10)</f>
        <v>0</v>
      </c>
    </row>
    <row r="50" spans="1:6" ht="12.75" customHeight="1">
      <c r="A50" s="230" t="s">
        <v>1837</v>
      </c>
      <c r="B50" s="230">
        <v>9999</v>
      </c>
      <c r="C50" s="230">
        <v>9999</v>
      </c>
      <c r="D50" s="230">
        <v>9999</v>
      </c>
      <c r="E50" s="230">
        <v>1</v>
      </c>
      <c r="F50" s="230">
        <f>VLOOKUP(A50,'Rsheet Data'!$A$2:$M$50,10)</f>
        <v>0</v>
      </c>
    </row>
    <row r="51" spans="1:6" ht="12.75" customHeight="1">
      <c r="A51" s="230" t="s">
        <v>66</v>
      </c>
      <c r="B51" s="230">
        <v>11.8</v>
      </c>
      <c r="C51" s="230">
        <v>147.30000000000001</v>
      </c>
      <c r="D51" s="230">
        <v>122</v>
      </c>
      <c r="E51" s="230">
        <v>0.82824168363883199</v>
      </c>
      <c r="F51" s="230">
        <v>408.88</v>
      </c>
    </row>
    <row r="52" spans="1:6" ht="12.75" customHeight="1">
      <c r="A52" s="230" t="s">
        <v>68</v>
      </c>
      <c r="B52" s="230">
        <v>11.3</v>
      </c>
      <c r="C52" s="230">
        <v>165.7</v>
      </c>
      <c r="D52" s="230">
        <v>133.69999999999999</v>
      </c>
      <c r="E52" s="230">
        <v>0.80687990343995197</v>
      </c>
      <c r="F52" s="230">
        <v>423.76</v>
      </c>
    </row>
    <row r="53" spans="1:6" ht="12.75" customHeight="1">
      <c r="A53" s="230" t="s">
        <v>69</v>
      </c>
      <c r="B53" s="230">
        <v>11.6</v>
      </c>
      <c r="C53" s="230">
        <v>258.10000000000002</v>
      </c>
      <c r="D53" s="230">
        <v>203.9</v>
      </c>
      <c r="E53" s="230">
        <v>0.79000387446726095</v>
      </c>
      <c r="F53" s="230">
        <v>655.54</v>
      </c>
    </row>
    <row r="54" spans="1:6" ht="12.75" customHeight="1">
      <c r="A54" s="230" t="s">
        <v>70</v>
      </c>
      <c r="B54" s="230">
        <v>11.4</v>
      </c>
      <c r="C54" s="230">
        <v>282.8</v>
      </c>
      <c r="D54" s="230">
        <v>206.2</v>
      </c>
      <c r="E54" s="230">
        <v>0.72913719943422906</v>
      </c>
      <c r="F54" s="230">
        <v>669.31</v>
      </c>
    </row>
    <row r="55" spans="1:6" ht="12.75" customHeight="1">
      <c r="A55" s="230"/>
      <c r="B55" s="230"/>
      <c r="C55" s="230"/>
      <c r="D55" s="230"/>
      <c r="E55" s="230"/>
      <c r="F55" s="230"/>
    </row>
    <row r="56" spans="1:6" ht="12.75" customHeight="1">
      <c r="A56" s="230"/>
      <c r="B56" s="230"/>
      <c r="C56" s="230"/>
      <c r="D56" s="230"/>
      <c r="E56" s="230"/>
      <c r="F56" s="230"/>
    </row>
    <row r="57" spans="1:6" ht="12.75" customHeight="1">
      <c r="A57" s="230"/>
      <c r="B57" s="230"/>
      <c r="C57" s="230"/>
      <c r="D57" s="230"/>
      <c r="E57" s="230"/>
      <c r="F57" s="230"/>
    </row>
    <row r="58" spans="1:6" ht="12.75" customHeight="1">
      <c r="A58" s="230"/>
      <c r="B58" s="230"/>
      <c r="C58" s="230"/>
      <c r="D58" s="230"/>
      <c r="E58" s="230"/>
      <c r="F58" s="230"/>
    </row>
    <row r="59" spans="1:6" ht="12.75" customHeight="1">
      <c r="A59" s="230"/>
      <c r="B59" s="230"/>
      <c r="C59" s="230"/>
      <c r="D59" s="230"/>
      <c r="E59" s="230"/>
      <c r="F59" s="230"/>
    </row>
    <row r="60" spans="1:6" ht="12.75" customHeight="1">
      <c r="A60" s="230"/>
      <c r="B60" s="230"/>
      <c r="C60" s="230"/>
      <c r="D60" s="230"/>
      <c r="E60" s="230"/>
      <c r="F60" s="230"/>
    </row>
    <row r="61" spans="1:6" ht="12.75" customHeight="1">
      <c r="A61" s="230"/>
      <c r="B61" s="230"/>
      <c r="C61" s="230"/>
      <c r="D61" s="230"/>
      <c r="E61" s="230"/>
      <c r="F61" s="230"/>
    </row>
    <row r="62" spans="1:6" ht="12.75" customHeight="1">
      <c r="A62" s="230"/>
      <c r="B62" s="230"/>
      <c r="C62" s="230"/>
      <c r="D62" s="230"/>
      <c r="E62" s="230"/>
      <c r="F62" s="230"/>
    </row>
    <row r="63" spans="1:6" ht="12.75" customHeight="1">
      <c r="A63" s="230"/>
      <c r="B63" s="230"/>
      <c r="C63" s="230"/>
      <c r="D63" s="230"/>
      <c r="E63" s="230"/>
      <c r="F63" s="230"/>
    </row>
    <row r="64" spans="1:6" ht="12.75" customHeight="1">
      <c r="A64" s="230"/>
      <c r="B64" s="230"/>
      <c r="C64" s="230"/>
      <c r="D64" s="230"/>
      <c r="E64" s="230"/>
      <c r="F64" s="230"/>
    </row>
    <row r="65" spans="1:6" ht="12.75" customHeight="1">
      <c r="A65" s="230"/>
      <c r="B65" s="230"/>
      <c r="C65" s="230"/>
      <c r="D65" s="230"/>
      <c r="E65" s="230"/>
      <c r="F65" s="230"/>
    </row>
    <row r="66" spans="1:6" ht="12.75" customHeight="1">
      <c r="A66" s="230"/>
      <c r="B66" s="230"/>
      <c r="C66" s="230"/>
      <c r="D66" s="230"/>
      <c r="E66" s="230"/>
      <c r="F66" s="230"/>
    </row>
    <row r="67" spans="1:6" ht="12.75" customHeight="1">
      <c r="A67" s="230"/>
      <c r="B67" s="230"/>
      <c r="C67" s="230"/>
      <c r="D67" s="230"/>
      <c r="E67" s="230"/>
      <c r="F67" s="230"/>
    </row>
    <row r="68" spans="1:6" ht="12.75" customHeight="1">
      <c r="A68" s="230"/>
      <c r="B68" s="230"/>
      <c r="C68" s="230"/>
      <c r="D68" s="230"/>
      <c r="E68" s="230"/>
      <c r="F68" s="230"/>
    </row>
    <row r="69" spans="1:6" ht="12.75" customHeight="1">
      <c r="A69" s="230"/>
      <c r="B69" s="230"/>
      <c r="C69" s="230"/>
      <c r="D69" s="230"/>
      <c r="E69" s="230"/>
      <c r="F69" s="230"/>
    </row>
    <row r="70" spans="1:6" ht="12.75" customHeight="1">
      <c r="A70" s="230"/>
      <c r="B70" s="230"/>
      <c r="C70" s="230"/>
      <c r="D70" s="230"/>
      <c r="E70" s="230"/>
      <c r="F70" s="230"/>
    </row>
    <row r="71" spans="1:6" ht="12.75" customHeight="1">
      <c r="A71" s="230"/>
      <c r="B71" s="230"/>
      <c r="C71" s="230"/>
      <c r="D71" s="230"/>
      <c r="E71" s="230"/>
      <c r="F71" s="230"/>
    </row>
    <row r="72" spans="1:6" ht="12.75" customHeight="1">
      <c r="A72" s="230"/>
      <c r="B72" s="230"/>
      <c r="C72" s="230"/>
      <c r="D72" s="230"/>
      <c r="E72" s="230"/>
      <c r="F72" s="230"/>
    </row>
    <row r="73" spans="1:6" ht="12.75" customHeight="1">
      <c r="A73" s="230"/>
      <c r="B73" s="230"/>
      <c r="C73" s="230"/>
      <c r="D73" s="230"/>
      <c r="E73" s="230"/>
      <c r="F73" s="230"/>
    </row>
    <row r="74" spans="1:6" ht="12.75" customHeight="1">
      <c r="A74" s="230"/>
      <c r="B74" s="230"/>
      <c r="C74" s="230"/>
      <c r="D74" s="230"/>
      <c r="E74" s="230"/>
      <c r="F74" s="230"/>
    </row>
    <row r="75" spans="1:6" ht="12.75" customHeight="1">
      <c r="A75" s="230"/>
      <c r="B75" s="230"/>
      <c r="C75" s="230"/>
      <c r="D75" s="230"/>
      <c r="E75" s="230"/>
      <c r="F75" s="230"/>
    </row>
    <row r="76" spans="1:6" ht="12.75" customHeight="1">
      <c r="A76" s="230"/>
      <c r="B76" s="230"/>
      <c r="C76" s="230"/>
      <c r="D76" s="230"/>
      <c r="E76" s="230"/>
      <c r="F76" s="230"/>
    </row>
    <row r="77" spans="1:6" ht="12.75" customHeight="1">
      <c r="A77" s="230"/>
      <c r="B77" s="230"/>
      <c r="C77" s="230"/>
      <c r="D77" s="230"/>
      <c r="E77" s="230"/>
      <c r="F77" s="230"/>
    </row>
    <row r="78" spans="1:6" ht="12.75" customHeight="1">
      <c r="A78" s="230"/>
      <c r="B78" s="230"/>
      <c r="C78" s="230"/>
      <c r="D78" s="230"/>
      <c r="E78" s="230"/>
      <c r="F78" s="230"/>
    </row>
    <row r="79" spans="1:6" ht="12.75" customHeight="1">
      <c r="A79" s="230"/>
      <c r="B79" s="230"/>
      <c r="C79" s="230"/>
      <c r="D79" s="230"/>
      <c r="E79" s="230"/>
      <c r="F79" s="230"/>
    </row>
    <row r="80" spans="1:6" ht="12.75" customHeight="1">
      <c r="A80" s="230"/>
      <c r="B80" s="230"/>
      <c r="C80" s="230"/>
      <c r="D80" s="230"/>
      <c r="E80" s="230"/>
      <c r="F80" s="230"/>
    </row>
    <row r="81" spans="1:6" ht="12.75" customHeight="1">
      <c r="A81" s="230"/>
      <c r="B81" s="230"/>
      <c r="C81" s="230"/>
      <c r="D81" s="230"/>
      <c r="E81" s="230"/>
      <c r="F81" s="230"/>
    </row>
    <row r="82" spans="1:6" ht="12.75" customHeight="1">
      <c r="A82" s="230"/>
      <c r="B82" s="230"/>
      <c r="C82" s="230"/>
      <c r="D82" s="230"/>
      <c r="E82" s="230"/>
      <c r="F82" s="230"/>
    </row>
    <row r="83" spans="1:6" ht="12.75" customHeight="1">
      <c r="A83" s="230"/>
      <c r="B83" s="230"/>
      <c r="C83" s="230"/>
      <c r="D83" s="230"/>
      <c r="E83" s="230"/>
      <c r="F83" s="230"/>
    </row>
    <row r="84" spans="1:6" ht="12.75" customHeight="1">
      <c r="A84" s="230"/>
      <c r="B84" s="230"/>
      <c r="C84" s="230"/>
      <c r="D84" s="230"/>
      <c r="E84" s="230"/>
      <c r="F84" s="230"/>
    </row>
    <row r="85" spans="1:6" ht="12.75" customHeight="1">
      <c r="A85" s="230"/>
      <c r="B85" s="230"/>
      <c r="C85" s="230"/>
      <c r="D85" s="230"/>
      <c r="E85" s="230"/>
      <c r="F85" s="230"/>
    </row>
    <row r="86" spans="1:6" ht="12.75" customHeight="1">
      <c r="A86" s="230"/>
      <c r="B86" s="230"/>
      <c r="C86" s="230"/>
      <c r="D86" s="230"/>
      <c r="E86" s="230"/>
      <c r="F86" s="230"/>
    </row>
    <row r="87" spans="1:6" ht="12.75" customHeight="1">
      <c r="A87" s="230"/>
      <c r="B87" s="230"/>
      <c r="C87" s="230"/>
      <c r="D87" s="230"/>
      <c r="E87" s="230"/>
      <c r="F87" s="230"/>
    </row>
    <row r="88" spans="1:6" ht="12.75" customHeight="1">
      <c r="A88" s="230"/>
      <c r="B88" s="230"/>
      <c r="C88" s="230"/>
      <c r="D88" s="230"/>
      <c r="E88" s="230"/>
      <c r="F88" s="230"/>
    </row>
    <row r="89" spans="1:6" ht="12.75" customHeight="1">
      <c r="A89" s="230"/>
      <c r="B89" s="230"/>
      <c r="C89" s="230"/>
      <c r="D89" s="230"/>
      <c r="E89" s="230"/>
      <c r="F89" s="230"/>
    </row>
    <row r="90" spans="1:6" ht="12.75" customHeight="1">
      <c r="A90" s="230"/>
      <c r="B90" s="230"/>
      <c r="C90" s="230"/>
      <c r="D90" s="230"/>
      <c r="E90" s="230"/>
      <c r="F90" s="230"/>
    </row>
    <row r="91" spans="1:6" ht="12.75" customHeight="1">
      <c r="A91" s="230"/>
      <c r="B91" s="230"/>
      <c r="C91" s="230"/>
      <c r="D91" s="230"/>
      <c r="E91" s="230"/>
      <c r="F91" s="230"/>
    </row>
    <row r="92" spans="1:6" ht="12.75" customHeight="1">
      <c r="A92" s="230"/>
      <c r="B92" s="230"/>
      <c r="C92" s="230"/>
      <c r="D92" s="230"/>
      <c r="E92" s="230"/>
      <c r="F92" s="230"/>
    </row>
    <row r="93" spans="1:6" ht="12.75" customHeight="1">
      <c r="A93" s="230"/>
      <c r="B93" s="230"/>
      <c r="C93" s="230"/>
      <c r="D93" s="230"/>
      <c r="E93" s="230"/>
      <c r="F93" s="230"/>
    </row>
    <row r="94" spans="1:6" ht="12.75" customHeight="1">
      <c r="A94" s="230"/>
      <c r="B94" s="230"/>
      <c r="C94" s="230"/>
      <c r="D94" s="230"/>
      <c r="E94" s="230"/>
      <c r="F94" s="230"/>
    </row>
    <row r="95" spans="1:6" ht="12.75" customHeight="1">
      <c r="A95" s="230"/>
      <c r="B95" s="230"/>
      <c r="C95" s="230"/>
      <c r="D95" s="230"/>
      <c r="E95" s="230"/>
      <c r="F95" s="230"/>
    </row>
    <row r="96" spans="1:6" ht="12.75" customHeight="1">
      <c r="A96" s="230"/>
      <c r="B96" s="230"/>
      <c r="C96" s="230"/>
      <c r="D96" s="230"/>
      <c r="E96" s="230"/>
      <c r="F96" s="230"/>
    </row>
    <row r="97" spans="1:6" ht="12.75" customHeight="1">
      <c r="A97" s="230"/>
      <c r="B97" s="230"/>
      <c r="C97" s="230"/>
      <c r="D97" s="230"/>
      <c r="E97" s="230"/>
      <c r="F97" s="230"/>
    </row>
    <row r="98" spans="1:6" ht="12.75" customHeight="1">
      <c r="A98" s="230"/>
      <c r="B98" s="230"/>
      <c r="C98" s="230"/>
      <c r="D98" s="230"/>
      <c r="E98" s="230"/>
      <c r="F98" s="230"/>
    </row>
    <row r="99" spans="1:6" ht="12.75" customHeight="1">
      <c r="A99" s="230"/>
      <c r="B99" s="230"/>
      <c r="C99" s="230"/>
      <c r="D99" s="230"/>
      <c r="E99" s="230"/>
      <c r="F99" s="230"/>
    </row>
    <row r="100" spans="1:6" ht="12.75" customHeight="1">
      <c r="A100" s="230"/>
      <c r="B100" s="230"/>
      <c r="C100" s="230"/>
      <c r="D100" s="230"/>
      <c r="E100" s="230"/>
      <c r="F100" s="2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Quick View_ Sample Data</vt:lpstr>
      <vt:lpstr>Charts</vt:lpstr>
      <vt:lpstr>Rsheet Data</vt:lpstr>
      <vt:lpstr>CL_data</vt:lpstr>
      <vt:lpstr>Processes</vt:lpstr>
      <vt:lpstr>Film Inventory 10_15_2012</vt:lpstr>
      <vt:lpstr>Resistance Data</vt:lpstr>
      <vt:lpstr>Protocols</vt:lpstr>
      <vt:lpstr>best known values</vt:lpstr>
      <vt:lpstr>Tc Data from MATLAB</vt:lpstr>
      <vt:lpstr>Data Parsed from 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Kristen Sunter</cp:lastModifiedBy>
  <dcterms:created xsi:type="dcterms:W3CDTF">2015-04-13T18:30:01Z</dcterms:created>
  <dcterms:modified xsi:type="dcterms:W3CDTF">2015-04-13T18:30:03Z</dcterms:modified>
</cp:coreProperties>
</file>