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Total_de_acoes" sheetId="3" r:id="rId6"/>
    <sheet state="visible" name="ChatGPT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<sst xmlns="http://schemas.openxmlformats.org/spreadsheetml/2006/main" count="1533" uniqueCount="1088">
  <si>
    <t>Ativo</t>
  </si>
  <si>
    <t>Data</t>
  </si>
  <si>
    <t>Último Dia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</si>
  <si>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</si>
  <si>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</si>
  <si>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</si>
  <si>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</si>
  <si>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</si>
  <si>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</si>
  <si>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</si>
  <si>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</si>
  <si>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%</t>
  </si>
  <si>
    <t>Inicial Dia(R$)</t>
  </si>
  <si>
    <t>Quantidade de acoes</t>
  </si>
  <si>
    <t>Var. Dia (R$)</t>
  </si>
  <si>
    <t>Resultado Dia</t>
  </si>
  <si>
    <t>Nome Da Empresa</t>
  </si>
  <si>
    <t>Segmentos</t>
  </si>
  <si>
    <t>Idade</t>
  </si>
  <si>
    <t>Cat_Idade</t>
  </si>
  <si>
    <t>Inicio Sem. (R$)</t>
  </si>
  <si>
    <t>Inicio Mês (R$)</t>
  </si>
  <si>
    <t>Inicio Ano (R$)</t>
  </si>
  <si>
    <t>Inicio 12M (R$)</t>
  </si>
  <si>
    <t>Var. Sem. %</t>
  </si>
  <si>
    <t>Var. Mês %</t>
  </si>
  <si>
    <t>Var. Ano %</t>
  </si>
  <si>
    <t>Var. 12M%</t>
  </si>
  <si>
    <t>Var. Sem. (R$)</t>
  </si>
  <si>
    <t>Var. Mês (R$)</t>
  </si>
  <si>
    <t>Var. Ano (R$)</t>
  </si>
  <si>
    <t>Var. 12M(R$)</t>
  </si>
  <si>
    <t>Resultado Sem.</t>
  </si>
  <si>
    <t>Resultado Mês</t>
  </si>
  <si>
    <t>Resultado Ano</t>
  </si>
  <si>
    <t>Resultado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</si>
  <si>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</si>
  <si>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</si>
  <si>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</si>
  <si>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</si>
  <si>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</si>
  <si>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</si>
  <si>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</si>
  <si>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</si>
  <si>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</si>
  <si>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</si>
  <si>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</si>
  <si>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</si>
  <si>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</si>
  <si>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</si>
  <si>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</si>
  <si>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</si>
  <si>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</si>
  <si>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</si>
  <si>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</si>
  <si>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</si>
  <si>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</si>
  <si>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</si>
  <si>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</si>
  <si>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</si>
  <si>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</si>
  <si>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</si>
  <si>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</si>
  <si>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</si>
  <si>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</si>
  <si>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</si>
  <si>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</si>
  <si>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</si>
  <si>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</si>
  <si>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</si>
  <si>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</si>
  <si>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</si>
  <si>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</si>
  <si>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</si>
  <si>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</si>
  <si>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</si>
  <si>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</si>
  <si>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</si>
  <si>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</si>
  <si>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</si>
  <si>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</si>
  <si>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</si>
  <si>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</si>
  <si>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</si>
  <si>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</si>
  <si>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</si>
  <si>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</si>
  <si>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</si>
  <si>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</si>
  <si>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</si>
  <si>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</si>
  <si>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</si>
  <si>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</si>
  <si>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</si>
  <si>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</si>
  <si>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</si>
  <si>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</si>
  <si>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</si>
  <si>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</si>
  <si>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</si>
  <si>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</si>
  <si>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</si>
  <si>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</si>
  <si>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</si>
  <si>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</si>
  <si>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</si>
  <si>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</si>
  <si>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</si>
  <si>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</si>
  <si>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</si>
  <si>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</si>
  <si>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</si>
  <si>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</si>
  <si>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</si>
  <si>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</si>
  <si>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</si>
  <si>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</si>
  <si>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</si>
  <si>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</si>
  <si>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</si>
  <si>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</si>
  <si>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</si>
  <si>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</si>
  <si>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</si>
  <si>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</si>
  <si>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</si>
  <si>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</si>
  <si>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</si>
  <si>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</si>
  <si>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</si>
  <si>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</si>
  <si>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</si>
  <si>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</si>
  <si>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</si>
  <si>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</si>
  <si>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</si>
  <si>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</si>
  <si>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</si>
  <si>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</si>
  <si>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</si>
  <si>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</si>
  <si>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</si>
  <si>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</si>
  <si>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</si>
  <si>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</si>
  <si>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</si>
  <si>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</si>
  <si>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</si>
  <si>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</si>
  <si>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</si>
  <si>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</si>
  <si>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</si>
  <si>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</si>
  <si>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</si>
  <si>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</si>
  <si>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</si>
  <si>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</si>
  <si>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</si>
  <si>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</si>
  <si>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</si>
  <si>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</si>
  <si>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</si>
  <si>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</si>
  <si>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</si>
  <si>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</si>
  <si>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</si>
  <si>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</si>
  <si>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</si>
  <si>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</si>
  <si>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</si>
  <si>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</si>
  <si>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</si>
  <si>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</si>
  <si>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</si>
  <si>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</si>
  <si>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</si>
  <si>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</si>
  <si>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</si>
  <si>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</si>
  <si>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</si>
  <si>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</si>
  <si>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</si>
  <si>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</si>
  <si>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</si>
  <si>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</si>
  <si>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</si>
  <si>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</si>
  <si>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</si>
  <si>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</si>
  <si>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</si>
  <si>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</si>
  <si>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</si>
  <si>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</si>
  <si>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</si>
  <si>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</si>
  <si>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</si>
  <si>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</si>
  <si>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Metrica</t>
  </si>
  <si>
    <t>Valor</t>
  </si>
  <si>
    <t>Empresa</t>
  </si>
  <si>
    <t>Maior</t>
  </si>
  <si>
    <t>Menor</t>
  </si>
  <si>
    <t>Média</t>
  </si>
  <si>
    <t>Média Alta</t>
  </si>
  <si>
    <t>Média Baixa</t>
  </si>
  <si>
    <t>Variação</t>
  </si>
  <si>
    <t>Variação Alta</t>
  </si>
  <si>
    <t>Variação $</t>
  </si>
  <si>
    <t>Variação por faixa etaria</t>
  </si>
  <si>
    <t>Quant. 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</si>
  <si>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</si>
  <si>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</si>
  <si>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</si>
  <si>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</si>
  <si>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</si>
  <si>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</si>
  <si>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</si>
  <si>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</si>
  <si>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</si>
  <si>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</si>
  <si>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Nome de Empresas</t>
  </si>
  <si>
    <t>Segmento</t>
  </si>
  <si>
    <t>Usiminas</t>
  </si>
  <si>
    <t>Siderurgia e Metalurgia</t>
  </si>
  <si>
    <t>CSN Mineração</t>
  </si>
  <si>
    <t>Mineração</t>
  </si>
  <si>
    <t>Petrobras</t>
  </si>
  <si>
    <t xml:space="preserve">Energia </t>
  </si>
  <si>
    <t>Suzano</t>
  </si>
  <si>
    <t>Papel e Celulose</t>
  </si>
  <si>
    <t>CPFL 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</si>
  <si>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</si>
  <si>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</si>
  <si>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</si>
  <si>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</si>
  <si>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</si>
  <si>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</si>
  <si>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</si>
  <si>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</si>
  <si>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</si>
  <si>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</si>
  <si>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</si>
  <si>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</si>
  <si>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</si>
  <si>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Energia (Petróleo e Gás)</t>
  </si>
  <si>
    <t>Equatorial Energia</t>
  </si>
  <si>
    <t>Siderúrgica Nacional</t>
  </si>
  <si>
    <t>YDUQS</t>
  </si>
  <si>
    <t>Educação</t>
  </si>
  <si>
    <t>Ultrapar</t>
  </si>
  <si>
    <t>Produtos Diversos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</si>
  <si>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</si>
  <si>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</si>
  <si>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</si>
  <si>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</si>
  <si>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</si>
  <si>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</si>
  <si>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</si>
  <si>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</si>
  <si>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 xml:space="preserve">Varejo </t>
  </si>
  <si>
    <t>BRF</t>
  </si>
  <si>
    <t xml:space="preserve">Alimentos </t>
  </si>
  <si>
    <t>Vivo</t>
  </si>
  <si>
    <t>Telecomunicações</t>
  </si>
  <si>
    <t>Rumo</t>
  </si>
  <si>
    <t>Logística</t>
  </si>
  <si>
    <t>Cielo</t>
  </si>
  <si>
    <t>Dexco</t>
  </si>
  <si>
    <t xml:space="preserve">Logística </t>
  </si>
  <si>
    <t>TIM</t>
  </si>
  <si>
    <t>Bradespar</t>
  </si>
  <si>
    <t>Investimentos</t>
  </si>
  <si>
    <t>Locaweb</t>
  </si>
  <si>
    <t>Tecnologia</t>
  </si>
  <si>
    <t>PetroRecôncavo</t>
  </si>
  <si>
    <t>Energia</t>
  </si>
  <si>
    <t>Itaúsa</t>
  </si>
  <si>
    <t>Conglomerado</t>
  </si>
  <si>
    <t>Banco do Brasil</t>
  </si>
  <si>
    <t>RaiaDrogasil</t>
  </si>
  <si>
    <t>Metalúrgica Gerdau</t>
  </si>
  <si>
    <t>Cosan</t>
  </si>
  <si>
    <t>JBS</t>
  </si>
  <si>
    <t>Magazine Luiza</t>
  </si>
  <si>
    <t>Varejo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</si>
  <si>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</si>
  <si>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</si>
  <si>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</si>
  <si>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</si>
  <si>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</si>
  <si>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</si>
  <si>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</si>
  <si>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</si>
  <si>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Sabesp</t>
  </si>
  <si>
    <t xml:space="preserve">Serviços </t>
  </si>
  <si>
    <t>Totvs</t>
  </si>
  <si>
    <t>CEMIG</t>
  </si>
  <si>
    <t>Eletrobras</t>
  </si>
  <si>
    <t>Eneva</t>
  </si>
  <si>
    <t>WEG</t>
  </si>
  <si>
    <t>SLC Agrícola</t>
  </si>
  <si>
    <t>Agricultura</t>
  </si>
  <si>
    <t>Grupo CCR</t>
  </si>
  <si>
    <t xml:space="preserve">Infraestrutura </t>
  </si>
  <si>
    <t>Cogna</t>
  </si>
  <si>
    <t>Transmissão Paulista</t>
  </si>
  <si>
    <t>Engie</t>
  </si>
  <si>
    <t>Vibra Energia</t>
  </si>
  <si>
    <t>IRB Brasil RE</t>
  </si>
  <si>
    <t xml:space="preserve">Seguros </t>
  </si>
  <si>
    <t>Petz</t>
  </si>
  <si>
    <t>EZTEC</t>
  </si>
  <si>
    <t>Fleury</t>
  </si>
  <si>
    <t>Grupo Soma</t>
  </si>
  <si>
    <t>Alpargatas</t>
  </si>
  <si>
    <t>Cyrela</t>
  </si>
  <si>
    <t>Embraer</t>
  </si>
  <si>
    <t>Indústria</t>
  </si>
  <si>
    <t>Natura</t>
  </si>
  <si>
    <t>Cosméticos e Beleza</t>
  </si>
  <si>
    <t>Assaí</t>
  </si>
  <si>
    <t>B3</t>
  </si>
  <si>
    <t xml:space="preserve">Serviços Financeiros </t>
  </si>
  <si>
    <t>Hypera</t>
  </si>
  <si>
    <t>Farmacêutica</t>
  </si>
  <si>
    <t>São Martinho</t>
  </si>
  <si>
    <t>Agroindústria</t>
  </si>
  <si>
    <t>Hapvida</t>
  </si>
  <si>
    <t xml:space="preserve">Saúde </t>
  </si>
  <si>
    <t>Lojas Renner</t>
  </si>
  <si>
    <t>Carrefour Brasil</t>
  </si>
  <si>
    <t>Casas Bahia</t>
  </si>
  <si>
    <t>Localiza</t>
  </si>
  <si>
    <t>CVC</t>
  </si>
  <si>
    <t>Turismo</t>
  </si>
  <si>
    <t>GOL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</si>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</sst>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Söhne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</fills>
  <borders count="2">
    <border/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2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2" fontId="1" numFmtId="1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3" fontId="3" numFmtId="14" xfId="0" applyAlignment="1" applyFont="1" applyNumberFormat="1">
      <alignment horizontal="center" vertical="center"/>
    </xf>
    <xf borderId="0" fillId="3" fontId="3" numFmtId="2" xfId="0" applyAlignment="1" applyFont="1" applyNumberFormat="1">
      <alignment horizontal="center" vertical="center"/>
    </xf>
    <xf borderId="0" fillId="3" fontId="3" numFmtId="0" xfId="0" applyAlignment="1" applyFont="1">
      <alignment horizontal="center" vertical="center"/>
    </xf>
    <xf borderId="0" fillId="3" fontId="4" numFmtId="0" xfId="0" applyAlignment="1" applyFont="1">
      <alignment horizontal="center" vertical="center"/>
    </xf>
    <xf borderId="0" fillId="3" fontId="4" numFmtId="2" xfId="0" applyAlignment="1" applyFont="1" applyNumberFormat="1">
      <alignment horizontal="center" vertical="center"/>
    </xf>
    <xf borderId="0" fillId="3" fontId="4" numFmtId="1" xfId="0" applyAlignment="1" applyFont="1" applyNumberFormat="1">
      <alignment horizontal="center" vertical="center"/>
    </xf>
    <xf borderId="0" fillId="3" fontId="4" numFmtId="164" xfId="0" applyAlignment="1" applyFont="1" applyNumberFormat="1">
      <alignment horizontal="center" vertical="center"/>
    </xf>
    <xf borderId="0" fillId="4" fontId="3" numFmtId="0" xfId="0" applyAlignment="1" applyFill="1" applyFont="1">
      <alignment horizontal="center" vertical="center"/>
    </xf>
    <xf borderId="0" fillId="4" fontId="3" numFmtId="14" xfId="0" applyAlignment="1" applyFont="1" applyNumberFormat="1">
      <alignment horizontal="center" vertical="center"/>
    </xf>
    <xf borderId="0" fillId="4" fontId="3" numFmtId="2" xfId="0" applyAlignment="1" applyFont="1" applyNumberFormat="1">
      <alignment horizontal="center" vertical="center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center" vertical="center"/>
    </xf>
    <xf borderId="0" fillId="4" fontId="4" numFmtId="2" xfId="0" applyAlignment="1" applyFont="1" applyNumberFormat="1">
      <alignment horizontal="center" vertical="center"/>
    </xf>
    <xf borderId="0" fillId="4" fontId="4" numFmtId="1" xfId="0" applyAlignment="1" applyFont="1" applyNumberFormat="1">
      <alignment horizontal="center" vertical="center"/>
    </xf>
    <xf borderId="0" fillId="4" fontId="4" numFmtId="164" xfId="0" applyAlignment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5" numFmtId="1" xfId="0" applyAlignment="1" applyFont="1" applyNumberFormat="1">
      <alignment horizontal="center"/>
    </xf>
    <xf borderId="0" fillId="0" fontId="2" numFmtId="1" xfId="0" applyFont="1" applyNumberFormat="1"/>
    <xf borderId="0" fillId="0" fontId="5" numFmtId="164" xfId="0" applyAlignment="1" applyFont="1" applyNumberFormat="1">
      <alignment horizontal="center"/>
    </xf>
    <xf borderId="0" fillId="5" fontId="5" numFmtId="0" xfId="0" applyAlignment="1" applyFill="1" applyFont="1">
      <alignment horizontal="center" readingOrder="0"/>
    </xf>
    <xf borderId="0" fillId="6" fontId="2" numFmtId="1" xfId="0" applyAlignment="1" applyFill="1" applyFont="1" applyNumberFormat="1">
      <alignment horizontal="center"/>
    </xf>
    <xf borderId="0" fillId="6" fontId="2" numFmtId="164" xfId="0" applyAlignment="1" applyFont="1" applyNumberFormat="1">
      <alignment horizontal="center"/>
    </xf>
    <xf borderId="0" fillId="6" fontId="2" numFmtId="0" xfId="0" applyAlignment="1" applyFont="1">
      <alignment horizontal="center"/>
    </xf>
    <xf borderId="0" fillId="7" fontId="2" numFmtId="1" xfId="0" applyAlignment="1" applyFill="1" applyFont="1" applyNumberFormat="1">
      <alignment horizontal="center"/>
    </xf>
    <xf borderId="0" fillId="7" fontId="2" numFmtId="164" xfId="0" applyAlignment="1" applyFont="1" applyNumberFormat="1">
      <alignment horizontal="center"/>
    </xf>
    <xf borderId="0" fillId="7" fontId="2" numFmtId="0" xfId="0" applyAlignment="1" applyFont="1">
      <alignment horizontal="center"/>
    </xf>
    <xf borderId="0" fillId="2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1" fillId="0" fontId="6" numFmtId="0" xfId="0" applyAlignment="1" applyBorder="1" applyFont="1">
      <alignment horizontal="left" readingOrder="0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10">
    <dxf>
      <font>
        <b/>
      </font>
      <fill>
        <patternFill patternType="solid">
          <fgColor rgb="FF93C47D"/>
          <bgColor rgb="FF93C47D"/>
        </patternFill>
      </fill>
      <border/>
    </dxf>
    <dxf>
      <font>
        <b/>
      </font>
      <fill>
        <patternFill patternType="solid">
          <fgColor rgb="FFE06666"/>
          <bgColor rgb="FFE06666"/>
        </patternFill>
      </fill>
      <border/>
    </dxf>
    <dxf>
      <font>
        <b/>
      </font>
      <fill>
        <patternFill patternType="solid">
          <fgColor rgb="FFFFD966"/>
          <bgColor rgb="FFFFD9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4">
    <tableStyle count="3" pivot="0" name="Principal-style">
      <tableStyleElement dxfId="4" type="headerRow"/>
      <tableStyleElement dxfId="5" type="firstRowStripe"/>
      <tableStyleElement dxfId="6" type="secondRowStripe"/>
    </tableStyle>
    <tableStyle count="3" pivot="0" name="Análises-style">
      <tableStyleElement dxfId="7" type="headerRow"/>
      <tableStyleElement dxfId="8" type="firstRowStripe"/>
      <tableStyleElement dxfId="9" type="secondRowStripe"/>
    </tableStyle>
    <tableStyle count="3" pivot="0" name="Análises-style 2">
      <tableStyleElement dxfId="7" type="headerRow"/>
      <tableStyleElement dxfId="8" type="firstRowStripe"/>
      <tableStyleElement dxfId="9" type="secondRowStripe"/>
    </tableStyle>
    <tableStyle count="3" pivot="0" name="Análises-style 3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Alta versus Segmentos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'Análises'!$A$10:$A$46</c:f>
            </c:strRef>
          </c:cat>
          <c:val>
            <c:numRef>
              <c:f>'Análises'!$C$10:$C$46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 Dia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1545647459"/>
        <c:axId val="1743131530"/>
      </c:barChart>
      <c:catAx>
        <c:axId val="15456474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131530"/>
      </c:catAx>
      <c:valAx>
        <c:axId val="17431315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6474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8</xdr:row>
      <xdr:rowOff>9525</xdr:rowOff>
    </xdr:from>
    <xdr:ext cx="4476750" cy="32670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</xdr:colOff>
      <xdr:row>44</xdr:row>
      <xdr:rowOff>114300</xdr:rowOff>
    </xdr:from>
    <xdr:ext cx="6315075" cy="2400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1:E82" displayName="Table_1" name="Table_1" id="1">
  <tableColumns count="1">
    <tableColumn name="Var. Sem. (%)" id="1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A1:C6" displayName="Table_2" name="Table_2" id="2">
  <tableColumns count="3">
    <tableColumn name="Metrica" id="1"/>
    <tableColumn name="Valor" id="2"/>
    <tableColumn name="Empresa" id="3"/>
  </tableColumns>
  <tableStyleInfo name="Análises-style" showColumnStripes="0" showFirstColumn="1" showLastColumn="1" showRowStripes="1"/>
</table>
</file>

<file path=xl/tables/table3.xml><?xml version="1.0" encoding="utf-8"?>
<table xmlns="http://schemas.openxmlformats.org/spreadsheetml/2006/main" ref="A9:C46" displayName="Table_3" name="Table_3" id="3">
  <tableColumns count="3">
    <tableColumn name="Segmentos" id="1"/>
    <tableColumn name="Variação" id="2"/>
    <tableColumn name="Variação Alta" id="3"/>
  </tableColumns>
  <tableStyleInfo name="Análises-style 2" showColumnStripes="0" showFirstColumn="1" showLastColumn="1" showRowStripes="1"/>
</table>
</file>

<file path=xl/tables/table4.xml><?xml version="1.0" encoding="utf-8"?>
<table xmlns="http://schemas.openxmlformats.org/spreadsheetml/2006/main" ref="A50:B53" displayName="Table_4" name="Table_4" id="4">
  <tableColumns count="2">
    <tableColumn name="Resultado Dia" id="1"/>
    <tableColumn name="Variação $" id="2"/>
  </tableColumns>
  <tableStyleInfo name="Análise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8.38"/>
    <col customWidth="1" min="3" max="3" width="14.13"/>
    <col customWidth="1" min="4" max="4" width="11.0"/>
    <col customWidth="1" min="12" max="12" width="14.0"/>
    <col customWidth="1" min="13" max="13" width="13.13"/>
    <col customWidth="1" min="14" max="14" width="19.38"/>
    <col customWidth="1" min="15" max="15" width="17.13"/>
    <col customWidth="1" min="16" max="16" width="13.25"/>
    <col customWidth="1" min="17" max="17" width="19.38"/>
    <col customWidth="1" min="18" max="18" width="20.38"/>
    <col customWidth="1" min="19" max="19" width="5.75"/>
    <col customWidth="1" min="20" max="20" width="16.5"/>
    <col customWidth="1" min="21" max="21" width="14.75"/>
    <col customWidth="1" min="22" max="24" width="13.88"/>
    <col customWidth="1" min="25" max="25" width="18.25"/>
    <col customWidth="1" min="26" max="27" width="10.5"/>
    <col customWidth="1" min="29" max="29" width="17.38"/>
    <col customWidth="1" min="30" max="32" width="18.0"/>
    <col customWidth="1" min="33" max="33" width="17.38"/>
    <col customWidth="1" min="34" max="35" width="18.0"/>
    <col customWidth="1" min="36" max="36" width="13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7"/>
      <c r="AL1" s="7"/>
    </row>
    <row r="2">
      <c r="A2" s="8" t="s">
        <v>36</v>
      </c>
      <c r="B2" s="9">
        <v>45317.0</v>
      </c>
      <c r="C2" s="10">
        <v>9.5</v>
      </c>
      <c r="D2" s="8">
        <v>5.2</v>
      </c>
      <c r="E2" s="11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8" t="s">
        <v>37</v>
      </c>
      <c r="L2" s="12">
        <f t="shared" ref="L2:L82" si="3">D2/100</f>
        <v>0.052</v>
      </c>
      <c r="M2" s="13">
        <f t="shared" ref="M2:M82" si="4">C2/(L2+1)</f>
        <v>9.030418251</v>
      </c>
      <c r="N2" s="14">
        <f>VLOOKUP(A2,Total_de_acoes!A:B,2,0)</f>
        <v>515117391</v>
      </c>
      <c r="O2" s="15">
        <f t="shared" ref="O2:O82" si="5">(C2-M2)*N2</f>
        <v>241889725.4</v>
      </c>
      <c r="P2" s="15" t="str">
        <f t="shared" ref="P2:P82" si="6">IF(O2&gt;0,"Subiu",IF(O2&lt;0,"Desceu","Estavel"))</f>
        <v>Subiu</v>
      </c>
      <c r="Q2" s="14" t="str">
        <f>VLOOKUP(A2,Ticker!A:B,2,0)</f>
        <v>Usiminas</v>
      </c>
      <c r="R2" s="14" t="str">
        <f>VLOOKUP(Q2,ChatGPT!A:C,2,0)</f>
        <v>Siderurgia e Metalurgia</v>
      </c>
      <c r="S2" s="14">
        <f>VLOOKUP(Q2,ChatGPT!A:C,3,0)</f>
        <v>68</v>
      </c>
      <c r="T2" s="14" t="str">
        <f t="shared" ref="T2:T82" si="7">IF(S2&gt;100,"Mais de 100 anos",IF(S2&lt;50,"Menos de 50 anos","Entre 50 e 100 anos"))</f>
        <v>Entre 50 e 100 anos</v>
      </c>
      <c r="U2" s="13">
        <f t="shared" ref="U2:U82" si="8">C2/(1+ Y2)</f>
        <v>8.50035791</v>
      </c>
      <c r="V2" s="13">
        <f t="shared" ref="V2:V82" si="9">C2/(1+ Z2)</f>
        <v>9.290044983</v>
      </c>
      <c r="W2" s="13">
        <f t="shared" ref="W2:W82" si="10">C2/(1+ AA2)</f>
        <v>9.290044983</v>
      </c>
      <c r="X2" s="13">
        <f t="shared" ref="X2:X82" si="11">C2/(1+AB2)</f>
        <v>8.191773735</v>
      </c>
      <c r="Y2" s="12">
        <f t="shared" ref="Y2:AB2" si="1">E2/100</f>
        <v>0.1176</v>
      </c>
      <c r="Z2" s="12">
        <f t="shared" si="1"/>
        <v>0.0226</v>
      </c>
      <c r="AA2" s="12">
        <f t="shared" si="1"/>
        <v>0.0226</v>
      </c>
      <c r="AB2" s="12">
        <f t="shared" si="1"/>
        <v>0.1597</v>
      </c>
      <c r="AC2" s="15">
        <f t="shared" ref="AC2:AC82" si="13">(C2-U2)*N2</f>
        <v>514933025.4</v>
      </c>
      <c r="AD2" s="15">
        <f t="shared" ref="AD2:AD82" si="14">(C2-V2)*N2</f>
        <v>108151480.4</v>
      </c>
      <c r="AE2" s="15">
        <f t="shared" ref="AE2:AE82" si="15">(C2-W2)*N2</f>
        <v>108151480.4</v>
      </c>
      <c r="AF2" s="15">
        <f t="shared" ref="AF2:AF82" si="16">(C2-X2)*N2</f>
        <v>673890100.7</v>
      </c>
      <c r="AG2" s="15" t="str">
        <f t="shared" ref="AG2:AJ2" si="2">IF(AC2&gt;0,"Subiu",IF(AC2&lt;0,"Desceu","Estavel"))</f>
        <v>Subiu</v>
      </c>
      <c r="AH2" s="15" t="str">
        <f t="shared" si="2"/>
        <v>Subiu</v>
      </c>
      <c r="AI2" s="15" t="str">
        <f t="shared" si="2"/>
        <v>Subiu</v>
      </c>
      <c r="AJ2" s="15" t="str">
        <f t="shared" si="2"/>
        <v>Subiu</v>
      </c>
      <c r="AK2" s="7"/>
      <c r="AL2" s="7"/>
    </row>
    <row r="3">
      <c r="A3" s="16" t="s">
        <v>38</v>
      </c>
      <c r="B3" s="17">
        <v>45317.0</v>
      </c>
      <c r="C3" s="18">
        <v>6.82</v>
      </c>
      <c r="D3" s="16">
        <v>2.4</v>
      </c>
      <c r="E3" s="19">
        <v>2.4</v>
      </c>
      <c r="F3" s="16">
        <v>-12.11</v>
      </c>
      <c r="G3" s="16">
        <v>-12.11</v>
      </c>
      <c r="H3" s="16">
        <v>50.56</v>
      </c>
      <c r="I3" s="16">
        <v>6.66</v>
      </c>
      <c r="J3" s="16">
        <v>6.86</v>
      </c>
      <c r="K3" s="16" t="s">
        <v>39</v>
      </c>
      <c r="L3" s="20">
        <f t="shared" si="3"/>
        <v>0.024</v>
      </c>
      <c r="M3" s="21">
        <f t="shared" si="4"/>
        <v>6.66015625</v>
      </c>
      <c r="N3" s="22">
        <f>VLOOKUP(A3,Total_de_acoes!A:B,2,0)</f>
        <v>1110559345</v>
      </c>
      <c r="O3" s="23">
        <f t="shared" si="5"/>
        <v>177515970.3</v>
      </c>
      <c r="P3" s="23" t="str">
        <f t="shared" si="6"/>
        <v>Subiu</v>
      </c>
      <c r="Q3" s="22" t="str">
        <f>VLOOKUP(A3,Ticker!A:B,2,0)</f>
        <v>CSN Mineração</v>
      </c>
      <c r="R3" s="22" t="str">
        <f>VLOOKUP(Q3,ChatGPT!A:C,2,0)</f>
        <v>Mineração</v>
      </c>
      <c r="S3" s="22">
        <f>VLOOKUP(Q3,ChatGPT!A:C,3,0)</f>
        <v>83</v>
      </c>
      <c r="T3" s="22" t="str">
        <f t="shared" si="7"/>
        <v>Entre 50 e 100 anos</v>
      </c>
      <c r="U3" s="21">
        <f t="shared" si="8"/>
        <v>6.66015625</v>
      </c>
      <c r="V3" s="21">
        <f t="shared" si="9"/>
        <v>7.759699625</v>
      </c>
      <c r="W3" s="21">
        <f t="shared" si="10"/>
        <v>7.759699625</v>
      </c>
      <c r="X3" s="21">
        <f t="shared" si="11"/>
        <v>4.529755579</v>
      </c>
      <c r="Y3" s="20">
        <f t="shared" ref="Y3:AB3" si="12">E3/100</f>
        <v>0.024</v>
      </c>
      <c r="Z3" s="20">
        <f t="shared" si="12"/>
        <v>-0.1211</v>
      </c>
      <c r="AA3" s="20">
        <f t="shared" si="12"/>
        <v>-0.1211</v>
      </c>
      <c r="AB3" s="20">
        <f t="shared" si="12"/>
        <v>0.5056</v>
      </c>
      <c r="AC3" s="23">
        <f t="shared" si="13"/>
        <v>177515970.3</v>
      </c>
      <c r="AD3" s="23">
        <f t="shared" si="14"/>
        <v>-1043592200</v>
      </c>
      <c r="AE3" s="23">
        <f t="shared" si="15"/>
        <v>-1043592200</v>
      </c>
      <c r="AF3" s="23">
        <f t="shared" si="16"/>
        <v>2543452344</v>
      </c>
      <c r="AG3" s="15" t="str">
        <f t="shared" ref="AG3:AJ3" si="17">IF(AC3&gt;0,"Subiu",IF(AC3&lt;0,"Desceu","Estavel"))</f>
        <v>Subiu</v>
      </c>
      <c r="AH3" s="15" t="str">
        <f t="shared" si="17"/>
        <v>Desceu</v>
      </c>
      <c r="AI3" s="15" t="str">
        <f t="shared" si="17"/>
        <v>Desceu</v>
      </c>
      <c r="AJ3" s="15" t="str">
        <f t="shared" si="17"/>
        <v>Subiu</v>
      </c>
      <c r="AK3" s="7"/>
      <c r="AL3" s="7"/>
    </row>
    <row r="4">
      <c r="A4" s="8" t="s">
        <v>40</v>
      </c>
      <c r="B4" s="9">
        <v>45317.0</v>
      </c>
      <c r="C4" s="10">
        <v>41.96</v>
      </c>
      <c r="D4" s="8">
        <v>2.19</v>
      </c>
      <c r="E4" s="11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8" t="s">
        <v>41</v>
      </c>
      <c r="L4" s="12">
        <f t="shared" si="3"/>
        <v>0.0219</v>
      </c>
      <c r="M4" s="13">
        <f t="shared" si="4"/>
        <v>41.06076916</v>
      </c>
      <c r="N4" s="14">
        <f>VLOOKUP(A4,Total_de_acoes!A:B,2,0)</f>
        <v>2379877655</v>
      </c>
      <c r="O4" s="15">
        <f t="shared" si="5"/>
        <v>2140059394</v>
      </c>
      <c r="P4" s="15" t="str">
        <f t="shared" si="6"/>
        <v>Subiu</v>
      </c>
      <c r="Q4" s="14" t="str">
        <f>VLOOKUP(A4,Ticker!A:B,2,0)</f>
        <v>Petrobras</v>
      </c>
      <c r="R4" s="14" t="str">
        <f>VLOOKUP(Q4,ChatGPT!A:C,2,0)</f>
        <v>Energia </v>
      </c>
      <c r="S4" s="14">
        <f>VLOOKUP(Q4,ChatGPT!A:C,3,0)</f>
        <v>71</v>
      </c>
      <c r="T4" s="14" t="str">
        <f t="shared" si="7"/>
        <v>Entre 50 e 100 anos</v>
      </c>
      <c r="U4" s="13">
        <f t="shared" si="8"/>
        <v>38.94922491</v>
      </c>
      <c r="V4" s="13">
        <f t="shared" si="9"/>
        <v>38.98179116</v>
      </c>
      <c r="W4" s="13">
        <f t="shared" si="10"/>
        <v>38.98179116</v>
      </c>
      <c r="X4" s="13">
        <f t="shared" si="11"/>
        <v>23.6327795</v>
      </c>
      <c r="Y4" s="12">
        <f t="shared" ref="Y4:AB4" si="18">E4/100</f>
        <v>0.0773</v>
      </c>
      <c r="Z4" s="12">
        <f t="shared" si="18"/>
        <v>0.0764</v>
      </c>
      <c r="AA4" s="12">
        <f t="shared" si="18"/>
        <v>0.0764</v>
      </c>
      <c r="AB4" s="12">
        <f t="shared" si="18"/>
        <v>0.7755</v>
      </c>
      <c r="AC4" s="15">
        <f t="shared" si="13"/>
        <v>7165276351</v>
      </c>
      <c r="AD4" s="15">
        <f t="shared" si="14"/>
        <v>7087772680</v>
      </c>
      <c r="AE4" s="15">
        <f t="shared" si="15"/>
        <v>7087772680</v>
      </c>
      <c r="AF4" s="15">
        <f t="shared" si="16"/>
        <v>43616542549</v>
      </c>
      <c r="AG4" s="15" t="str">
        <f t="shared" ref="AG4:AJ4" si="19">IF(AC4&gt;0,"Subiu",IF(AC4&lt;0,"Desceu","Estavel"))</f>
        <v>Subiu</v>
      </c>
      <c r="AH4" s="15" t="str">
        <f t="shared" si="19"/>
        <v>Subiu</v>
      </c>
      <c r="AI4" s="15" t="str">
        <f t="shared" si="19"/>
        <v>Subiu</v>
      </c>
      <c r="AJ4" s="15" t="str">
        <f t="shared" si="19"/>
        <v>Subiu</v>
      </c>
      <c r="AK4" s="7"/>
      <c r="AL4" s="7"/>
    </row>
    <row r="5">
      <c r="A5" s="16" t="s">
        <v>42</v>
      </c>
      <c r="B5" s="17">
        <v>45317.0</v>
      </c>
      <c r="C5" s="18">
        <v>52.91</v>
      </c>
      <c r="D5" s="16">
        <v>2.04</v>
      </c>
      <c r="E5" s="19">
        <v>2.14</v>
      </c>
      <c r="F5" s="16">
        <v>-4.89</v>
      </c>
      <c r="G5" s="16">
        <v>-4.89</v>
      </c>
      <c r="H5" s="16">
        <v>18.85</v>
      </c>
      <c r="I5" s="16">
        <v>51.89</v>
      </c>
      <c r="J5" s="16">
        <v>53.17</v>
      </c>
      <c r="K5" s="16" t="s">
        <v>43</v>
      </c>
      <c r="L5" s="20">
        <f t="shared" si="3"/>
        <v>0.0204</v>
      </c>
      <c r="M5" s="21">
        <f t="shared" si="4"/>
        <v>51.85221482</v>
      </c>
      <c r="N5" s="22">
        <f>VLOOKUP(A5,Total_de_acoes!A:B,2,0)</f>
        <v>683452836</v>
      </c>
      <c r="O5" s="23">
        <f t="shared" si="5"/>
        <v>722946282.7</v>
      </c>
      <c r="P5" s="23" t="str">
        <f t="shared" si="6"/>
        <v>Subiu</v>
      </c>
      <c r="Q5" s="22" t="str">
        <f>VLOOKUP(A5,Ticker!A:B,2,0)</f>
        <v>Suzano</v>
      </c>
      <c r="R5" s="22" t="str">
        <f>VLOOKUP(Q5,ChatGPT!A:C,2,0)</f>
        <v>Papel e Celulose</v>
      </c>
      <c r="S5" s="22">
        <f>VLOOKUP(Q5,ChatGPT!A:C,3,0)</f>
        <v>100</v>
      </c>
      <c r="T5" s="22" t="str">
        <f t="shared" si="7"/>
        <v>Entre 50 e 100 anos</v>
      </c>
      <c r="U5" s="21">
        <f t="shared" si="8"/>
        <v>51.80144899</v>
      </c>
      <c r="V5" s="21">
        <f t="shared" si="9"/>
        <v>55.63032278</v>
      </c>
      <c r="W5" s="21">
        <f t="shared" si="10"/>
        <v>55.63032278</v>
      </c>
      <c r="X5" s="21">
        <f t="shared" si="11"/>
        <v>44.51830038</v>
      </c>
      <c r="Y5" s="20">
        <f t="shared" ref="Y5:AB5" si="20">E5/100</f>
        <v>0.0214</v>
      </c>
      <c r="Z5" s="20">
        <f t="shared" si="20"/>
        <v>-0.0489</v>
      </c>
      <c r="AA5" s="20">
        <f t="shared" si="20"/>
        <v>-0.0489</v>
      </c>
      <c r="AB5" s="20">
        <f t="shared" si="20"/>
        <v>0.1885</v>
      </c>
      <c r="AC5" s="23">
        <f t="shared" si="13"/>
        <v>757642330.6</v>
      </c>
      <c r="AD5" s="23">
        <f t="shared" si="14"/>
        <v>-1859212322</v>
      </c>
      <c r="AE5" s="23">
        <f t="shared" si="15"/>
        <v>-1859212322</v>
      </c>
      <c r="AF5" s="23">
        <f t="shared" si="16"/>
        <v>5735330905</v>
      </c>
      <c r="AG5" s="15" t="str">
        <f t="shared" ref="AG5:AJ5" si="21">IF(AC5&gt;0,"Subiu",IF(AC5&lt;0,"Desceu","Estavel"))</f>
        <v>Subiu</v>
      </c>
      <c r="AH5" s="15" t="str">
        <f t="shared" si="21"/>
        <v>Desceu</v>
      </c>
      <c r="AI5" s="15" t="str">
        <f t="shared" si="21"/>
        <v>Desceu</v>
      </c>
      <c r="AJ5" s="15" t="str">
        <f t="shared" si="21"/>
        <v>Subiu</v>
      </c>
      <c r="AK5" s="7"/>
      <c r="AL5" s="7"/>
    </row>
    <row r="6">
      <c r="A6" s="8" t="s">
        <v>44</v>
      </c>
      <c r="B6" s="9">
        <v>45317.0</v>
      </c>
      <c r="C6" s="10">
        <v>37.1</v>
      </c>
      <c r="D6" s="8">
        <v>2.03</v>
      </c>
      <c r="E6" s="11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8" t="s">
        <v>45</v>
      </c>
      <c r="L6" s="12">
        <f t="shared" si="3"/>
        <v>0.0203</v>
      </c>
      <c r="M6" s="13">
        <f t="shared" si="4"/>
        <v>36.36185436</v>
      </c>
      <c r="N6" s="14">
        <f>VLOOKUP(A6,Total_de_acoes!A:B,2,0)</f>
        <v>187732538</v>
      </c>
      <c r="O6" s="15">
        <f t="shared" si="5"/>
        <v>138573955.1</v>
      </c>
      <c r="P6" s="15" t="str">
        <f t="shared" si="6"/>
        <v>Subiu</v>
      </c>
      <c r="Q6" s="14" t="str">
        <f>VLOOKUP(A6,Ticker!A:B,2,0)</f>
        <v>CPFL Energia</v>
      </c>
      <c r="R6" s="14" t="str">
        <f>VLOOKUP(Q6,ChatGPT!A:C,2,0)</f>
        <v>Energia </v>
      </c>
      <c r="S6" s="14">
        <f>VLOOKUP(Q6,ChatGPT!A:C,3,0)</f>
        <v>112</v>
      </c>
      <c r="T6" s="14" t="str">
        <f t="shared" si="7"/>
        <v>Mais de 100 anos</v>
      </c>
      <c r="U6" s="13">
        <f t="shared" si="8"/>
        <v>36.19865353</v>
      </c>
      <c r="V6" s="13">
        <f t="shared" si="9"/>
        <v>38.50944571</v>
      </c>
      <c r="W6" s="13">
        <f t="shared" si="10"/>
        <v>38.50944571</v>
      </c>
      <c r="X6" s="13">
        <f t="shared" si="11"/>
        <v>30.73736537</v>
      </c>
      <c r="Y6" s="12">
        <f t="shared" ref="Y6:AB6" si="22">E6/100</f>
        <v>0.0249</v>
      </c>
      <c r="Z6" s="12">
        <f t="shared" si="22"/>
        <v>-0.0366</v>
      </c>
      <c r="AA6" s="12">
        <f t="shared" si="22"/>
        <v>-0.0366</v>
      </c>
      <c r="AB6" s="12">
        <f t="shared" si="22"/>
        <v>0.207</v>
      </c>
      <c r="AC6" s="15">
        <f t="shared" si="13"/>
        <v>169212061</v>
      </c>
      <c r="AD6" s="15">
        <f t="shared" si="14"/>
        <v>-264598820.9</v>
      </c>
      <c r="AE6" s="15">
        <f t="shared" si="15"/>
        <v>-264598820.9</v>
      </c>
      <c r="AF6" s="15">
        <f t="shared" si="16"/>
        <v>1194473548</v>
      </c>
      <c r="AG6" s="15" t="str">
        <f t="shared" ref="AG6:AJ6" si="23">IF(AC6&gt;0,"Subiu",IF(AC6&lt;0,"Desceu","Estavel"))</f>
        <v>Subiu</v>
      </c>
      <c r="AH6" s="15" t="str">
        <f t="shared" si="23"/>
        <v>Desceu</v>
      </c>
      <c r="AI6" s="15" t="str">
        <f t="shared" si="23"/>
        <v>Desceu</v>
      </c>
      <c r="AJ6" s="15" t="str">
        <f t="shared" si="23"/>
        <v>Subiu</v>
      </c>
      <c r="AK6" s="7"/>
      <c r="AL6" s="7"/>
    </row>
    <row r="7">
      <c r="A7" s="16" t="s">
        <v>46</v>
      </c>
      <c r="B7" s="17">
        <v>45317.0</v>
      </c>
      <c r="C7" s="18">
        <v>45.69</v>
      </c>
      <c r="D7" s="16">
        <v>1.98</v>
      </c>
      <c r="E7" s="19">
        <v>2.42</v>
      </c>
      <c r="F7" s="16">
        <v>-0.78</v>
      </c>
      <c r="G7" s="16">
        <v>-0.78</v>
      </c>
      <c r="H7" s="16">
        <v>8.08</v>
      </c>
      <c r="I7" s="16">
        <v>44.25</v>
      </c>
      <c r="J7" s="16">
        <v>45.69</v>
      </c>
      <c r="K7" s="16" t="s">
        <v>47</v>
      </c>
      <c r="L7" s="20">
        <f t="shared" si="3"/>
        <v>0.0198</v>
      </c>
      <c r="M7" s="21">
        <f t="shared" si="4"/>
        <v>44.80290253</v>
      </c>
      <c r="N7" s="22">
        <f>VLOOKUP(A7,Total_de_acoes!A:B,2,0)</f>
        <v>800010734</v>
      </c>
      <c r="O7" s="23">
        <f t="shared" si="5"/>
        <v>709687498.2</v>
      </c>
      <c r="P7" s="23" t="str">
        <f t="shared" si="6"/>
        <v>Subiu</v>
      </c>
      <c r="Q7" s="22" t="str">
        <f>VLOOKUP(A7,Ticker!A:B,2,0)</f>
        <v>PetroRio</v>
      </c>
      <c r="R7" s="22" t="str">
        <f>VLOOKUP(Q7,ChatGPT!A:C,2,0)</f>
        <v>Energia </v>
      </c>
      <c r="S7" s="22">
        <f>VLOOKUP(Q7,ChatGPT!A:C,3,0)</f>
        <v>14</v>
      </c>
      <c r="T7" s="22" t="str">
        <f t="shared" si="7"/>
        <v>Menos de 50 anos</v>
      </c>
      <c r="U7" s="21">
        <f t="shared" si="8"/>
        <v>44.61042765</v>
      </c>
      <c r="V7" s="21">
        <f t="shared" si="9"/>
        <v>46.04918363</v>
      </c>
      <c r="W7" s="21">
        <f t="shared" si="10"/>
        <v>46.04918363</v>
      </c>
      <c r="X7" s="21">
        <f t="shared" si="11"/>
        <v>42.2742413</v>
      </c>
      <c r="Y7" s="20">
        <f t="shared" ref="Y7:AB7" si="24">E7/100</f>
        <v>0.0242</v>
      </c>
      <c r="Z7" s="20">
        <f t="shared" si="24"/>
        <v>-0.0078</v>
      </c>
      <c r="AA7" s="20">
        <f t="shared" si="24"/>
        <v>-0.0078</v>
      </c>
      <c r="AB7" s="20">
        <f t="shared" si="24"/>
        <v>0.0808</v>
      </c>
      <c r="AC7" s="23">
        <f t="shared" si="13"/>
        <v>863669467.5</v>
      </c>
      <c r="AD7" s="23">
        <f t="shared" si="14"/>
        <v>-287350761.3</v>
      </c>
      <c r="AE7" s="23">
        <f t="shared" si="15"/>
        <v>-287350761.3</v>
      </c>
      <c r="AF7" s="23">
        <f t="shared" si="16"/>
        <v>2732643623</v>
      </c>
      <c r="AG7" s="15" t="str">
        <f t="shared" ref="AG7:AJ7" si="25">IF(AC7&gt;0,"Subiu",IF(AC7&lt;0,"Desceu","Estavel"))</f>
        <v>Subiu</v>
      </c>
      <c r="AH7" s="15" t="str">
        <f t="shared" si="25"/>
        <v>Desceu</v>
      </c>
      <c r="AI7" s="15" t="str">
        <f t="shared" si="25"/>
        <v>Desceu</v>
      </c>
      <c r="AJ7" s="15" t="str">
        <f t="shared" si="25"/>
        <v>Subiu</v>
      </c>
      <c r="AK7" s="7"/>
      <c r="AL7" s="7"/>
    </row>
    <row r="8">
      <c r="A8" s="8" t="s">
        <v>48</v>
      </c>
      <c r="B8" s="9">
        <v>45317.0</v>
      </c>
      <c r="C8" s="10">
        <v>39.96</v>
      </c>
      <c r="D8" s="8">
        <v>1.73</v>
      </c>
      <c r="E8" s="11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8" t="s">
        <v>49</v>
      </c>
      <c r="L8" s="12">
        <f t="shared" si="3"/>
        <v>0.0173</v>
      </c>
      <c r="M8" s="13">
        <f t="shared" si="4"/>
        <v>39.28044825</v>
      </c>
      <c r="N8" s="14">
        <f>VLOOKUP(A8,Total_de_acoes!A:B,2,0)</f>
        <v>4566445852</v>
      </c>
      <c r="O8" s="15">
        <f t="shared" si="5"/>
        <v>3103136291</v>
      </c>
      <c r="P8" s="15" t="str">
        <f t="shared" si="6"/>
        <v>Subiu</v>
      </c>
      <c r="Q8" s="14" t="str">
        <f>VLOOKUP(A8,Ticker!A:B,2,0)</f>
        <v>Petrobras</v>
      </c>
      <c r="R8" s="14" t="str">
        <f>VLOOKUP(Q8,ChatGPT!A:C,2,0)</f>
        <v>Energia </v>
      </c>
      <c r="S8" s="14">
        <f>VLOOKUP(Q8,ChatGPT!A:C,3,0)</f>
        <v>71</v>
      </c>
      <c r="T8" s="14" t="str">
        <f t="shared" si="7"/>
        <v>Entre 50 e 100 anos</v>
      </c>
      <c r="U8" s="13">
        <f t="shared" si="8"/>
        <v>37.53169907</v>
      </c>
      <c r="V8" s="13">
        <f t="shared" si="9"/>
        <v>37.24137931</v>
      </c>
      <c r="W8" s="13">
        <f t="shared" si="10"/>
        <v>37.24137931</v>
      </c>
      <c r="X8" s="13">
        <f t="shared" si="11"/>
        <v>20.49125686</v>
      </c>
      <c r="Y8" s="12">
        <f t="shared" ref="Y8:AB8" si="26">E8/100</f>
        <v>0.0647</v>
      </c>
      <c r="Z8" s="12">
        <f t="shared" si="26"/>
        <v>0.073</v>
      </c>
      <c r="AA8" s="12">
        <f t="shared" si="26"/>
        <v>0.073</v>
      </c>
      <c r="AB8" s="12">
        <f t="shared" si="26"/>
        <v>0.9501</v>
      </c>
      <c r="AC8" s="15">
        <f t="shared" si="13"/>
        <v>11088704708</v>
      </c>
      <c r="AD8" s="15">
        <f t="shared" si="14"/>
        <v>12414434171</v>
      </c>
      <c r="AE8" s="15">
        <f t="shared" si="15"/>
        <v>12414434171</v>
      </c>
      <c r="AF8" s="15">
        <f t="shared" si="16"/>
        <v>88902961362</v>
      </c>
      <c r="AG8" s="15" t="str">
        <f t="shared" ref="AG8:AJ8" si="27">IF(AC8&gt;0,"Subiu",IF(AC8&lt;0,"Desceu","Estavel"))</f>
        <v>Subiu</v>
      </c>
      <c r="AH8" s="15" t="str">
        <f t="shared" si="27"/>
        <v>Subiu</v>
      </c>
      <c r="AI8" s="15" t="str">
        <f t="shared" si="27"/>
        <v>Subiu</v>
      </c>
      <c r="AJ8" s="15" t="str">
        <f t="shared" si="27"/>
        <v>Subiu</v>
      </c>
      <c r="AK8" s="7"/>
      <c r="AL8" s="7"/>
    </row>
    <row r="9">
      <c r="A9" s="16" t="s">
        <v>50</v>
      </c>
      <c r="B9" s="17">
        <v>45317.0</v>
      </c>
      <c r="C9" s="18">
        <v>69.5</v>
      </c>
      <c r="D9" s="16">
        <v>1.66</v>
      </c>
      <c r="E9" s="19">
        <v>2.06</v>
      </c>
      <c r="F9" s="16">
        <v>-9.97</v>
      </c>
      <c r="G9" s="16">
        <v>-9.97</v>
      </c>
      <c r="H9" s="16">
        <v>-23.49</v>
      </c>
      <c r="I9" s="16">
        <v>67.5</v>
      </c>
      <c r="J9" s="16">
        <v>69.81</v>
      </c>
      <c r="K9" s="16" t="s">
        <v>51</v>
      </c>
      <c r="L9" s="20">
        <f t="shared" si="3"/>
        <v>0.0166</v>
      </c>
      <c r="M9" s="21">
        <f t="shared" si="4"/>
        <v>68.3651387</v>
      </c>
      <c r="N9" s="22">
        <f>VLOOKUP(A9,Total_de_acoes!A:B,2,0)</f>
        <v>4196924316</v>
      </c>
      <c r="O9" s="23">
        <f t="shared" si="5"/>
        <v>4762926995</v>
      </c>
      <c r="P9" s="23" t="str">
        <f t="shared" si="6"/>
        <v>Subiu</v>
      </c>
      <c r="Q9" s="22" t="str">
        <f>VLOOKUP(A9,Ticker!A:B,2,0)</f>
        <v>Vale</v>
      </c>
      <c r="R9" s="22" t="str">
        <f>VLOOKUP(Q9,ChatGPT!A:C,2,0)</f>
        <v>Mineração</v>
      </c>
      <c r="S9" s="22">
        <f>VLOOKUP(Q9,ChatGPT!A:C,3,0)</f>
        <v>82</v>
      </c>
      <c r="T9" s="22" t="str">
        <f t="shared" si="7"/>
        <v>Entre 50 e 100 anos</v>
      </c>
      <c r="U9" s="21">
        <f t="shared" si="8"/>
        <v>68.09719773</v>
      </c>
      <c r="V9" s="21">
        <f t="shared" si="9"/>
        <v>77.19649006</v>
      </c>
      <c r="W9" s="21">
        <f t="shared" si="10"/>
        <v>77.19649006</v>
      </c>
      <c r="X9" s="21">
        <f t="shared" si="11"/>
        <v>90.83779898</v>
      </c>
      <c r="Y9" s="20">
        <f t="shared" ref="Y9:AB9" si="28">E9/100</f>
        <v>0.0206</v>
      </c>
      <c r="Z9" s="20">
        <f t="shared" si="28"/>
        <v>-0.0997</v>
      </c>
      <c r="AA9" s="20">
        <f t="shared" si="28"/>
        <v>-0.0997</v>
      </c>
      <c r="AB9" s="20">
        <f t="shared" si="28"/>
        <v>-0.2349</v>
      </c>
      <c r="AC9" s="23">
        <f t="shared" si="13"/>
        <v>5887454971</v>
      </c>
      <c r="AD9" s="23">
        <f t="shared" si="14"/>
        <v>-32301586276</v>
      </c>
      <c r="AE9" s="23">
        <f t="shared" si="15"/>
        <v>-32301586276</v>
      </c>
      <c r="AF9" s="23">
        <f t="shared" si="16"/>
        <v>-89553127391</v>
      </c>
      <c r="AG9" s="15" t="str">
        <f t="shared" ref="AG9:AJ9" si="29">IF(AC9&gt;0,"Subiu",IF(AC9&lt;0,"Desceu","Estavel"))</f>
        <v>Subiu</v>
      </c>
      <c r="AH9" s="15" t="str">
        <f t="shared" si="29"/>
        <v>Desceu</v>
      </c>
      <c r="AI9" s="15" t="str">
        <f t="shared" si="29"/>
        <v>Desceu</v>
      </c>
      <c r="AJ9" s="15" t="str">
        <f t="shared" si="29"/>
        <v>Desceu</v>
      </c>
      <c r="AK9" s="7"/>
      <c r="AL9" s="7"/>
    </row>
    <row r="10">
      <c r="A10" s="8" t="s">
        <v>52</v>
      </c>
      <c r="B10" s="9">
        <v>45317.0</v>
      </c>
      <c r="C10" s="10">
        <v>28.19</v>
      </c>
      <c r="D10" s="8">
        <v>1.58</v>
      </c>
      <c r="E10" s="11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8" t="s">
        <v>53</v>
      </c>
      <c r="L10" s="12">
        <f t="shared" si="3"/>
        <v>0.0158</v>
      </c>
      <c r="M10" s="13">
        <f t="shared" si="4"/>
        <v>27.75152589</v>
      </c>
      <c r="N10" s="14">
        <f>VLOOKUP(A10,Total_de_acoes!A:B,2,0)</f>
        <v>268505432</v>
      </c>
      <c r="O10" s="15">
        <f t="shared" si="5"/>
        <v>117732680.1</v>
      </c>
      <c r="P10" s="15" t="str">
        <f t="shared" si="6"/>
        <v>Subiu</v>
      </c>
      <c r="Q10" s="14" t="str">
        <f>VLOOKUP(A10,Ticker!A:B,2,0)</f>
        <v>Multiplan</v>
      </c>
      <c r="R10" s="14" t="str">
        <f>VLOOKUP(Q10,ChatGPT!A:C,2,0)</f>
        <v>Shopping Centers</v>
      </c>
      <c r="S10" s="14">
        <f>VLOOKUP(Q10,ChatGPT!A:C,3,0)</f>
        <v>50</v>
      </c>
      <c r="T10" s="14" t="str">
        <f t="shared" si="7"/>
        <v>Entre 50 e 100 anos</v>
      </c>
      <c r="U10" s="13">
        <f t="shared" si="8"/>
        <v>27.62912869</v>
      </c>
      <c r="V10" s="13">
        <f t="shared" si="9"/>
        <v>28.42020365</v>
      </c>
      <c r="W10" s="13">
        <f t="shared" si="10"/>
        <v>28.42020365</v>
      </c>
      <c r="X10" s="13">
        <f t="shared" si="11"/>
        <v>22.73020481</v>
      </c>
      <c r="Y10" s="12">
        <f t="shared" ref="Y10:AB10" si="30">E10/100</f>
        <v>0.0203</v>
      </c>
      <c r="Z10" s="12">
        <f t="shared" si="30"/>
        <v>-0.0081</v>
      </c>
      <c r="AA10" s="12">
        <f t="shared" si="30"/>
        <v>-0.0081</v>
      </c>
      <c r="AB10" s="12">
        <f t="shared" si="30"/>
        <v>0.2402</v>
      </c>
      <c r="AC10" s="15">
        <f t="shared" si="13"/>
        <v>150596994</v>
      </c>
      <c r="AD10" s="15">
        <f t="shared" si="14"/>
        <v>-61810930.37</v>
      </c>
      <c r="AE10" s="15">
        <f t="shared" si="15"/>
        <v>-61810930.37</v>
      </c>
      <c r="AF10" s="15">
        <f t="shared" si="16"/>
        <v>1465984667</v>
      </c>
      <c r="AG10" s="15" t="str">
        <f t="shared" ref="AG10:AJ10" si="31">IF(AC10&gt;0,"Subiu",IF(AC10&lt;0,"Desceu","Estavel"))</f>
        <v>Subiu</v>
      </c>
      <c r="AH10" s="15" t="str">
        <f t="shared" si="31"/>
        <v>Desceu</v>
      </c>
      <c r="AI10" s="15" t="str">
        <f t="shared" si="31"/>
        <v>Desceu</v>
      </c>
      <c r="AJ10" s="15" t="str">
        <f t="shared" si="31"/>
        <v>Subiu</v>
      </c>
      <c r="AK10" s="7"/>
      <c r="AL10" s="7"/>
    </row>
    <row r="11">
      <c r="A11" s="16" t="s">
        <v>54</v>
      </c>
      <c r="B11" s="17">
        <v>45317.0</v>
      </c>
      <c r="C11" s="18">
        <v>32.81</v>
      </c>
      <c r="D11" s="16">
        <v>1.48</v>
      </c>
      <c r="E11" s="19">
        <v>-0.39</v>
      </c>
      <c r="F11" s="16">
        <v>-3.36</v>
      </c>
      <c r="G11" s="16">
        <v>-3.36</v>
      </c>
      <c r="H11" s="16">
        <v>34.25</v>
      </c>
      <c r="I11" s="16">
        <v>32.35</v>
      </c>
      <c r="J11" s="16">
        <v>32.91</v>
      </c>
      <c r="K11" s="16" t="s">
        <v>55</v>
      </c>
      <c r="L11" s="20">
        <f t="shared" si="3"/>
        <v>0.0148</v>
      </c>
      <c r="M11" s="21">
        <f t="shared" si="4"/>
        <v>32.33149389</v>
      </c>
      <c r="N11" s="22">
        <f>VLOOKUP(A11,Total_de_acoes!A:B,2,0)</f>
        <v>4801593832</v>
      </c>
      <c r="O11" s="23">
        <f t="shared" si="5"/>
        <v>2297591984</v>
      </c>
      <c r="P11" s="23" t="str">
        <f t="shared" si="6"/>
        <v>Subiu</v>
      </c>
      <c r="Q11" s="22" t="str">
        <f>VLOOKUP(A11,Ticker!A:B,2,0)</f>
        <v>Itaú Unibanco</v>
      </c>
      <c r="R11" s="22" t="str">
        <f>VLOOKUP(Q11,ChatGPT!A:C,2,0)</f>
        <v>Serviços Financeiros</v>
      </c>
      <c r="S11" s="22">
        <f>VLOOKUP(Q11,ChatGPT!A:C,3,0)</f>
        <v>16</v>
      </c>
      <c r="T11" s="22" t="str">
        <f t="shared" si="7"/>
        <v>Menos de 50 anos</v>
      </c>
      <c r="U11" s="21">
        <f t="shared" si="8"/>
        <v>32.93845999</v>
      </c>
      <c r="V11" s="21">
        <f t="shared" si="9"/>
        <v>33.95074503</v>
      </c>
      <c r="W11" s="21">
        <f t="shared" si="10"/>
        <v>33.95074503</v>
      </c>
      <c r="X11" s="21">
        <f t="shared" si="11"/>
        <v>24.43947858</v>
      </c>
      <c r="Y11" s="20">
        <f t="shared" ref="Y11:AB11" si="32">E11/100</f>
        <v>-0.0039</v>
      </c>
      <c r="Z11" s="20">
        <f t="shared" si="32"/>
        <v>-0.0336</v>
      </c>
      <c r="AA11" s="20">
        <f t="shared" si="32"/>
        <v>-0.0336</v>
      </c>
      <c r="AB11" s="20">
        <f t="shared" si="32"/>
        <v>0.3425</v>
      </c>
      <c r="AC11" s="23">
        <f t="shared" si="13"/>
        <v>-616812714.7</v>
      </c>
      <c r="AD11" s="23">
        <f t="shared" si="14"/>
        <v>-5477394315</v>
      </c>
      <c r="AE11" s="23">
        <f t="shared" si="15"/>
        <v>-5477394315</v>
      </c>
      <c r="AF11" s="23">
        <f t="shared" si="16"/>
        <v>40191843998</v>
      </c>
      <c r="AG11" s="15" t="str">
        <f t="shared" ref="AG11:AJ11" si="33">IF(AC11&gt;0,"Subiu",IF(AC11&lt;0,"Desceu","Estavel"))</f>
        <v>Desceu</v>
      </c>
      <c r="AH11" s="15" t="str">
        <f t="shared" si="33"/>
        <v>Desceu</v>
      </c>
      <c r="AI11" s="15" t="str">
        <f t="shared" si="33"/>
        <v>Desceu</v>
      </c>
      <c r="AJ11" s="15" t="str">
        <f t="shared" si="33"/>
        <v>Subiu</v>
      </c>
      <c r="AK11" s="7"/>
      <c r="AL11" s="7"/>
    </row>
    <row r="12">
      <c r="A12" s="8" t="s">
        <v>56</v>
      </c>
      <c r="B12" s="9">
        <v>45317.0</v>
      </c>
      <c r="C12" s="10">
        <v>27.56</v>
      </c>
      <c r="D12" s="8">
        <v>1.43</v>
      </c>
      <c r="E12" s="11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8" t="s">
        <v>57</v>
      </c>
      <c r="L12" s="12">
        <f t="shared" si="3"/>
        <v>0.0143</v>
      </c>
      <c r="M12" s="13">
        <f t="shared" si="4"/>
        <v>27.17144829</v>
      </c>
      <c r="N12" s="14">
        <f>VLOOKUP(A12,Total_de_acoes!A:B,2,0)</f>
        <v>1168230366</v>
      </c>
      <c r="O12" s="15">
        <f t="shared" si="5"/>
        <v>453917907</v>
      </c>
      <c r="P12" s="15" t="str">
        <f t="shared" si="6"/>
        <v>Subiu</v>
      </c>
      <c r="Q12" s="14" t="str">
        <f>VLOOKUP(A12,Ticker!A:B,2,0)</f>
        <v>Rede D'Or</v>
      </c>
      <c r="R12" s="14" t="str">
        <f>VLOOKUP(Q12,ChatGPT!A:C,2,0)</f>
        <v>Saúde</v>
      </c>
      <c r="S12" s="14">
        <f>VLOOKUP(Q12,ChatGPT!A:C,3,0)</f>
        <v>47</v>
      </c>
      <c r="T12" s="14" t="str">
        <f t="shared" si="7"/>
        <v>Menos de 50 anos</v>
      </c>
      <c r="U12" s="13">
        <f t="shared" si="8"/>
        <v>26.65119428</v>
      </c>
      <c r="V12" s="13">
        <f t="shared" si="9"/>
        <v>28.75926119</v>
      </c>
      <c r="W12" s="13">
        <f t="shared" si="10"/>
        <v>28.75926119</v>
      </c>
      <c r="X12" s="13">
        <f t="shared" si="11"/>
        <v>29.32226833</v>
      </c>
      <c r="Y12" s="12">
        <f t="shared" ref="Y12:AB12" si="34">E12/100</f>
        <v>0.0341</v>
      </c>
      <c r="Z12" s="12">
        <f t="shared" si="34"/>
        <v>-0.0417</v>
      </c>
      <c r="AA12" s="12">
        <f t="shared" si="34"/>
        <v>-0.0417</v>
      </c>
      <c r="AB12" s="12">
        <f t="shared" si="34"/>
        <v>-0.0601</v>
      </c>
      <c r="AC12" s="15">
        <f t="shared" si="13"/>
        <v>1061694444</v>
      </c>
      <c r="AD12" s="15">
        <f t="shared" si="14"/>
        <v>-1401013341</v>
      </c>
      <c r="AE12" s="15">
        <f t="shared" si="15"/>
        <v>-1401013341</v>
      </c>
      <c r="AF12" s="15">
        <f t="shared" si="16"/>
        <v>-2058735372</v>
      </c>
      <c r="AG12" s="15" t="str">
        <f t="shared" ref="AG12:AJ12" si="35">IF(AC12&gt;0,"Subiu",IF(AC12&lt;0,"Desceu","Estavel"))</f>
        <v>Subiu</v>
      </c>
      <c r="AH12" s="15" t="str">
        <f t="shared" si="35"/>
        <v>Desceu</v>
      </c>
      <c r="AI12" s="15" t="str">
        <f t="shared" si="35"/>
        <v>Desceu</v>
      </c>
      <c r="AJ12" s="15" t="str">
        <f t="shared" si="35"/>
        <v>Desceu</v>
      </c>
      <c r="AK12" s="7"/>
      <c r="AL12" s="7"/>
    </row>
    <row r="13">
      <c r="A13" s="16" t="s">
        <v>58</v>
      </c>
      <c r="B13" s="17">
        <v>45317.0</v>
      </c>
      <c r="C13" s="18">
        <v>18.55</v>
      </c>
      <c r="D13" s="16">
        <v>1.42</v>
      </c>
      <c r="E13" s="19">
        <v>5.1</v>
      </c>
      <c r="F13" s="16">
        <v>-15.14</v>
      </c>
      <c r="G13" s="16">
        <v>-15.14</v>
      </c>
      <c r="H13" s="16">
        <v>-18.39</v>
      </c>
      <c r="I13" s="16">
        <v>18.29</v>
      </c>
      <c r="J13" s="16">
        <v>18.73</v>
      </c>
      <c r="K13" s="16" t="s">
        <v>59</v>
      </c>
      <c r="L13" s="20">
        <f t="shared" si="3"/>
        <v>0.0142</v>
      </c>
      <c r="M13" s="21">
        <f t="shared" si="4"/>
        <v>18.29027805</v>
      </c>
      <c r="N13" s="22">
        <f>VLOOKUP(A13,Total_de_acoes!A:B,2,0)</f>
        <v>265877867</v>
      </c>
      <c r="O13" s="23">
        <f t="shared" si="5"/>
        <v>69054317.64</v>
      </c>
      <c r="P13" s="23" t="str">
        <f t="shared" si="6"/>
        <v>Subiu</v>
      </c>
      <c r="Q13" s="22" t="str">
        <f>VLOOKUP(A13,Ticker!A:B,2,0)</f>
        <v>Braskem</v>
      </c>
      <c r="R13" s="22" t="str">
        <f>VLOOKUP(Q13,ChatGPT!A:C,2,0)</f>
        <v>Petroquímica</v>
      </c>
      <c r="S13" s="22">
        <f>VLOOKUP(Q13,ChatGPT!A:C,3,0)</f>
        <v>22</v>
      </c>
      <c r="T13" s="22" t="str">
        <f t="shared" si="7"/>
        <v>Menos de 50 anos</v>
      </c>
      <c r="U13" s="21">
        <f t="shared" si="8"/>
        <v>17.64985728</v>
      </c>
      <c r="V13" s="21">
        <f t="shared" si="9"/>
        <v>21.85953335</v>
      </c>
      <c r="W13" s="21">
        <f t="shared" si="10"/>
        <v>21.85953335</v>
      </c>
      <c r="X13" s="21">
        <f t="shared" si="11"/>
        <v>22.73005759</v>
      </c>
      <c r="Y13" s="20">
        <f t="shared" ref="Y13:AB13" si="36">E13/100</f>
        <v>0.051</v>
      </c>
      <c r="Z13" s="20">
        <f t="shared" si="36"/>
        <v>-0.1514</v>
      </c>
      <c r="AA13" s="20">
        <f t="shared" si="36"/>
        <v>-0.1514</v>
      </c>
      <c r="AB13" s="20">
        <f t="shared" si="36"/>
        <v>-0.1839</v>
      </c>
      <c r="AC13" s="23">
        <f t="shared" si="13"/>
        <v>239328026.7</v>
      </c>
      <c r="AD13" s="23">
        <f t="shared" si="14"/>
        <v>-879931667.6</v>
      </c>
      <c r="AE13" s="23">
        <f t="shared" si="15"/>
        <v>-879931667.6</v>
      </c>
      <c r="AF13" s="23">
        <f t="shared" si="16"/>
        <v>-1111384796</v>
      </c>
      <c r="AG13" s="15" t="str">
        <f t="shared" ref="AG13:AJ13" si="37">IF(AC13&gt;0,"Subiu",IF(AC13&lt;0,"Desceu","Estavel"))</f>
        <v>Subiu</v>
      </c>
      <c r="AH13" s="15" t="str">
        <f t="shared" si="37"/>
        <v>Desceu</v>
      </c>
      <c r="AI13" s="15" t="str">
        <f t="shared" si="37"/>
        <v>Desceu</v>
      </c>
      <c r="AJ13" s="15" t="str">
        <f t="shared" si="37"/>
        <v>Desceu</v>
      </c>
      <c r="AK13" s="7"/>
      <c r="AL13" s="7"/>
    </row>
    <row r="14">
      <c r="A14" s="8" t="s">
        <v>60</v>
      </c>
      <c r="B14" s="9">
        <v>45317.0</v>
      </c>
      <c r="C14" s="10">
        <v>14.27</v>
      </c>
      <c r="D14" s="8">
        <v>1.42</v>
      </c>
      <c r="E14" s="11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8" t="s">
        <v>61</v>
      </c>
      <c r="L14" s="12">
        <f t="shared" si="3"/>
        <v>0.0142</v>
      </c>
      <c r="M14" s="13">
        <f t="shared" si="4"/>
        <v>14.07020312</v>
      </c>
      <c r="N14" s="14">
        <f>VLOOKUP(A14,Total_de_acoes!A:B,2,0)</f>
        <v>327593725</v>
      </c>
      <c r="O14" s="15">
        <f t="shared" si="5"/>
        <v>65452205.55</v>
      </c>
      <c r="P14" s="15" t="str">
        <f t="shared" si="6"/>
        <v>Subiu</v>
      </c>
      <c r="Q14" s="14" t="str">
        <f>VLOOKUP(A14,Ticker!A:B,2,0)</f>
        <v>Azul</v>
      </c>
      <c r="R14" s="14" t="str">
        <f>VLOOKUP(Q14,ChatGPT!A:C,2,0)</f>
        <v>Transporte Aéreo</v>
      </c>
      <c r="S14" s="14">
        <f>VLOOKUP(Q14,ChatGPT!A:C,3,0)</f>
        <v>16</v>
      </c>
      <c r="T14" s="14" t="str">
        <f t="shared" si="7"/>
        <v>Menos de 50 anos</v>
      </c>
      <c r="U14" s="13">
        <f t="shared" si="8"/>
        <v>13.10978411</v>
      </c>
      <c r="V14" s="13">
        <f t="shared" si="9"/>
        <v>16.010322</v>
      </c>
      <c r="W14" s="13">
        <f t="shared" si="10"/>
        <v>16.010322</v>
      </c>
      <c r="X14" s="13">
        <f t="shared" si="11"/>
        <v>12.040162</v>
      </c>
      <c r="Y14" s="12">
        <f t="shared" ref="Y14:AB14" si="38">E14/100</f>
        <v>0.0885</v>
      </c>
      <c r="Z14" s="12">
        <f t="shared" si="38"/>
        <v>-0.1087</v>
      </c>
      <c r="AA14" s="12">
        <f t="shared" si="38"/>
        <v>-0.1087</v>
      </c>
      <c r="AB14" s="12">
        <f t="shared" si="38"/>
        <v>0.1852</v>
      </c>
      <c r="AC14" s="15">
        <f t="shared" si="13"/>
        <v>380079446.3</v>
      </c>
      <c r="AD14" s="15">
        <f t="shared" si="14"/>
        <v>-570118567.2</v>
      </c>
      <c r="AE14" s="15">
        <f t="shared" si="15"/>
        <v>-570118567.2</v>
      </c>
      <c r="AF14" s="15">
        <f t="shared" si="16"/>
        <v>730480937.2</v>
      </c>
      <c r="AG14" s="15" t="str">
        <f t="shared" ref="AG14:AJ14" si="39">IF(AC14&gt;0,"Subiu",IF(AC14&lt;0,"Desceu","Estavel"))</f>
        <v>Subiu</v>
      </c>
      <c r="AH14" s="15" t="str">
        <f t="shared" si="39"/>
        <v>Desceu</v>
      </c>
      <c r="AI14" s="15" t="str">
        <f t="shared" si="39"/>
        <v>Desceu</v>
      </c>
      <c r="AJ14" s="15" t="str">
        <f t="shared" si="39"/>
        <v>Subiu</v>
      </c>
      <c r="AK14" s="7"/>
      <c r="AL14" s="7"/>
    </row>
    <row r="15">
      <c r="A15" s="16" t="s">
        <v>62</v>
      </c>
      <c r="B15" s="17">
        <v>45317.0</v>
      </c>
      <c r="C15" s="18">
        <v>28.75</v>
      </c>
      <c r="D15" s="16">
        <v>1.41</v>
      </c>
      <c r="E15" s="19">
        <v>-2.71</v>
      </c>
      <c r="F15" s="16">
        <v>9.4</v>
      </c>
      <c r="G15" s="16">
        <v>9.4</v>
      </c>
      <c r="H15" s="16">
        <v>-37.7</v>
      </c>
      <c r="I15" s="16">
        <v>28.0</v>
      </c>
      <c r="J15" s="16">
        <v>28.75</v>
      </c>
      <c r="K15" s="16" t="s">
        <v>63</v>
      </c>
      <c r="L15" s="20">
        <f t="shared" si="3"/>
        <v>0.0141</v>
      </c>
      <c r="M15" s="21">
        <f t="shared" si="4"/>
        <v>28.35026132</v>
      </c>
      <c r="N15" s="22">
        <f>VLOOKUP(A15,Total_de_acoes!A:B,2,0)</f>
        <v>235665566</v>
      </c>
      <c r="O15" s="23">
        <f t="shared" si="5"/>
        <v>94204643.35</v>
      </c>
      <c r="P15" s="23" t="str">
        <f t="shared" si="6"/>
        <v>Subiu</v>
      </c>
      <c r="Q15" s="22" t="str">
        <f>VLOOKUP(A15,Ticker!A:B,2,0)</f>
        <v>3R Petroleum</v>
      </c>
      <c r="R15" s="22" t="str">
        <f>VLOOKUP(Q15,ChatGPT!A:C,2,0)</f>
        <v>Energia (Petróleo e Gás)</v>
      </c>
      <c r="S15" s="22">
        <f>VLOOKUP(Q15,ChatGPT!A:C,3,0)</f>
        <v>10</v>
      </c>
      <c r="T15" s="22" t="str">
        <f t="shared" si="7"/>
        <v>Menos de 50 anos</v>
      </c>
      <c r="U15" s="21">
        <f t="shared" si="8"/>
        <v>29.55082742</v>
      </c>
      <c r="V15" s="21">
        <f t="shared" si="9"/>
        <v>26.2797075</v>
      </c>
      <c r="W15" s="21">
        <f t="shared" si="10"/>
        <v>26.2797075</v>
      </c>
      <c r="X15" s="21">
        <f t="shared" si="11"/>
        <v>46.14767255</v>
      </c>
      <c r="Y15" s="20">
        <f t="shared" ref="Y15:AB15" si="40">E15/100</f>
        <v>-0.0271</v>
      </c>
      <c r="Z15" s="20">
        <f t="shared" si="40"/>
        <v>0.094</v>
      </c>
      <c r="AA15" s="20">
        <f t="shared" si="40"/>
        <v>0.094</v>
      </c>
      <c r="AB15" s="20">
        <f t="shared" si="40"/>
        <v>-0.377</v>
      </c>
      <c r="AC15" s="23">
        <f t="shared" si="13"/>
        <v>-188727447.9</v>
      </c>
      <c r="AD15" s="23">
        <f t="shared" si="14"/>
        <v>582162881.3</v>
      </c>
      <c r="AE15" s="23">
        <f t="shared" si="15"/>
        <v>582162881.3</v>
      </c>
      <c r="AF15" s="23">
        <f t="shared" si="16"/>
        <v>-4100032349</v>
      </c>
      <c r="AG15" s="15" t="str">
        <f t="shared" ref="AG15:AJ15" si="41">IF(AC15&gt;0,"Subiu",IF(AC15&lt;0,"Desceu","Estavel"))</f>
        <v>Desceu</v>
      </c>
      <c r="AH15" s="15" t="str">
        <f t="shared" si="41"/>
        <v>Subiu</v>
      </c>
      <c r="AI15" s="15" t="str">
        <f t="shared" si="41"/>
        <v>Subiu</v>
      </c>
      <c r="AJ15" s="15" t="str">
        <f t="shared" si="41"/>
        <v>Desceu</v>
      </c>
      <c r="AK15" s="7"/>
      <c r="AL15" s="7"/>
    </row>
    <row r="16">
      <c r="A16" s="8" t="s">
        <v>64</v>
      </c>
      <c r="B16" s="9">
        <v>45317.0</v>
      </c>
      <c r="C16" s="10">
        <v>35.32</v>
      </c>
      <c r="D16" s="8">
        <v>1.34</v>
      </c>
      <c r="E16" s="11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8" t="s">
        <v>65</v>
      </c>
      <c r="L16" s="12">
        <f t="shared" si="3"/>
        <v>0.0134</v>
      </c>
      <c r="M16" s="13">
        <f t="shared" si="4"/>
        <v>34.8529702</v>
      </c>
      <c r="N16" s="14">
        <f>VLOOKUP(A16,Total_de_acoes!A:B,2,0)</f>
        <v>1095587251</v>
      </c>
      <c r="O16" s="15">
        <f t="shared" si="5"/>
        <v>511671895.5</v>
      </c>
      <c r="P16" s="15" t="str">
        <f t="shared" si="6"/>
        <v>Subiu</v>
      </c>
      <c r="Q16" s="14" t="str">
        <f>VLOOKUP(A16,Ticker!A:B,2,0)</f>
        <v>Equatorial Energia</v>
      </c>
      <c r="R16" s="14" t="str">
        <f>VLOOKUP(Q16,ChatGPT!A:C,2,0)</f>
        <v>Energia </v>
      </c>
      <c r="S16" s="14">
        <f>VLOOKUP(Q16,ChatGPT!A:C,3,0)</f>
        <v>25</v>
      </c>
      <c r="T16" s="14" t="str">
        <f t="shared" si="7"/>
        <v>Menos de 50 anos</v>
      </c>
      <c r="U16" s="13">
        <f t="shared" si="8"/>
        <v>34.37135072</v>
      </c>
      <c r="V16" s="13">
        <f t="shared" si="9"/>
        <v>35.72006472</v>
      </c>
      <c r="W16" s="13">
        <f t="shared" si="10"/>
        <v>35.72006472</v>
      </c>
      <c r="X16" s="13">
        <f t="shared" si="11"/>
        <v>27.59159441</v>
      </c>
      <c r="Y16" s="12">
        <f t="shared" ref="Y16:AB16" si="42">E16/100</f>
        <v>0.0276</v>
      </c>
      <c r="Z16" s="12">
        <f t="shared" si="42"/>
        <v>-0.0112</v>
      </c>
      <c r="AA16" s="12">
        <f t="shared" si="42"/>
        <v>-0.0112</v>
      </c>
      <c r="AB16" s="12">
        <f t="shared" si="42"/>
        <v>0.2801</v>
      </c>
      <c r="AC16" s="15">
        <f t="shared" si="13"/>
        <v>1039328057</v>
      </c>
      <c r="AD16" s="15">
        <f t="shared" si="14"/>
        <v>-438305812.2</v>
      </c>
      <c r="AE16" s="15">
        <f t="shared" si="15"/>
        <v>-438305812.2</v>
      </c>
      <c r="AF16" s="15">
        <f t="shared" si="16"/>
        <v>8467142639</v>
      </c>
      <c r="AG16" s="15" t="str">
        <f t="shared" ref="AG16:AJ16" si="43">IF(AC16&gt;0,"Subiu",IF(AC16&lt;0,"Desceu","Estavel"))</f>
        <v>Subiu</v>
      </c>
      <c r="AH16" s="15" t="str">
        <f t="shared" si="43"/>
        <v>Desceu</v>
      </c>
      <c r="AI16" s="15" t="str">
        <f t="shared" si="43"/>
        <v>Desceu</v>
      </c>
      <c r="AJ16" s="15" t="str">
        <f t="shared" si="43"/>
        <v>Subiu</v>
      </c>
      <c r="AK16" s="7"/>
      <c r="AL16" s="7"/>
    </row>
    <row r="17">
      <c r="A17" s="16" t="s">
        <v>66</v>
      </c>
      <c r="B17" s="17">
        <v>45317.0</v>
      </c>
      <c r="C17" s="18">
        <v>18.16</v>
      </c>
      <c r="D17" s="16">
        <v>1.33</v>
      </c>
      <c r="E17" s="19">
        <v>4.79</v>
      </c>
      <c r="F17" s="16">
        <v>-7.63</v>
      </c>
      <c r="G17" s="16">
        <v>-7.63</v>
      </c>
      <c r="H17" s="16">
        <v>12.45</v>
      </c>
      <c r="I17" s="16">
        <v>18.0</v>
      </c>
      <c r="J17" s="16">
        <v>18.49</v>
      </c>
      <c r="K17" s="16" t="s">
        <v>67</v>
      </c>
      <c r="L17" s="20">
        <f t="shared" si="3"/>
        <v>0.0133</v>
      </c>
      <c r="M17" s="21">
        <f t="shared" si="4"/>
        <v>17.92164216</v>
      </c>
      <c r="N17" s="22">
        <f>VLOOKUP(A17,Total_de_acoes!A:B,2,0)</f>
        <v>600865451</v>
      </c>
      <c r="O17" s="23">
        <f t="shared" si="5"/>
        <v>143220991.5</v>
      </c>
      <c r="P17" s="23" t="str">
        <f t="shared" si="6"/>
        <v>Subiu</v>
      </c>
      <c r="Q17" s="22" t="str">
        <f>VLOOKUP(A17,Ticker!A:B,2,0)</f>
        <v>Siderúrgica Nacional</v>
      </c>
      <c r="R17" s="22" t="str">
        <f>VLOOKUP(Q17,ChatGPT!A:C,2,0)</f>
        <v>Siderurgia e Metalurgia</v>
      </c>
      <c r="S17" s="22">
        <f>VLOOKUP(Q17,ChatGPT!A:C,3,0)</f>
        <v>83</v>
      </c>
      <c r="T17" s="22" t="str">
        <f t="shared" si="7"/>
        <v>Entre 50 e 100 anos</v>
      </c>
      <c r="U17" s="21">
        <f t="shared" si="8"/>
        <v>17.32989789</v>
      </c>
      <c r="V17" s="21">
        <f t="shared" si="9"/>
        <v>19.66006279</v>
      </c>
      <c r="W17" s="21">
        <f t="shared" si="10"/>
        <v>19.66006279</v>
      </c>
      <c r="X17" s="21">
        <f t="shared" si="11"/>
        <v>16.14939973</v>
      </c>
      <c r="Y17" s="20">
        <f t="shared" ref="Y17:AB17" si="44">E17/100</f>
        <v>0.0479</v>
      </c>
      <c r="Z17" s="20">
        <f t="shared" si="44"/>
        <v>-0.0763</v>
      </c>
      <c r="AA17" s="20">
        <f t="shared" si="44"/>
        <v>-0.0763</v>
      </c>
      <c r="AB17" s="20">
        <f t="shared" si="44"/>
        <v>0.1245</v>
      </c>
      <c r="AC17" s="23">
        <f t="shared" si="13"/>
        <v>498779678.1</v>
      </c>
      <c r="AD17" s="23">
        <f t="shared" si="14"/>
        <v>-901335905.4</v>
      </c>
      <c r="AE17" s="23">
        <f t="shared" si="15"/>
        <v>-901335905.4</v>
      </c>
      <c r="AF17" s="23">
        <f t="shared" si="16"/>
        <v>1208100236</v>
      </c>
      <c r="AG17" s="15" t="str">
        <f t="shared" ref="AG17:AJ17" si="45">IF(AC17&gt;0,"Subiu",IF(AC17&lt;0,"Desceu","Estavel"))</f>
        <v>Subiu</v>
      </c>
      <c r="AH17" s="15" t="str">
        <f t="shared" si="45"/>
        <v>Desceu</v>
      </c>
      <c r="AI17" s="15" t="str">
        <f t="shared" si="45"/>
        <v>Desceu</v>
      </c>
      <c r="AJ17" s="15" t="str">
        <f t="shared" si="45"/>
        <v>Subiu</v>
      </c>
      <c r="AK17" s="7"/>
      <c r="AL17" s="7"/>
    </row>
    <row r="18">
      <c r="A18" s="8" t="s">
        <v>68</v>
      </c>
      <c r="B18" s="9">
        <v>45317.0</v>
      </c>
      <c r="C18" s="10">
        <v>19.77</v>
      </c>
      <c r="D18" s="8">
        <v>1.28</v>
      </c>
      <c r="E18" s="11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8" t="s">
        <v>69</v>
      </c>
      <c r="L18" s="12">
        <f t="shared" si="3"/>
        <v>0.0128</v>
      </c>
      <c r="M18" s="13">
        <f t="shared" si="4"/>
        <v>19.52014218</v>
      </c>
      <c r="N18" s="14">
        <f>VLOOKUP(A18,Total_de_acoes!A:B,2,0)</f>
        <v>289347914</v>
      </c>
      <c r="O18" s="15">
        <f t="shared" si="5"/>
        <v>72295838.99</v>
      </c>
      <c r="P18" s="15" t="str">
        <f t="shared" si="6"/>
        <v>Subiu</v>
      </c>
      <c r="Q18" s="14" t="str">
        <f>VLOOKUP(A18,Ticker!A:B,2,0)</f>
        <v>YDUQS</v>
      </c>
      <c r="R18" s="14" t="str">
        <f>VLOOKUP(Q18,ChatGPT!A:C,2,0)</f>
        <v>Educação</v>
      </c>
      <c r="S18" s="14">
        <f>VLOOKUP(Q18,ChatGPT!A:C,3,0)</f>
        <v>55</v>
      </c>
      <c r="T18" s="14" t="str">
        <f t="shared" si="7"/>
        <v>Entre 50 e 100 anos</v>
      </c>
      <c r="U18" s="13">
        <f t="shared" si="8"/>
        <v>21.00956429</v>
      </c>
      <c r="V18" s="13">
        <f t="shared" si="9"/>
        <v>22.4200499</v>
      </c>
      <c r="W18" s="13">
        <f t="shared" si="10"/>
        <v>22.4200499</v>
      </c>
      <c r="X18" s="13">
        <f t="shared" si="11"/>
        <v>9.484288798</v>
      </c>
      <c r="Y18" s="12">
        <f t="shared" ref="Y18:AB18" si="46">E18/100</f>
        <v>-0.059</v>
      </c>
      <c r="Z18" s="12">
        <f t="shared" si="46"/>
        <v>-0.1182</v>
      </c>
      <c r="AA18" s="12">
        <f t="shared" si="46"/>
        <v>-0.1182</v>
      </c>
      <c r="AB18" s="12">
        <f t="shared" si="46"/>
        <v>1.0845</v>
      </c>
      <c r="AC18" s="15">
        <f t="shared" si="13"/>
        <v>-358665342.5</v>
      </c>
      <c r="AD18" s="15">
        <f t="shared" si="14"/>
        <v>-766786410</v>
      </c>
      <c r="AE18" s="15">
        <f t="shared" si="15"/>
        <v>-766786410</v>
      </c>
      <c r="AF18" s="15">
        <f t="shared" si="16"/>
        <v>2976149080</v>
      </c>
      <c r="AG18" s="15" t="str">
        <f t="shared" ref="AG18:AJ18" si="47">IF(AC18&gt;0,"Subiu",IF(AC18&lt;0,"Desceu","Estavel"))</f>
        <v>Desceu</v>
      </c>
      <c r="AH18" s="15" t="str">
        <f t="shared" si="47"/>
        <v>Desceu</v>
      </c>
      <c r="AI18" s="15" t="str">
        <f t="shared" si="47"/>
        <v>Desceu</v>
      </c>
      <c r="AJ18" s="15" t="str">
        <f t="shared" si="47"/>
        <v>Subiu</v>
      </c>
      <c r="AK18" s="7"/>
      <c r="AL18" s="7"/>
    </row>
    <row r="19">
      <c r="A19" s="16" t="s">
        <v>70</v>
      </c>
      <c r="B19" s="17">
        <v>45317.0</v>
      </c>
      <c r="C19" s="18">
        <v>28.31</v>
      </c>
      <c r="D19" s="16">
        <v>1.28</v>
      </c>
      <c r="E19" s="19">
        <v>2.35</v>
      </c>
      <c r="F19" s="16">
        <v>6.79</v>
      </c>
      <c r="G19" s="16">
        <v>6.79</v>
      </c>
      <c r="H19" s="16">
        <v>119.82</v>
      </c>
      <c r="I19" s="16">
        <v>27.84</v>
      </c>
      <c r="J19" s="16">
        <v>28.39</v>
      </c>
      <c r="K19" s="16" t="s">
        <v>71</v>
      </c>
      <c r="L19" s="20">
        <f t="shared" si="3"/>
        <v>0.0128</v>
      </c>
      <c r="M19" s="21">
        <f t="shared" si="4"/>
        <v>27.95221169</v>
      </c>
      <c r="N19" s="22">
        <f>VLOOKUP(A19,Total_de_acoes!A:B,2,0)</f>
        <v>1086411192</v>
      </c>
      <c r="O19" s="23">
        <f t="shared" si="5"/>
        <v>388705224</v>
      </c>
      <c r="P19" s="23" t="str">
        <f t="shared" si="6"/>
        <v>Subiu</v>
      </c>
      <c r="Q19" s="22" t="str">
        <f>VLOOKUP(A19,Ticker!A:B,2,0)</f>
        <v>Ultrapar</v>
      </c>
      <c r="R19" s="22" t="str">
        <f>VLOOKUP(Q19,ChatGPT!A:C,2,0)</f>
        <v>Produtos Diversos</v>
      </c>
      <c r="S19" s="22">
        <f>VLOOKUP(Q19,ChatGPT!A:C,3,0)</f>
        <v>87</v>
      </c>
      <c r="T19" s="22" t="str">
        <f t="shared" si="7"/>
        <v>Entre 50 e 100 anos</v>
      </c>
      <c r="U19" s="21">
        <f t="shared" si="8"/>
        <v>27.65999023</v>
      </c>
      <c r="V19" s="21">
        <f t="shared" si="9"/>
        <v>26.50997284</v>
      </c>
      <c r="W19" s="21">
        <f t="shared" si="10"/>
        <v>26.50997284</v>
      </c>
      <c r="X19" s="21">
        <f t="shared" si="11"/>
        <v>12.87871895</v>
      </c>
      <c r="Y19" s="20">
        <f t="shared" ref="Y19:AB19" si="48">E19/100</f>
        <v>0.0235</v>
      </c>
      <c r="Z19" s="20">
        <f t="shared" si="48"/>
        <v>0.0679</v>
      </c>
      <c r="AA19" s="20">
        <f t="shared" si="48"/>
        <v>0.0679</v>
      </c>
      <c r="AB19" s="20">
        <f t="shared" si="48"/>
        <v>1.1982</v>
      </c>
      <c r="AC19" s="23">
        <f t="shared" si="13"/>
        <v>706177889.5</v>
      </c>
      <c r="AD19" s="23">
        <f t="shared" si="14"/>
        <v>1955569648</v>
      </c>
      <c r="AE19" s="23">
        <f t="shared" si="15"/>
        <v>1955569648</v>
      </c>
      <c r="AF19" s="23">
        <f t="shared" si="16"/>
        <v>16764716438</v>
      </c>
      <c r="AG19" s="15" t="str">
        <f t="shared" ref="AG19:AJ19" si="49">IF(AC19&gt;0,"Subiu",IF(AC19&lt;0,"Desceu","Estavel"))</f>
        <v>Subiu</v>
      </c>
      <c r="AH19" s="15" t="str">
        <f t="shared" si="49"/>
        <v>Subiu</v>
      </c>
      <c r="AI19" s="15" t="str">
        <f t="shared" si="49"/>
        <v>Subiu</v>
      </c>
      <c r="AJ19" s="15" t="str">
        <f t="shared" si="49"/>
        <v>Subiu</v>
      </c>
      <c r="AK19" s="7"/>
      <c r="AL19" s="7"/>
    </row>
    <row r="20">
      <c r="A20" s="8" t="s">
        <v>72</v>
      </c>
      <c r="B20" s="9">
        <v>45317.0</v>
      </c>
      <c r="C20" s="10">
        <v>8.08</v>
      </c>
      <c r="D20" s="8">
        <v>1.25</v>
      </c>
      <c r="E20" s="11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8" t="s">
        <v>73</v>
      </c>
      <c r="L20" s="12">
        <f t="shared" si="3"/>
        <v>0.0125</v>
      </c>
      <c r="M20" s="13">
        <f t="shared" si="4"/>
        <v>7.980246914</v>
      </c>
      <c r="N20" s="14">
        <f>VLOOKUP(A20,Total_de_acoes!A:B,2,0)</f>
        <v>376187582</v>
      </c>
      <c r="O20" s="15">
        <f t="shared" si="5"/>
        <v>37525872.38</v>
      </c>
      <c r="P20" s="15" t="str">
        <f t="shared" si="6"/>
        <v>Subiu</v>
      </c>
      <c r="Q20" s="14" t="str">
        <f>VLOOKUP(A20,Ticker!A:B,2,0)</f>
        <v>MRV</v>
      </c>
      <c r="R20" s="14" t="str">
        <f>VLOOKUP(Q20,ChatGPT!A:C,2,0)</f>
        <v>Construção Civil</v>
      </c>
      <c r="S20" s="14">
        <f>VLOOKUP(Q20,ChatGPT!A:C,3,0)</f>
        <v>45</v>
      </c>
      <c r="T20" s="14" t="str">
        <f t="shared" si="7"/>
        <v>Menos de 50 anos</v>
      </c>
      <c r="U20" s="13">
        <f t="shared" si="8"/>
        <v>7.970013809</v>
      </c>
      <c r="V20" s="13">
        <f t="shared" si="9"/>
        <v>11.23002085</v>
      </c>
      <c r="W20" s="13">
        <f t="shared" si="10"/>
        <v>11.23002085</v>
      </c>
      <c r="X20" s="13">
        <f t="shared" si="11"/>
        <v>7.080266386</v>
      </c>
      <c r="Y20" s="12">
        <f t="shared" ref="Y20:AB20" si="50">E20/100</f>
        <v>0.0138</v>
      </c>
      <c r="Z20" s="12">
        <f t="shared" si="50"/>
        <v>-0.2805</v>
      </c>
      <c r="AA20" s="12">
        <f t="shared" si="50"/>
        <v>-0.2805</v>
      </c>
      <c r="AB20" s="12">
        <f t="shared" si="50"/>
        <v>0.1412</v>
      </c>
      <c r="AC20" s="15">
        <f t="shared" si="13"/>
        <v>41375439.08</v>
      </c>
      <c r="AD20" s="15">
        <f t="shared" si="14"/>
        <v>-1184998726</v>
      </c>
      <c r="AE20" s="15">
        <f t="shared" si="15"/>
        <v>-1184998726</v>
      </c>
      <c r="AF20" s="15">
        <f t="shared" si="16"/>
        <v>376087370.8</v>
      </c>
      <c r="AG20" s="15" t="str">
        <f t="shared" ref="AG20:AJ20" si="51">IF(AC20&gt;0,"Subiu",IF(AC20&lt;0,"Desceu","Estavel"))</f>
        <v>Subiu</v>
      </c>
      <c r="AH20" s="15" t="str">
        <f t="shared" si="51"/>
        <v>Desceu</v>
      </c>
      <c r="AI20" s="15" t="str">
        <f t="shared" si="51"/>
        <v>Desceu</v>
      </c>
      <c r="AJ20" s="15" t="str">
        <f t="shared" si="51"/>
        <v>Subiu</v>
      </c>
      <c r="AK20" s="7"/>
      <c r="AL20" s="7"/>
    </row>
    <row r="21">
      <c r="A21" s="16" t="s">
        <v>74</v>
      </c>
      <c r="B21" s="17">
        <v>45317.0</v>
      </c>
      <c r="C21" s="18">
        <v>57.91</v>
      </c>
      <c r="D21" s="16">
        <v>1.15</v>
      </c>
      <c r="E21" s="19">
        <v>-1.03</v>
      </c>
      <c r="F21" s="16">
        <v>-10.26</v>
      </c>
      <c r="G21" s="16">
        <v>-10.26</v>
      </c>
      <c r="H21" s="16">
        <v>-28.97</v>
      </c>
      <c r="I21" s="16">
        <v>56.22</v>
      </c>
      <c r="J21" s="16">
        <v>59.29</v>
      </c>
      <c r="K21" s="16" t="s">
        <v>75</v>
      </c>
      <c r="L21" s="20">
        <f t="shared" si="3"/>
        <v>0.0115</v>
      </c>
      <c r="M21" s="21">
        <f t="shared" si="4"/>
        <v>57.25160652</v>
      </c>
      <c r="N21" s="22">
        <f>VLOOKUP(A21,Total_de_acoes!A:B,2,0)</f>
        <v>62305891</v>
      </c>
      <c r="O21" s="23">
        <f t="shared" si="5"/>
        <v>41021792.09</v>
      </c>
      <c r="P21" s="23" t="str">
        <f t="shared" si="6"/>
        <v>Subiu</v>
      </c>
      <c r="Q21" s="22" t="str">
        <f>VLOOKUP(A21,Ticker!A:B,2,0)</f>
        <v>Arezzo</v>
      </c>
      <c r="R21" s="22" t="str">
        <f>VLOOKUP(Q21,ChatGPT!A:C,2,0)</f>
        <v>Moda</v>
      </c>
      <c r="S21" s="22">
        <f>VLOOKUP(Q21,ChatGPT!A:C,3,0)</f>
        <v>52</v>
      </c>
      <c r="T21" s="22" t="str">
        <f t="shared" si="7"/>
        <v>Entre 50 e 100 anos</v>
      </c>
      <c r="U21" s="21">
        <f t="shared" si="8"/>
        <v>58.51268061</v>
      </c>
      <c r="V21" s="21">
        <f t="shared" si="9"/>
        <v>64.53086695</v>
      </c>
      <c r="W21" s="21">
        <f t="shared" si="10"/>
        <v>64.53086695</v>
      </c>
      <c r="X21" s="21">
        <f t="shared" si="11"/>
        <v>81.52893144</v>
      </c>
      <c r="Y21" s="20">
        <f t="shared" ref="Y21:AB21" si="52">E21/100</f>
        <v>-0.0103</v>
      </c>
      <c r="Z21" s="20">
        <f t="shared" si="52"/>
        <v>-0.1026</v>
      </c>
      <c r="AA21" s="20">
        <f t="shared" si="52"/>
        <v>-0.1026</v>
      </c>
      <c r="AB21" s="20">
        <f t="shared" si="52"/>
        <v>-0.2897</v>
      </c>
      <c r="AC21" s="23">
        <f t="shared" si="13"/>
        <v>-37550552.41</v>
      </c>
      <c r="AD21" s="23">
        <f t="shared" si="14"/>
        <v>-412519014.4</v>
      </c>
      <c r="AE21" s="23">
        <f t="shared" si="15"/>
        <v>-412519014.4</v>
      </c>
      <c r="AF21" s="23">
        <f t="shared" si="16"/>
        <v>-1471598568</v>
      </c>
      <c r="AG21" s="15" t="str">
        <f t="shared" ref="AG21:AJ21" si="53">IF(AC21&gt;0,"Subiu",IF(AC21&lt;0,"Desceu","Estavel"))</f>
        <v>Desceu</v>
      </c>
      <c r="AH21" s="15" t="str">
        <f t="shared" si="53"/>
        <v>Desceu</v>
      </c>
      <c r="AI21" s="15" t="str">
        <f t="shared" si="53"/>
        <v>Desceu</v>
      </c>
      <c r="AJ21" s="15" t="str">
        <f t="shared" si="53"/>
        <v>Desceu</v>
      </c>
      <c r="AK21" s="7"/>
      <c r="AL21" s="7"/>
    </row>
    <row r="22">
      <c r="A22" s="8" t="s">
        <v>76</v>
      </c>
      <c r="B22" s="9">
        <v>45317.0</v>
      </c>
      <c r="C22" s="10">
        <v>15.52</v>
      </c>
      <c r="D22" s="8">
        <v>1.04</v>
      </c>
      <c r="E22" s="11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8" t="s">
        <v>77</v>
      </c>
      <c r="L22" s="12">
        <f t="shared" si="3"/>
        <v>0.0104</v>
      </c>
      <c r="M22" s="13">
        <f t="shared" si="4"/>
        <v>15.36025337</v>
      </c>
      <c r="N22" s="14">
        <f>VLOOKUP(A22,Total_de_acoes!A:B,2,0)</f>
        <v>5146576868</v>
      </c>
      <c r="O22" s="15">
        <f t="shared" si="5"/>
        <v>822148336.4</v>
      </c>
      <c r="P22" s="15" t="str">
        <f t="shared" si="6"/>
        <v>Subiu</v>
      </c>
      <c r="Q22" s="14" t="str">
        <f>VLOOKUP(A22,Ticker!A:B,2,0)</f>
        <v>Banco Bradesco</v>
      </c>
      <c r="R22" s="14" t="str">
        <f>VLOOKUP(Q22,ChatGPT!A:C,2,0)</f>
        <v>Serviços Financeiros</v>
      </c>
      <c r="S22" s="14">
        <f>VLOOKUP(Q22,ChatGPT!A:C,3,0)</f>
        <v>81</v>
      </c>
      <c r="T22" s="14" t="str">
        <f t="shared" si="7"/>
        <v>Entre 50 e 100 anos</v>
      </c>
      <c r="U22" s="13">
        <f t="shared" si="8"/>
        <v>15.64043132</v>
      </c>
      <c r="V22" s="13">
        <f t="shared" si="9"/>
        <v>17.06995161</v>
      </c>
      <c r="W22" s="13">
        <f t="shared" si="10"/>
        <v>17.06995161</v>
      </c>
      <c r="X22" s="13">
        <f t="shared" si="11"/>
        <v>13.36663509</v>
      </c>
      <c r="Y22" s="12">
        <f t="shared" ref="Y22:AB22" si="54">E22/100</f>
        <v>-0.0077</v>
      </c>
      <c r="Z22" s="12">
        <f t="shared" si="54"/>
        <v>-0.0908</v>
      </c>
      <c r="AA22" s="12">
        <f t="shared" si="54"/>
        <v>-0.0908</v>
      </c>
      <c r="AB22" s="12">
        <f t="shared" si="54"/>
        <v>0.1611</v>
      </c>
      <c r="AC22" s="15">
        <f t="shared" si="13"/>
        <v>-619809051.7</v>
      </c>
      <c r="AD22" s="15">
        <f t="shared" si="14"/>
        <v>-7976945081</v>
      </c>
      <c r="AE22" s="15">
        <f t="shared" si="15"/>
        <v>-7976945081</v>
      </c>
      <c r="AF22" s="15">
        <f t="shared" si="16"/>
        <v>11082458047</v>
      </c>
      <c r="AG22" s="15" t="str">
        <f t="shared" ref="AG22:AJ22" si="55">IF(AC22&gt;0,"Subiu",IF(AC22&lt;0,"Desceu","Estavel"))</f>
        <v>Desceu</v>
      </c>
      <c r="AH22" s="15" t="str">
        <f t="shared" si="55"/>
        <v>Desceu</v>
      </c>
      <c r="AI22" s="15" t="str">
        <f t="shared" si="55"/>
        <v>Desceu</v>
      </c>
      <c r="AJ22" s="15" t="str">
        <f t="shared" si="55"/>
        <v>Subiu</v>
      </c>
      <c r="AK22" s="7"/>
      <c r="AL22" s="7"/>
    </row>
    <row r="23">
      <c r="A23" s="16" t="s">
        <v>78</v>
      </c>
      <c r="B23" s="17">
        <v>45317.0</v>
      </c>
      <c r="C23" s="18">
        <v>7.19</v>
      </c>
      <c r="D23" s="16">
        <v>0.98</v>
      </c>
      <c r="E23" s="19">
        <v>6.05</v>
      </c>
      <c r="F23" s="16">
        <v>-3.75</v>
      </c>
      <c r="G23" s="16">
        <v>-3.75</v>
      </c>
      <c r="H23" s="16">
        <v>-48.31</v>
      </c>
      <c r="I23" s="16">
        <v>7.11</v>
      </c>
      <c r="J23" s="16">
        <v>7.24</v>
      </c>
      <c r="K23" s="16" t="s">
        <v>79</v>
      </c>
      <c r="L23" s="20">
        <f t="shared" si="3"/>
        <v>0.0098</v>
      </c>
      <c r="M23" s="21">
        <f t="shared" si="4"/>
        <v>7.120221826</v>
      </c>
      <c r="N23" s="22">
        <f>VLOOKUP(A23,Total_de_acoes!A:B,2,0)</f>
        <v>261036182</v>
      </c>
      <c r="O23" s="23">
        <f t="shared" si="5"/>
        <v>18214628.1</v>
      </c>
      <c r="P23" s="23" t="str">
        <f t="shared" si="6"/>
        <v>Subiu</v>
      </c>
      <c r="Q23" s="22" t="str">
        <f>VLOOKUP(A23,Ticker!A:B,2,0)</f>
        <v>Minerva</v>
      </c>
      <c r="R23" s="22" t="str">
        <f>VLOOKUP(Q23,ChatGPT!A:C,2,0)</f>
        <v>Alimentos</v>
      </c>
      <c r="S23" s="22">
        <f>VLOOKUP(Q23,ChatGPT!A:C,3,0)</f>
        <v>32</v>
      </c>
      <c r="T23" s="22" t="str">
        <f t="shared" si="7"/>
        <v>Menos de 50 anos</v>
      </c>
      <c r="U23" s="21">
        <f t="shared" si="8"/>
        <v>6.779820839</v>
      </c>
      <c r="V23" s="21">
        <f t="shared" si="9"/>
        <v>7.47012987</v>
      </c>
      <c r="W23" s="21">
        <f t="shared" si="10"/>
        <v>7.47012987</v>
      </c>
      <c r="X23" s="21">
        <f t="shared" si="11"/>
        <v>13.90984717</v>
      </c>
      <c r="Y23" s="20">
        <f t="shared" ref="Y23:AB23" si="56">E23/100</f>
        <v>0.0605</v>
      </c>
      <c r="Z23" s="20">
        <f t="shared" si="56"/>
        <v>-0.0375</v>
      </c>
      <c r="AA23" s="20">
        <f t="shared" si="56"/>
        <v>-0.0375</v>
      </c>
      <c r="AB23" s="20">
        <f t="shared" si="56"/>
        <v>-0.4831</v>
      </c>
      <c r="AC23" s="23">
        <f t="shared" si="13"/>
        <v>107071602.1</v>
      </c>
      <c r="AD23" s="23">
        <f t="shared" si="14"/>
        <v>-73124031.76</v>
      </c>
      <c r="AE23" s="23">
        <f t="shared" si="15"/>
        <v>-73124031.76</v>
      </c>
      <c r="AF23" s="23">
        <f t="shared" si="16"/>
        <v>-1754123248</v>
      </c>
      <c r="AG23" s="15" t="str">
        <f t="shared" ref="AG23:AJ23" si="57">IF(AC23&gt;0,"Subiu",IF(AC23&lt;0,"Desceu","Estavel"))</f>
        <v>Subiu</v>
      </c>
      <c r="AH23" s="15" t="str">
        <f t="shared" si="57"/>
        <v>Desceu</v>
      </c>
      <c r="AI23" s="15" t="str">
        <f t="shared" si="57"/>
        <v>Desceu</v>
      </c>
      <c r="AJ23" s="15" t="str">
        <f t="shared" si="57"/>
        <v>Desceu</v>
      </c>
      <c r="AK23" s="7"/>
      <c r="AL23" s="7"/>
    </row>
    <row r="24">
      <c r="A24" s="8" t="s">
        <v>80</v>
      </c>
      <c r="B24" s="9">
        <v>45317.0</v>
      </c>
      <c r="C24" s="10">
        <v>4.14</v>
      </c>
      <c r="D24" s="8">
        <v>0.97</v>
      </c>
      <c r="E24" s="11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8" t="s">
        <v>81</v>
      </c>
      <c r="L24" s="12">
        <f t="shared" si="3"/>
        <v>0.0097</v>
      </c>
      <c r="M24" s="13">
        <f t="shared" si="4"/>
        <v>4.10022779</v>
      </c>
      <c r="N24" s="14">
        <f>VLOOKUP(A24,Total_de_acoes!A:B,2,0)</f>
        <v>159430826</v>
      </c>
      <c r="O24" s="15">
        <f t="shared" si="5"/>
        <v>6340916.223</v>
      </c>
      <c r="P24" s="15" t="str">
        <f t="shared" si="6"/>
        <v>Subiu</v>
      </c>
      <c r="Q24" s="14" t="str">
        <f>VLOOKUP(A24,Ticker!A:B,2,0)</f>
        <v>Grupo Pão de Açúcar</v>
      </c>
      <c r="R24" s="14" t="str">
        <f>VLOOKUP(Q24,ChatGPT!A:C,2,0)</f>
        <v>Varejo </v>
      </c>
      <c r="S24" s="14">
        <f>VLOOKUP(Q24,ChatGPT!A:C,3,0)</f>
        <v>76</v>
      </c>
      <c r="T24" s="14" t="str">
        <f t="shared" si="7"/>
        <v>Entre 50 e 100 anos</v>
      </c>
      <c r="U24" s="13">
        <f t="shared" si="8"/>
        <v>4.419771538</v>
      </c>
      <c r="V24" s="13">
        <f t="shared" si="9"/>
        <v>4.060017652</v>
      </c>
      <c r="W24" s="13">
        <f t="shared" si="10"/>
        <v>4.060017652</v>
      </c>
      <c r="X24" s="13">
        <f t="shared" si="11"/>
        <v>8.480131094</v>
      </c>
      <c r="Y24" s="12">
        <f t="shared" ref="Y24:AB24" si="58">E24/100</f>
        <v>-0.0633</v>
      </c>
      <c r="Z24" s="12">
        <f t="shared" si="58"/>
        <v>0.0197</v>
      </c>
      <c r="AA24" s="12">
        <f t="shared" si="58"/>
        <v>0.0197</v>
      </c>
      <c r="AB24" s="12">
        <f t="shared" si="58"/>
        <v>-0.5118</v>
      </c>
      <c r="AC24" s="15">
        <f t="shared" si="13"/>
        <v>-44604207.46</v>
      </c>
      <c r="AD24" s="15">
        <f t="shared" si="14"/>
        <v>12751651.77</v>
      </c>
      <c r="AE24" s="15">
        <f t="shared" si="15"/>
        <v>12751651.77</v>
      </c>
      <c r="AF24" s="15">
        <f t="shared" si="16"/>
        <v>-691950685.2</v>
      </c>
      <c r="AG24" s="15" t="str">
        <f t="shared" ref="AG24:AJ24" si="59">IF(AC24&gt;0,"Subiu",IF(AC24&lt;0,"Desceu","Estavel"))</f>
        <v>Desceu</v>
      </c>
      <c r="AH24" s="15" t="str">
        <f t="shared" si="59"/>
        <v>Subiu</v>
      </c>
      <c r="AI24" s="15" t="str">
        <f t="shared" si="59"/>
        <v>Subiu</v>
      </c>
      <c r="AJ24" s="15" t="str">
        <f t="shared" si="59"/>
        <v>Desceu</v>
      </c>
      <c r="AK24" s="7"/>
      <c r="AL24" s="7"/>
    </row>
    <row r="25">
      <c r="A25" s="16" t="s">
        <v>82</v>
      </c>
      <c r="B25" s="17">
        <v>45317.0</v>
      </c>
      <c r="C25" s="18">
        <v>14.61</v>
      </c>
      <c r="D25" s="16">
        <v>0.96</v>
      </c>
      <c r="E25" s="19">
        <v>12.38</v>
      </c>
      <c r="F25" s="16">
        <v>5.79</v>
      </c>
      <c r="G25" s="16">
        <v>5.79</v>
      </c>
      <c r="H25" s="16">
        <v>78.17</v>
      </c>
      <c r="I25" s="16">
        <v>14.46</v>
      </c>
      <c r="J25" s="16">
        <v>14.93</v>
      </c>
      <c r="K25" s="16" t="s">
        <v>83</v>
      </c>
      <c r="L25" s="20">
        <f t="shared" si="3"/>
        <v>0.0096</v>
      </c>
      <c r="M25" s="21">
        <f t="shared" si="4"/>
        <v>14.47107765</v>
      </c>
      <c r="N25" s="22">
        <f>VLOOKUP(A25,Total_de_acoes!A:B,2,0)</f>
        <v>1677525446</v>
      </c>
      <c r="O25" s="23">
        <f t="shared" si="5"/>
        <v>233045769.6</v>
      </c>
      <c r="P25" s="23" t="str">
        <f t="shared" si="6"/>
        <v>Subiu</v>
      </c>
      <c r="Q25" s="22" t="str">
        <f>VLOOKUP(A25,Ticker!A:B,2,0)</f>
        <v>BRF</v>
      </c>
      <c r="R25" s="22" t="str">
        <f>VLOOKUP(Q25,ChatGPT!A:C,2,0)</f>
        <v>Alimentos </v>
      </c>
      <c r="S25" s="22">
        <f>VLOOKUP(Q25,ChatGPT!A:C,3,0)</f>
        <v>15</v>
      </c>
      <c r="T25" s="22" t="str">
        <f t="shared" si="7"/>
        <v>Menos de 50 anos</v>
      </c>
      <c r="U25" s="21">
        <f t="shared" si="8"/>
        <v>13.0005339</v>
      </c>
      <c r="V25" s="21">
        <f t="shared" si="9"/>
        <v>13.81037905</v>
      </c>
      <c r="W25" s="21">
        <f t="shared" si="10"/>
        <v>13.81037905</v>
      </c>
      <c r="X25" s="21">
        <f t="shared" si="11"/>
        <v>8.200033676</v>
      </c>
      <c r="Y25" s="20">
        <f t="shared" ref="Y25:AB25" si="60">E25/100</f>
        <v>0.1238</v>
      </c>
      <c r="Z25" s="20">
        <f t="shared" si="60"/>
        <v>0.0579</v>
      </c>
      <c r="AA25" s="20">
        <f t="shared" si="60"/>
        <v>0.0579</v>
      </c>
      <c r="AB25" s="20">
        <f t="shared" si="60"/>
        <v>0.7817</v>
      </c>
      <c r="AC25" s="23">
        <f t="shared" si="13"/>
        <v>2699920332</v>
      </c>
      <c r="AD25" s="23">
        <f t="shared" si="14"/>
        <v>1341384486</v>
      </c>
      <c r="AE25" s="23">
        <f t="shared" si="15"/>
        <v>1341384486</v>
      </c>
      <c r="AF25" s="23">
        <f t="shared" si="16"/>
        <v>10752881617</v>
      </c>
      <c r="AG25" s="15" t="str">
        <f t="shared" ref="AG25:AJ25" si="61">IF(AC25&gt;0,"Subiu",IF(AC25&lt;0,"Desceu","Estavel"))</f>
        <v>Subiu</v>
      </c>
      <c r="AH25" s="15" t="str">
        <f t="shared" si="61"/>
        <v>Subiu</v>
      </c>
      <c r="AI25" s="15" t="str">
        <f t="shared" si="61"/>
        <v>Subiu</v>
      </c>
      <c r="AJ25" s="15" t="str">
        <f t="shared" si="61"/>
        <v>Subiu</v>
      </c>
      <c r="AK25" s="7"/>
      <c r="AL25" s="7"/>
    </row>
    <row r="26">
      <c r="A26" s="8" t="s">
        <v>84</v>
      </c>
      <c r="B26" s="9">
        <v>45317.0</v>
      </c>
      <c r="C26" s="10">
        <v>51.2</v>
      </c>
      <c r="D26" s="8">
        <v>0.88</v>
      </c>
      <c r="E26" s="11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8" t="s">
        <v>85</v>
      </c>
      <c r="L26" s="12">
        <f t="shared" si="3"/>
        <v>0.0088</v>
      </c>
      <c r="M26" s="13">
        <f t="shared" si="4"/>
        <v>50.75337034</v>
      </c>
      <c r="N26" s="14">
        <f>VLOOKUP(A26,Total_de_acoes!A:B,2,0)</f>
        <v>423091712</v>
      </c>
      <c r="O26" s="15">
        <f t="shared" si="5"/>
        <v>188965307.1</v>
      </c>
      <c r="P26" s="15" t="str">
        <f t="shared" si="6"/>
        <v>Subiu</v>
      </c>
      <c r="Q26" s="14" t="str">
        <f>VLOOKUP(A26,Ticker!A:B,2,0)</f>
        <v>Vivo</v>
      </c>
      <c r="R26" s="14" t="str">
        <f>VLOOKUP(Q26,ChatGPT!A:C,2,0)</f>
        <v>Telecomunicações</v>
      </c>
      <c r="S26" s="14">
        <f>VLOOKUP(Q26,ChatGPT!A:C,3,0)</f>
        <v>21</v>
      </c>
      <c r="T26" s="14" t="str">
        <f t="shared" si="7"/>
        <v>Menos de 50 anos</v>
      </c>
      <c r="U26" s="13">
        <f t="shared" si="8"/>
        <v>50.64793748</v>
      </c>
      <c r="V26" s="13">
        <f t="shared" si="9"/>
        <v>53.43909822</v>
      </c>
      <c r="W26" s="13">
        <f t="shared" si="10"/>
        <v>53.43909822</v>
      </c>
      <c r="X26" s="13">
        <f t="shared" si="11"/>
        <v>38.5600241</v>
      </c>
      <c r="Y26" s="12">
        <f t="shared" ref="Y26:AB26" si="62">E26/100</f>
        <v>0.0109</v>
      </c>
      <c r="Z26" s="12">
        <f t="shared" si="62"/>
        <v>-0.0419</v>
      </c>
      <c r="AA26" s="12">
        <f t="shared" si="62"/>
        <v>-0.0419</v>
      </c>
      <c r="AB26" s="12">
        <f t="shared" si="62"/>
        <v>0.3278</v>
      </c>
      <c r="AC26" s="15">
        <f t="shared" si="13"/>
        <v>233573076.1</v>
      </c>
      <c r="AD26" s="15">
        <f t="shared" si="14"/>
        <v>-947343897.2</v>
      </c>
      <c r="AE26" s="15">
        <f t="shared" si="15"/>
        <v>-947343897.2</v>
      </c>
      <c r="AF26" s="15">
        <f t="shared" si="16"/>
        <v>5347869043</v>
      </c>
      <c r="AG26" s="15" t="str">
        <f t="shared" ref="AG26:AJ26" si="63">IF(AC26&gt;0,"Subiu",IF(AC26&lt;0,"Desceu","Estavel"))</f>
        <v>Subiu</v>
      </c>
      <c r="AH26" s="15" t="str">
        <f t="shared" si="63"/>
        <v>Desceu</v>
      </c>
      <c r="AI26" s="15" t="str">
        <f t="shared" si="63"/>
        <v>Desceu</v>
      </c>
      <c r="AJ26" s="15" t="str">
        <f t="shared" si="63"/>
        <v>Subiu</v>
      </c>
      <c r="AK26" s="7"/>
      <c r="AL26" s="7"/>
    </row>
    <row r="27">
      <c r="A27" s="16" t="s">
        <v>86</v>
      </c>
      <c r="B27" s="17">
        <v>45317.0</v>
      </c>
      <c r="C27" s="18">
        <v>22.64</v>
      </c>
      <c r="D27" s="16">
        <v>0.84</v>
      </c>
      <c r="E27" s="19">
        <v>1.07</v>
      </c>
      <c r="F27" s="16">
        <v>-1.35</v>
      </c>
      <c r="G27" s="16">
        <v>-1.35</v>
      </c>
      <c r="H27" s="16">
        <v>20.93</v>
      </c>
      <c r="I27" s="16">
        <v>22.32</v>
      </c>
      <c r="J27" s="16">
        <v>22.83</v>
      </c>
      <c r="K27" s="16" t="s">
        <v>87</v>
      </c>
      <c r="L27" s="20">
        <f t="shared" si="3"/>
        <v>0.0084</v>
      </c>
      <c r="M27" s="21">
        <f t="shared" si="4"/>
        <v>22.45140817</v>
      </c>
      <c r="N27" s="22">
        <f>VLOOKUP(A27,Total_de_acoes!A:B,2,0)</f>
        <v>1218352541</v>
      </c>
      <c r="O27" s="23">
        <f t="shared" si="5"/>
        <v>229771333.6</v>
      </c>
      <c r="P27" s="23" t="str">
        <f t="shared" si="6"/>
        <v>Subiu</v>
      </c>
      <c r="Q27" s="22" t="str">
        <f>VLOOKUP(A27,Ticker!A:B,2,0)</f>
        <v>Rumo</v>
      </c>
      <c r="R27" s="22" t="str">
        <f>VLOOKUP(Q27,ChatGPT!A:C,2,0)</f>
        <v>Logística</v>
      </c>
      <c r="S27" s="22">
        <f>VLOOKUP(Q27,ChatGPT!A:C,3,0)</f>
        <v>15</v>
      </c>
      <c r="T27" s="22" t="str">
        <f t="shared" si="7"/>
        <v>Menos de 50 anos</v>
      </c>
      <c r="U27" s="21">
        <f t="shared" si="8"/>
        <v>22.40031661</v>
      </c>
      <c r="V27" s="21">
        <f t="shared" si="9"/>
        <v>22.94982261</v>
      </c>
      <c r="W27" s="21">
        <f t="shared" si="10"/>
        <v>22.94982261</v>
      </c>
      <c r="X27" s="21">
        <f t="shared" si="11"/>
        <v>18.72157446</v>
      </c>
      <c r="Y27" s="20">
        <f t="shared" ref="Y27:AB27" si="64">E27/100</f>
        <v>0.0107</v>
      </c>
      <c r="Z27" s="20">
        <f t="shared" si="64"/>
        <v>-0.0135</v>
      </c>
      <c r="AA27" s="20">
        <f t="shared" si="64"/>
        <v>-0.0135</v>
      </c>
      <c r="AB27" s="20">
        <f t="shared" si="64"/>
        <v>0.2093</v>
      </c>
      <c r="AC27" s="23">
        <f t="shared" si="13"/>
        <v>292018864.5</v>
      </c>
      <c r="AD27" s="23">
        <f t="shared" si="14"/>
        <v>-377473158.3</v>
      </c>
      <c r="AE27" s="23">
        <f t="shared" si="15"/>
        <v>-377473158.3</v>
      </c>
      <c r="AF27" s="23">
        <f t="shared" si="16"/>
        <v>4774023708</v>
      </c>
      <c r="AG27" s="15" t="str">
        <f t="shared" ref="AG27:AJ27" si="65">IF(AC27&gt;0,"Subiu",IF(AC27&lt;0,"Desceu","Estavel"))</f>
        <v>Subiu</v>
      </c>
      <c r="AH27" s="15" t="str">
        <f t="shared" si="65"/>
        <v>Desceu</v>
      </c>
      <c r="AI27" s="15" t="str">
        <f t="shared" si="65"/>
        <v>Desceu</v>
      </c>
      <c r="AJ27" s="15" t="str">
        <f t="shared" si="65"/>
        <v>Subiu</v>
      </c>
      <c r="AK27" s="7"/>
      <c r="AL27" s="7"/>
    </row>
    <row r="28">
      <c r="A28" s="8" t="s">
        <v>88</v>
      </c>
      <c r="B28" s="9">
        <v>45317.0</v>
      </c>
      <c r="C28" s="10">
        <v>4.9</v>
      </c>
      <c r="D28" s="8">
        <v>0.82</v>
      </c>
      <c r="E28" s="11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8" t="s">
        <v>89</v>
      </c>
      <c r="L28" s="12">
        <f t="shared" si="3"/>
        <v>0.0082</v>
      </c>
      <c r="M28" s="13">
        <f t="shared" si="4"/>
        <v>4.860146796</v>
      </c>
      <c r="N28" s="14">
        <f>VLOOKUP(A28,Total_de_acoes!A:B,2,0)</f>
        <v>1095462329</v>
      </c>
      <c r="O28" s="15">
        <f t="shared" si="5"/>
        <v>43657683.38</v>
      </c>
      <c r="P28" s="15" t="str">
        <f t="shared" si="6"/>
        <v>Subiu</v>
      </c>
      <c r="Q28" s="14" t="str">
        <f>VLOOKUP(A28,Ticker!A:B,2,0)</f>
        <v>Cielo</v>
      </c>
      <c r="R28" s="14" t="str">
        <f>VLOOKUP(Q28,ChatGPT!A:C,2,0)</f>
        <v>Serviços Financeiros</v>
      </c>
      <c r="S28" s="14">
        <f>VLOOKUP(Q28,ChatGPT!A:C,3,0)</f>
        <v>29</v>
      </c>
      <c r="T28" s="14" t="str">
        <f t="shared" si="7"/>
        <v>Menos de 50 anos</v>
      </c>
      <c r="U28" s="13">
        <f t="shared" si="8"/>
        <v>4.479795209</v>
      </c>
      <c r="V28" s="13">
        <f t="shared" si="9"/>
        <v>4.630067089</v>
      </c>
      <c r="W28" s="13">
        <f t="shared" si="10"/>
        <v>4.630067089</v>
      </c>
      <c r="X28" s="13">
        <f t="shared" si="11"/>
        <v>5.009712708</v>
      </c>
      <c r="Y28" s="12">
        <f t="shared" ref="Y28:AB28" si="66">E28/100</f>
        <v>0.0938</v>
      </c>
      <c r="Z28" s="12">
        <f t="shared" si="66"/>
        <v>0.0583</v>
      </c>
      <c r="AA28" s="12">
        <f t="shared" si="66"/>
        <v>0.0583</v>
      </c>
      <c r="AB28" s="12">
        <f t="shared" si="66"/>
        <v>-0.0219</v>
      </c>
      <c r="AC28" s="15">
        <f t="shared" si="13"/>
        <v>460318518.6</v>
      </c>
      <c r="AD28" s="15">
        <f t="shared" si="14"/>
        <v>295701335.7</v>
      </c>
      <c r="AE28" s="15">
        <f t="shared" si="15"/>
        <v>295701335.7</v>
      </c>
      <c r="AF28" s="15">
        <f t="shared" si="16"/>
        <v>-120186139</v>
      </c>
      <c r="AG28" s="15" t="str">
        <f t="shared" ref="AG28:AJ28" si="67">IF(AC28&gt;0,"Subiu",IF(AC28&lt;0,"Desceu","Estavel"))</f>
        <v>Subiu</v>
      </c>
      <c r="AH28" s="15" t="str">
        <f t="shared" si="67"/>
        <v>Subiu</v>
      </c>
      <c r="AI28" s="15" t="str">
        <f t="shared" si="67"/>
        <v>Subiu</v>
      </c>
      <c r="AJ28" s="15" t="str">
        <f t="shared" si="67"/>
        <v>Desceu</v>
      </c>
      <c r="AK28" s="7"/>
      <c r="AL28" s="7"/>
    </row>
    <row r="29">
      <c r="A29" s="16" t="s">
        <v>90</v>
      </c>
      <c r="B29" s="17">
        <v>45317.0</v>
      </c>
      <c r="C29" s="18">
        <v>7.81</v>
      </c>
      <c r="D29" s="16">
        <v>0.77</v>
      </c>
      <c r="E29" s="19">
        <v>3.17</v>
      </c>
      <c r="F29" s="16">
        <v>-3.22</v>
      </c>
      <c r="G29" s="16">
        <v>-3.22</v>
      </c>
      <c r="H29" s="16">
        <v>9.94</v>
      </c>
      <c r="I29" s="16">
        <v>7.7</v>
      </c>
      <c r="J29" s="16">
        <v>7.85</v>
      </c>
      <c r="K29" s="16" t="s">
        <v>91</v>
      </c>
      <c r="L29" s="20">
        <f t="shared" si="3"/>
        <v>0.0077</v>
      </c>
      <c r="M29" s="21">
        <f t="shared" si="4"/>
        <v>7.750322517</v>
      </c>
      <c r="N29" s="22">
        <f>VLOOKUP(A29,Total_de_acoes!A:B,2,0)</f>
        <v>302768240</v>
      </c>
      <c r="O29" s="23">
        <f t="shared" si="5"/>
        <v>18068446.61</v>
      </c>
      <c r="P29" s="23" t="str">
        <f t="shared" si="6"/>
        <v>Subiu</v>
      </c>
      <c r="Q29" s="22" t="str">
        <f>VLOOKUP(A29,Ticker!A:B,2,0)</f>
        <v>Dexco</v>
      </c>
      <c r="R29" s="22" t="str">
        <f>VLOOKUP(Q29,ChatGPT!A:C,2,0)</f>
        <v>Logística </v>
      </c>
      <c r="S29" s="22">
        <f>VLOOKUP(Q29,ChatGPT!A:C,3,0)</f>
        <v>24</v>
      </c>
      <c r="T29" s="22" t="str">
        <f t="shared" si="7"/>
        <v>Menos de 50 anos</v>
      </c>
      <c r="U29" s="21">
        <f t="shared" si="8"/>
        <v>7.570030047</v>
      </c>
      <c r="V29" s="21">
        <f t="shared" si="9"/>
        <v>8.069849142</v>
      </c>
      <c r="W29" s="21">
        <f t="shared" si="10"/>
        <v>8.069849142</v>
      </c>
      <c r="X29" s="21">
        <f t="shared" si="11"/>
        <v>7.103874841</v>
      </c>
      <c r="Y29" s="20">
        <f t="shared" ref="Y29:AB29" si="68">E29/100</f>
        <v>0.0317</v>
      </c>
      <c r="Z29" s="20">
        <f t="shared" si="68"/>
        <v>-0.0322</v>
      </c>
      <c r="AA29" s="20">
        <f t="shared" si="68"/>
        <v>-0.0322</v>
      </c>
      <c r="AB29" s="20">
        <f t="shared" si="68"/>
        <v>0.0994</v>
      </c>
      <c r="AC29" s="23">
        <f t="shared" si="13"/>
        <v>72655280.17</v>
      </c>
      <c r="AD29" s="23">
        <f t="shared" si="14"/>
        <v>-78674067.51</v>
      </c>
      <c r="AE29" s="23">
        <f t="shared" si="15"/>
        <v>-78674067.51</v>
      </c>
      <c r="AF29" s="23">
        <f t="shared" si="16"/>
        <v>213792271.7</v>
      </c>
      <c r="AG29" s="15" t="str">
        <f t="shared" ref="AG29:AJ29" si="69">IF(AC29&gt;0,"Subiu",IF(AC29&lt;0,"Desceu","Estavel"))</f>
        <v>Subiu</v>
      </c>
      <c r="AH29" s="15" t="str">
        <f t="shared" si="69"/>
        <v>Desceu</v>
      </c>
      <c r="AI29" s="15" t="str">
        <f t="shared" si="69"/>
        <v>Desceu</v>
      </c>
      <c r="AJ29" s="15" t="str">
        <f t="shared" si="69"/>
        <v>Subiu</v>
      </c>
      <c r="AK29" s="7"/>
      <c r="AL29" s="7"/>
    </row>
    <row r="30">
      <c r="A30" s="8" t="s">
        <v>92</v>
      </c>
      <c r="B30" s="9">
        <v>45317.0</v>
      </c>
      <c r="C30" s="10">
        <v>17.52</v>
      </c>
      <c r="D30" s="8">
        <v>0.74</v>
      </c>
      <c r="E30" s="11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8" t="s">
        <v>93</v>
      </c>
      <c r="L30" s="12">
        <f t="shared" si="3"/>
        <v>0.0074</v>
      </c>
      <c r="M30" s="13">
        <f t="shared" si="4"/>
        <v>17.39130435</v>
      </c>
      <c r="N30" s="14">
        <f>VLOOKUP(A30,Total_de_acoes!A:B,2,0)</f>
        <v>807896814</v>
      </c>
      <c r="O30" s="15">
        <f t="shared" si="5"/>
        <v>103972807.4</v>
      </c>
      <c r="P30" s="15" t="str">
        <f t="shared" si="6"/>
        <v>Subiu</v>
      </c>
      <c r="Q30" s="14" t="str">
        <f>VLOOKUP(A30,Ticker!A:B,2,0)</f>
        <v>TIM</v>
      </c>
      <c r="R30" s="14" t="str">
        <f>VLOOKUP(Q30,ChatGPT!A:C,2,0)</f>
        <v>Telecomunicações</v>
      </c>
      <c r="S30" s="14">
        <f>VLOOKUP(Q30,ChatGPT!A:C,3,0)</f>
        <v>26</v>
      </c>
      <c r="T30" s="14" t="str">
        <f t="shared" si="7"/>
        <v>Menos de 50 anos</v>
      </c>
      <c r="U30" s="13">
        <f t="shared" si="8"/>
        <v>17.62043649</v>
      </c>
      <c r="V30" s="13">
        <f t="shared" si="9"/>
        <v>17.93061099</v>
      </c>
      <c r="W30" s="13">
        <f t="shared" si="10"/>
        <v>17.93061099</v>
      </c>
      <c r="X30" s="13">
        <f t="shared" si="11"/>
        <v>11.16848346</v>
      </c>
      <c r="Y30" s="12">
        <f t="shared" ref="Y30:AB30" si="70">E30/100</f>
        <v>-0.0057</v>
      </c>
      <c r="Z30" s="12">
        <f t="shared" si="70"/>
        <v>-0.0229</v>
      </c>
      <c r="AA30" s="12">
        <f t="shared" si="70"/>
        <v>-0.0229</v>
      </c>
      <c r="AB30" s="12">
        <f t="shared" si="70"/>
        <v>0.5687</v>
      </c>
      <c r="AC30" s="15">
        <f t="shared" si="13"/>
        <v>-81142318.65</v>
      </c>
      <c r="AD30" s="15">
        <f t="shared" si="14"/>
        <v>-331731312</v>
      </c>
      <c r="AE30" s="15">
        <f t="shared" si="15"/>
        <v>-331731312</v>
      </c>
      <c r="AF30" s="15">
        <f t="shared" si="16"/>
        <v>5131369979</v>
      </c>
      <c r="AG30" s="15" t="str">
        <f t="shared" ref="AG30:AJ30" si="71">IF(AC30&gt;0,"Subiu",IF(AC30&lt;0,"Desceu","Estavel"))</f>
        <v>Desceu</v>
      </c>
      <c r="AH30" s="15" t="str">
        <f t="shared" si="71"/>
        <v>Desceu</v>
      </c>
      <c r="AI30" s="15" t="str">
        <f t="shared" si="71"/>
        <v>Desceu</v>
      </c>
      <c r="AJ30" s="15" t="str">
        <f t="shared" si="71"/>
        <v>Subiu</v>
      </c>
      <c r="AK30" s="7"/>
      <c r="AL30" s="7"/>
    </row>
    <row r="31">
      <c r="A31" s="16" t="s">
        <v>94</v>
      </c>
      <c r="B31" s="17">
        <v>45317.0</v>
      </c>
      <c r="C31" s="18">
        <v>23.22</v>
      </c>
      <c r="D31" s="16">
        <v>0.73</v>
      </c>
      <c r="E31" s="19">
        <v>1.93</v>
      </c>
      <c r="F31" s="16">
        <v>-9.51</v>
      </c>
      <c r="G31" s="16">
        <v>-9.51</v>
      </c>
      <c r="H31" s="16">
        <v>-20.4</v>
      </c>
      <c r="I31" s="16">
        <v>22.69</v>
      </c>
      <c r="J31" s="16">
        <v>23.28</v>
      </c>
      <c r="K31" s="16" t="s">
        <v>95</v>
      </c>
      <c r="L31" s="20">
        <f t="shared" si="3"/>
        <v>0.0073</v>
      </c>
      <c r="M31" s="21">
        <f t="shared" si="4"/>
        <v>23.05172243</v>
      </c>
      <c r="N31" s="22">
        <f>VLOOKUP(A31,Total_de_acoes!A:B,2,0)</f>
        <v>251003438</v>
      </c>
      <c r="O31" s="23">
        <f t="shared" si="5"/>
        <v>42238249.54</v>
      </c>
      <c r="P31" s="23" t="str">
        <f t="shared" si="6"/>
        <v>Subiu</v>
      </c>
      <c r="Q31" s="22" t="str">
        <f>VLOOKUP(A31,Ticker!A:B,2,0)</f>
        <v>Bradespar</v>
      </c>
      <c r="R31" s="22" t="str">
        <f>VLOOKUP(Q31,ChatGPT!A:C,2,0)</f>
        <v>Investimentos</v>
      </c>
      <c r="S31" s="22">
        <f>VLOOKUP(Q31,ChatGPT!A:C,3,0)</f>
        <v>24</v>
      </c>
      <c r="T31" s="22" t="str">
        <f t="shared" si="7"/>
        <v>Menos de 50 anos</v>
      </c>
      <c r="U31" s="21">
        <f t="shared" si="8"/>
        <v>22.78033945</v>
      </c>
      <c r="V31" s="21">
        <f t="shared" si="9"/>
        <v>25.66029396</v>
      </c>
      <c r="W31" s="21">
        <f t="shared" si="10"/>
        <v>25.66029396</v>
      </c>
      <c r="X31" s="21">
        <f t="shared" si="11"/>
        <v>29.17085427</v>
      </c>
      <c r="Y31" s="20">
        <f t="shared" ref="Y31:AB31" si="72">E31/100</f>
        <v>0.0193</v>
      </c>
      <c r="Z31" s="20">
        <f t="shared" si="72"/>
        <v>-0.0951</v>
      </c>
      <c r="AA31" s="20">
        <f t="shared" si="72"/>
        <v>-0.0951</v>
      </c>
      <c r="AB31" s="20">
        <f t="shared" si="72"/>
        <v>-0.204</v>
      </c>
      <c r="AC31" s="23">
        <f t="shared" si="13"/>
        <v>110356309.9</v>
      </c>
      <c r="AD31" s="23">
        <f t="shared" si="14"/>
        <v>-612522172.5</v>
      </c>
      <c r="AE31" s="23">
        <f t="shared" si="15"/>
        <v>-612522172.5</v>
      </c>
      <c r="AF31" s="23">
        <f t="shared" si="16"/>
        <v>-1493684881</v>
      </c>
      <c r="AG31" s="15" t="str">
        <f t="shared" ref="AG31:AJ31" si="73">IF(AC31&gt;0,"Subiu",IF(AC31&lt;0,"Desceu","Estavel"))</f>
        <v>Subiu</v>
      </c>
      <c r="AH31" s="15" t="str">
        <f t="shared" si="73"/>
        <v>Desceu</v>
      </c>
      <c r="AI31" s="15" t="str">
        <f t="shared" si="73"/>
        <v>Desceu</v>
      </c>
      <c r="AJ31" s="15" t="str">
        <f t="shared" si="73"/>
        <v>Desceu</v>
      </c>
      <c r="AK31" s="7"/>
      <c r="AL31" s="7"/>
    </row>
    <row r="32">
      <c r="A32" s="8" t="s">
        <v>96</v>
      </c>
      <c r="B32" s="9">
        <v>45317.0</v>
      </c>
      <c r="C32" s="10">
        <v>5.55</v>
      </c>
      <c r="D32" s="8">
        <v>0.72</v>
      </c>
      <c r="E32" s="11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8" t="s">
        <v>97</v>
      </c>
      <c r="L32" s="12">
        <f t="shared" si="3"/>
        <v>0.0072</v>
      </c>
      <c r="M32" s="13">
        <f t="shared" si="4"/>
        <v>5.510325655</v>
      </c>
      <c r="N32" s="14">
        <f>VLOOKUP(A32,Total_de_acoes!A:B,2,0)</f>
        <v>393173139</v>
      </c>
      <c r="O32" s="15">
        <f t="shared" si="5"/>
        <v>15598886.65</v>
      </c>
      <c r="P32" s="15" t="str">
        <f t="shared" si="6"/>
        <v>Subiu</v>
      </c>
      <c r="Q32" s="14" t="str">
        <f>VLOOKUP(A32,Ticker!A:B,2,0)</f>
        <v>Locaweb</v>
      </c>
      <c r="R32" s="14" t="str">
        <f>VLOOKUP(Q32,ChatGPT!A:C,2,0)</f>
        <v>Tecnologia</v>
      </c>
      <c r="S32" s="14">
        <f>VLOOKUP(Q32,ChatGPT!A:C,3,0)</f>
        <v>26</v>
      </c>
      <c r="T32" s="14" t="str">
        <f t="shared" si="7"/>
        <v>Menos de 50 anos</v>
      </c>
      <c r="U32" s="13">
        <f t="shared" si="8"/>
        <v>5.760249092</v>
      </c>
      <c r="V32" s="13">
        <f t="shared" si="9"/>
        <v>6.009745533</v>
      </c>
      <c r="W32" s="13">
        <f t="shared" si="10"/>
        <v>6.009745533</v>
      </c>
      <c r="X32" s="13">
        <f t="shared" si="11"/>
        <v>6.455740375</v>
      </c>
      <c r="Y32" s="12">
        <f t="shared" ref="Y32:AB32" si="74">E32/100</f>
        <v>-0.0365</v>
      </c>
      <c r="Z32" s="12">
        <f t="shared" si="74"/>
        <v>-0.0765</v>
      </c>
      <c r="AA32" s="12">
        <f t="shared" si="74"/>
        <v>-0.0765</v>
      </c>
      <c r="AB32" s="12">
        <f t="shared" si="74"/>
        <v>-0.1403</v>
      </c>
      <c r="AC32" s="15">
        <f t="shared" si="13"/>
        <v>-82664295.42</v>
      </c>
      <c r="AD32" s="15">
        <f t="shared" si="14"/>
        <v>-180759594.5</v>
      </c>
      <c r="AE32" s="15">
        <f t="shared" si="15"/>
        <v>-180759594.5</v>
      </c>
      <c r="AF32" s="15">
        <f t="shared" si="16"/>
        <v>-356112786.2</v>
      </c>
      <c r="AG32" s="15" t="str">
        <f t="shared" ref="AG32:AJ32" si="75">IF(AC32&gt;0,"Subiu",IF(AC32&lt;0,"Desceu","Estavel"))</f>
        <v>Desceu</v>
      </c>
      <c r="AH32" s="15" t="str">
        <f t="shared" si="75"/>
        <v>Desceu</v>
      </c>
      <c r="AI32" s="15" t="str">
        <f t="shared" si="75"/>
        <v>Desceu</v>
      </c>
      <c r="AJ32" s="15" t="str">
        <f t="shared" si="75"/>
        <v>Desceu</v>
      </c>
      <c r="AK32" s="7"/>
      <c r="AL32" s="7"/>
    </row>
    <row r="33">
      <c r="A33" s="16" t="s">
        <v>98</v>
      </c>
      <c r="B33" s="17">
        <v>45317.0</v>
      </c>
      <c r="C33" s="18">
        <v>23.83</v>
      </c>
      <c r="D33" s="16">
        <v>0.71</v>
      </c>
      <c r="E33" s="19">
        <v>1.49</v>
      </c>
      <c r="F33" s="16">
        <v>9.71</v>
      </c>
      <c r="G33" s="16">
        <v>9.71</v>
      </c>
      <c r="H33" s="16">
        <v>-26.61</v>
      </c>
      <c r="I33" s="16">
        <v>23.36</v>
      </c>
      <c r="J33" s="16">
        <v>23.99</v>
      </c>
      <c r="K33" s="16" t="s">
        <v>99</v>
      </c>
      <c r="L33" s="20">
        <f t="shared" si="3"/>
        <v>0.0071</v>
      </c>
      <c r="M33" s="21">
        <f t="shared" si="4"/>
        <v>23.6619998</v>
      </c>
      <c r="N33" s="22">
        <f>VLOOKUP(A33,Total_de_acoes!A:B,2,0)</f>
        <v>275005663</v>
      </c>
      <c r="O33" s="23">
        <f t="shared" si="5"/>
        <v>46201006</v>
      </c>
      <c r="P33" s="23" t="str">
        <f t="shared" si="6"/>
        <v>Subiu</v>
      </c>
      <c r="Q33" s="22" t="str">
        <f>VLOOKUP(A33,Ticker!A:B,2,0)</f>
        <v>PetroRecôncavo</v>
      </c>
      <c r="R33" s="22" t="str">
        <f>VLOOKUP(Q33,ChatGPT!A:C,2,0)</f>
        <v>Energia</v>
      </c>
      <c r="S33" s="22">
        <f>VLOOKUP(Q33,ChatGPT!A:C,3,0)</f>
        <v>19</v>
      </c>
      <c r="T33" s="22" t="str">
        <f t="shared" si="7"/>
        <v>Menos de 50 anos</v>
      </c>
      <c r="U33" s="21">
        <f t="shared" si="8"/>
        <v>23.48014583</v>
      </c>
      <c r="V33" s="21">
        <f t="shared" si="9"/>
        <v>21.72090056</v>
      </c>
      <c r="W33" s="21">
        <f t="shared" si="10"/>
        <v>21.72090056</v>
      </c>
      <c r="X33" s="21">
        <f t="shared" si="11"/>
        <v>32.47036381</v>
      </c>
      <c r="Y33" s="20">
        <f t="shared" ref="Y33:AB33" si="76">E33/100</f>
        <v>0.0149</v>
      </c>
      <c r="Z33" s="20">
        <f t="shared" si="76"/>
        <v>0.0971</v>
      </c>
      <c r="AA33" s="20">
        <f t="shared" si="76"/>
        <v>0.0971</v>
      </c>
      <c r="AB33" s="20">
        <f t="shared" si="76"/>
        <v>-0.2661</v>
      </c>
      <c r="AC33" s="23">
        <f t="shared" si="13"/>
        <v>96211878.75</v>
      </c>
      <c r="AD33" s="23">
        <f t="shared" si="14"/>
        <v>580014290.9</v>
      </c>
      <c r="AE33" s="23">
        <f t="shared" si="15"/>
        <v>580014290.9</v>
      </c>
      <c r="AF33" s="23">
        <f t="shared" si="16"/>
        <v>-2376148978</v>
      </c>
      <c r="AG33" s="15" t="str">
        <f t="shared" ref="AG33:AJ33" si="77">IF(AC33&gt;0,"Subiu",IF(AC33&lt;0,"Desceu","Estavel"))</f>
        <v>Subiu</v>
      </c>
      <c r="AH33" s="15" t="str">
        <f t="shared" si="77"/>
        <v>Subiu</v>
      </c>
      <c r="AI33" s="15" t="str">
        <f t="shared" si="77"/>
        <v>Subiu</v>
      </c>
      <c r="AJ33" s="15" t="str">
        <f t="shared" si="77"/>
        <v>Desceu</v>
      </c>
      <c r="AK33" s="7"/>
      <c r="AL33" s="7"/>
    </row>
    <row r="34">
      <c r="A34" s="8" t="s">
        <v>100</v>
      </c>
      <c r="B34" s="9">
        <v>45317.0</v>
      </c>
      <c r="C34" s="10">
        <v>10.01</v>
      </c>
      <c r="D34" s="8">
        <v>0.7</v>
      </c>
      <c r="E34" s="11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8" t="s">
        <v>101</v>
      </c>
      <c r="L34" s="12">
        <f t="shared" si="3"/>
        <v>0.007</v>
      </c>
      <c r="M34" s="13">
        <f t="shared" si="4"/>
        <v>9.94041708</v>
      </c>
      <c r="N34" s="14">
        <f>VLOOKUP(A34,Total_de_acoes!A:B,2,0)</f>
        <v>5372783971</v>
      </c>
      <c r="O34" s="15">
        <f t="shared" si="5"/>
        <v>373853994.9</v>
      </c>
      <c r="P34" s="15" t="str">
        <f t="shared" si="6"/>
        <v>Subiu</v>
      </c>
      <c r="Q34" s="14" t="str">
        <f>VLOOKUP(A34,Ticker!A:B,2,0)</f>
        <v>Itaúsa</v>
      </c>
      <c r="R34" s="14" t="str">
        <f>VLOOKUP(Q34,ChatGPT!A:C,2,0)</f>
        <v>Conglomerado</v>
      </c>
      <c r="S34" s="14">
        <f>VLOOKUP(Q34,ChatGPT!A:C,3,0)</f>
        <v>58</v>
      </c>
      <c r="T34" s="14" t="str">
        <f t="shared" si="7"/>
        <v>Entre 50 e 100 anos</v>
      </c>
      <c r="U34" s="13">
        <f t="shared" si="8"/>
        <v>10.04012036</v>
      </c>
      <c r="V34" s="13">
        <f t="shared" si="9"/>
        <v>10.36983321</v>
      </c>
      <c r="W34" s="13">
        <f t="shared" si="10"/>
        <v>10.36983321</v>
      </c>
      <c r="X34" s="13">
        <f t="shared" si="11"/>
        <v>7.759689922</v>
      </c>
      <c r="Y34" s="12">
        <f t="shared" ref="Y34:AB34" si="78">E34/100</f>
        <v>-0.003</v>
      </c>
      <c r="Z34" s="12">
        <f t="shared" si="78"/>
        <v>-0.0347</v>
      </c>
      <c r="AA34" s="12">
        <f t="shared" si="78"/>
        <v>-0.0347</v>
      </c>
      <c r="AB34" s="12">
        <f t="shared" si="78"/>
        <v>0.29</v>
      </c>
      <c r="AC34" s="15">
        <f t="shared" si="13"/>
        <v>-161830193.2</v>
      </c>
      <c r="AD34" s="15">
        <f t="shared" si="14"/>
        <v>-1933306116</v>
      </c>
      <c r="AE34" s="15">
        <f t="shared" si="15"/>
        <v>-1933306116</v>
      </c>
      <c r="AF34" s="15">
        <f t="shared" si="16"/>
        <v>12090429914</v>
      </c>
      <c r="AG34" s="15" t="str">
        <f t="shared" ref="AG34:AJ34" si="79">IF(AC34&gt;0,"Subiu",IF(AC34&lt;0,"Desceu","Estavel"))</f>
        <v>Desceu</v>
      </c>
      <c r="AH34" s="15" t="str">
        <f t="shared" si="79"/>
        <v>Desceu</v>
      </c>
      <c r="AI34" s="15" t="str">
        <f t="shared" si="79"/>
        <v>Desceu</v>
      </c>
      <c r="AJ34" s="15" t="str">
        <f t="shared" si="79"/>
        <v>Subiu</v>
      </c>
      <c r="AK34" s="7"/>
      <c r="AL34" s="7"/>
    </row>
    <row r="35">
      <c r="A35" s="16" t="s">
        <v>102</v>
      </c>
      <c r="B35" s="17">
        <v>45317.0</v>
      </c>
      <c r="C35" s="18">
        <v>56.97</v>
      </c>
      <c r="D35" s="16">
        <v>0.68</v>
      </c>
      <c r="E35" s="19">
        <v>1.88</v>
      </c>
      <c r="F35" s="16">
        <v>2.85</v>
      </c>
      <c r="G35" s="16">
        <v>2.85</v>
      </c>
      <c r="H35" s="16">
        <v>52.87</v>
      </c>
      <c r="I35" s="16">
        <v>56.55</v>
      </c>
      <c r="J35" s="16">
        <v>56.99</v>
      </c>
      <c r="K35" s="16" t="s">
        <v>103</v>
      </c>
      <c r="L35" s="20">
        <f t="shared" si="3"/>
        <v>0.0068</v>
      </c>
      <c r="M35" s="21">
        <f t="shared" si="4"/>
        <v>56.5852205</v>
      </c>
      <c r="N35" s="22">
        <f>VLOOKUP(A35,Total_de_acoes!A:B,2,0)</f>
        <v>1420949112</v>
      </c>
      <c r="O35" s="23">
        <f t="shared" si="5"/>
        <v>546752088</v>
      </c>
      <c r="P35" s="23" t="str">
        <f t="shared" si="6"/>
        <v>Subiu</v>
      </c>
      <c r="Q35" s="22" t="str">
        <f>VLOOKUP(A35,Ticker!A:B,2,0)</f>
        <v>Banco do Brasil</v>
      </c>
      <c r="R35" s="22" t="str">
        <f>VLOOKUP(Q35,ChatGPT!A:C,2,0)</f>
        <v>Serviços Financeiros</v>
      </c>
      <c r="S35" s="22">
        <f>VLOOKUP(Q35,ChatGPT!A:C,3,0)</f>
        <v>216</v>
      </c>
      <c r="T35" s="22" t="str">
        <f t="shared" si="7"/>
        <v>Mais de 100 anos</v>
      </c>
      <c r="U35" s="21">
        <f t="shared" si="8"/>
        <v>55.91872792</v>
      </c>
      <c r="V35" s="21">
        <f t="shared" si="9"/>
        <v>55.39134662</v>
      </c>
      <c r="W35" s="21">
        <f t="shared" si="10"/>
        <v>55.39134662</v>
      </c>
      <c r="X35" s="21">
        <f t="shared" si="11"/>
        <v>37.26695885</v>
      </c>
      <c r="Y35" s="20">
        <f t="shared" ref="Y35:AB35" si="80">E35/100</f>
        <v>0.0188</v>
      </c>
      <c r="Z35" s="20">
        <f t="shared" si="80"/>
        <v>0.0285</v>
      </c>
      <c r="AA35" s="20">
        <f t="shared" si="80"/>
        <v>0.0285</v>
      </c>
      <c r="AB35" s="20">
        <f t="shared" si="80"/>
        <v>0.5287</v>
      </c>
      <c r="AC35" s="23">
        <f t="shared" si="13"/>
        <v>1493804135</v>
      </c>
      <c r="AD35" s="23">
        <f t="shared" si="14"/>
        <v>2243186117</v>
      </c>
      <c r="AE35" s="23">
        <f t="shared" si="15"/>
        <v>2243186117</v>
      </c>
      <c r="AF35" s="23">
        <f t="shared" si="16"/>
        <v>27997018820</v>
      </c>
      <c r="AG35" s="15" t="str">
        <f t="shared" ref="AG35:AJ35" si="81">IF(AC35&gt;0,"Subiu",IF(AC35&lt;0,"Desceu","Estavel"))</f>
        <v>Subiu</v>
      </c>
      <c r="AH35" s="15" t="str">
        <f t="shared" si="81"/>
        <v>Subiu</v>
      </c>
      <c r="AI35" s="15" t="str">
        <f t="shared" si="81"/>
        <v>Subiu</v>
      </c>
      <c r="AJ35" s="15" t="str">
        <f t="shared" si="81"/>
        <v>Subiu</v>
      </c>
      <c r="AK35" s="7"/>
      <c r="AL35" s="7"/>
    </row>
    <row r="36">
      <c r="A36" s="8" t="s">
        <v>104</v>
      </c>
      <c r="B36" s="9">
        <v>45317.0</v>
      </c>
      <c r="C36" s="10">
        <v>26.16</v>
      </c>
      <c r="D36" s="8">
        <v>0.61</v>
      </c>
      <c r="E36" s="11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8" t="s">
        <v>105</v>
      </c>
      <c r="L36" s="12">
        <f t="shared" si="3"/>
        <v>0.0061</v>
      </c>
      <c r="M36" s="13">
        <f t="shared" si="4"/>
        <v>26.00139151</v>
      </c>
      <c r="N36" s="14">
        <f>VLOOKUP(A36,Total_de_acoes!A:B,2,0)</f>
        <v>1275798515</v>
      </c>
      <c r="O36" s="15">
        <f t="shared" si="5"/>
        <v>202352473.7</v>
      </c>
      <c r="P36" s="15" t="str">
        <f t="shared" si="6"/>
        <v>Subiu</v>
      </c>
      <c r="Q36" s="14" t="str">
        <f>VLOOKUP(A36,Ticker!A:B,2,0)</f>
        <v>RaiaDrogasil</v>
      </c>
      <c r="R36" s="14" t="str">
        <f>VLOOKUP(Q36,ChatGPT!A:C,2,0)</f>
        <v>Saúde</v>
      </c>
      <c r="S36" s="14">
        <f>VLOOKUP(Q36,ChatGPT!A:C,3,0)</f>
        <v>13</v>
      </c>
      <c r="T36" s="14" t="str">
        <f t="shared" si="7"/>
        <v>Menos de 50 anos</v>
      </c>
      <c r="U36" s="13">
        <f t="shared" si="8"/>
        <v>26.89974293</v>
      </c>
      <c r="V36" s="13">
        <f t="shared" si="9"/>
        <v>29.39986514</v>
      </c>
      <c r="W36" s="13">
        <f t="shared" si="10"/>
        <v>29.39986514</v>
      </c>
      <c r="X36" s="13">
        <f t="shared" si="11"/>
        <v>23.76669392</v>
      </c>
      <c r="Y36" s="12">
        <f t="shared" ref="Y36:AB36" si="82">E36/100</f>
        <v>-0.0275</v>
      </c>
      <c r="Z36" s="12">
        <f t="shared" si="82"/>
        <v>-0.1102</v>
      </c>
      <c r="AA36" s="12">
        <f t="shared" si="82"/>
        <v>-0.1102</v>
      </c>
      <c r="AB36" s="12">
        <f t="shared" si="82"/>
        <v>0.1007</v>
      </c>
      <c r="AC36" s="15">
        <f t="shared" si="13"/>
        <v>-943762932.3</v>
      </c>
      <c r="AD36" s="15">
        <f t="shared" si="14"/>
        <v>-4133415132</v>
      </c>
      <c r="AE36" s="15">
        <f t="shared" si="15"/>
        <v>-4133415132</v>
      </c>
      <c r="AF36" s="15">
        <f t="shared" si="16"/>
        <v>3053376340</v>
      </c>
      <c r="AG36" s="15" t="str">
        <f t="shared" ref="AG36:AJ36" si="83">IF(AC36&gt;0,"Subiu",IF(AC36&lt;0,"Desceu","Estavel"))</f>
        <v>Desceu</v>
      </c>
      <c r="AH36" s="15" t="str">
        <f t="shared" si="83"/>
        <v>Desceu</v>
      </c>
      <c r="AI36" s="15" t="str">
        <f t="shared" si="83"/>
        <v>Desceu</v>
      </c>
      <c r="AJ36" s="15" t="str">
        <f t="shared" si="83"/>
        <v>Subiu</v>
      </c>
      <c r="AK36" s="7"/>
      <c r="AL36" s="7"/>
    </row>
    <row r="37">
      <c r="A37" s="16" t="s">
        <v>106</v>
      </c>
      <c r="B37" s="17">
        <v>45317.0</v>
      </c>
      <c r="C37" s="18">
        <v>10.08</v>
      </c>
      <c r="D37" s="16">
        <v>0.59</v>
      </c>
      <c r="E37" s="19">
        <v>3.28</v>
      </c>
      <c r="F37" s="16">
        <v>-7.18</v>
      </c>
      <c r="G37" s="16">
        <v>-7.18</v>
      </c>
      <c r="H37" s="16">
        <v>-21.14</v>
      </c>
      <c r="I37" s="16">
        <v>10.03</v>
      </c>
      <c r="J37" s="16">
        <v>10.14</v>
      </c>
      <c r="K37" s="16" t="s">
        <v>107</v>
      </c>
      <c r="L37" s="20">
        <f t="shared" si="3"/>
        <v>0.0059</v>
      </c>
      <c r="M37" s="21">
        <f t="shared" si="4"/>
        <v>10.02087683</v>
      </c>
      <c r="N37" s="22">
        <f>VLOOKUP(A37,Total_de_acoes!A:B,2,0)</f>
        <v>660411219</v>
      </c>
      <c r="O37" s="23">
        <f t="shared" si="5"/>
        <v>39045606.94</v>
      </c>
      <c r="P37" s="23" t="str">
        <f t="shared" si="6"/>
        <v>Subiu</v>
      </c>
      <c r="Q37" s="22" t="str">
        <f>VLOOKUP(A37,Ticker!A:B,2,0)</f>
        <v>Metalúrgica Gerdau</v>
      </c>
      <c r="R37" s="22" t="str">
        <f>VLOOKUP(Q37,ChatGPT!A:C,2,0)</f>
        <v>Siderurgia e Metalurgia</v>
      </c>
      <c r="S37" s="22">
        <f>VLOOKUP(Q37,ChatGPT!A:C,3,0)</f>
        <v>123</v>
      </c>
      <c r="T37" s="22" t="str">
        <f t="shared" si="7"/>
        <v>Mais de 100 anos</v>
      </c>
      <c r="U37" s="21">
        <f t="shared" si="8"/>
        <v>9.759876065</v>
      </c>
      <c r="V37" s="21">
        <f t="shared" si="9"/>
        <v>10.85972851</v>
      </c>
      <c r="W37" s="21">
        <f t="shared" si="10"/>
        <v>10.85972851</v>
      </c>
      <c r="X37" s="21">
        <f t="shared" si="11"/>
        <v>12.78214557</v>
      </c>
      <c r="Y37" s="20">
        <f t="shared" ref="Y37:AB37" si="84">E37/100</f>
        <v>0.0328</v>
      </c>
      <c r="Z37" s="20">
        <f t="shared" si="84"/>
        <v>-0.0718</v>
      </c>
      <c r="AA37" s="20">
        <f t="shared" si="84"/>
        <v>-0.0718</v>
      </c>
      <c r="AB37" s="20">
        <f t="shared" si="84"/>
        <v>-0.2114</v>
      </c>
      <c r="AC37" s="23">
        <f t="shared" si="13"/>
        <v>211413438.1</v>
      </c>
      <c r="AD37" s="23">
        <f t="shared" si="14"/>
        <v>-514941453.7</v>
      </c>
      <c r="AE37" s="23">
        <f t="shared" si="15"/>
        <v>-514941453.7</v>
      </c>
      <c r="AF37" s="23">
        <f t="shared" si="16"/>
        <v>-1784527253</v>
      </c>
      <c r="AG37" s="15" t="str">
        <f t="shared" ref="AG37:AJ37" si="85">IF(AC37&gt;0,"Subiu",IF(AC37&lt;0,"Desceu","Estavel"))</f>
        <v>Subiu</v>
      </c>
      <c r="AH37" s="15" t="str">
        <f t="shared" si="85"/>
        <v>Desceu</v>
      </c>
      <c r="AI37" s="15" t="str">
        <f t="shared" si="85"/>
        <v>Desceu</v>
      </c>
      <c r="AJ37" s="15" t="str">
        <f t="shared" si="85"/>
        <v>Desceu</v>
      </c>
      <c r="AK37" s="7"/>
      <c r="AL37" s="7"/>
    </row>
    <row r="38">
      <c r="A38" s="8" t="s">
        <v>108</v>
      </c>
      <c r="B38" s="9">
        <v>45317.0</v>
      </c>
      <c r="C38" s="10">
        <v>18.57</v>
      </c>
      <c r="D38" s="8">
        <v>0.59</v>
      </c>
      <c r="E38" s="11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8" t="s">
        <v>109</v>
      </c>
      <c r="L38" s="12">
        <f t="shared" si="3"/>
        <v>0.0059</v>
      </c>
      <c r="M38" s="13">
        <f t="shared" si="4"/>
        <v>18.46107963</v>
      </c>
      <c r="N38" s="14">
        <f>VLOOKUP(A38,Total_de_acoes!A:B,2,0)</f>
        <v>1168097881</v>
      </c>
      <c r="O38" s="15">
        <f t="shared" si="5"/>
        <v>127229653.2</v>
      </c>
      <c r="P38" s="15" t="str">
        <f t="shared" si="6"/>
        <v>Subiu</v>
      </c>
      <c r="Q38" s="14" t="str">
        <f>VLOOKUP(A38,Ticker!A:B,2,0)</f>
        <v>Cosan</v>
      </c>
      <c r="R38" s="14" t="str">
        <f>VLOOKUP(Q38,ChatGPT!A:C,2,0)</f>
        <v>Energia</v>
      </c>
      <c r="S38" s="14">
        <f>VLOOKUP(Q38,ChatGPT!A:C,3,0)</f>
        <v>88</v>
      </c>
      <c r="T38" s="14" t="str">
        <f t="shared" si="7"/>
        <v>Entre 50 e 100 anos</v>
      </c>
      <c r="U38" s="13">
        <f t="shared" si="8"/>
        <v>18.09059912</v>
      </c>
      <c r="V38" s="13">
        <f t="shared" si="9"/>
        <v>19.35988324</v>
      </c>
      <c r="W38" s="13">
        <f t="shared" si="10"/>
        <v>19.35988324</v>
      </c>
      <c r="X38" s="13">
        <f t="shared" si="11"/>
        <v>16.38288487</v>
      </c>
      <c r="Y38" s="12">
        <f t="shared" ref="Y38:AB38" si="86">E38/100</f>
        <v>0.0265</v>
      </c>
      <c r="Z38" s="12">
        <f t="shared" si="86"/>
        <v>-0.0408</v>
      </c>
      <c r="AA38" s="12">
        <f t="shared" si="86"/>
        <v>-0.0408</v>
      </c>
      <c r="AB38" s="12">
        <f t="shared" si="86"/>
        <v>0.1335</v>
      </c>
      <c r="AC38" s="15">
        <f t="shared" si="13"/>
        <v>559987148.3</v>
      </c>
      <c r="AD38" s="15">
        <f t="shared" si="14"/>
        <v>-922660934.2</v>
      </c>
      <c r="AE38" s="15">
        <f t="shared" si="15"/>
        <v>-922660934.2</v>
      </c>
      <c r="AF38" s="15">
        <f t="shared" si="16"/>
        <v>2554764549</v>
      </c>
      <c r="AG38" s="15" t="str">
        <f t="shared" ref="AG38:AJ38" si="87">IF(AC38&gt;0,"Subiu",IF(AC38&lt;0,"Desceu","Estavel"))</f>
        <v>Subiu</v>
      </c>
      <c r="AH38" s="15" t="str">
        <f t="shared" si="87"/>
        <v>Desceu</v>
      </c>
      <c r="AI38" s="15" t="str">
        <f t="shared" si="87"/>
        <v>Desceu</v>
      </c>
      <c r="AJ38" s="15" t="str">
        <f t="shared" si="87"/>
        <v>Subiu</v>
      </c>
      <c r="AK38" s="7"/>
      <c r="AL38" s="7"/>
    </row>
    <row r="39">
      <c r="A39" s="16" t="s">
        <v>110</v>
      </c>
      <c r="B39" s="17">
        <v>45317.0</v>
      </c>
      <c r="C39" s="18">
        <v>24.34</v>
      </c>
      <c r="D39" s="16">
        <v>0.57</v>
      </c>
      <c r="E39" s="19">
        <v>2.48</v>
      </c>
      <c r="F39" s="16">
        <v>-2.29</v>
      </c>
      <c r="G39" s="16">
        <v>-2.29</v>
      </c>
      <c r="H39" s="16">
        <v>17.29</v>
      </c>
      <c r="I39" s="16">
        <v>24.17</v>
      </c>
      <c r="J39" s="16">
        <v>24.56</v>
      </c>
      <c r="K39" s="16" t="s">
        <v>111</v>
      </c>
      <c r="L39" s="20">
        <f t="shared" si="3"/>
        <v>0.0057</v>
      </c>
      <c r="M39" s="21">
        <f t="shared" si="4"/>
        <v>24.20204832</v>
      </c>
      <c r="N39" s="22">
        <f>VLOOKUP(A39,Total_de_acoes!A:B,2,0)</f>
        <v>1134986472</v>
      </c>
      <c r="O39" s="23">
        <f t="shared" si="5"/>
        <v>156573285.4</v>
      </c>
      <c r="P39" s="23" t="str">
        <f t="shared" si="6"/>
        <v>Subiu</v>
      </c>
      <c r="Q39" s="22" t="str">
        <f>VLOOKUP(A39,Ticker!A:B,2,0)</f>
        <v>JBS</v>
      </c>
      <c r="R39" s="22" t="str">
        <f>VLOOKUP(Q39,ChatGPT!A:C,2,0)</f>
        <v>Alimentos</v>
      </c>
      <c r="S39" s="22">
        <f>VLOOKUP(Q39,ChatGPT!A:C,3,0)</f>
        <v>71</v>
      </c>
      <c r="T39" s="22" t="str">
        <f t="shared" si="7"/>
        <v>Entre 50 e 100 anos</v>
      </c>
      <c r="U39" s="21">
        <f t="shared" si="8"/>
        <v>23.7509758</v>
      </c>
      <c r="V39" s="21">
        <f t="shared" si="9"/>
        <v>24.91044929</v>
      </c>
      <c r="W39" s="21">
        <f t="shared" si="10"/>
        <v>24.91044929</v>
      </c>
      <c r="X39" s="21">
        <f t="shared" si="11"/>
        <v>20.75198227</v>
      </c>
      <c r="Y39" s="20">
        <f t="shared" ref="Y39:AB39" si="88">E39/100</f>
        <v>0.0248</v>
      </c>
      <c r="Z39" s="20">
        <f t="shared" si="88"/>
        <v>-0.0229</v>
      </c>
      <c r="AA39" s="20">
        <f t="shared" si="88"/>
        <v>-0.0229</v>
      </c>
      <c r="AB39" s="20">
        <f t="shared" si="88"/>
        <v>0.1729</v>
      </c>
      <c r="AC39" s="23">
        <f t="shared" si="13"/>
        <v>668534498.5</v>
      </c>
      <c r="AD39" s="23">
        <f t="shared" si="14"/>
        <v>-647452225.6</v>
      </c>
      <c r="AE39" s="23">
        <f t="shared" si="15"/>
        <v>-647452225.6</v>
      </c>
      <c r="AF39" s="23">
        <f t="shared" si="16"/>
        <v>4072351589</v>
      </c>
      <c r="AG39" s="15" t="str">
        <f t="shared" ref="AG39:AJ39" si="89">IF(AC39&gt;0,"Subiu",IF(AC39&lt;0,"Desceu","Estavel"))</f>
        <v>Subiu</v>
      </c>
      <c r="AH39" s="15" t="str">
        <f t="shared" si="89"/>
        <v>Desceu</v>
      </c>
      <c r="AI39" s="15" t="str">
        <f t="shared" si="89"/>
        <v>Desceu</v>
      </c>
      <c r="AJ39" s="15" t="str">
        <f t="shared" si="89"/>
        <v>Subiu</v>
      </c>
      <c r="AK39" s="7"/>
      <c r="AL39" s="7"/>
    </row>
    <row r="40">
      <c r="A40" s="8" t="s">
        <v>112</v>
      </c>
      <c r="B40" s="9">
        <v>45317.0</v>
      </c>
      <c r="C40" s="10">
        <v>2.08</v>
      </c>
      <c r="D40" s="8">
        <v>0.48</v>
      </c>
      <c r="E40" s="11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8" t="s">
        <v>113</v>
      </c>
      <c r="L40" s="12">
        <f t="shared" si="3"/>
        <v>0.0048</v>
      </c>
      <c r="M40" s="13">
        <f t="shared" si="4"/>
        <v>2.070063694</v>
      </c>
      <c r="N40" s="14">
        <f>VLOOKUP(A40,Total_de_acoes!A:B,2,0)</f>
        <v>2867627068</v>
      </c>
      <c r="O40" s="15">
        <f t="shared" si="5"/>
        <v>28493619.27</v>
      </c>
      <c r="P40" s="15" t="str">
        <f t="shared" si="6"/>
        <v>Subiu</v>
      </c>
      <c r="Q40" s="14" t="str">
        <f>VLOOKUP(A40,Ticker!A:B,2,0)</f>
        <v>Magazine Luiza</v>
      </c>
      <c r="R40" s="14" t="str">
        <f>VLOOKUP(Q40,ChatGPT!A:C,2,0)</f>
        <v>Varejo</v>
      </c>
      <c r="S40" s="14">
        <f>VLOOKUP(Q40,ChatGPT!A:C,3,0)</f>
        <v>67</v>
      </c>
      <c r="T40" s="14" t="str">
        <f t="shared" si="7"/>
        <v>Entre 50 e 100 anos</v>
      </c>
      <c r="U40" s="13">
        <f t="shared" si="8"/>
        <v>2.030060511</v>
      </c>
      <c r="V40" s="13">
        <f t="shared" si="9"/>
        <v>2.159916926</v>
      </c>
      <c r="W40" s="13">
        <f t="shared" si="10"/>
        <v>2.159916926</v>
      </c>
      <c r="X40" s="13">
        <f t="shared" si="11"/>
        <v>4.279835391</v>
      </c>
      <c r="Y40" s="12">
        <f t="shared" ref="Y40:AB40" si="90">E40/100</f>
        <v>0.0246</v>
      </c>
      <c r="Z40" s="12">
        <f t="shared" si="90"/>
        <v>-0.037</v>
      </c>
      <c r="AA40" s="12">
        <f t="shared" si="90"/>
        <v>-0.037</v>
      </c>
      <c r="AB40" s="12">
        <f t="shared" si="90"/>
        <v>-0.514</v>
      </c>
      <c r="AC40" s="15">
        <f t="shared" si="13"/>
        <v>143207829.2</v>
      </c>
      <c r="AD40" s="15">
        <f t="shared" si="14"/>
        <v>-229171941</v>
      </c>
      <c r="AE40" s="15">
        <f t="shared" si="15"/>
        <v>-229171941</v>
      </c>
      <c r="AF40" s="15">
        <f t="shared" si="16"/>
        <v>-6308307512</v>
      </c>
      <c r="AG40" s="15" t="str">
        <f t="shared" ref="AG40:AJ40" si="91">IF(AC40&gt;0,"Subiu",IF(AC40&lt;0,"Desceu","Estavel"))</f>
        <v>Subiu</v>
      </c>
      <c r="AH40" s="15" t="str">
        <f t="shared" si="91"/>
        <v>Desceu</v>
      </c>
      <c r="AI40" s="15" t="str">
        <f t="shared" si="91"/>
        <v>Desceu</v>
      </c>
      <c r="AJ40" s="15" t="str">
        <f t="shared" si="91"/>
        <v>Desceu</v>
      </c>
      <c r="AK40" s="7"/>
      <c r="AL40" s="7"/>
    </row>
    <row r="41">
      <c r="A41" s="16" t="s">
        <v>114</v>
      </c>
      <c r="B41" s="17">
        <v>45317.0</v>
      </c>
      <c r="C41" s="18">
        <v>13.75</v>
      </c>
      <c r="D41" s="16">
        <v>0.36</v>
      </c>
      <c r="E41" s="19">
        <v>-0.72</v>
      </c>
      <c r="F41" s="16">
        <v>-9.95</v>
      </c>
      <c r="G41" s="16">
        <v>-9.95</v>
      </c>
      <c r="H41" s="16">
        <v>15.78</v>
      </c>
      <c r="I41" s="16">
        <v>13.67</v>
      </c>
      <c r="J41" s="16">
        <v>13.9</v>
      </c>
      <c r="K41" s="16" t="s">
        <v>115</v>
      </c>
      <c r="L41" s="20">
        <f t="shared" si="3"/>
        <v>0.0036</v>
      </c>
      <c r="M41" s="21">
        <f t="shared" si="4"/>
        <v>13.70067756</v>
      </c>
      <c r="N41" s="22">
        <f>VLOOKUP(A41,Total_de_acoes!A:B,2,0)</f>
        <v>1500728902</v>
      </c>
      <c r="O41" s="23">
        <f t="shared" si="5"/>
        <v>74019610.05</v>
      </c>
      <c r="P41" s="23" t="str">
        <f t="shared" si="6"/>
        <v>Subiu</v>
      </c>
      <c r="Q41" s="22" t="str">
        <f>VLOOKUP(A41,Ticker!A:B,2,0)</f>
        <v>Banco Bradesco</v>
      </c>
      <c r="R41" s="22" t="str">
        <f>VLOOKUP(Q41,ChatGPT!A:C,2,0)</f>
        <v>Serviços Financeiros</v>
      </c>
      <c r="S41" s="22">
        <f>VLOOKUP(Q41,ChatGPT!A:C,3,0)</f>
        <v>81</v>
      </c>
      <c r="T41" s="22" t="str">
        <f t="shared" si="7"/>
        <v>Entre 50 e 100 anos</v>
      </c>
      <c r="U41" s="21">
        <f t="shared" si="8"/>
        <v>13.84971797</v>
      </c>
      <c r="V41" s="21">
        <f t="shared" si="9"/>
        <v>15.26929484</v>
      </c>
      <c r="W41" s="21">
        <f t="shared" si="10"/>
        <v>15.26929484</v>
      </c>
      <c r="X41" s="21">
        <f t="shared" si="11"/>
        <v>11.87597167</v>
      </c>
      <c r="Y41" s="20">
        <f t="shared" ref="Y41:AB41" si="92">E41/100</f>
        <v>-0.0072</v>
      </c>
      <c r="Z41" s="20">
        <f t="shared" si="92"/>
        <v>-0.0995</v>
      </c>
      <c r="AA41" s="20">
        <f t="shared" si="92"/>
        <v>-0.0995</v>
      </c>
      <c r="AB41" s="20">
        <f t="shared" si="92"/>
        <v>0.1578</v>
      </c>
      <c r="AC41" s="23">
        <f t="shared" si="13"/>
        <v>-149649638.7</v>
      </c>
      <c r="AD41" s="23">
        <f t="shared" si="14"/>
        <v>-2280049671</v>
      </c>
      <c r="AE41" s="23">
        <f t="shared" si="15"/>
        <v>-2280049671</v>
      </c>
      <c r="AF41" s="23">
        <f t="shared" si="16"/>
        <v>2812408477</v>
      </c>
      <c r="AG41" s="15" t="str">
        <f t="shared" ref="AG41:AJ41" si="93">IF(AC41&gt;0,"Subiu",IF(AC41&lt;0,"Desceu","Estavel"))</f>
        <v>Desceu</v>
      </c>
      <c r="AH41" s="15" t="str">
        <f t="shared" si="93"/>
        <v>Desceu</v>
      </c>
      <c r="AI41" s="15" t="str">
        <f t="shared" si="93"/>
        <v>Desceu</v>
      </c>
      <c r="AJ41" s="15" t="str">
        <f t="shared" si="93"/>
        <v>Subiu</v>
      </c>
      <c r="AK41" s="7"/>
      <c r="AL41" s="7"/>
    </row>
    <row r="42">
      <c r="A42" s="8" t="s">
        <v>116</v>
      </c>
      <c r="B42" s="9">
        <v>45317.0</v>
      </c>
      <c r="C42" s="10">
        <v>21.84</v>
      </c>
      <c r="D42" s="8">
        <v>0.27</v>
      </c>
      <c r="E42" s="11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8" t="s">
        <v>117</v>
      </c>
      <c r="L42" s="12">
        <f t="shared" si="3"/>
        <v>0.0027</v>
      </c>
      <c r="M42" s="13">
        <f t="shared" si="4"/>
        <v>21.78119078</v>
      </c>
      <c r="N42" s="14">
        <f>VLOOKUP(A42,Total_de_acoes!A:B,2,0)</f>
        <v>1118525506</v>
      </c>
      <c r="O42" s="15">
        <f t="shared" si="5"/>
        <v>65779607.1</v>
      </c>
      <c r="P42" s="15" t="str">
        <f t="shared" si="6"/>
        <v>Subiu</v>
      </c>
      <c r="Q42" s="14" t="str">
        <f>VLOOKUP(A42,Ticker!A:B,2,0)</f>
        <v>Gerdau</v>
      </c>
      <c r="R42" s="14" t="str">
        <f>VLOOKUP(Q42,ChatGPT!A:C,2,0)</f>
        <v>Siderurgia e Metalurgia</v>
      </c>
      <c r="S42" s="14">
        <f>VLOOKUP(Q42,ChatGPT!A:C,3,0)</f>
        <v>123</v>
      </c>
      <c r="T42" s="14" t="str">
        <f t="shared" si="7"/>
        <v>Mais de 100 anos</v>
      </c>
      <c r="U42" s="13">
        <f t="shared" si="8"/>
        <v>21.07091172</v>
      </c>
      <c r="V42" s="13">
        <f t="shared" si="9"/>
        <v>23.75979112</v>
      </c>
      <c r="W42" s="13">
        <f t="shared" si="10"/>
        <v>23.75979112</v>
      </c>
      <c r="X42" s="13">
        <f t="shared" si="11"/>
        <v>29.55345061</v>
      </c>
      <c r="Y42" s="12">
        <f t="shared" ref="Y42:AB42" si="94">E42/100</f>
        <v>0.0365</v>
      </c>
      <c r="Z42" s="12">
        <f t="shared" si="94"/>
        <v>-0.0808</v>
      </c>
      <c r="AA42" s="12">
        <f t="shared" si="94"/>
        <v>-0.0808</v>
      </c>
      <c r="AB42" s="12">
        <f t="shared" si="94"/>
        <v>-0.261</v>
      </c>
      <c r="AC42" s="15">
        <f t="shared" si="13"/>
        <v>860244855.1</v>
      </c>
      <c r="AD42" s="15">
        <f t="shared" si="14"/>
        <v>-2147335337</v>
      </c>
      <c r="AE42" s="15">
        <f t="shared" si="15"/>
        <v>-2147335337</v>
      </c>
      <c r="AF42" s="15">
        <f t="shared" si="16"/>
        <v>-8627691245</v>
      </c>
      <c r="AG42" s="15" t="str">
        <f t="shared" ref="AG42:AJ42" si="95">IF(AC42&gt;0,"Subiu",IF(AC42&lt;0,"Desceu","Estavel"))</f>
        <v>Subiu</v>
      </c>
      <c r="AH42" s="15" t="str">
        <f t="shared" si="95"/>
        <v>Desceu</v>
      </c>
      <c r="AI42" s="15" t="str">
        <f t="shared" si="95"/>
        <v>Desceu</v>
      </c>
      <c r="AJ42" s="15" t="str">
        <f t="shared" si="95"/>
        <v>Desceu</v>
      </c>
      <c r="AK42" s="7"/>
      <c r="AL42" s="7"/>
    </row>
    <row r="43">
      <c r="A43" s="16" t="s">
        <v>118</v>
      </c>
      <c r="B43" s="17">
        <v>45317.0</v>
      </c>
      <c r="C43" s="18">
        <v>3.74</v>
      </c>
      <c r="D43" s="16">
        <v>0.26</v>
      </c>
      <c r="E43" s="19">
        <v>0.0</v>
      </c>
      <c r="F43" s="16">
        <v>-7.2</v>
      </c>
      <c r="G43" s="16">
        <v>-7.2</v>
      </c>
      <c r="H43" s="16">
        <v>15.46</v>
      </c>
      <c r="I43" s="16">
        <v>3.71</v>
      </c>
      <c r="J43" s="16">
        <v>3.78</v>
      </c>
      <c r="K43" s="16" t="s">
        <v>119</v>
      </c>
      <c r="L43" s="20">
        <f t="shared" si="3"/>
        <v>0.0026</v>
      </c>
      <c r="M43" s="21">
        <f t="shared" si="4"/>
        <v>3.730301217</v>
      </c>
      <c r="N43" s="22">
        <f>VLOOKUP(A43,Total_de_acoes!A:B,2,0)</f>
        <v>1193047233</v>
      </c>
      <c r="O43" s="23">
        <f t="shared" si="5"/>
        <v>11571106.42</v>
      </c>
      <c r="P43" s="23" t="str">
        <f t="shared" si="6"/>
        <v>Subiu</v>
      </c>
      <c r="Q43" s="22" t="str">
        <f>VLOOKUP(A43,Ticker!A:B,2,0)</f>
        <v>Raízen</v>
      </c>
      <c r="R43" s="22" t="str">
        <f>VLOOKUP(Q43,ChatGPT!A:C,2,0)</f>
        <v>Energia</v>
      </c>
      <c r="S43" s="22">
        <f>VLOOKUP(Q43,ChatGPT!A:C,3,0)</f>
        <v>14</v>
      </c>
      <c r="T43" s="22" t="str">
        <f t="shared" si="7"/>
        <v>Menos de 50 anos</v>
      </c>
      <c r="U43" s="21">
        <f t="shared" si="8"/>
        <v>3.74</v>
      </c>
      <c r="V43" s="21">
        <f t="shared" si="9"/>
        <v>4.030172414</v>
      </c>
      <c r="W43" s="21">
        <f t="shared" si="10"/>
        <v>4.030172414</v>
      </c>
      <c r="X43" s="21">
        <f t="shared" si="11"/>
        <v>3.239217045</v>
      </c>
      <c r="Y43" s="20">
        <f t="shared" ref="Y43:AB43" si="96">E43/100</f>
        <v>0</v>
      </c>
      <c r="Z43" s="20">
        <f t="shared" si="96"/>
        <v>-0.072</v>
      </c>
      <c r="AA43" s="20">
        <f t="shared" si="96"/>
        <v>-0.072</v>
      </c>
      <c r="AB43" s="20">
        <f t="shared" si="96"/>
        <v>0.1546</v>
      </c>
      <c r="AC43" s="23">
        <f t="shared" si="13"/>
        <v>0</v>
      </c>
      <c r="AD43" s="23">
        <f t="shared" si="14"/>
        <v>-346189395.4</v>
      </c>
      <c r="AE43" s="23">
        <f t="shared" si="15"/>
        <v>-346189395.4</v>
      </c>
      <c r="AF43" s="23">
        <f t="shared" si="16"/>
        <v>597457719</v>
      </c>
      <c r="AG43" s="15" t="str">
        <f t="shared" ref="AG43:AJ43" si="97">IF(AC43&gt;0,"Subiu",IF(AC43&lt;0,"Desceu","Estavel"))</f>
        <v>Estavel</v>
      </c>
      <c r="AH43" s="15" t="str">
        <f t="shared" si="97"/>
        <v>Desceu</v>
      </c>
      <c r="AI43" s="15" t="str">
        <f t="shared" si="97"/>
        <v>Desceu</v>
      </c>
      <c r="AJ43" s="15" t="str">
        <f t="shared" si="97"/>
        <v>Subiu</v>
      </c>
      <c r="AK43" s="7"/>
      <c r="AL43" s="7"/>
    </row>
    <row r="44">
      <c r="A44" s="8" t="s">
        <v>120</v>
      </c>
      <c r="B44" s="9">
        <v>45317.0</v>
      </c>
      <c r="C44" s="10">
        <v>10.07</v>
      </c>
      <c r="D44" s="8">
        <v>0.19</v>
      </c>
      <c r="E44" s="11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8" t="s">
        <v>121</v>
      </c>
      <c r="L44" s="12">
        <f t="shared" si="3"/>
        <v>0.0019</v>
      </c>
      <c r="M44" s="13">
        <f t="shared" si="4"/>
        <v>10.05090328</v>
      </c>
      <c r="N44" s="14">
        <f>VLOOKUP(A44,Total_de_acoes!A:B,2,0)</f>
        <v>1679335290</v>
      </c>
      <c r="O44" s="15">
        <f t="shared" si="5"/>
        <v>32069789.5</v>
      </c>
      <c r="P44" s="15" t="str">
        <f t="shared" si="6"/>
        <v>Subiu</v>
      </c>
      <c r="Q44" s="14" t="str">
        <f>VLOOKUP(A44,Ticker!A:B,2,0)</f>
        <v>Copel</v>
      </c>
      <c r="R44" s="14" t="str">
        <f>VLOOKUP(Q44,ChatGPT!A:C,2,0)</f>
        <v>Energia</v>
      </c>
      <c r="S44" s="14">
        <f>VLOOKUP(Q44,ChatGPT!A:C,3,0)</f>
        <v>70</v>
      </c>
      <c r="T44" s="14" t="str">
        <f t="shared" si="7"/>
        <v>Entre 50 e 100 anos</v>
      </c>
      <c r="U44" s="13">
        <f t="shared" si="8"/>
        <v>9.980178394</v>
      </c>
      <c r="V44" s="13">
        <f t="shared" si="9"/>
        <v>10.3600823</v>
      </c>
      <c r="W44" s="13">
        <f t="shared" si="10"/>
        <v>10.3600823</v>
      </c>
      <c r="X44" s="13">
        <f t="shared" si="11"/>
        <v>7.624167171</v>
      </c>
      <c r="Y44" s="12">
        <f t="shared" ref="Y44:AB44" si="98">E44/100</f>
        <v>0.009</v>
      </c>
      <c r="Z44" s="12">
        <f t="shared" si="98"/>
        <v>-0.028</v>
      </c>
      <c r="AA44" s="12">
        <f t="shared" si="98"/>
        <v>-0.028</v>
      </c>
      <c r="AB44" s="12">
        <f t="shared" si="98"/>
        <v>0.3208</v>
      </c>
      <c r="AC44" s="15">
        <f t="shared" si="13"/>
        <v>150840592</v>
      </c>
      <c r="AD44" s="15">
        <f t="shared" si="14"/>
        <v>-487145451</v>
      </c>
      <c r="AE44" s="15">
        <f t="shared" si="15"/>
        <v>-487145451</v>
      </c>
      <c r="AF44" s="15">
        <f t="shared" si="16"/>
        <v>4107373382</v>
      </c>
      <c r="AG44" s="15" t="str">
        <f t="shared" ref="AG44:AJ44" si="99">IF(AC44&gt;0,"Subiu",IF(AC44&lt;0,"Desceu","Estavel"))</f>
        <v>Subiu</v>
      </c>
      <c r="AH44" s="15" t="str">
        <f t="shared" si="99"/>
        <v>Desceu</v>
      </c>
      <c r="AI44" s="15" t="str">
        <f t="shared" si="99"/>
        <v>Desceu</v>
      </c>
      <c r="AJ44" s="15" t="str">
        <f t="shared" si="99"/>
        <v>Subiu</v>
      </c>
      <c r="AK44" s="7"/>
      <c r="AL44" s="7"/>
    </row>
    <row r="45">
      <c r="A45" s="16" t="s">
        <v>122</v>
      </c>
      <c r="B45" s="17">
        <v>45317.0</v>
      </c>
      <c r="C45" s="18">
        <v>8.18</v>
      </c>
      <c r="D45" s="16">
        <v>0.12</v>
      </c>
      <c r="E45" s="19">
        <v>-3.76</v>
      </c>
      <c r="F45" s="16">
        <v>-18.77</v>
      </c>
      <c r="G45" s="16">
        <v>-18.77</v>
      </c>
      <c r="H45" s="16">
        <v>-40.74</v>
      </c>
      <c r="I45" s="16">
        <v>8.11</v>
      </c>
      <c r="J45" s="16">
        <v>8.27</v>
      </c>
      <c r="K45" s="16" t="s">
        <v>123</v>
      </c>
      <c r="L45" s="20">
        <f t="shared" si="3"/>
        <v>0.0012</v>
      </c>
      <c r="M45" s="21">
        <f t="shared" si="4"/>
        <v>8.170195765</v>
      </c>
      <c r="N45" s="22">
        <f>VLOOKUP(A45,Total_de_acoes!A:B,2,0)</f>
        <v>421383330</v>
      </c>
      <c r="O45" s="23">
        <f t="shared" si="5"/>
        <v>4131341.158</v>
      </c>
      <c r="P45" s="23" t="str">
        <f t="shared" si="6"/>
        <v>Subiu</v>
      </c>
      <c r="Q45" s="22" t="str">
        <f>VLOOKUP(A45,Ticker!A:B,2,0)</f>
        <v>Grupo Vamos</v>
      </c>
      <c r="R45" s="22" t="str">
        <f>VLOOKUP(Q45,ChatGPT!A:C,2,0)</f>
        <v>Logística</v>
      </c>
      <c r="S45" s="22">
        <f>VLOOKUP(Q45,ChatGPT!A:C,3,0)</f>
        <v>6</v>
      </c>
      <c r="T45" s="22" t="str">
        <f t="shared" si="7"/>
        <v>Menos de 50 anos</v>
      </c>
      <c r="U45" s="21">
        <f t="shared" si="8"/>
        <v>8.499584372</v>
      </c>
      <c r="V45" s="21">
        <f t="shared" si="9"/>
        <v>10.07017112</v>
      </c>
      <c r="W45" s="21">
        <f t="shared" si="10"/>
        <v>10.07017112</v>
      </c>
      <c r="X45" s="21">
        <f t="shared" si="11"/>
        <v>13.80357746</v>
      </c>
      <c r="Y45" s="20">
        <f t="shared" ref="Y45:AB45" si="100">E45/100</f>
        <v>-0.0376</v>
      </c>
      <c r="Z45" s="20">
        <f t="shared" si="100"/>
        <v>-0.1877</v>
      </c>
      <c r="AA45" s="20">
        <f t="shared" si="100"/>
        <v>-0.1877</v>
      </c>
      <c r="AB45" s="20">
        <f t="shared" si="100"/>
        <v>-0.4074</v>
      </c>
      <c r="AC45" s="23">
        <f t="shared" si="13"/>
        <v>-134667527.1</v>
      </c>
      <c r="AD45" s="23">
        <f t="shared" si="14"/>
        <v>-796486600.4</v>
      </c>
      <c r="AE45" s="23">
        <f t="shared" si="15"/>
        <v>-796486600.4</v>
      </c>
      <c r="AF45" s="23">
        <f t="shared" si="16"/>
        <v>-2369681795</v>
      </c>
      <c r="AG45" s="15" t="str">
        <f t="shared" ref="AG45:AJ45" si="101">IF(AC45&gt;0,"Subiu",IF(AC45&lt;0,"Desceu","Estavel"))</f>
        <v>Desceu</v>
      </c>
      <c r="AH45" s="15" t="str">
        <f t="shared" si="101"/>
        <v>Desceu</v>
      </c>
      <c r="AI45" s="15" t="str">
        <f t="shared" si="101"/>
        <v>Desceu</v>
      </c>
      <c r="AJ45" s="15" t="str">
        <f t="shared" si="101"/>
        <v>Desceu</v>
      </c>
      <c r="AK45" s="7"/>
      <c r="AL45" s="7"/>
    </row>
    <row r="46">
      <c r="A46" s="8" t="s">
        <v>124</v>
      </c>
      <c r="B46" s="9">
        <v>45317.0</v>
      </c>
      <c r="C46" s="10">
        <v>9.74</v>
      </c>
      <c r="D46" s="8">
        <v>0.0</v>
      </c>
      <c r="E46" s="11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8" t="s">
        <v>125</v>
      </c>
      <c r="L46" s="12">
        <f t="shared" si="3"/>
        <v>0</v>
      </c>
      <c r="M46" s="13">
        <f t="shared" si="4"/>
        <v>9.74</v>
      </c>
      <c r="N46" s="14">
        <f>VLOOKUP(A46,Total_de_acoes!A:B,2,0)</f>
        <v>331799687</v>
      </c>
      <c r="O46" s="15">
        <f t="shared" si="5"/>
        <v>0</v>
      </c>
      <c r="P46" s="15" t="str">
        <f t="shared" si="6"/>
        <v>Estavel</v>
      </c>
      <c r="Q46" s="14" t="str">
        <f>VLOOKUP(A46,Ticker!A:B,2,0)</f>
        <v>Marfrig</v>
      </c>
      <c r="R46" s="14" t="str">
        <f>VLOOKUP(Q46,ChatGPT!A:C,2,0)</f>
        <v>Alimentos</v>
      </c>
      <c r="S46" s="14">
        <f>VLOOKUP(Q46,ChatGPT!A:C,3,0)</f>
        <v>24</v>
      </c>
      <c r="T46" s="14" t="str">
        <f t="shared" si="7"/>
        <v>Menos de 50 anos</v>
      </c>
      <c r="U46" s="13">
        <f t="shared" si="8"/>
        <v>9.249762583</v>
      </c>
      <c r="V46" s="13">
        <f t="shared" si="9"/>
        <v>9.700229061</v>
      </c>
      <c r="W46" s="13">
        <f t="shared" si="10"/>
        <v>9.700229061</v>
      </c>
      <c r="X46" s="13">
        <f t="shared" si="11"/>
        <v>8.254936859</v>
      </c>
      <c r="Y46" s="12">
        <f t="shared" ref="Y46:AB46" si="102">E46/100</f>
        <v>0.053</v>
      </c>
      <c r="Z46" s="12">
        <f t="shared" si="102"/>
        <v>0.0041</v>
      </c>
      <c r="AA46" s="12">
        <f t="shared" si="102"/>
        <v>0.0041</v>
      </c>
      <c r="AB46" s="12">
        <f t="shared" si="102"/>
        <v>0.1799</v>
      </c>
      <c r="AC46" s="15">
        <f t="shared" si="13"/>
        <v>162660621.5</v>
      </c>
      <c r="AD46" s="15">
        <f t="shared" si="14"/>
        <v>13195985.16</v>
      </c>
      <c r="AE46" s="15">
        <f t="shared" si="15"/>
        <v>13195985.16</v>
      </c>
      <c r="AF46" s="15">
        <f t="shared" si="16"/>
        <v>492743485.3</v>
      </c>
      <c r="AG46" s="15" t="str">
        <f t="shared" ref="AG46:AJ46" si="103">IF(AC46&gt;0,"Subiu",IF(AC46&lt;0,"Desceu","Estavel"))</f>
        <v>Subiu</v>
      </c>
      <c r="AH46" s="15" t="str">
        <f t="shared" si="103"/>
        <v>Subiu</v>
      </c>
      <c r="AI46" s="15" t="str">
        <f t="shared" si="103"/>
        <v>Subiu</v>
      </c>
      <c r="AJ46" s="15" t="str">
        <f t="shared" si="103"/>
        <v>Subiu</v>
      </c>
      <c r="AK46" s="7"/>
      <c r="AL46" s="7"/>
    </row>
    <row r="47">
      <c r="A47" s="16" t="s">
        <v>126</v>
      </c>
      <c r="B47" s="17">
        <v>45317.0</v>
      </c>
      <c r="C47" s="18">
        <v>13.2</v>
      </c>
      <c r="D47" s="16">
        <v>0.0</v>
      </c>
      <c r="E47" s="19">
        <v>-1.12</v>
      </c>
      <c r="F47" s="16">
        <v>-3.86</v>
      </c>
      <c r="G47" s="16">
        <v>-3.86</v>
      </c>
      <c r="H47" s="16">
        <v>0.3</v>
      </c>
      <c r="I47" s="16">
        <v>13.15</v>
      </c>
      <c r="J47" s="16">
        <v>13.29</v>
      </c>
      <c r="K47" s="16" t="s">
        <v>127</v>
      </c>
      <c r="L47" s="20">
        <f t="shared" si="3"/>
        <v>0</v>
      </c>
      <c r="M47" s="21">
        <f t="shared" si="4"/>
        <v>13.2</v>
      </c>
      <c r="N47" s="22">
        <f>VLOOKUP(A47,Total_de_acoes!A:B,2,0)</f>
        <v>4394245879</v>
      </c>
      <c r="O47" s="23">
        <f t="shared" si="5"/>
        <v>0</v>
      </c>
      <c r="P47" s="23" t="str">
        <f t="shared" si="6"/>
        <v>Estavel</v>
      </c>
      <c r="Q47" s="22" t="str">
        <f>VLOOKUP(A47,Ticker!A:B,2,0)</f>
        <v>Ambev</v>
      </c>
      <c r="R47" s="22" t="str">
        <f>VLOOKUP(Q47,ChatGPT!A:C,2,0)</f>
        <v>Bebidas</v>
      </c>
      <c r="S47" s="22">
        <f>VLOOKUP(Q47,ChatGPT!A:C,3,0)</f>
        <v>25</v>
      </c>
      <c r="T47" s="22" t="str">
        <f t="shared" si="7"/>
        <v>Menos de 50 anos</v>
      </c>
      <c r="U47" s="21">
        <f t="shared" si="8"/>
        <v>13.34951456</v>
      </c>
      <c r="V47" s="21">
        <f t="shared" si="9"/>
        <v>13.72997712</v>
      </c>
      <c r="W47" s="21">
        <f t="shared" si="10"/>
        <v>13.72997712</v>
      </c>
      <c r="X47" s="21">
        <f t="shared" si="11"/>
        <v>13.16051844</v>
      </c>
      <c r="Y47" s="20">
        <f t="shared" ref="Y47:AB47" si="104">E47/100</f>
        <v>-0.0112</v>
      </c>
      <c r="Z47" s="20">
        <f t="shared" si="104"/>
        <v>-0.0386</v>
      </c>
      <c r="AA47" s="20">
        <f t="shared" si="104"/>
        <v>-0.0386</v>
      </c>
      <c r="AB47" s="20">
        <f t="shared" si="104"/>
        <v>0.003</v>
      </c>
      <c r="AC47" s="23">
        <f t="shared" si="13"/>
        <v>-657003752.8</v>
      </c>
      <c r="AD47" s="23">
        <f t="shared" si="14"/>
        <v>-2328849761</v>
      </c>
      <c r="AE47" s="23">
        <f t="shared" si="15"/>
        <v>-2328849761</v>
      </c>
      <c r="AF47" s="23">
        <f t="shared" si="16"/>
        <v>173491661.8</v>
      </c>
      <c r="AG47" s="15" t="str">
        <f t="shared" ref="AG47:AJ47" si="105">IF(AC47&gt;0,"Subiu",IF(AC47&lt;0,"Desceu","Estavel"))</f>
        <v>Desceu</v>
      </c>
      <c r="AH47" s="15" t="str">
        <f t="shared" si="105"/>
        <v>Desceu</v>
      </c>
      <c r="AI47" s="15" t="str">
        <f t="shared" si="105"/>
        <v>Desceu</v>
      </c>
      <c r="AJ47" s="15" t="str">
        <f t="shared" si="105"/>
        <v>Subiu</v>
      </c>
      <c r="AK47" s="7"/>
      <c r="AL47" s="7"/>
    </row>
    <row r="48">
      <c r="A48" s="8" t="s">
        <v>128</v>
      </c>
      <c r="B48" s="9">
        <v>45317.0</v>
      </c>
      <c r="C48" s="10">
        <v>33.73</v>
      </c>
      <c r="D48" s="8">
        <v>-0.02</v>
      </c>
      <c r="E48" s="11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8" t="s">
        <v>129</v>
      </c>
      <c r="L48" s="12">
        <f t="shared" si="3"/>
        <v>-0.0002</v>
      </c>
      <c r="M48" s="13">
        <f t="shared" si="4"/>
        <v>33.73674735</v>
      </c>
      <c r="N48" s="14">
        <f>VLOOKUP(A48,Total_de_acoes!A:B,2,0)</f>
        <v>671750768</v>
      </c>
      <c r="O48" s="15">
        <f t="shared" si="5"/>
        <v>-4532537.188</v>
      </c>
      <c r="P48" s="15" t="str">
        <f t="shared" si="6"/>
        <v>Desceu</v>
      </c>
      <c r="Q48" s="14" t="str">
        <f>VLOOKUP(A48,Ticker!A:B,2,0)</f>
        <v>BB Seguridade</v>
      </c>
      <c r="R48" s="14" t="str">
        <f>VLOOKUP(Q48,ChatGPT!A:C,2,0)</f>
        <v>Serviços Financeiros</v>
      </c>
      <c r="S48" s="14">
        <f>VLOOKUP(Q48,ChatGPT!A:C,3,0)</f>
        <v>12</v>
      </c>
      <c r="T48" s="14" t="str">
        <f t="shared" si="7"/>
        <v>Menos de 50 anos</v>
      </c>
      <c r="U48" s="13">
        <f t="shared" si="8"/>
        <v>34.54880672</v>
      </c>
      <c r="V48" s="13">
        <f t="shared" si="9"/>
        <v>33.64924182</v>
      </c>
      <c r="W48" s="13">
        <f t="shared" si="10"/>
        <v>33.64924182</v>
      </c>
      <c r="X48" s="13">
        <f t="shared" si="11"/>
        <v>33.42582499</v>
      </c>
      <c r="Y48" s="12">
        <f t="shared" ref="Y48:AB48" si="106">E48/100</f>
        <v>-0.0237</v>
      </c>
      <c r="Z48" s="12">
        <f t="shared" si="106"/>
        <v>0.0024</v>
      </c>
      <c r="AA48" s="12">
        <f t="shared" si="106"/>
        <v>0.0024</v>
      </c>
      <c r="AB48" s="12">
        <f t="shared" si="106"/>
        <v>0.0091</v>
      </c>
      <c r="AC48" s="15">
        <f t="shared" si="13"/>
        <v>-550034042.5</v>
      </c>
      <c r="AD48" s="15">
        <f t="shared" si="14"/>
        <v>54249369.68</v>
      </c>
      <c r="AE48" s="15">
        <f t="shared" si="15"/>
        <v>54249369.68</v>
      </c>
      <c r="AF48" s="15">
        <f t="shared" si="16"/>
        <v>204329794.8</v>
      </c>
      <c r="AG48" s="15" t="str">
        <f t="shared" ref="AG48:AJ48" si="107">IF(AC48&gt;0,"Subiu",IF(AC48&lt;0,"Desceu","Estavel"))</f>
        <v>Desceu</v>
      </c>
      <c r="AH48" s="15" t="str">
        <f t="shared" si="107"/>
        <v>Subiu</v>
      </c>
      <c r="AI48" s="15" t="str">
        <f t="shared" si="107"/>
        <v>Subiu</v>
      </c>
      <c r="AJ48" s="15" t="str">
        <f t="shared" si="107"/>
        <v>Subiu</v>
      </c>
      <c r="AK48" s="7"/>
      <c r="AL48" s="7"/>
    </row>
    <row r="49">
      <c r="A49" s="16" t="s">
        <v>130</v>
      </c>
      <c r="B49" s="17">
        <v>45317.0</v>
      </c>
      <c r="C49" s="18">
        <v>77.04</v>
      </c>
      <c r="D49" s="16">
        <v>-0.06</v>
      </c>
      <c r="E49" s="19">
        <v>1.37</v>
      </c>
      <c r="F49" s="16">
        <v>2.22</v>
      </c>
      <c r="G49" s="16">
        <v>2.22</v>
      </c>
      <c r="H49" s="16">
        <v>45.92</v>
      </c>
      <c r="I49" s="16">
        <v>76.52</v>
      </c>
      <c r="J49" s="16">
        <v>77.69</v>
      </c>
      <c r="K49" s="16" t="s">
        <v>131</v>
      </c>
      <c r="L49" s="20">
        <f t="shared" si="3"/>
        <v>-0.0006</v>
      </c>
      <c r="M49" s="21">
        <f t="shared" si="4"/>
        <v>77.08625175</v>
      </c>
      <c r="N49" s="22">
        <f>VLOOKUP(A49,Total_de_acoes!A:B,2,0)</f>
        <v>340001799</v>
      </c>
      <c r="O49" s="23">
        <f t="shared" si="5"/>
        <v>-15725678.56</v>
      </c>
      <c r="P49" s="23" t="str">
        <f t="shared" si="6"/>
        <v>Desceu</v>
      </c>
      <c r="Q49" s="22" t="str">
        <f>VLOOKUP(A49,Ticker!A:B,2,0)</f>
        <v>Sabesp</v>
      </c>
      <c r="R49" s="22" t="str">
        <f>VLOOKUP(Q49,ChatGPT!A:C,2,0)</f>
        <v>Serviços </v>
      </c>
      <c r="S49" s="22">
        <f>VLOOKUP(Q49,ChatGPT!A:C,3,0)</f>
        <v>51</v>
      </c>
      <c r="T49" s="22" t="str">
        <f t="shared" si="7"/>
        <v>Entre 50 e 100 anos</v>
      </c>
      <c r="U49" s="21">
        <f t="shared" si="8"/>
        <v>75.99881622</v>
      </c>
      <c r="V49" s="21">
        <f t="shared" si="9"/>
        <v>75.3668558</v>
      </c>
      <c r="W49" s="21">
        <f t="shared" si="10"/>
        <v>75.3668558</v>
      </c>
      <c r="X49" s="21">
        <f t="shared" si="11"/>
        <v>52.79605263</v>
      </c>
      <c r="Y49" s="20">
        <f t="shared" ref="Y49:AB49" si="108">E49/100</f>
        <v>0.0137</v>
      </c>
      <c r="Z49" s="20">
        <f t="shared" si="108"/>
        <v>0.0222</v>
      </c>
      <c r="AA49" s="20">
        <f t="shared" si="108"/>
        <v>0.0222</v>
      </c>
      <c r="AB49" s="20">
        <f t="shared" si="108"/>
        <v>0.4592</v>
      </c>
      <c r="AC49" s="23">
        <f t="shared" si="13"/>
        <v>354004359</v>
      </c>
      <c r="AD49" s="23">
        <f t="shared" si="14"/>
        <v>568872037.6</v>
      </c>
      <c r="AE49" s="23">
        <f t="shared" si="15"/>
        <v>568872037.6</v>
      </c>
      <c r="AF49" s="23">
        <f t="shared" si="16"/>
        <v>8242985720</v>
      </c>
      <c r="AG49" s="15" t="str">
        <f t="shared" ref="AG49:AJ49" si="109">IF(AC49&gt;0,"Subiu",IF(AC49&lt;0,"Desceu","Estavel"))</f>
        <v>Subiu</v>
      </c>
      <c r="AH49" s="15" t="str">
        <f t="shared" si="109"/>
        <v>Subiu</v>
      </c>
      <c r="AI49" s="15" t="str">
        <f t="shared" si="109"/>
        <v>Subiu</v>
      </c>
      <c r="AJ49" s="15" t="str">
        <f t="shared" si="109"/>
        <v>Subiu</v>
      </c>
      <c r="AK49" s="7"/>
      <c r="AL49" s="7"/>
    </row>
    <row r="50">
      <c r="A50" s="8" t="s">
        <v>132</v>
      </c>
      <c r="B50" s="9">
        <v>45317.0</v>
      </c>
      <c r="C50" s="10">
        <v>30.88</v>
      </c>
      <c r="D50" s="8">
        <v>-0.06</v>
      </c>
      <c r="E50" s="11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8" t="s">
        <v>133</v>
      </c>
      <c r="L50" s="12">
        <f t="shared" si="3"/>
        <v>-0.0006</v>
      </c>
      <c r="M50" s="13">
        <f t="shared" si="4"/>
        <v>30.89853912</v>
      </c>
      <c r="N50" s="14">
        <f>VLOOKUP(A50,Total_de_acoes!A:B,2,0)</f>
        <v>514122351</v>
      </c>
      <c r="O50" s="15">
        <f t="shared" si="5"/>
        <v>-9531377.746</v>
      </c>
      <c r="P50" s="15" t="str">
        <f t="shared" si="6"/>
        <v>Desceu</v>
      </c>
      <c r="Q50" s="14" t="str">
        <f>VLOOKUP(A50,Ticker!A:B,2,0)</f>
        <v>Totvs</v>
      </c>
      <c r="R50" s="14" t="str">
        <f>VLOOKUP(Q50,ChatGPT!A:C,2,0)</f>
        <v>Tecnologia</v>
      </c>
      <c r="S50" s="14">
        <f>VLOOKUP(Q50,ChatGPT!A:C,3,0)</f>
        <v>41</v>
      </c>
      <c r="T50" s="14" t="str">
        <f t="shared" si="7"/>
        <v>Menos de 50 anos</v>
      </c>
      <c r="U50" s="13">
        <f t="shared" si="8"/>
        <v>31.72059579</v>
      </c>
      <c r="V50" s="13">
        <f t="shared" si="9"/>
        <v>33.68972289</v>
      </c>
      <c r="W50" s="13">
        <f t="shared" si="10"/>
        <v>33.68972289</v>
      </c>
      <c r="X50" s="13">
        <f t="shared" si="11"/>
        <v>29.16233828</v>
      </c>
      <c r="Y50" s="12">
        <f t="shared" ref="Y50:AB50" si="110">E50/100</f>
        <v>-0.0265</v>
      </c>
      <c r="Z50" s="12">
        <f t="shared" si="110"/>
        <v>-0.0834</v>
      </c>
      <c r="AA50" s="12">
        <f t="shared" si="110"/>
        <v>-0.0834</v>
      </c>
      <c r="AB50" s="12">
        <f t="shared" si="110"/>
        <v>0.0589</v>
      </c>
      <c r="AC50" s="15">
        <f t="shared" si="13"/>
        <v>-432169083</v>
      </c>
      <c r="AD50" s="15">
        <f t="shared" si="14"/>
        <v>-1444541337</v>
      </c>
      <c r="AE50" s="15">
        <f t="shared" si="15"/>
        <v>-1444541337</v>
      </c>
      <c r="AF50" s="15">
        <f t="shared" si="16"/>
        <v>883088284</v>
      </c>
      <c r="AG50" s="15" t="str">
        <f t="shared" ref="AG50:AJ50" si="111">IF(AC50&gt;0,"Subiu",IF(AC50&lt;0,"Desceu","Estavel"))</f>
        <v>Desceu</v>
      </c>
      <c r="AH50" s="15" t="str">
        <f t="shared" si="111"/>
        <v>Desceu</v>
      </c>
      <c r="AI50" s="15" t="str">
        <f t="shared" si="111"/>
        <v>Desceu</v>
      </c>
      <c r="AJ50" s="15" t="str">
        <f t="shared" si="111"/>
        <v>Subiu</v>
      </c>
      <c r="AK50" s="7"/>
      <c r="AL50" s="7"/>
    </row>
    <row r="51">
      <c r="A51" s="16" t="s">
        <v>134</v>
      </c>
      <c r="B51" s="17">
        <v>45317.0</v>
      </c>
      <c r="C51" s="18">
        <v>11.64</v>
      </c>
      <c r="D51" s="16">
        <v>-0.17</v>
      </c>
      <c r="E51" s="19">
        <v>0.95</v>
      </c>
      <c r="F51" s="16">
        <v>1.39</v>
      </c>
      <c r="G51" s="16">
        <v>1.39</v>
      </c>
      <c r="H51" s="16">
        <v>12.26</v>
      </c>
      <c r="I51" s="16">
        <v>11.64</v>
      </c>
      <c r="J51" s="16">
        <v>11.8</v>
      </c>
      <c r="K51" s="16" t="s">
        <v>135</v>
      </c>
      <c r="L51" s="20">
        <f t="shared" si="3"/>
        <v>-0.0017</v>
      </c>
      <c r="M51" s="21">
        <f t="shared" si="4"/>
        <v>11.6598217</v>
      </c>
      <c r="N51" s="22">
        <f>VLOOKUP(A51,Total_de_acoes!A:B,2,0)</f>
        <v>1437415777</v>
      </c>
      <c r="O51" s="23">
        <f t="shared" si="5"/>
        <v>-28492019.83</v>
      </c>
      <c r="P51" s="23" t="str">
        <f t="shared" si="6"/>
        <v>Desceu</v>
      </c>
      <c r="Q51" s="22" t="str">
        <f>VLOOKUP(A51,Ticker!A:B,2,0)</f>
        <v>CEMIG</v>
      </c>
      <c r="R51" s="22" t="str">
        <f>VLOOKUP(Q51,ChatGPT!A:C,2,0)</f>
        <v>Energia</v>
      </c>
      <c r="S51" s="22">
        <f>VLOOKUP(Q51,ChatGPT!A:C,3,0)</f>
        <v>72</v>
      </c>
      <c r="T51" s="22" t="str">
        <f t="shared" si="7"/>
        <v>Entre 50 e 100 anos</v>
      </c>
      <c r="U51" s="21">
        <f t="shared" si="8"/>
        <v>11.53046062</v>
      </c>
      <c r="V51" s="21">
        <f t="shared" si="9"/>
        <v>11.48042213</v>
      </c>
      <c r="W51" s="21">
        <f t="shared" si="10"/>
        <v>11.48042213</v>
      </c>
      <c r="X51" s="21">
        <f t="shared" si="11"/>
        <v>10.36878675</v>
      </c>
      <c r="Y51" s="20">
        <f t="shared" ref="Y51:AB51" si="112">E51/100</f>
        <v>0.0095</v>
      </c>
      <c r="Z51" s="20">
        <f t="shared" si="112"/>
        <v>0.0139</v>
      </c>
      <c r="AA51" s="20">
        <f t="shared" si="112"/>
        <v>0.0139</v>
      </c>
      <c r="AB51" s="20">
        <f t="shared" si="112"/>
        <v>0.1226</v>
      </c>
      <c r="AC51" s="23">
        <f t="shared" si="13"/>
        <v>157453627.2</v>
      </c>
      <c r="AD51" s="23">
        <f t="shared" si="14"/>
        <v>229379744.6</v>
      </c>
      <c r="AE51" s="23">
        <f t="shared" si="15"/>
        <v>229379744.6</v>
      </c>
      <c r="AF51" s="23">
        <f t="shared" si="16"/>
        <v>1827261989</v>
      </c>
      <c r="AG51" s="15" t="str">
        <f t="shared" ref="AG51:AJ51" si="113">IF(AC51&gt;0,"Subiu",IF(AC51&lt;0,"Desceu","Estavel"))</f>
        <v>Subiu</v>
      </c>
      <c r="AH51" s="15" t="str">
        <f t="shared" si="113"/>
        <v>Subiu</v>
      </c>
      <c r="AI51" s="15" t="str">
        <f t="shared" si="113"/>
        <v>Subiu</v>
      </c>
      <c r="AJ51" s="15" t="str">
        <f t="shared" si="113"/>
        <v>Subiu</v>
      </c>
      <c r="AK51" s="7"/>
      <c r="AL51" s="7"/>
    </row>
    <row r="52">
      <c r="A52" s="8" t="s">
        <v>136</v>
      </c>
      <c r="B52" s="9">
        <v>45317.0</v>
      </c>
      <c r="C52" s="10">
        <v>46.04</v>
      </c>
      <c r="D52" s="8">
        <v>-0.19</v>
      </c>
      <c r="E52" s="11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8" t="s">
        <v>137</v>
      </c>
      <c r="L52" s="12">
        <f t="shared" si="3"/>
        <v>-0.0019</v>
      </c>
      <c r="M52" s="13">
        <f t="shared" si="4"/>
        <v>46.12764252</v>
      </c>
      <c r="N52" s="14">
        <f>VLOOKUP(A52,Total_de_acoes!A:B,2,0)</f>
        <v>268544014</v>
      </c>
      <c r="O52" s="15">
        <f t="shared" si="5"/>
        <v>-23535874.33</v>
      </c>
      <c r="P52" s="15" t="str">
        <f t="shared" si="6"/>
        <v>Desceu</v>
      </c>
      <c r="Q52" s="14" t="str">
        <f>VLOOKUP(A52,Ticker!A:B,2,0)</f>
        <v>Eletrobras</v>
      </c>
      <c r="R52" s="14" t="str">
        <f>VLOOKUP(Q52,ChatGPT!A:C,2,0)</f>
        <v>Energia</v>
      </c>
      <c r="S52" s="14">
        <f>VLOOKUP(Q52,ChatGPT!A:C,3,0)</f>
        <v>62</v>
      </c>
      <c r="T52" s="14" t="str">
        <f t="shared" si="7"/>
        <v>Entre 50 e 100 anos</v>
      </c>
      <c r="U52" s="13">
        <f t="shared" si="8"/>
        <v>46.69844812</v>
      </c>
      <c r="V52" s="13">
        <f t="shared" si="9"/>
        <v>46.97959184</v>
      </c>
      <c r="W52" s="13">
        <f t="shared" si="10"/>
        <v>46.97959184</v>
      </c>
      <c r="X52" s="13">
        <f t="shared" si="11"/>
        <v>42.85581309</v>
      </c>
      <c r="Y52" s="12">
        <f t="shared" ref="Y52:AB52" si="114">E52/100</f>
        <v>-0.0141</v>
      </c>
      <c r="Z52" s="12">
        <f t="shared" si="114"/>
        <v>-0.02</v>
      </c>
      <c r="AA52" s="12">
        <f t="shared" si="114"/>
        <v>-0.02</v>
      </c>
      <c r="AB52" s="12">
        <f t="shared" si="114"/>
        <v>0.0743</v>
      </c>
      <c r="AC52" s="15">
        <f t="shared" si="13"/>
        <v>-176822300.7</v>
      </c>
      <c r="AD52" s="15">
        <f t="shared" si="14"/>
        <v>-252321763.4</v>
      </c>
      <c r="AE52" s="15">
        <f t="shared" si="15"/>
        <v>-252321763.4</v>
      </c>
      <c r="AF52" s="15">
        <f t="shared" si="16"/>
        <v>855094334.8</v>
      </c>
      <c r="AG52" s="15" t="str">
        <f t="shared" ref="AG52:AJ52" si="115">IF(AC52&gt;0,"Subiu",IF(AC52&lt;0,"Desceu","Estavel"))</f>
        <v>Desceu</v>
      </c>
      <c r="AH52" s="15" t="str">
        <f t="shared" si="115"/>
        <v>Desceu</v>
      </c>
      <c r="AI52" s="15" t="str">
        <f t="shared" si="115"/>
        <v>Desceu</v>
      </c>
      <c r="AJ52" s="15" t="str">
        <f t="shared" si="115"/>
        <v>Subiu</v>
      </c>
      <c r="AK52" s="7"/>
      <c r="AL52" s="7"/>
    </row>
    <row r="53">
      <c r="A53" s="16" t="s">
        <v>138</v>
      </c>
      <c r="B53" s="17">
        <v>45317.0</v>
      </c>
      <c r="C53" s="18">
        <v>12.87</v>
      </c>
      <c r="D53" s="16">
        <v>-0.23</v>
      </c>
      <c r="E53" s="19">
        <v>1.42</v>
      </c>
      <c r="F53" s="16">
        <v>-5.44</v>
      </c>
      <c r="G53" s="16">
        <v>-5.44</v>
      </c>
      <c r="H53" s="16">
        <v>6.36</v>
      </c>
      <c r="I53" s="16">
        <v>12.84</v>
      </c>
      <c r="J53" s="16">
        <v>13.09</v>
      </c>
      <c r="K53" s="16" t="s">
        <v>139</v>
      </c>
      <c r="L53" s="20">
        <f t="shared" si="3"/>
        <v>-0.0023</v>
      </c>
      <c r="M53" s="21">
        <f t="shared" si="4"/>
        <v>12.89966924</v>
      </c>
      <c r="N53" s="22">
        <f>VLOOKUP(A53,Total_de_acoes!A:B,2,0)</f>
        <v>1579130168</v>
      </c>
      <c r="O53" s="23">
        <f t="shared" si="5"/>
        <v>-46851590.76</v>
      </c>
      <c r="P53" s="23" t="str">
        <f t="shared" si="6"/>
        <v>Desceu</v>
      </c>
      <c r="Q53" s="22" t="str">
        <f>VLOOKUP(A53,Ticker!A:B,2,0)</f>
        <v>Eneva</v>
      </c>
      <c r="R53" s="22" t="str">
        <f>VLOOKUP(Q53,ChatGPT!A:C,2,0)</f>
        <v>Energia</v>
      </c>
      <c r="S53" s="22">
        <f>VLOOKUP(Q53,ChatGPT!A:C,3,0)</f>
        <v>17</v>
      </c>
      <c r="T53" s="22" t="str">
        <f t="shared" si="7"/>
        <v>Menos de 50 anos</v>
      </c>
      <c r="U53" s="21">
        <f t="shared" si="8"/>
        <v>12.68980477</v>
      </c>
      <c r="V53" s="21">
        <f t="shared" si="9"/>
        <v>13.61040609</v>
      </c>
      <c r="W53" s="21">
        <f t="shared" si="10"/>
        <v>13.61040609</v>
      </c>
      <c r="X53" s="21">
        <f t="shared" si="11"/>
        <v>12.10041369</v>
      </c>
      <c r="Y53" s="20">
        <f t="shared" ref="Y53:AB53" si="116">E53/100</f>
        <v>0.0142</v>
      </c>
      <c r="Z53" s="20">
        <f t="shared" si="116"/>
        <v>-0.0544</v>
      </c>
      <c r="AA53" s="20">
        <f t="shared" si="116"/>
        <v>-0.0544</v>
      </c>
      <c r="AB53" s="20">
        <f t="shared" si="116"/>
        <v>0.0636</v>
      </c>
      <c r="AC53" s="23">
        <f t="shared" si="13"/>
        <v>284551720.3</v>
      </c>
      <c r="AD53" s="23">
        <f t="shared" si="14"/>
        <v>-1169197595</v>
      </c>
      <c r="AE53" s="23">
        <f t="shared" si="15"/>
        <v>-1169197595</v>
      </c>
      <c r="AF53" s="23">
        <f t="shared" si="16"/>
        <v>1215276960</v>
      </c>
      <c r="AG53" s="15" t="str">
        <f t="shared" ref="AG53:AJ53" si="117">IF(AC53&gt;0,"Subiu",IF(AC53&lt;0,"Desceu","Estavel"))</f>
        <v>Subiu</v>
      </c>
      <c r="AH53" s="15" t="str">
        <f t="shared" si="117"/>
        <v>Desceu</v>
      </c>
      <c r="AI53" s="15" t="str">
        <f t="shared" si="117"/>
        <v>Desceu</v>
      </c>
      <c r="AJ53" s="15" t="str">
        <f t="shared" si="117"/>
        <v>Subiu</v>
      </c>
      <c r="AK53" s="7"/>
      <c r="AL53" s="7"/>
    </row>
    <row r="54">
      <c r="A54" s="8" t="s">
        <v>140</v>
      </c>
      <c r="B54" s="9">
        <v>45317.0</v>
      </c>
      <c r="C54" s="10">
        <v>33.17</v>
      </c>
      <c r="D54" s="8">
        <v>-0.24</v>
      </c>
      <c r="E54" s="11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8" t="s">
        <v>141</v>
      </c>
      <c r="L54" s="12">
        <f t="shared" si="3"/>
        <v>-0.0024</v>
      </c>
      <c r="M54" s="13">
        <f t="shared" si="4"/>
        <v>33.24979952</v>
      </c>
      <c r="N54" s="14">
        <f>VLOOKUP(A54,Total_de_acoes!A:B,2,0)</f>
        <v>1481593024</v>
      </c>
      <c r="O54" s="15">
        <f t="shared" si="5"/>
        <v>-118230410.4</v>
      </c>
      <c r="P54" s="15" t="str">
        <f t="shared" si="6"/>
        <v>Desceu</v>
      </c>
      <c r="Q54" s="14" t="str">
        <f>VLOOKUP(A54,Ticker!A:B,2,0)</f>
        <v>WEG</v>
      </c>
      <c r="R54" s="14" t="str">
        <f>VLOOKUP(Q54,ChatGPT!A:C,2,0)</f>
        <v>Tecnologia</v>
      </c>
      <c r="S54" s="14">
        <f>VLOOKUP(Q54,ChatGPT!A:C,3,0)</f>
        <v>63</v>
      </c>
      <c r="T54" s="14" t="str">
        <f t="shared" si="7"/>
        <v>Entre 50 e 100 anos</v>
      </c>
      <c r="U54" s="13">
        <f t="shared" si="8"/>
        <v>33.4813768</v>
      </c>
      <c r="V54" s="13">
        <f t="shared" si="9"/>
        <v>36.90886837</v>
      </c>
      <c r="W54" s="13">
        <f t="shared" si="10"/>
        <v>36.90886837</v>
      </c>
      <c r="X54" s="13">
        <f t="shared" si="11"/>
        <v>37.62477314</v>
      </c>
      <c r="Y54" s="12">
        <f t="shared" ref="Y54:AB54" si="118">E54/100</f>
        <v>-0.0093</v>
      </c>
      <c r="Z54" s="12">
        <f t="shared" si="118"/>
        <v>-0.1013</v>
      </c>
      <c r="AA54" s="12">
        <f t="shared" si="118"/>
        <v>-0.1013</v>
      </c>
      <c r="AB54" s="12">
        <f t="shared" si="118"/>
        <v>-0.1184</v>
      </c>
      <c r="AC54" s="15">
        <f t="shared" si="13"/>
        <v>-461333701.1</v>
      </c>
      <c r="AD54" s="15">
        <f t="shared" si="14"/>
        <v>-5539481288</v>
      </c>
      <c r="AE54" s="15">
        <f t="shared" si="15"/>
        <v>-5539481288</v>
      </c>
      <c r="AF54" s="15">
        <f t="shared" si="16"/>
        <v>-6600160807</v>
      </c>
      <c r="AG54" s="15" t="str">
        <f t="shared" ref="AG54:AJ54" si="119">IF(AC54&gt;0,"Subiu",IF(AC54&lt;0,"Desceu","Estavel"))</f>
        <v>Desceu</v>
      </c>
      <c r="AH54" s="15" t="str">
        <f t="shared" si="119"/>
        <v>Desceu</v>
      </c>
      <c r="AI54" s="15" t="str">
        <f t="shared" si="119"/>
        <v>Desceu</v>
      </c>
      <c r="AJ54" s="15" t="str">
        <f t="shared" si="119"/>
        <v>Desceu</v>
      </c>
      <c r="AK54" s="7"/>
      <c r="AL54" s="7"/>
    </row>
    <row r="55">
      <c r="A55" s="16" t="s">
        <v>142</v>
      </c>
      <c r="B55" s="17">
        <v>45317.0</v>
      </c>
      <c r="C55" s="18">
        <v>19.3</v>
      </c>
      <c r="D55" s="16">
        <v>-0.25</v>
      </c>
      <c r="E55" s="19">
        <v>2.01</v>
      </c>
      <c r="F55" s="16">
        <v>2.55</v>
      </c>
      <c r="G55" s="16">
        <v>2.55</v>
      </c>
      <c r="H55" s="16">
        <v>-10.11</v>
      </c>
      <c r="I55" s="16">
        <v>19.1</v>
      </c>
      <c r="J55" s="16">
        <v>19.51</v>
      </c>
      <c r="K55" s="16" t="s">
        <v>143</v>
      </c>
      <c r="L55" s="20">
        <f t="shared" si="3"/>
        <v>-0.0025</v>
      </c>
      <c r="M55" s="21">
        <f t="shared" si="4"/>
        <v>19.34837093</v>
      </c>
      <c r="N55" s="22">
        <f>VLOOKUP(A55,Total_de_acoes!A:B,2,0)</f>
        <v>195751130</v>
      </c>
      <c r="O55" s="23">
        <f t="shared" si="5"/>
        <v>-9468663.682</v>
      </c>
      <c r="P55" s="23" t="str">
        <f t="shared" si="6"/>
        <v>Desceu</v>
      </c>
      <c r="Q55" s="22" t="str">
        <f>VLOOKUP(A55,Ticker!A:B,2,0)</f>
        <v>SLC Agrícola</v>
      </c>
      <c r="R55" s="22" t="str">
        <f>VLOOKUP(Q55,ChatGPT!A:C,2,0)</f>
        <v>Agricultura</v>
      </c>
      <c r="S55" s="22">
        <f>VLOOKUP(Q55,ChatGPT!A:C,3,0)</f>
        <v>47</v>
      </c>
      <c r="T55" s="22" t="str">
        <f t="shared" si="7"/>
        <v>Menos de 50 anos</v>
      </c>
      <c r="U55" s="21">
        <f t="shared" si="8"/>
        <v>18.91971375</v>
      </c>
      <c r="V55" s="21">
        <f t="shared" si="9"/>
        <v>18.82008776</v>
      </c>
      <c r="W55" s="21">
        <f t="shared" si="10"/>
        <v>18.82008776</v>
      </c>
      <c r="X55" s="21">
        <f t="shared" si="11"/>
        <v>21.47068639</v>
      </c>
      <c r="Y55" s="20">
        <f t="shared" ref="Y55:AB55" si="120">E55/100</f>
        <v>0.0201</v>
      </c>
      <c r="Z55" s="20">
        <f t="shared" si="120"/>
        <v>0.0255</v>
      </c>
      <c r="AA55" s="20">
        <f t="shared" si="120"/>
        <v>0.0255</v>
      </c>
      <c r="AB55" s="20">
        <f t="shared" si="120"/>
        <v>-0.1011</v>
      </c>
      <c r="AC55" s="23">
        <f t="shared" si="13"/>
        <v>74441462.47</v>
      </c>
      <c r="AD55" s="23">
        <f t="shared" si="14"/>
        <v>93943362.88</v>
      </c>
      <c r="AE55" s="23">
        <f t="shared" si="15"/>
        <v>93943362.88</v>
      </c>
      <c r="AF55" s="23">
        <f t="shared" si="16"/>
        <v>-424914314.6</v>
      </c>
      <c r="AG55" s="15" t="str">
        <f t="shared" ref="AG55:AJ55" si="121">IF(AC55&gt;0,"Subiu",IF(AC55&lt;0,"Desceu","Estavel"))</f>
        <v>Subiu</v>
      </c>
      <c r="AH55" s="15" t="str">
        <f t="shared" si="121"/>
        <v>Subiu</v>
      </c>
      <c r="AI55" s="15" t="str">
        <f t="shared" si="121"/>
        <v>Subiu</v>
      </c>
      <c r="AJ55" s="15" t="str">
        <f t="shared" si="121"/>
        <v>Desceu</v>
      </c>
      <c r="AK55" s="7"/>
      <c r="AL55" s="7"/>
    </row>
    <row r="56">
      <c r="A56" s="8" t="s">
        <v>144</v>
      </c>
      <c r="B56" s="9">
        <v>45317.0</v>
      </c>
      <c r="C56" s="10">
        <v>24.62</v>
      </c>
      <c r="D56" s="8">
        <v>-0.28</v>
      </c>
      <c r="E56" s="11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8" t="s">
        <v>145</v>
      </c>
      <c r="L56" s="12">
        <f t="shared" si="3"/>
        <v>-0.0028</v>
      </c>
      <c r="M56" s="13">
        <f t="shared" si="4"/>
        <v>24.68912956</v>
      </c>
      <c r="N56" s="14">
        <f>VLOOKUP(A56,Total_de_acoes!A:B,2,0)</f>
        <v>532616595</v>
      </c>
      <c r="O56" s="15">
        <f t="shared" si="5"/>
        <v>-36819552.34</v>
      </c>
      <c r="P56" s="15" t="str">
        <f t="shared" si="6"/>
        <v>Desceu</v>
      </c>
      <c r="Q56" s="14" t="str">
        <f>VLOOKUP(A56,Ticker!A:B,2,0)</f>
        <v>ALOS3</v>
      </c>
      <c r="R56" s="14" t="str">
        <f>VLOOKUP(Q56,ChatGPT!A:C,2,0)</f>
        <v>Tecnologia</v>
      </c>
      <c r="S56" s="14">
        <f>VLOOKUP(Q56,ChatGPT!A:C,3,0)</f>
        <v>25</v>
      </c>
      <c r="T56" s="14" t="str">
        <f t="shared" si="7"/>
        <v>Menos de 50 anos</v>
      </c>
      <c r="U56" s="13">
        <f t="shared" si="8"/>
        <v>24.49020193</v>
      </c>
      <c r="V56" s="13">
        <f t="shared" si="9"/>
        <v>26.5501995</v>
      </c>
      <c r="W56" s="13">
        <f t="shared" si="10"/>
        <v>26.5501995</v>
      </c>
      <c r="X56" s="13">
        <f t="shared" si="11"/>
        <v>17.6083536</v>
      </c>
      <c r="Y56" s="12">
        <f t="shared" ref="Y56:AB56" si="122">E56/100</f>
        <v>0.0053</v>
      </c>
      <c r="Z56" s="12">
        <f t="shared" si="122"/>
        <v>-0.0727</v>
      </c>
      <c r="AA56" s="12">
        <f t="shared" si="122"/>
        <v>-0.0727</v>
      </c>
      <c r="AB56" s="12">
        <f t="shared" si="122"/>
        <v>0.3982</v>
      </c>
      <c r="AC56" s="15">
        <f t="shared" si="13"/>
        <v>69132606.2</v>
      </c>
      <c r="AD56" s="15">
        <f t="shared" si="14"/>
        <v>-1028056287</v>
      </c>
      <c r="AE56" s="15">
        <f t="shared" si="15"/>
        <v>-1028056287</v>
      </c>
      <c r="AF56" s="15">
        <f t="shared" si="16"/>
        <v>3734519232</v>
      </c>
      <c r="AG56" s="15" t="str">
        <f t="shared" ref="AG56:AJ56" si="123">IF(AC56&gt;0,"Subiu",IF(AC56&lt;0,"Desceu","Estavel"))</f>
        <v>Subiu</v>
      </c>
      <c r="AH56" s="15" t="str">
        <f t="shared" si="123"/>
        <v>Desceu</v>
      </c>
      <c r="AI56" s="15" t="str">
        <f t="shared" si="123"/>
        <v>Desceu</v>
      </c>
      <c r="AJ56" s="15" t="str">
        <f t="shared" si="123"/>
        <v>Subiu</v>
      </c>
      <c r="AK56" s="7"/>
      <c r="AL56" s="7"/>
    </row>
    <row r="57">
      <c r="A57" s="16" t="s">
        <v>146</v>
      </c>
      <c r="B57" s="17">
        <v>45317.0</v>
      </c>
      <c r="C57" s="18">
        <v>13.27</v>
      </c>
      <c r="D57" s="16">
        <v>-0.3</v>
      </c>
      <c r="E57" s="19">
        <v>-1.78</v>
      </c>
      <c r="F57" s="16">
        <v>-6.42</v>
      </c>
      <c r="G57" s="16">
        <v>-6.42</v>
      </c>
      <c r="H57" s="16">
        <v>13.59</v>
      </c>
      <c r="I57" s="16">
        <v>13.23</v>
      </c>
      <c r="J57" s="16">
        <v>13.41</v>
      </c>
      <c r="K57" s="16" t="s">
        <v>147</v>
      </c>
      <c r="L57" s="20">
        <f t="shared" si="3"/>
        <v>-0.003</v>
      </c>
      <c r="M57" s="21">
        <f t="shared" si="4"/>
        <v>13.30992979</v>
      </c>
      <c r="N57" s="22">
        <f>VLOOKUP(A57,Total_de_acoes!A:B,2,0)</f>
        <v>995335937</v>
      </c>
      <c r="O57" s="23">
        <f t="shared" si="5"/>
        <v>-39743554.31</v>
      </c>
      <c r="P57" s="23" t="str">
        <f t="shared" si="6"/>
        <v>Desceu</v>
      </c>
      <c r="Q57" s="22" t="str">
        <f>VLOOKUP(A57,Ticker!A:B,2,0)</f>
        <v>Grupo CCR</v>
      </c>
      <c r="R57" s="22" t="str">
        <f>VLOOKUP(Q57,ChatGPT!A:C,2,0)</f>
        <v>Infraestrutura </v>
      </c>
      <c r="S57" s="22">
        <f>VLOOKUP(Q57,ChatGPT!A:C,3,0)</f>
        <v>25</v>
      </c>
      <c r="T57" s="22" t="str">
        <f t="shared" si="7"/>
        <v>Menos de 50 anos</v>
      </c>
      <c r="U57" s="21">
        <f t="shared" si="8"/>
        <v>13.51048666</v>
      </c>
      <c r="V57" s="21">
        <f t="shared" si="9"/>
        <v>14.18038042</v>
      </c>
      <c r="W57" s="21">
        <f t="shared" si="10"/>
        <v>14.18038042</v>
      </c>
      <c r="X57" s="21">
        <f t="shared" si="11"/>
        <v>11.68236641</v>
      </c>
      <c r="Y57" s="20">
        <f t="shared" ref="Y57:AB57" si="124">E57/100</f>
        <v>-0.0178</v>
      </c>
      <c r="Z57" s="20">
        <f t="shared" si="124"/>
        <v>-0.0642</v>
      </c>
      <c r="AA57" s="20">
        <f t="shared" si="124"/>
        <v>-0.0642</v>
      </c>
      <c r="AB57" s="20">
        <f t="shared" si="124"/>
        <v>0.1359</v>
      </c>
      <c r="AC57" s="23">
        <f t="shared" si="13"/>
        <v>-239365017.6</v>
      </c>
      <c r="AD57" s="23">
        <f t="shared" si="14"/>
        <v>-906134351.5</v>
      </c>
      <c r="AE57" s="23">
        <f t="shared" si="15"/>
        <v>-906134351.5</v>
      </c>
      <c r="AF57" s="23">
        <f t="shared" si="16"/>
        <v>1580228771</v>
      </c>
      <c r="AG57" s="15" t="str">
        <f t="shared" ref="AG57:AJ57" si="125">IF(AC57&gt;0,"Subiu",IF(AC57&lt;0,"Desceu","Estavel"))</f>
        <v>Desceu</v>
      </c>
      <c r="AH57" s="15" t="str">
        <f t="shared" si="125"/>
        <v>Desceu</v>
      </c>
      <c r="AI57" s="15" t="str">
        <f t="shared" si="125"/>
        <v>Desceu</v>
      </c>
      <c r="AJ57" s="15" t="str">
        <f t="shared" si="125"/>
        <v>Subiu</v>
      </c>
      <c r="AK57" s="7"/>
      <c r="AL57" s="7"/>
    </row>
    <row r="58">
      <c r="A58" s="8" t="s">
        <v>148</v>
      </c>
      <c r="B58" s="9">
        <v>45317.0</v>
      </c>
      <c r="C58" s="10">
        <v>3.03</v>
      </c>
      <c r="D58" s="8">
        <v>-0.32</v>
      </c>
      <c r="E58" s="11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8" t="s">
        <v>149</v>
      </c>
      <c r="L58" s="12">
        <f t="shared" si="3"/>
        <v>-0.0032</v>
      </c>
      <c r="M58" s="13">
        <f t="shared" si="4"/>
        <v>3.039727127</v>
      </c>
      <c r="N58" s="14">
        <f>VLOOKUP(A58,Total_de_acoes!A:B,2,0)</f>
        <v>1814920980</v>
      </c>
      <c r="O58" s="15">
        <f t="shared" si="5"/>
        <v>-17653966.51</v>
      </c>
      <c r="P58" s="15" t="str">
        <f t="shared" si="6"/>
        <v>Desceu</v>
      </c>
      <c r="Q58" s="14" t="str">
        <f>VLOOKUP(A58,Ticker!A:B,2,0)</f>
        <v>Cogna</v>
      </c>
      <c r="R58" s="14" t="str">
        <f>VLOOKUP(Q58,ChatGPT!A:C,2,0)</f>
        <v>Educação</v>
      </c>
      <c r="S58" s="14">
        <f>VLOOKUP(Q58,ChatGPT!A:C,3,0)</f>
        <v>5</v>
      </c>
      <c r="T58" s="14" t="str">
        <f t="shared" si="7"/>
        <v>Menos de 50 anos</v>
      </c>
      <c r="U58" s="13">
        <f t="shared" si="8"/>
        <v>3.190145294</v>
      </c>
      <c r="V58" s="13">
        <f t="shared" si="9"/>
        <v>3.489979267</v>
      </c>
      <c r="W58" s="13">
        <f t="shared" si="10"/>
        <v>3.489979267</v>
      </c>
      <c r="X58" s="13">
        <f t="shared" si="11"/>
        <v>2.199956437</v>
      </c>
      <c r="Y58" s="12">
        <f t="shared" ref="Y58:AB58" si="126">E58/100</f>
        <v>-0.0502</v>
      </c>
      <c r="Z58" s="12">
        <f t="shared" si="126"/>
        <v>-0.1318</v>
      </c>
      <c r="AA58" s="12">
        <f t="shared" si="126"/>
        <v>-0.1318</v>
      </c>
      <c r="AB58" s="12">
        <f t="shared" si="126"/>
        <v>0.3773</v>
      </c>
      <c r="AC58" s="15">
        <f t="shared" si="13"/>
        <v>-290651053.5</v>
      </c>
      <c r="AD58" s="15">
        <f t="shared" si="14"/>
        <v>-834826022.9</v>
      </c>
      <c r="AE58" s="15">
        <f t="shared" si="15"/>
        <v>-834826022.9</v>
      </c>
      <c r="AF58" s="15">
        <f t="shared" si="16"/>
        <v>1506463478</v>
      </c>
      <c r="AG58" s="15" t="str">
        <f t="shared" ref="AG58:AJ58" si="127">IF(AC58&gt;0,"Subiu",IF(AC58&lt;0,"Desceu","Estavel"))</f>
        <v>Desceu</v>
      </c>
      <c r="AH58" s="15" t="str">
        <f t="shared" si="127"/>
        <v>Desceu</v>
      </c>
      <c r="AI58" s="15" t="str">
        <f t="shared" si="127"/>
        <v>Desceu</v>
      </c>
      <c r="AJ58" s="15" t="str">
        <f t="shared" si="127"/>
        <v>Subiu</v>
      </c>
      <c r="AK58" s="7"/>
      <c r="AL58" s="7"/>
    </row>
    <row r="59">
      <c r="A59" s="16" t="s">
        <v>150</v>
      </c>
      <c r="B59" s="17">
        <v>45317.0</v>
      </c>
      <c r="C59" s="18">
        <v>26.12</v>
      </c>
      <c r="D59" s="16">
        <v>-0.41</v>
      </c>
      <c r="E59" s="19">
        <v>-1.25</v>
      </c>
      <c r="F59" s="16">
        <v>-1.43</v>
      </c>
      <c r="G59" s="16">
        <v>-1.43</v>
      </c>
      <c r="H59" s="16">
        <v>22.81</v>
      </c>
      <c r="I59" s="16">
        <v>26.09</v>
      </c>
      <c r="J59" s="16">
        <v>26.4</v>
      </c>
      <c r="K59" s="16" t="s">
        <v>151</v>
      </c>
      <c r="L59" s="20">
        <f t="shared" si="3"/>
        <v>-0.0041</v>
      </c>
      <c r="M59" s="21">
        <f t="shared" si="4"/>
        <v>26.22753288</v>
      </c>
      <c r="N59" s="22">
        <f>VLOOKUP(A59,Total_de_acoes!A:B,2,0)</f>
        <v>395801044</v>
      </c>
      <c r="O59" s="23">
        <f t="shared" si="5"/>
        <v>-42561628.08</v>
      </c>
      <c r="P59" s="23" t="str">
        <f t="shared" si="6"/>
        <v>Desceu</v>
      </c>
      <c r="Q59" s="22" t="str">
        <f>VLOOKUP(A59,Ticker!A:B,2,0)</f>
        <v>Transmissão Paulista</v>
      </c>
      <c r="R59" s="22" t="str">
        <f>VLOOKUP(Q59,ChatGPT!A:C,2,0)</f>
        <v>Energia </v>
      </c>
      <c r="S59" s="22">
        <f>VLOOKUP(Q59,ChatGPT!A:C,3,0)</f>
        <v>25</v>
      </c>
      <c r="T59" s="22" t="str">
        <f t="shared" si="7"/>
        <v>Menos de 50 anos</v>
      </c>
      <c r="U59" s="21">
        <f t="shared" si="8"/>
        <v>26.45063291</v>
      </c>
      <c r="V59" s="21">
        <f t="shared" si="9"/>
        <v>26.49893477</v>
      </c>
      <c r="W59" s="21">
        <f t="shared" si="10"/>
        <v>26.49893477</v>
      </c>
      <c r="X59" s="21">
        <f t="shared" si="11"/>
        <v>21.26862633</v>
      </c>
      <c r="Y59" s="20">
        <f t="shared" ref="Y59:AB59" si="128">E59/100</f>
        <v>-0.0125</v>
      </c>
      <c r="Z59" s="20">
        <f t="shared" si="128"/>
        <v>-0.0143</v>
      </c>
      <c r="AA59" s="20">
        <f t="shared" si="128"/>
        <v>-0.0143</v>
      </c>
      <c r="AB59" s="20">
        <f t="shared" si="128"/>
        <v>0.2281</v>
      </c>
      <c r="AC59" s="23">
        <f t="shared" si="13"/>
        <v>-130864851.5</v>
      </c>
      <c r="AD59" s="23">
        <f t="shared" si="14"/>
        <v>-149982776.5</v>
      </c>
      <c r="AE59" s="23">
        <f t="shared" si="15"/>
        <v>-149982776.5</v>
      </c>
      <c r="AF59" s="23">
        <f t="shared" si="16"/>
        <v>1920178762</v>
      </c>
      <c r="AG59" s="15" t="str">
        <f t="shared" ref="AG59:AJ59" si="129">IF(AC59&gt;0,"Subiu",IF(AC59&lt;0,"Desceu","Estavel"))</f>
        <v>Desceu</v>
      </c>
      <c r="AH59" s="15" t="str">
        <f t="shared" si="129"/>
        <v>Desceu</v>
      </c>
      <c r="AI59" s="15" t="str">
        <f t="shared" si="129"/>
        <v>Desceu</v>
      </c>
      <c r="AJ59" s="15" t="str">
        <f t="shared" si="129"/>
        <v>Subiu</v>
      </c>
      <c r="AK59" s="7"/>
      <c r="AL59" s="7"/>
    </row>
    <row r="60">
      <c r="A60" s="8" t="s">
        <v>152</v>
      </c>
      <c r="B60" s="9">
        <v>45317.0</v>
      </c>
      <c r="C60" s="10">
        <v>41.04</v>
      </c>
      <c r="D60" s="8">
        <v>-0.46</v>
      </c>
      <c r="E60" s="11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8" t="s">
        <v>153</v>
      </c>
      <c r="L60" s="12">
        <f t="shared" si="3"/>
        <v>-0.0046</v>
      </c>
      <c r="M60" s="13">
        <f t="shared" si="4"/>
        <v>41.22965642</v>
      </c>
      <c r="N60" s="14">
        <f>VLOOKUP(A60,Total_de_acoes!A:B,2,0)</f>
        <v>255236961</v>
      </c>
      <c r="O60" s="15">
        <f t="shared" si="5"/>
        <v>-48407328.15</v>
      </c>
      <c r="P60" s="15" t="str">
        <f t="shared" si="6"/>
        <v>Desceu</v>
      </c>
      <c r="Q60" s="14" t="str">
        <f>VLOOKUP(A60,Ticker!A:B,2,0)</f>
        <v>Engie</v>
      </c>
      <c r="R60" s="14" t="str">
        <f>VLOOKUP(Q60,ChatGPT!A:C,2,0)</f>
        <v>Energia </v>
      </c>
      <c r="S60" s="14">
        <f>VLOOKUP(Q60,ChatGPT!A:C,3,0)</f>
        <v>9</v>
      </c>
      <c r="T60" s="14" t="str">
        <f t="shared" si="7"/>
        <v>Menos de 50 anos</v>
      </c>
      <c r="U60" s="13">
        <f t="shared" si="8"/>
        <v>40.81145585</v>
      </c>
      <c r="V60" s="13">
        <f t="shared" si="9"/>
        <v>45.32803181</v>
      </c>
      <c r="W60" s="13">
        <f t="shared" si="10"/>
        <v>45.32803181</v>
      </c>
      <c r="X60" s="13">
        <f t="shared" si="11"/>
        <v>36.18728507</v>
      </c>
      <c r="Y60" s="12">
        <f t="shared" ref="Y60:AB60" si="130">E60/100</f>
        <v>0.0056</v>
      </c>
      <c r="Z60" s="12">
        <f t="shared" si="130"/>
        <v>-0.0946</v>
      </c>
      <c r="AA60" s="12">
        <f t="shared" si="130"/>
        <v>-0.0946</v>
      </c>
      <c r="AB60" s="12">
        <f t="shared" si="130"/>
        <v>0.1341</v>
      </c>
      <c r="AC60" s="15">
        <f t="shared" si="13"/>
        <v>58332915</v>
      </c>
      <c r="AD60" s="15">
        <f t="shared" si="14"/>
        <v>-1094464208</v>
      </c>
      <c r="AE60" s="15">
        <f t="shared" si="15"/>
        <v>-1094464208</v>
      </c>
      <c r="AF60" s="15">
        <f t="shared" si="16"/>
        <v>1238592211</v>
      </c>
      <c r="AG60" s="15" t="str">
        <f t="shared" ref="AG60:AJ60" si="131">IF(AC60&gt;0,"Subiu",IF(AC60&lt;0,"Desceu","Estavel"))</f>
        <v>Subiu</v>
      </c>
      <c r="AH60" s="15" t="str">
        <f t="shared" si="131"/>
        <v>Desceu</v>
      </c>
      <c r="AI60" s="15" t="str">
        <f t="shared" si="131"/>
        <v>Desceu</v>
      </c>
      <c r="AJ60" s="15" t="str">
        <f t="shared" si="131"/>
        <v>Subiu</v>
      </c>
      <c r="AK60" s="7"/>
      <c r="AL60" s="7"/>
    </row>
    <row r="61">
      <c r="A61" s="16" t="s">
        <v>154</v>
      </c>
      <c r="B61" s="17">
        <v>45317.0</v>
      </c>
      <c r="C61" s="18">
        <v>23.23</v>
      </c>
      <c r="D61" s="16">
        <v>-0.47</v>
      </c>
      <c r="E61" s="19">
        <v>2.43</v>
      </c>
      <c r="F61" s="16">
        <v>2.07</v>
      </c>
      <c r="G61" s="16">
        <v>2.07</v>
      </c>
      <c r="H61" s="16">
        <v>50.65</v>
      </c>
      <c r="I61" s="16">
        <v>22.97</v>
      </c>
      <c r="J61" s="16">
        <v>23.4</v>
      </c>
      <c r="K61" s="16" t="s">
        <v>155</v>
      </c>
      <c r="L61" s="20">
        <f t="shared" si="3"/>
        <v>-0.0047</v>
      </c>
      <c r="M61" s="21">
        <f t="shared" si="4"/>
        <v>23.33969657</v>
      </c>
      <c r="N61" s="22">
        <f>VLOOKUP(A61,Total_de_acoes!A:B,2,0)</f>
        <v>1114412532</v>
      </c>
      <c r="O61" s="23">
        <f t="shared" si="5"/>
        <v>-122247236.7</v>
      </c>
      <c r="P61" s="23" t="str">
        <f t="shared" si="6"/>
        <v>Desceu</v>
      </c>
      <c r="Q61" s="22" t="str">
        <f>VLOOKUP(A61,Ticker!A:B,2,0)</f>
        <v>Vibra Energia</v>
      </c>
      <c r="R61" s="22" t="str">
        <f>VLOOKUP(Q61,ChatGPT!A:C,2,0)</f>
        <v>Energia </v>
      </c>
      <c r="S61" s="22">
        <f>VLOOKUP(Q61,ChatGPT!A:C,3,0)</f>
        <v>7</v>
      </c>
      <c r="T61" s="22" t="str">
        <f t="shared" si="7"/>
        <v>Menos de 50 anos</v>
      </c>
      <c r="U61" s="21">
        <f t="shared" si="8"/>
        <v>22.67890267</v>
      </c>
      <c r="V61" s="21">
        <f t="shared" si="9"/>
        <v>22.75889096</v>
      </c>
      <c r="W61" s="21">
        <f t="shared" si="10"/>
        <v>22.75889096</v>
      </c>
      <c r="X61" s="21">
        <f t="shared" si="11"/>
        <v>15.41984733</v>
      </c>
      <c r="Y61" s="20">
        <f t="shared" ref="Y61:AB61" si="132">E61/100</f>
        <v>0.0243</v>
      </c>
      <c r="Z61" s="20">
        <f t="shared" si="132"/>
        <v>0.0207</v>
      </c>
      <c r="AA61" s="20">
        <f t="shared" si="132"/>
        <v>0.0207</v>
      </c>
      <c r="AB61" s="20">
        <f t="shared" si="132"/>
        <v>0.5065</v>
      </c>
      <c r="AC61" s="23">
        <f t="shared" si="13"/>
        <v>614149776.2</v>
      </c>
      <c r="AD61" s="23">
        <f t="shared" si="14"/>
        <v>525009821.3</v>
      </c>
      <c r="AE61" s="23">
        <f t="shared" si="15"/>
        <v>525009821.3</v>
      </c>
      <c r="AF61" s="23">
        <f t="shared" si="16"/>
        <v>8703732014</v>
      </c>
      <c r="AG61" s="15" t="str">
        <f t="shared" ref="AG61:AJ61" si="133">IF(AC61&gt;0,"Subiu",IF(AC61&lt;0,"Desceu","Estavel"))</f>
        <v>Subiu</v>
      </c>
      <c r="AH61" s="15" t="str">
        <f t="shared" si="133"/>
        <v>Subiu</v>
      </c>
      <c r="AI61" s="15" t="str">
        <f t="shared" si="133"/>
        <v>Subiu</v>
      </c>
      <c r="AJ61" s="15" t="str">
        <f t="shared" si="133"/>
        <v>Subiu</v>
      </c>
      <c r="AK61" s="7"/>
      <c r="AL61" s="7"/>
    </row>
    <row r="62">
      <c r="A62" s="8" t="s">
        <v>156</v>
      </c>
      <c r="B62" s="9">
        <v>45317.0</v>
      </c>
      <c r="C62" s="10">
        <v>40.65</v>
      </c>
      <c r="D62" s="8">
        <v>-0.65</v>
      </c>
      <c r="E62" s="11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8" t="s">
        <v>157</v>
      </c>
      <c r="L62" s="12">
        <f t="shared" si="3"/>
        <v>-0.0065</v>
      </c>
      <c r="M62" s="13">
        <f t="shared" si="4"/>
        <v>40.9159537</v>
      </c>
      <c r="N62" s="14">
        <f>VLOOKUP(A62,Total_de_acoes!A:B,2,0)</f>
        <v>81838843</v>
      </c>
      <c r="O62" s="15">
        <f t="shared" si="5"/>
        <v>-21765343.02</v>
      </c>
      <c r="P62" s="15" t="str">
        <f t="shared" si="6"/>
        <v>Desceu</v>
      </c>
      <c r="Q62" s="14" t="str">
        <f>VLOOKUP(A62,Ticker!A:B,2,0)</f>
        <v>IRB Brasil RE</v>
      </c>
      <c r="R62" s="14" t="str">
        <f>VLOOKUP(Q62,ChatGPT!A:C,2,0)</f>
        <v>Seguros </v>
      </c>
      <c r="S62" s="14">
        <f>VLOOKUP(Q62,ChatGPT!A:C,3,0)</f>
        <v>85</v>
      </c>
      <c r="T62" s="14" t="str">
        <f t="shared" si="7"/>
        <v>Entre 50 e 100 anos</v>
      </c>
      <c r="U62" s="13">
        <f t="shared" si="8"/>
        <v>38.54907539</v>
      </c>
      <c r="V62" s="13">
        <f t="shared" si="9"/>
        <v>44.30034874</v>
      </c>
      <c r="W62" s="13">
        <f t="shared" si="10"/>
        <v>44.30034874</v>
      </c>
      <c r="X62" s="13">
        <f t="shared" si="11"/>
        <v>23.42939481</v>
      </c>
      <c r="Y62" s="12">
        <f t="shared" ref="Y62:AB62" si="134">E62/100</f>
        <v>0.0545</v>
      </c>
      <c r="Z62" s="12">
        <f t="shared" si="134"/>
        <v>-0.0824</v>
      </c>
      <c r="AA62" s="12">
        <f t="shared" si="134"/>
        <v>-0.0824</v>
      </c>
      <c r="AB62" s="12">
        <f t="shared" si="134"/>
        <v>0.735</v>
      </c>
      <c r="AC62" s="15">
        <f t="shared" si="13"/>
        <v>171937239.2</v>
      </c>
      <c r="AD62" s="15">
        <f t="shared" si="14"/>
        <v>-298740317.1</v>
      </c>
      <c r="AE62" s="15">
        <f t="shared" si="15"/>
        <v>-298740317.1</v>
      </c>
      <c r="AF62" s="15">
        <f t="shared" si="16"/>
        <v>1409314404</v>
      </c>
      <c r="AG62" s="15" t="str">
        <f t="shared" ref="AG62:AJ62" si="135">IF(AC62&gt;0,"Subiu",IF(AC62&lt;0,"Desceu","Estavel"))</f>
        <v>Subiu</v>
      </c>
      <c r="AH62" s="15" t="str">
        <f t="shared" si="135"/>
        <v>Desceu</v>
      </c>
      <c r="AI62" s="15" t="str">
        <f t="shared" si="135"/>
        <v>Desceu</v>
      </c>
      <c r="AJ62" s="15" t="str">
        <f t="shared" si="135"/>
        <v>Subiu</v>
      </c>
      <c r="AK62" s="7"/>
      <c r="AL62" s="7"/>
    </row>
    <row r="63">
      <c r="A63" s="16" t="s">
        <v>158</v>
      </c>
      <c r="B63" s="17">
        <v>45317.0</v>
      </c>
      <c r="C63" s="18">
        <v>40.86</v>
      </c>
      <c r="D63" s="16">
        <v>-0.65</v>
      </c>
      <c r="E63" s="19">
        <v>-2.04</v>
      </c>
      <c r="F63" s="16">
        <v>-3.7</v>
      </c>
      <c r="G63" s="16">
        <v>-3.7</v>
      </c>
      <c r="H63" s="16">
        <v>-3.64</v>
      </c>
      <c r="I63" s="16">
        <v>40.86</v>
      </c>
      <c r="J63" s="16">
        <v>41.44</v>
      </c>
      <c r="K63" s="16" t="s">
        <v>159</v>
      </c>
      <c r="L63" s="20">
        <f t="shared" si="3"/>
        <v>-0.0065</v>
      </c>
      <c r="M63" s="21">
        <f t="shared" si="4"/>
        <v>41.12732763</v>
      </c>
      <c r="N63" s="22">
        <f>VLOOKUP(A63,Total_de_acoes!A:B,2,0)</f>
        <v>1980568384</v>
      </c>
      <c r="O63" s="23">
        <f t="shared" si="5"/>
        <v>-529460651.3</v>
      </c>
      <c r="P63" s="23" t="str">
        <f t="shared" si="6"/>
        <v>Desceu</v>
      </c>
      <c r="Q63" s="22" t="str">
        <f>VLOOKUP(A63,Ticker!A:B,2,0)</f>
        <v>Eletrobras</v>
      </c>
      <c r="R63" s="22" t="str">
        <f>VLOOKUP(Q63,ChatGPT!A:C,2,0)</f>
        <v>Energia</v>
      </c>
      <c r="S63" s="22">
        <f>VLOOKUP(Q63,ChatGPT!A:C,3,0)</f>
        <v>62</v>
      </c>
      <c r="T63" s="22" t="str">
        <f t="shared" si="7"/>
        <v>Entre 50 e 100 anos</v>
      </c>
      <c r="U63" s="21">
        <f t="shared" si="8"/>
        <v>41.71090241</v>
      </c>
      <c r="V63" s="21">
        <f t="shared" si="9"/>
        <v>42.42990654</v>
      </c>
      <c r="W63" s="21">
        <f t="shared" si="10"/>
        <v>42.42990654</v>
      </c>
      <c r="X63" s="21">
        <f t="shared" si="11"/>
        <v>42.40348692</v>
      </c>
      <c r="Y63" s="20">
        <f t="shared" ref="Y63:AB63" si="136">E63/100</f>
        <v>-0.0204</v>
      </c>
      <c r="Z63" s="20">
        <f t="shared" si="136"/>
        <v>-0.037</v>
      </c>
      <c r="AA63" s="20">
        <f t="shared" si="136"/>
        <v>-0.037</v>
      </c>
      <c r="AB63" s="20">
        <f t="shared" si="136"/>
        <v>-0.0364</v>
      </c>
      <c r="AC63" s="23">
        <f t="shared" si="13"/>
        <v>-1685270409</v>
      </c>
      <c r="AD63" s="23">
        <f t="shared" si="14"/>
        <v>-3109307263</v>
      </c>
      <c r="AE63" s="23">
        <f t="shared" si="15"/>
        <v>-3109307263</v>
      </c>
      <c r="AF63" s="23">
        <f t="shared" si="16"/>
        <v>-3056981403</v>
      </c>
      <c r="AG63" s="15" t="str">
        <f t="shared" ref="AG63:AJ63" si="137">IF(AC63&gt;0,"Subiu",IF(AC63&lt;0,"Desceu","Estavel"))</f>
        <v>Desceu</v>
      </c>
      <c r="AH63" s="15" t="str">
        <f t="shared" si="137"/>
        <v>Desceu</v>
      </c>
      <c r="AI63" s="15" t="str">
        <f t="shared" si="137"/>
        <v>Desceu</v>
      </c>
      <c r="AJ63" s="15" t="str">
        <f t="shared" si="137"/>
        <v>Desceu</v>
      </c>
      <c r="AK63" s="7"/>
      <c r="AL63" s="7"/>
    </row>
    <row r="64">
      <c r="A64" s="8" t="s">
        <v>160</v>
      </c>
      <c r="B64" s="9">
        <v>45317.0</v>
      </c>
      <c r="C64" s="10">
        <v>3.4</v>
      </c>
      <c r="D64" s="8">
        <v>-0.87</v>
      </c>
      <c r="E64" s="11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8" t="s">
        <v>161</v>
      </c>
      <c r="L64" s="12">
        <f t="shared" si="3"/>
        <v>-0.0087</v>
      </c>
      <c r="M64" s="13">
        <f t="shared" si="4"/>
        <v>3.429839605</v>
      </c>
      <c r="N64" s="14">
        <f>VLOOKUP(A64,Total_de_acoes!A:B,2,0)</f>
        <v>309729428</v>
      </c>
      <c r="O64" s="15">
        <f t="shared" si="5"/>
        <v>-9242203.652</v>
      </c>
      <c r="P64" s="15" t="str">
        <f t="shared" si="6"/>
        <v>Desceu</v>
      </c>
      <c r="Q64" s="14" t="str">
        <f>VLOOKUP(A64,Ticker!A:B,2,0)</f>
        <v>Petz</v>
      </c>
      <c r="R64" s="14" t="str">
        <f>VLOOKUP(Q64,ChatGPT!A:C,2,0)</f>
        <v>Varejo </v>
      </c>
      <c r="S64" s="14">
        <f>VLOOKUP(Q64,ChatGPT!A:C,3,0)</f>
        <v>22</v>
      </c>
      <c r="T64" s="14" t="str">
        <f t="shared" si="7"/>
        <v>Menos de 50 anos</v>
      </c>
      <c r="U64" s="13">
        <f t="shared" si="8"/>
        <v>3.550172288</v>
      </c>
      <c r="V64" s="13">
        <f t="shared" si="9"/>
        <v>3.949814126</v>
      </c>
      <c r="W64" s="13">
        <f t="shared" si="10"/>
        <v>3.949814126</v>
      </c>
      <c r="X64" s="13">
        <f t="shared" si="11"/>
        <v>6.370620199</v>
      </c>
      <c r="Y64" s="12">
        <f t="shared" ref="Y64:AB64" si="138">E64/100</f>
        <v>-0.0423</v>
      </c>
      <c r="Z64" s="12">
        <f t="shared" si="138"/>
        <v>-0.1392</v>
      </c>
      <c r="AA64" s="12">
        <f t="shared" si="138"/>
        <v>-0.1392</v>
      </c>
      <c r="AB64" s="12">
        <f t="shared" si="138"/>
        <v>-0.4663</v>
      </c>
      <c r="AC64" s="15">
        <f t="shared" si="13"/>
        <v>-46512776.79</v>
      </c>
      <c r="AD64" s="15">
        <f t="shared" si="14"/>
        <v>-170293614.9</v>
      </c>
      <c r="AE64" s="15">
        <f t="shared" si="15"/>
        <v>-170293614.9</v>
      </c>
      <c r="AF64" s="15">
        <f t="shared" si="16"/>
        <v>-920088494.9</v>
      </c>
      <c r="AG64" s="15" t="str">
        <f t="shared" ref="AG64:AJ64" si="139">IF(AC64&gt;0,"Subiu",IF(AC64&lt;0,"Desceu","Estavel"))</f>
        <v>Desceu</v>
      </c>
      <c r="AH64" s="15" t="str">
        <f t="shared" si="139"/>
        <v>Desceu</v>
      </c>
      <c r="AI64" s="15" t="str">
        <f t="shared" si="139"/>
        <v>Desceu</v>
      </c>
      <c r="AJ64" s="15" t="str">
        <f t="shared" si="139"/>
        <v>Desceu</v>
      </c>
      <c r="AK64" s="7"/>
      <c r="AL64" s="7"/>
    </row>
    <row r="65">
      <c r="A65" s="16" t="s">
        <v>162</v>
      </c>
      <c r="B65" s="17">
        <v>45317.0</v>
      </c>
      <c r="C65" s="18">
        <v>15.91</v>
      </c>
      <c r="D65" s="16">
        <v>-0.93</v>
      </c>
      <c r="E65" s="19">
        <v>-2.39</v>
      </c>
      <c r="F65" s="16">
        <v>-14.92</v>
      </c>
      <c r="G65" s="16">
        <v>-14.92</v>
      </c>
      <c r="H65" s="16">
        <v>8.93</v>
      </c>
      <c r="I65" s="16">
        <v>15.85</v>
      </c>
      <c r="J65" s="16">
        <v>16.31</v>
      </c>
      <c r="K65" s="16" t="s">
        <v>163</v>
      </c>
      <c r="L65" s="20">
        <f t="shared" si="3"/>
        <v>-0.0093</v>
      </c>
      <c r="M65" s="21">
        <f t="shared" si="4"/>
        <v>16.05935197</v>
      </c>
      <c r="N65" s="22">
        <f>VLOOKUP(A65,Total_de_acoes!A:B,2,0)</f>
        <v>91514307</v>
      </c>
      <c r="O65" s="23">
        <f t="shared" si="5"/>
        <v>-13667842.34</v>
      </c>
      <c r="P65" s="23" t="str">
        <f t="shared" si="6"/>
        <v>Desceu</v>
      </c>
      <c r="Q65" s="22" t="str">
        <f>VLOOKUP(A65,Ticker!A:B,2,0)</f>
        <v>EZTEC</v>
      </c>
      <c r="R65" s="22" t="str">
        <f>VLOOKUP(Q65,ChatGPT!A:C,2,0)</f>
        <v>Construção Civil</v>
      </c>
      <c r="S65" s="22">
        <f>VLOOKUP(Q65,ChatGPT!A:C,3,0)</f>
        <v>45</v>
      </c>
      <c r="T65" s="22" t="str">
        <f t="shared" si="7"/>
        <v>Menos de 50 anos</v>
      </c>
      <c r="U65" s="21">
        <f t="shared" si="8"/>
        <v>16.29955947</v>
      </c>
      <c r="V65" s="21">
        <f t="shared" si="9"/>
        <v>18.70004701</v>
      </c>
      <c r="W65" s="21">
        <f t="shared" si="10"/>
        <v>18.70004701</v>
      </c>
      <c r="X65" s="21">
        <f t="shared" si="11"/>
        <v>14.60571009</v>
      </c>
      <c r="Y65" s="20">
        <f t="shared" ref="Y65:AB65" si="140">E65/100</f>
        <v>-0.0239</v>
      </c>
      <c r="Z65" s="20">
        <f t="shared" si="140"/>
        <v>-0.1492</v>
      </c>
      <c r="AA65" s="20">
        <f t="shared" si="140"/>
        <v>-0.1492</v>
      </c>
      <c r="AB65" s="20">
        <f t="shared" si="140"/>
        <v>0.0893</v>
      </c>
      <c r="AC65" s="23">
        <f t="shared" si="13"/>
        <v>-35650265.06</v>
      </c>
      <c r="AD65" s="23">
        <f t="shared" si="14"/>
        <v>-255329219</v>
      </c>
      <c r="AE65" s="23">
        <f t="shared" si="15"/>
        <v>-255329219</v>
      </c>
      <c r="AF65" s="23">
        <f t="shared" si="16"/>
        <v>119361187.3</v>
      </c>
      <c r="AG65" s="15" t="str">
        <f t="shared" ref="AG65:AJ65" si="141">IF(AC65&gt;0,"Subiu",IF(AC65&lt;0,"Desceu","Estavel"))</f>
        <v>Desceu</v>
      </c>
      <c r="AH65" s="15" t="str">
        <f t="shared" si="141"/>
        <v>Desceu</v>
      </c>
      <c r="AI65" s="15" t="str">
        <f t="shared" si="141"/>
        <v>Desceu</v>
      </c>
      <c r="AJ65" s="15" t="str">
        <f t="shared" si="141"/>
        <v>Subiu</v>
      </c>
      <c r="AK65" s="7"/>
      <c r="AL65" s="7"/>
    </row>
    <row r="66">
      <c r="A66" s="8" t="s">
        <v>164</v>
      </c>
      <c r="B66" s="9">
        <v>45317.0</v>
      </c>
      <c r="C66" s="10">
        <v>16.49</v>
      </c>
      <c r="D66" s="8">
        <v>-1.07</v>
      </c>
      <c r="E66" s="11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8" t="s">
        <v>107</v>
      </c>
      <c r="L66" s="12">
        <f t="shared" si="3"/>
        <v>-0.0107</v>
      </c>
      <c r="M66" s="13">
        <f t="shared" si="4"/>
        <v>16.66835136</v>
      </c>
      <c r="N66" s="14">
        <f>VLOOKUP(A66,Total_de_acoes!A:B,2,0)</f>
        <v>240822651</v>
      </c>
      <c r="O66" s="15">
        <f t="shared" si="5"/>
        <v>-42951047.22</v>
      </c>
      <c r="P66" s="15" t="str">
        <f t="shared" si="6"/>
        <v>Desceu</v>
      </c>
      <c r="Q66" s="14" t="str">
        <f>VLOOKUP(A66,Ticker!A:B,2,0)</f>
        <v>Fleury</v>
      </c>
      <c r="R66" s="14" t="str">
        <f>VLOOKUP(Q66,ChatGPT!A:C,2,0)</f>
        <v>Saúde</v>
      </c>
      <c r="S66" s="14">
        <f>VLOOKUP(Q66,ChatGPT!A:C,3,0)</f>
        <v>98</v>
      </c>
      <c r="T66" s="14" t="str">
        <f t="shared" si="7"/>
        <v>Entre 50 e 100 anos</v>
      </c>
      <c r="U66" s="13">
        <f t="shared" si="8"/>
        <v>16.3202692</v>
      </c>
      <c r="V66" s="13">
        <f t="shared" si="9"/>
        <v>18.03960179</v>
      </c>
      <c r="W66" s="13">
        <f t="shared" si="10"/>
        <v>18.03960179</v>
      </c>
      <c r="X66" s="13">
        <f t="shared" si="11"/>
        <v>14.07476955</v>
      </c>
      <c r="Y66" s="12">
        <f t="shared" ref="Y66:AB66" si="142">E66/100</f>
        <v>0.0104</v>
      </c>
      <c r="Z66" s="12">
        <f t="shared" si="142"/>
        <v>-0.0859</v>
      </c>
      <c r="AA66" s="12">
        <f t="shared" si="142"/>
        <v>-0.0859</v>
      </c>
      <c r="AB66" s="12">
        <f t="shared" si="142"/>
        <v>0.1716</v>
      </c>
      <c r="AC66" s="15">
        <f t="shared" si="13"/>
        <v>40875021.14</v>
      </c>
      <c r="AD66" s="15">
        <f t="shared" si="14"/>
        <v>-373179212.1</v>
      </c>
      <c r="AE66" s="15">
        <f t="shared" si="15"/>
        <v>-373179212.1</v>
      </c>
      <c r="AF66" s="15">
        <f t="shared" si="16"/>
        <v>581642200.7</v>
      </c>
      <c r="AG66" s="15" t="str">
        <f t="shared" ref="AG66:AJ66" si="143">IF(AC66&gt;0,"Subiu",IF(AC66&lt;0,"Desceu","Estavel"))</f>
        <v>Subiu</v>
      </c>
      <c r="AH66" s="15" t="str">
        <f t="shared" si="143"/>
        <v>Desceu</v>
      </c>
      <c r="AI66" s="15" t="str">
        <f t="shared" si="143"/>
        <v>Desceu</v>
      </c>
      <c r="AJ66" s="15" t="str">
        <f t="shared" si="143"/>
        <v>Subiu</v>
      </c>
      <c r="AK66" s="7"/>
      <c r="AL66" s="7"/>
    </row>
    <row r="67">
      <c r="A67" s="16" t="s">
        <v>165</v>
      </c>
      <c r="B67" s="17">
        <v>45317.0</v>
      </c>
      <c r="C67" s="18">
        <v>6.95</v>
      </c>
      <c r="D67" s="16">
        <v>-1.27</v>
      </c>
      <c r="E67" s="19">
        <v>-0.43</v>
      </c>
      <c r="F67" s="16">
        <v>-6.71</v>
      </c>
      <c r="G67" s="16">
        <v>-6.71</v>
      </c>
      <c r="H67" s="16">
        <v>-30.01</v>
      </c>
      <c r="I67" s="16">
        <v>6.87</v>
      </c>
      <c r="J67" s="16">
        <v>7.14</v>
      </c>
      <c r="K67" s="16" t="s">
        <v>166</v>
      </c>
      <c r="L67" s="20">
        <f t="shared" si="3"/>
        <v>-0.0127</v>
      </c>
      <c r="M67" s="21">
        <f t="shared" si="4"/>
        <v>7.039400385</v>
      </c>
      <c r="N67" s="22">
        <f>VLOOKUP(A67,Total_de_acoes!A:B,2,0)</f>
        <v>496029967</v>
      </c>
      <c r="O67" s="23">
        <f t="shared" si="5"/>
        <v>-44345269.97</v>
      </c>
      <c r="P67" s="23" t="str">
        <f t="shared" si="6"/>
        <v>Desceu</v>
      </c>
      <c r="Q67" s="22" t="str">
        <f>VLOOKUP(A67,Ticker!A:B,2,0)</f>
        <v>Grupo Soma</v>
      </c>
      <c r="R67" s="22" t="str">
        <f>VLOOKUP(Q67,ChatGPT!A:C,2,0)</f>
        <v>Moda</v>
      </c>
      <c r="S67" s="22">
        <f>VLOOKUP(Q67,ChatGPT!A:C,3,0)</f>
        <v>57</v>
      </c>
      <c r="T67" s="22" t="str">
        <f t="shared" si="7"/>
        <v>Entre 50 e 100 anos</v>
      </c>
      <c r="U67" s="21">
        <f t="shared" si="8"/>
        <v>6.98001406</v>
      </c>
      <c r="V67" s="21">
        <f t="shared" si="9"/>
        <v>7.449887448</v>
      </c>
      <c r="W67" s="21">
        <f t="shared" si="10"/>
        <v>7.449887448</v>
      </c>
      <c r="X67" s="21">
        <f t="shared" si="11"/>
        <v>9.929989999</v>
      </c>
      <c r="Y67" s="20">
        <f t="shared" ref="Y67:AB67" si="144">E67/100</f>
        <v>-0.0043</v>
      </c>
      <c r="Z67" s="20">
        <f t="shared" si="144"/>
        <v>-0.0671</v>
      </c>
      <c r="AA67" s="20">
        <f t="shared" si="144"/>
        <v>-0.0671</v>
      </c>
      <c r="AB67" s="20">
        <f t="shared" si="144"/>
        <v>-0.3001</v>
      </c>
      <c r="AC67" s="23">
        <f t="shared" si="13"/>
        <v>-14887873.42</v>
      </c>
      <c r="AD67" s="23">
        <f t="shared" si="14"/>
        <v>-247959154.2</v>
      </c>
      <c r="AE67" s="23">
        <f t="shared" si="15"/>
        <v>-247959154.2</v>
      </c>
      <c r="AF67" s="23">
        <f t="shared" si="16"/>
        <v>-1478164341</v>
      </c>
      <c r="AG67" s="15" t="str">
        <f t="shared" ref="AG67:AJ67" si="145">IF(AC67&gt;0,"Subiu",IF(AC67&lt;0,"Desceu","Estavel"))</f>
        <v>Desceu</v>
      </c>
      <c r="AH67" s="15" t="str">
        <f t="shared" si="145"/>
        <v>Desceu</v>
      </c>
      <c r="AI67" s="15" t="str">
        <f t="shared" si="145"/>
        <v>Desceu</v>
      </c>
      <c r="AJ67" s="15" t="str">
        <f t="shared" si="145"/>
        <v>Desceu</v>
      </c>
      <c r="AK67" s="7"/>
      <c r="AL67" s="7"/>
    </row>
    <row r="68">
      <c r="A68" s="8" t="s">
        <v>167</v>
      </c>
      <c r="B68" s="9">
        <v>45317.0</v>
      </c>
      <c r="C68" s="10">
        <v>8.67</v>
      </c>
      <c r="D68" s="8">
        <v>-1.36</v>
      </c>
      <c r="E68" s="11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8" t="s">
        <v>168</v>
      </c>
      <c r="L68" s="12">
        <f t="shared" si="3"/>
        <v>-0.0136</v>
      </c>
      <c r="M68" s="13">
        <f t="shared" si="4"/>
        <v>8.789537713</v>
      </c>
      <c r="N68" s="14">
        <f>VLOOKUP(A68,Total_de_acoes!A:B,2,0)</f>
        <v>176733968</v>
      </c>
      <c r="O68" s="15">
        <f t="shared" si="5"/>
        <v>-21126374.33</v>
      </c>
      <c r="P68" s="15" t="str">
        <f t="shared" si="6"/>
        <v>Desceu</v>
      </c>
      <c r="Q68" s="14" t="str">
        <f>VLOOKUP(A68,Ticker!A:B,2,0)</f>
        <v>Alpargatas</v>
      </c>
      <c r="R68" s="14" t="str">
        <f>VLOOKUP(Q68,ChatGPT!A:C,2,0)</f>
        <v>Moda</v>
      </c>
      <c r="S68" s="14">
        <f>VLOOKUP(Q68,ChatGPT!A:C,3,0)</f>
        <v>117</v>
      </c>
      <c r="T68" s="14" t="str">
        <f t="shared" si="7"/>
        <v>Mais de 100 anos</v>
      </c>
      <c r="U68" s="13">
        <f t="shared" si="8"/>
        <v>8.330130669</v>
      </c>
      <c r="V68" s="13">
        <f t="shared" si="9"/>
        <v>10.12022878</v>
      </c>
      <c r="W68" s="13">
        <f t="shared" si="10"/>
        <v>10.12022878</v>
      </c>
      <c r="X68" s="13">
        <f t="shared" si="11"/>
        <v>13.24068418</v>
      </c>
      <c r="Y68" s="12">
        <f t="shared" ref="Y68:AB68" si="146">E68/100</f>
        <v>0.0408</v>
      </c>
      <c r="Z68" s="12">
        <f t="shared" si="146"/>
        <v>-0.1433</v>
      </c>
      <c r="AA68" s="12">
        <f t="shared" si="146"/>
        <v>-0.1433</v>
      </c>
      <c r="AB68" s="12">
        <f t="shared" si="146"/>
        <v>-0.3452</v>
      </c>
      <c r="AC68" s="15">
        <f t="shared" si="13"/>
        <v>60066455.52</v>
      </c>
      <c r="AD68" s="15">
        <f t="shared" si="14"/>
        <v>-256304687.7</v>
      </c>
      <c r="AE68" s="15">
        <f t="shared" si="15"/>
        <v>-256304687.7</v>
      </c>
      <c r="AF68" s="15">
        <f t="shared" si="16"/>
        <v>-807795151.3</v>
      </c>
      <c r="AG68" s="15" t="str">
        <f t="shared" ref="AG68:AJ68" si="147">IF(AC68&gt;0,"Subiu",IF(AC68&lt;0,"Desceu","Estavel"))</f>
        <v>Subiu</v>
      </c>
      <c r="AH68" s="15" t="str">
        <f t="shared" si="147"/>
        <v>Desceu</v>
      </c>
      <c r="AI68" s="15" t="str">
        <f t="shared" si="147"/>
        <v>Desceu</v>
      </c>
      <c r="AJ68" s="15" t="str">
        <f t="shared" si="147"/>
        <v>Desceu</v>
      </c>
      <c r="AK68" s="7"/>
      <c r="AL68" s="7"/>
    </row>
    <row r="69">
      <c r="A69" s="16" t="s">
        <v>169</v>
      </c>
      <c r="B69" s="17">
        <v>45317.0</v>
      </c>
      <c r="C69" s="18">
        <v>22.84</v>
      </c>
      <c r="D69" s="16">
        <v>-1.38</v>
      </c>
      <c r="E69" s="19">
        <v>2.38</v>
      </c>
      <c r="F69" s="16">
        <v>-5.15</v>
      </c>
      <c r="G69" s="16">
        <v>-5.15</v>
      </c>
      <c r="H69" s="16">
        <v>60.09</v>
      </c>
      <c r="I69" s="16">
        <v>22.62</v>
      </c>
      <c r="J69" s="16">
        <v>23.34</v>
      </c>
      <c r="K69" s="16" t="s">
        <v>170</v>
      </c>
      <c r="L69" s="20">
        <f t="shared" si="3"/>
        <v>-0.0138</v>
      </c>
      <c r="M69" s="21">
        <f t="shared" si="4"/>
        <v>23.15960251</v>
      </c>
      <c r="N69" s="22">
        <f>VLOOKUP(A69,Total_de_acoes!A:B,2,0)</f>
        <v>265784616</v>
      </c>
      <c r="O69" s="23">
        <f t="shared" si="5"/>
        <v>-84945431.64</v>
      </c>
      <c r="P69" s="23" t="str">
        <f t="shared" si="6"/>
        <v>Desceu</v>
      </c>
      <c r="Q69" s="22" t="str">
        <f>VLOOKUP(A69,Ticker!A:B,2,0)</f>
        <v>Cyrela</v>
      </c>
      <c r="R69" s="22" t="str">
        <f>VLOOKUP(Q69,ChatGPT!A:C,2,0)</f>
        <v>Construção Civil</v>
      </c>
      <c r="S69" s="22">
        <f>VLOOKUP(Q69,ChatGPT!A:C,3,0)</f>
        <v>46</v>
      </c>
      <c r="T69" s="22" t="str">
        <f t="shared" si="7"/>
        <v>Menos de 50 anos</v>
      </c>
      <c r="U69" s="21">
        <f t="shared" si="8"/>
        <v>22.30904474</v>
      </c>
      <c r="V69" s="21">
        <f t="shared" si="9"/>
        <v>24.08012652</v>
      </c>
      <c r="W69" s="21">
        <f t="shared" si="10"/>
        <v>24.08012652</v>
      </c>
      <c r="X69" s="21">
        <f t="shared" si="11"/>
        <v>14.26697483</v>
      </c>
      <c r="Y69" s="20">
        <f t="shared" ref="Y69:AB69" si="148">E69/100</f>
        <v>0.0238</v>
      </c>
      <c r="Z69" s="20">
        <f t="shared" si="148"/>
        <v>-0.0515</v>
      </c>
      <c r="AA69" s="20">
        <f t="shared" si="148"/>
        <v>-0.0515</v>
      </c>
      <c r="AB69" s="20">
        <f t="shared" si="148"/>
        <v>0.6009</v>
      </c>
      <c r="AC69" s="23">
        <f t="shared" si="13"/>
        <v>141119741.1</v>
      </c>
      <c r="AD69" s="23">
        <f t="shared" si="14"/>
        <v>-329606549.7</v>
      </c>
      <c r="AE69" s="23">
        <f t="shared" si="15"/>
        <v>-329606549.7</v>
      </c>
      <c r="AF69" s="23">
        <f t="shared" si="16"/>
        <v>2278578204</v>
      </c>
      <c r="AG69" s="15" t="str">
        <f t="shared" ref="AG69:AJ69" si="149">IF(AC69&gt;0,"Subiu",IF(AC69&lt;0,"Desceu","Estavel"))</f>
        <v>Subiu</v>
      </c>
      <c r="AH69" s="15" t="str">
        <f t="shared" si="149"/>
        <v>Desceu</v>
      </c>
      <c r="AI69" s="15" t="str">
        <f t="shared" si="149"/>
        <v>Desceu</v>
      </c>
      <c r="AJ69" s="15" t="str">
        <f t="shared" si="149"/>
        <v>Subiu</v>
      </c>
      <c r="AK69" s="7"/>
      <c r="AL69" s="7"/>
    </row>
    <row r="70">
      <c r="A70" s="8" t="s">
        <v>171</v>
      </c>
      <c r="B70" s="9">
        <v>45317.0</v>
      </c>
      <c r="C70" s="10">
        <v>22.4</v>
      </c>
      <c r="D70" s="8">
        <v>-1.4</v>
      </c>
      <c r="E70" s="11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8" t="s">
        <v>172</v>
      </c>
      <c r="L70" s="12">
        <f t="shared" si="3"/>
        <v>-0.014</v>
      </c>
      <c r="M70" s="13">
        <f t="shared" si="4"/>
        <v>22.71805274</v>
      </c>
      <c r="N70" s="14">
        <f>VLOOKUP(A70,Total_de_acoes!A:B,2,0)</f>
        <v>734632705</v>
      </c>
      <c r="O70" s="15">
        <f t="shared" si="5"/>
        <v>-233651943.5</v>
      </c>
      <c r="P70" s="15" t="str">
        <f t="shared" si="6"/>
        <v>Desceu</v>
      </c>
      <c r="Q70" s="14" t="str">
        <f>VLOOKUP(A70,Ticker!A:B,2,0)</f>
        <v>Embraer</v>
      </c>
      <c r="R70" s="14" t="str">
        <f>VLOOKUP(Q70,ChatGPT!A:C,2,0)</f>
        <v>Indústria</v>
      </c>
      <c r="S70" s="14">
        <f>VLOOKUP(Q70,ChatGPT!A:C,3,0)</f>
        <v>55</v>
      </c>
      <c r="T70" s="14" t="str">
        <f t="shared" si="7"/>
        <v>Entre 50 e 100 anos</v>
      </c>
      <c r="U70" s="13">
        <f t="shared" si="8"/>
        <v>21.32927062</v>
      </c>
      <c r="V70" s="13">
        <f t="shared" si="9"/>
        <v>22.39104358</v>
      </c>
      <c r="W70" s="13">
        <f t="shared" si="10"/>
        <v>22.39104358</v>
      </c>
      <c r="X70" s="13">
        <f t="shared" si="11"/>
        <v>16.68031871</v>
      </c>
      <c r="Y70" s="12">
        <f t="shared" ref="Y70:AB70" si="150">E70/100</f>
        <v>0.0502</v>
      </c>
      <c r="Z70" s="12">
        <f t="shared" si="150"/>
        <v>0.0004</v>
      </c>
      <c r="AA70" s="12">
        <f t="shared" si="150"/>
        <v>0.0004</v>
      </c>
      <c r="AB70" s="12">
        <f t="shared" si="150"/>
        <v>0.3429</v>
      </c>
      <c r="AC70" s="15">
        <f t="shared" si="13"/>
        <v>786592824.3</v>
      </c>
      <c r="AD70" s="15">
        <f t="shared" si="14"/>
        <v>6579677.166</v>
      </c>
      <c r="AE70" s="15">
        <f t="shared" si="15"/>
        <v>6579677.166</v>
      </c>
      <c r="AF70" s="15">
        <f t="shared" si="16"/>
        <v>4201864935</v>
      </c>
      <c r="AG70" s="15" t="str">
        <f t="shared" ref="AG70:AJ70" si="151">IF(AC70&gt;0,"Subiu",IF(AC70&lt;0,"Desceu","Estavel"))</f>
        <v>Subiu</v>
      </c>
      <c r="AH70" s="15" t="str">
        <f t="shared" si="151"/>
        <v>Subiu</v>
      </c>
      <c r="AI70" s="15" t="str">
        <f t="shared" si="151"/>
        <v>Subiu</v>
      </c>
      <c r="AJ70" s="15" t="str">
        <f t="shared" si="151"/>
        <v>Subiu</v>
      </c>
      <c r="AK70" s="7"/>
      <c r="AL70" s="7"/>
    </row>
    <row r="71">
      <c r="A71" s="16" t="s">
        <v>173</v>
      </c>
      <c r="B71" s="17">
        <v>45317.0</v>
      </c>
      <c r="C71" s="18">
        <v>15.97</v>
      </c>
      <c r="D71" s="16">
        <v>-1.41</v>
      </c>
      <c r="E71" s="19">
        <v>-7.37</v>
      </c>
      <c r="F71" s="16">
        <v>-5.45</v>
      </c>
      <c r="G71" s="16">
        <v>-5.45</v>
      </c>
      <c r="H71" s="16">
        <v>23.51</v>
      </c>
      <c r="I71" s="16">
        <v>15.84</v>
      </c>
      <c r="J71" s="16">
        <v>16.43</v>
      </c>
      <c r="K71" s="16" t="s">
        <v>174</v>
      </c>
      <c r="L71" s="20">
        <f t="shared" si="3"/>
        <v>-0.0141</v>
      </c>
      <c r="M71" s="21">
        <f t="shared" si="4"/>
        <v>16.1983974</v>
      </c>
      <c r="N71" s="22">
        <f>VLOOKUP(A71,Total_de_acoes!A:B,2,0)</f>
        <v>846244302</v>
      </c>
      <c r="O71" s="23">
        <f t="shared" si="5"/>
        <v>-193280001.2</v>
      </c>
      <c r="P71" s="23" t="str">
        <f t="shared" si="6"/>
        <v>Desceu</v>
      </c>
      <c r="Q71" s="22" t="str">
        <f>VLOOKUP(A71,Ticker!A:B,2,0)</f>
        <v>Natura</v>
      </c>
      <c r="R71" s="22" t="str">
        <f>VLOOKUP(Q71,ChatGPT!A:C,2,0)</f>
        <v>Cosméticos e Beleza</v>
      </c>
      <c r="S71" s="22">
        <f>VLOOKUP(Q71,ChatGPT!A:C,3,0)</f>
        <v>55</v>
      </c>
      <c r="T71" s="22" t="str">
        <f t="shared" si="7"/>
        <v>Entre 50 e 100 anos</v>
      </c>
      <c r="U71" s="21">
        <f t="shared" si="8"/>
        <v>17.24063478</v>
      </c>
      <c r="V71" s="21">
        <f t="shared" si="9"/>
        <v>16.89053411</v>
      </c>
      <c r="W71" s="21">
        <f t="shared" si="10"/>
        <v>16.89053411</v>
      </c>
      <c r="X71" s="21">
        <f t="shared" si="11"/>
        <v>12.93012712</v>
      </c>
      <c r="Y71" s="20">
        <f t="shared" ref="Y71:AB71" si="152">E71/100</f>
        <v>-0.0737</v>
      </c>
      <c r="Z71" s="20">
        <f t="shared" si="152"/>
        <v>-0.0545</v>
      </c>
      <c r="AA71" s="20">
        <f t="shared" si="152"/>
        <v>-0.0545</v>
      </c>
      <c r="AB71" s="20">
        <f t="shared" si="152"/>
        <v>0.2351</v>
      </c>
      <c r="AC71" s="23">
        <f t="shared" si="13"/>
        <v>-1075267446</v>
      </c>
      <c r="AD71" s="23">
        <f t="shared" si="14"/>
        <v>-778996744.5</v>
      </c>
      <c r="AE71" s="23">
        <f t="shared" si="15"/>
        <v>-778996744.5</v>
      </c>
      <c r="AF71" s="23">
        <f t="shared" si="16"/>
        <v>2572475108</v>
      </c>
      <c r="AG71" s="15" t="str">
        <f t="shared" ref="AG71:AJ71" si="153">IF(AC71&gt;0,"Subiu",IF(AC71&lt;0,"Desceu","Estavel"))</f>
        <v>Desceu</v>
      </c>
      <c r="AH71" s="15" t="str">
        <f t="shared" si="153"/>
        <v>Desceu</v>
      </c>
      <c r="AI71" s="15" t="str">
        <f t="shared" si="153"/>
        <v>Desceu</v>
      </c>
      <c r="AJ71" s="15" t="str">
        <f t="shared" si="153"/>
        <v>Subiu</v>
      </c>
      <c r="AK71" s="7"/>
      <c r="AL71" s="7"/>
    </row>
    <row r="72">
      <c r="A72" s="8" t="s">
        <v>175</v>
      </c>
      <c r="B72" s="9">
        <v>45317.0</v>
      </c>
      <c r="C72" s="10">
        <v>13.8</v>
      </c>
      <c r="D72" s="8">
        <v>-1.42</v>
      </c>
      <c r="E72" s="11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8" t="s">
        <v>176</v>
      </c>
      <c r="L72" s="12">
        <f t="shared" si="3"/>
        <v>-0.0142</v>
      </c>
      <c r="M72" s="13">
        <f t="shared" si="4"/>
        <v>13.99878271</v>
      </c>
      <c r="N72" s="14">
        <f>VLOOKUP(A72,Total_de_acoes!A:B,2,0)</f>
        <v>1349217892</v>
      </c>
      <c r="O72" s="15">
        <f t="shared" si="5"/>
        <v>-268201195.1</v>
      </c>
      <c r="P72" s="15" t="str">
        <f t="shared" si="6"/>
        <v>Desceu</v>
      </c>
      <c r="Q72" s="14" t="str">
        <f>VLOOKUP(A72,Ticker!A:B,2,0)</f>
        <v>Assaí</v>
      </c>
      <c r="R72" s="14" t="str">
        <f>VLOOKUP(Q72,ChatGPT!A:C,2,0)</f>
        <v>Varejo </v>
      </c>
      <c r="S72" s="14">
        <f>VLOOKUP(Q72,ChatGPT!A:C,3,0)</f>
        <v>50</v>
      </c>
      <c r="T72" s="14" t="str">
        <f t="shared" si="7"/>
        <v>Entre 50 e 100 anos</v>
      </c>
      <c r="U72" s="13">
        <f t="shared" si="8"/>
        <v>14.30051813</v>
      </c>
      <c r="V72" s="13">
        <f t="shared" si="9"/>
        <v>13.52941176</v>
      </c>
      <c r="W72" s="13">
        <f t="shared" si="10"/>
        <v>13.52941176</v>
      </c>
      <c r="X72" s="13">
        <f t="shared" si="11"/>
        <v>20.91542892</v>
      </c>
      <c r="Y72" s="12">
        <f t="shared" ref="Y72:AB72" si="154">E72/100</f>
        <v>-0.035</v>
      </c>
      <c r="Z72" s="12">
        <f t="shared" si="154"/>
        <v>0.02</v>
      </c>
      <c r="AA72" s="12">
        <f t="shared" si="154"/>
        <v>0.02</v>
      </c>
      <c r="AB72" s="12">
        <f t="shared" si="154"/>
        <v>-0.3402</v>
      </c>
      <c r="AC72" s="15">
        <f t="shared" si="13"/>
        <v>-675308022.6</v>
      </c>
      <c r="AD72" s="15">
        <f t="shared" si="14"/>
        <v>365082488.4</v>
      </c>
      <c r="AE72" s="15">
        <f t="shared" si="15"/>
        <v>365082488.4</v>
      </c>
      <c r="AF72" s="15">
        <f t="shared" si="16"/>
        <v>-9600264005</v>
      </c>
      <c r="AG72" s="15" t="str">
        <f t="shared" ref="AG72:AJ72" si="155">IF(AC72&gt;0,"Subiu",IF(AC72&lt;0,"Desceu","Estavel"))</f>
        <v>Desceu</v>
      </c>
      <c r="AH72" s="15" t="str">
        <f t="shared" si="155"/>
        <v>Subiu</v>
      </c>
      <c r="AI72" s="15" t="str">
        <f t="shared" si="155"/>
        <v>Subiu</v>
      </c>
      <c r="AJ72" s="15" t="str">
        <f t="shared" si="155"/>
        <v>Desceu</v>
      </c>
      <c r="AK72" s="7"/>
      <c r="AL72" s="7"/>
    </row>
    <row r="73">
      <c r="A73" s="16" t="s">
        <v>177</v>
      </c>
      <c r="B73" s="17">
        <v>45317.0</v>
      </c>
      <c r="C73" s="18">
        <v>13.22</v>
      </c>
      <c r="D73" s="16">
        <v>-1.56</v>
      </c>
      <c r="E73" s="19">
        <v>-4.13</v>
      </c>
      <c r="F73" s="16">
        <v>-8.58</v>
      </c>
      <c r="G73" s="16">
        <v>-8.58</v>
      </c>
      <c r="H73" s="16">
        <v>3.88</v>
      </c>
      <c r="I73" s="16">
        <v>13.18</v>
      </c>
      <c r="J73" s="16">
        <v>13.42</v>
      </c>
      <c r="K73" s="16" t="s">
        <v>178</v>
      </c>
      <c r="L73" s="20">
        <f t="shared" si="3"/>
        <v>-0.0156</v>
      </c>
      <c r="M73" s="21">
        <f t="shared" si="4"/>
        <v>13.4295002</v>
      </c>
      <c r="N73" s="22">
        <f>VLOOKUP(A73,Total_de_acoes!A:B,2,0)</f>
        <v>5602790110</v>
      </c>
      <c r="O73" s="23">
        <f t="shared" si="5"/>
        <v>-1173785666</v>
      </c>
      <c r="P73" s="23" t="str">
        <f t="shared" si="6"/>
        <v>Desceu</v>
      </c>
      <c r="Q73" s="22" t="str">
        <f>VLOOKUP(A73,Ticker!A:B,2,0)</f>
        <v>B3</v>
      </c>
      <c r="R73" s="22" t="str">
        <f>VLOOKUP(Q73,ChatGPT!A:C,2,0)</f>
        <v>Serviços Financeiros </v>
      </c>
      <c r="S73" s="22">
        <f>VLOOKUP(Q73,ChatGPT!A:C,3,0)</f>
        <v>7</v>
      </c>
      <c r="T73" s="22" t="str">
        <f t="shared" si="7"/>
        <v>Menos de 50 anos</v>
      </c>
      <c r="U73" s="21">
        <f t="shared" si="8"/>
        <v>13.78950662</v>
      </c>
      <c r="V73" s="21">
        <f t="shared" si="9"/>
        <v>14.46073069</v>
      </c>
      <c r="W73" s="21">
        <f t="shared" si="10"/>
        <v>14.46073069</v>
      </c>
      <c r="X73" s="21">
        <f t="shared" si="11"/>
        <v>12.72622256</v>
      </c>
      <c r="Y73" s="20">
        <f t="shared" ref="Y73:AB73" si="156">E73/100</f>
        <v>-0.0413</v>
      </c>
      <c r="Z73" s="20">
        <f t="shared" si="156"/>
        <v>-0.0858</v>
      </c>
      <c r="AA73" s="20">
        <f t="shared" si="156"/>
        <v>-0.0858</v>
      </c>
      <c r="AB73" s="20">
        <f t="shared" si="156"/>
        <v>0.0388</v>
      </c>
      <c r="AC73" s="23">
        <f t="shared" si="13"/>
        <v>-3190826078</v>
      </c>
      <c r="AD73" s="23">
        <f t="shared" si="14"/>
        <v>-6951553659</v>
      </c>
      <c r="AE73" s="23">
        <f t="shared" si="15"/>
        <v>-6951553659</v>
      </c>
      <c r="AF73" s="23">
        <f t="shared" si="16"/>
        <v>2766531332</v>
      </c>
      <c r="AG73" s="15" t="str">
        <f t="shared" ref="AG73:AJ73" si="157">IF(AC73&gt;0,"Subiu",IF(AC73&lt;0,"Desceu","Estavel"))</f>
        <v>Desceu</v>
      </c>
      <c r="AH73" s="15" t="str">
        <f t="shared" si="157"/>
        <v>Desceu</v>
      </c>
      <c r="AI73" s="15" t="str">
        <f t="shared" si="157"/>
        <v>Desceu</v>
      </c>
      <c r="AJ73" s="15" t="str">
        <f t="shared" si="157"/>
        <v>Subiu</v>
      </c>
      <c r="AK73" s="7"/>
      <c r="AL73" s="7"/>
    </row>
    <row r="74">
      <c r="A74" s="8" t="s">
        <v>179</v>
      </c>
      <c r="B74" s="9">
        <v>45317.0</v>
      </c>
      <c r="C74" s="10">
        <v>31.08</v>
      </c>
      <c r="D74" s="8">
        <v>-1.61</v>
      </c>
      <c r="E74" s="11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8" t="s">
        <v>180</v>
      </c>
      <c r="L74" s="12">
        <f t="shared" si="3"/>
        <v>-0.0161</v>
      </c>
      <c r="M74" s="13">
        <f t="shared" si="4"/>
        <v>31.58857607</v>
      </c>
      <c r="N74" s="14">
        <f>VLOOKUP(A74,Total_de_acoes!A:B,2,0)</f>
        <v>409490388</v>
      </c>
      <c r="O74" s="15">
        <f t="shared" si="5"/>
        <v>-208257014.2</v>
      </c>
      <c r="P74" s="15" t="str">
        <f t="shared" si="6"/>
        <v>Desceu</v>
      </c>
      <c r="Q74" s="14" t="str">
        <f>VLOOKUP(A74,Ticker!A:B,2,0)</f>
        <v>Hypera</v>
      </c>
      <c r="R74" s="14" t="str">
        <f>VLOOKUP(Q74,ChatGPT!A:C,2,0)</f>
        <v>Farmacêutica</v>
      </c>
      <c r="S74" s="14">
        <f>VLOOKUP(Q74,ChatGPT!A:C,3,0)</f>
        <v>23</v>
      </c>
      <c r="T74" s="14" t="str">
        <f t="shared" si="7"/>
        <v>Menos de 50 anos</v>
      </c>
      <c r="U74" s="13">
        <f t="shared" si="8"/>
        <v>32.80903621</v>
      </c>
      <c r="V74" s="13">
        <f t="shared" si="9"/>
        <v>35.74879227</v>
      </c>
      <c r="W74" s="13">
        <f t="shared" si="10"/>
        <v>35.74879227</v>
      </c>
      <c r="X74" s="13">
        <f t="shared" si="11"/>
        <v>42.8807947</v>
      </c>
      <c r="Y74" s="12">
        <f t="shared" ref="Y74:AB74" si="158">E74/100</f>
        <v>-0.0527</v>
      </c>
      <c r="Z74" s="12">
        <f t="shared" si="158"/>
        <v>-0.1306</v>
      </c>
      <c r="AA74" s="12">
        <f t="shared" si="158"/>
        <v>-0.1306</v>
      </c>
      <c r="AB74" s="12">
        <f t="shared" si="158"/>
        <v>-0.2752</v>
      </c>
      <c r="AC74" s="15">
        <f t="shared" si="13"/>
        <v>-708023707.7</v>
      </c>
      <c r="AD74" s="15">
        <f t="shared" si="14"/>
        <v>-1911825558</v>
      </c>
      <c r="AE74" s="15">
        <f t="shared" si="15"/>
        <v>-1911825558</v>
      </c>
      <c r="AF74" s="15">
        <f t="shared" si="16"/>
        <v>-4832312001</v>
      </c>
      <c r="AG74" s="15" t="str">
        <f t="shared" ref="AG74:AJ74" si="159">IF(AC74&gt;0,"Subiu",IF(AC74&lt;0,"Desceu","Estavel"))</f>
        <v>Desceu</v>
      </c>
      <c r="AH74" s="15" t="str">
        <f t="shared" si="159"/>
        <v>Desceu</v>
      </c>
      <c r="AI74" s="15" t="str">
        <f t="shared" si="159"/>
        <v>Desceu</v>
      </c>
      <c r="AJ74" s="15" t="str">
        <f t="shared" si="159"/>
        <v>Desceu</v>
      </c>
      <c r="AK74" s="7"/>
      <c r="AL74" s="7"/>
    </row>
    <row r="75">
      <c r="A75" s="16" t="s">
        <v>181</v>
      </c>
      <c r="B75" s="17">
        <v>45317.0</v>
      </c>
      <c r="C75" s="18">
        <v>28.2</v>
      </c>
      <c r="D75" s="16">
        <v>-1.94</v>
      </c>
      <c r="E75" s="19">
        <v>0.36</v>
      </c>
      <c r="F75" s="16">
        <v>-3.79</v>
      </c>
      <c r="G75" s="16">
        <v>-3.79</v>
      </c>
      <c r="H75" s="16">
        <v>17.1</v>
      </c>
      <c r="I75" s="16">
        <v>28.13</v>
      </c>
      <c r="J75" s="16">
        <v>28.97</v>
      </c>
      <c r="K75" s="16" t="s">
        <v>182</v>
      </c>
      <c r="L75" s="20">
        <f t="shared" si="3"/>
        <v>-0.0194</v>
      </c>
      <c r="M75" s="21">
        <f t="shared" si="4"/>
        <v>28.75790332</v>
      </c>
      <c r="N75" s="22">
        <f>VLOOKUP(A75,Total_de_acoes!A:B,2,0)</f>
        <v>142377330</v>
      </c>
      <c r="O75" s="23">
        <f t="shared" si="5"/>
        <v>-79432785.74</v>
      </c>
      <c r="P75" s="23" t="str">
        <f t="shared" si="6"/>
        <v>Desceu</v>
      </c>
      <c r="Q75" s="22" t="str">
        <f>VLOOKUP(A75,Ticker!A:B,2,0)</f>
        <v>São Martinho</v>
      </c>
      <c r="R75" s="22" t="str">
        <f>VLOOKUP(Q75,ChatGPT!A:C,2,0)</f>
        <v>Agroindústria</v>
      </c>
      <c r="S75" s="22">
        <f>VLOOKUP(Q75,ChatGPT!A:C,3,0)</f>
        <v>84</v>
      </c>
      <c r="T75" s="22" t="str">
        <f t="shared" si="7"/>
        <v>Entre 50 e 100 anos</v>
      </c>
      <c r="U75" s="21">
        <f t="shared" si="8"/>
        <v>28.09884416</v>
      </c>
      <c r="V75" s="21">
        <f t="shared" si="9"/>
        <v>29.31088244</v>
      </c>
      <c r="W75" s="21">
        <f t="shared" si="10"/>
        <v>29.31088244</v>
      </c>
      <c r="X75" s="21">
        <f t="shared" si="11"/>
        <v>24.08198121</v>
      </c>
      <c r="Y75" s="20">
        <f t="shared" ref="Y75:AB75" si="160">E75/100</f>
        <v>0.0036</v>
      </c>
      <c r="Z75" s="20">
        <f t="shared" si="160"/>
        <v>-0.0379</v>
      </c>
      <c r="AA75" s="20">
        <f t="shared" si="160"/>
        <v>-0.0379</v>
      </c>
      <c r="AB75" s="20">
        <f t="shared" si="160"/>
        <v>0.171</v>
      </c>
      <c r="AC75" s="23">
        <f t="shared" si="13"/>
        <v>14402298.27</v>
      </c>
      <c r="AD75" s="23">
        <f t="shared" si="14"/>
        <v>-158164476.4</v>
      </c>
      <c r="AE75" s="23">
        <f t="shared" si="15"/>
        <v>-158164476.4</v>
      </c>
      <c r="AF75" s="23">
        <f t="shared" si="16"/>
        <v>586312519.8</v>
      </c>
      <c r="AG75" s="15" t="str">
        <f t="shared" ref="AG75:AJ75" si="161">IF(AC75&gt;0,"Subiu",IF(AC75&lt;0,"Desceu","Estavel"))</f>
        <v>Subiu</v>
      </c>
      <c r="AH75" s="15" t="str">
        <f t="shared" si="161"/>
        <v>Desceu</v>
      </c>
      <c r="AI75" s="15" t="str">
        <f t="shared" si="161"/>
        <v>Desceu</v>
      </c>
      <c r="AJ75" s="15" t="str">
        <f t="shared" si="161"/>
        <v>Subiu</v>
      </c>
      <c r="AK75" s="7"/>
      <c r="AL75" s="7"/>
    </row>
    <row r="76">
      <c r="A76" s="8" t="s">
        <v>183</v>
      </c>
      <c r="B76" s="9">
        <v>45317.0</v>
      </c>
      <c r="C76" s="10">
        <v>3.93</v>
      </c>
      <c r="D76" s="8">
        <v>-1.99</v>
      </c>
      <c r="E76" s="11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8" t="s">
        <v>184</v>
      </c>
      <c r="L76" s="12">
        <f t="shared" si="3"/>
        <v>-0.0199</v>
      </c>
      <c r="M76" s="13">
        <f t="shared" si="4"/>
        <v>4.009794919</v>
      </c>
      <c r="N76" s="14">
        <f>VLOOKUP(A76,Total_de_acoes!A:B,2,0)</f>
        <v>4394332306</v>
      </c>
      <c r="O76" s="15">
        <f t="shared" si="5"/>
        <v>-350645389.9</v>
      </c>
      <c r="P76" s="15" t="str">
        <f t="shared" si="6"/>
        <v>Desceu</v>
      </c>
      <c r="Q76" s="14" t="str">
        <f>VLOOKUP(A76,Ticker!A:B,2,0)</f>
        <v>Hapvida</v>
      </c>
      <c r="R76" s="14" t="str">
        <f>VLOOKUP(Q76,ChatGPT!A:C,2,0)</f>
        <v>Saúde </v>
      </c>
      <c r="S76" s="14">
        <f>VLOOKUP(Q76,ChatGPT!A:C,3,0)</f>
        <v>45</v>
      </c>
      <c r="T76" s="14" t="str">
        <f t="shared" si="7"/>
        <v>Menos de 50 anos</v>
      </c>
      <c r="U76" s="13">
        <f t="shared" si="8"/>
        <v>4.0200491</v>
      </c>
      <c r="V76" s="13">
        <f t="shared" si="9"/>
        <v>4.450232137</v>
      </c>
      <c r="W76" s="13">
        <f t="shared" si="10"/>
        <v>4.450232137</v>
      </c>
      <c r="X76" s="13">
        <f t="shared" si="11"/>
        <v>4.440176251</v>
      </c>
      <c r="Y76" s="12">
        <f t="shared" ref="Y76:AB76" si="162">E76/100</f>
        <v>-0.0224</v>
      </c>
      <c r="Z76" s="12">
        <f t="shared" si="162"/>
        <v>-0.1169</v>
      </c>
      <c r="AA76" s="12">
        <f t="shared" si="162"/>
        <v>-0.1169</v>
      </c>
      <c r="AB76" s="12">
        <f t="shared" si="162"/>
        <v>-0.1149</v>
      </c>
      <c r="AC76" s="15">
        <f t="shared" si="13"/>
        <v>-395705668.5</v>
      </c>
      <c r="AD76" s="15">
        <f t="shared" si="14"/>
        <v>-2286072885</v>
      </c>
      <c r="AE76" s="15">
        <f t="shared" si="15"/>
        <v>-2286072885</v>
      </c>
      <c r="AF76" s="15">
        <f t="shared" si="16"/>
        <v>-2241883983</v>
      </c>
      <c r="AG76" s="15" t="str">
        <f t="shared" ref="AG76:AJ76" si="163">IF(AC76&gt;0,"Subiu",IF(AC76&lt;0,"Desceu","Estavel"))</f>
        <v>Desceu</v>
      </c>
      <c r="AH76" s="15" t="str">
        <f t="shared" si="163"/>
        <v>Desceu</v>
      </c>
      <c r="AI76" s="15" t="str">
        <f t="shared" si="163"/>
        <v>Desceu</v>
      </c>
      <c r="AJ76" s="15" t="str">
        <f t="shared" si="163"/>
        <v>Desceu</v>
      </c>
      <c r="AK76" s="7"/>
      <c r="AL76" s="7"/>
    </row>
    <row r="77">
      <c r="A77" s="16" t="s">
        <v>185</v>
      </c>
      <c r="B77" s="17">
        <v>45317.0</v>
      </c>
      <c r="C77" s="18">
        <v>15.78</v>
      </c>
      <c r="D77" s="16">
        <v>-2.29</v>
      </c>
      <c r="E77" s="19">
        <v>-5.62</v>
      </c>
      <c r="F77" s="16">
        <v>-9.41</v>
      </c>
      <c r="G77" s="16">
        <v>-9.41</v>
      </c>
      <c r="H77" s="16">
        <v>-24.94</v>
      </c>
      <c r="I77" s="16">
        <v>15.7</v>
      </c>
      <c r="J77" s="16">
        <v>16.23</v>
      </c>
      <c r="K77" s="16" t="s">
        <v>186</v>
      </c>
      <c r="L77" s="20">
        <f t="shared" si="3"/>
        <v>-0.0229</v>
      </c>
      <c r="M77" s="21">
        <f t="shared" si="4"/>
        <v>16.14983113</v>
      </c>
      <c r="N77" s="22">
        <f>VLOOKUP(A77,Total_de_acoes!A:B,2,0)</f>
        <v>951329770</v>
      </c>
      <c r="O77" s="23">
        <f t="shared" si="5"/>
        <v>-351831366.6</v>
      </c>
      <c r="P77" s="23" t="str">
        <f t="shared" si="6"/>
        <v>Desceu</v>
      </c>
      <c r="Q77" s="22" t="str">
        <f>VLOOKUP(A77,Ticker!A:B,2,0)</f>
        <v>Lojas Renner</v>
      </c>
      <c r="R77" s="22" t="str">
        <f>VLOOKUP(Q77,ChatGPT!A:C,2,0)</f>
        <v>Varejo</v>
      </c>
      <c r="S77" s="22">
        <f>VLOOKUP(Q77,ChatGPT!A:C,3,0)</f>
        <v>59</v>
      </c>
      <c r="T77" s="22" t="str">
        <f t="shared" si="7"/>
        <v>Entre 50 e 100 anos</v>
      </c>
      <c r="U77" s="21">
        <f t="shared" si="8"/>
        <v>16.71964399</v>
      </c>
      <c r="V77" s="21">
        <f t="shared" si="9"/>
        <v>17.41914119</v>
      </c>
      <c r="W77" s="21">
        <f t="shared" si="10"/>
        <v>17.41914119</v>
      </c>
      <c r="X77" s="21">
        <f t="shared" si="11"/>
        <v>21.02318145</v>
      </c>
      <c r="Y77" s="20">
        <f t="shared" ref="Y77:AB77" si="164">E77/100</f>
        <v>-0.0562</v>
      </c>
      <c r="Z77" s="20">
        <f t="shared" si="164"/>
        <v>-0.0941</v>
      </c>
      <c r="AA77" s="20">
        <f t="shared" si="164"/>
        <v>-0.0941</v>
      </c>
      <c r="AB77" s="20">
        <f t="shared" si="164"/>
        <v>-0.2494</v>
      </c>
      <c r="AC77" s="23">
        <f t="shared" si="13"/>
        <v>-893911303.1</v>
      </c>
      <c r="AD77" s="23">
        <f t="shared" si="14"/>
        <v>-1559363807</v>
      </c>
      <c r="AE77" s="23">
        <f t="shared" si="15"/>
        <v>-1559363807</v>
      </c>
      <c r="AF77" s="23">
        <f t="shared" si="16"/>
        <v>-4987994607</v>
      </c>
      <c r="AG77" s="15" t="str">
        <f t="shared" ref="AG77:AJ77" si="165">IF(AC77&gt;0,"Subiu",IF(AC77&lt;0,"Desceu","Estavel"))</f>
        <v>Desceu</v>
      </c>
      <c r="AH77" s="15" t="str">
        <f t="shared" si="165"/>
        <v>Desceu</v>
      </c>
      <c r="AI77" s="15" t="str">
        <f t="shared" si="165"/>
        <v>Desceu</v>
      </c>
      <c r="AJ77" s="15" t="str">
        <f t="shared" si="165"/>
        <v>Desceu</v>
      </c>
      <c r="AK77" s="7"/>
      <c r="AL77" s="7"/>
    </row>
    <row r="78">
      <c r="A78" s="8" t="s">
        <v>187</v>
      </c>
      <c r="B78" s="9">
        <v>45317.0</v>
      </c>
      <c r="C78" s="10">
        <v>10.71</v>
      </c>
      <c r="D78" s="8">
        <v>-2.45</v>
      </c>
      <c r="E78" s="11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8" t="s">
        <v>188</v>
      </c>
      <c r="L78" s="12">
        <f t="shared" si="3"/>
        <v>-0.0245</v>
      </c>
      <c r="M78" s="13">
        <f t="shared" si="4"/>
        <v>10.97898514</v>
      </c>
      <c r="N78" s="14">
        <f>VLOOKUP(A78,Total_de_acoes!A:B,2,0)</f>
        <v>533990587</v>
      </c>
      <c r="O78" s="15">
        <f t="shared" si="5"/>
        <v>-143635530.6</v>
      </c>
      <c r="P78" s="15" t="str">
        <f t="shared" si="6"/>
        <v>Desceu</v>
      </c>
      <c r="Q78" s="14" t="str">
        <f>VLOOKUP(A78,Ticker!A:B,2,0)</f>
        <v>Carrefour Brasil</v>
      </c>
      <c r="R78" s="14" t="str">
        <f>VLOOKUP(Q78,ChatGPT!A:C,2,0)</f>
        <v>Varejo </v>
      </c>
      <c r="S78" s="14">
        <f>VLOOKUP(Q78,ChatGPT!A:C,3,0)</f>
        <v>49</v>
      </c>
      <c r="T78" s="14" t="str">
        <f t="shared" si="7"/>
        <v>Menos de 50 anos</v>
      </c>
      <c r="U78" s="13">
        <f t="shared" si="8"/>
        <v>11.83033249</v>
      </c>
      <c r="V78" s="13">
        <f t="shared" si="9"/>
        <v>12.45059289</v>
      </c>
      <c r="W78" s="13">
        <f t="shared" si="10"/>
        <v>12.45059289</v>
      </c>
      <c r="X78" s="13">
        <f t="shared" si="11"/>
        <v>15.91854935</v>
      </c>
      <c r="Y78" s="12">
        <f t="shared" ref="Y78:AB78" si="166">E78/100</f>
        <v>-0.0947</v>
      </c>
      <c r="Z78" s="12">
        <f t="shared" si="166"/>
        <v>-0.1398</v>
      </c>
      <c r="AA78" s="12">
        <f t="shared" si="166"/>
        <v>-0.1398</v>
      </c>
      <c r="AB78" s="12">
        <f t="shared" si="166"/>
        <v>-0.3272</v>
      </c>
      <c r="AC78" s="15">
        <f t="shared" si="13"/>
        <v>-598247002.1</v>
      </c>
      <c r="AD78" s="15">
        <f t="shared" si="14"/>
        <v>-929460216.6</v>
      </c>
      <c r="AE78" s="15">
        <f t="shared" si="15"/>
        <v>-929460216.6</v>
      </c>
      <c r="AF78" s="15">
        <f t="shared" si="16"/>
        <v>-2781316323</v>
      </c>
      <c r="AG78" s="15" t="str">
        <f t="shared" ref="AG78:AJ78" si="167">IF(AC78&gt;0,"Subiu",IF(AC78&lt;0,"Desceu","Estavel"))</f>
        <v>Desceu</v>
      </c>
      <c r="AH78" s="15" t="str">
        <f t="shared" si="167"/>
        <v>Desceu</v>
      </c>
      <c r="AI78" s="15" t="str">
        <f t="shared" si="167"/>
        <v>Desceu</v>
      </c>
      <c r="AJ78" s="15" t="str">
        <f t="shared" si="167"/>
        <v>Desceu</v>
      </c>
      <c r="AK78" s="7"/>
      <c r="AL78" s="7"/>
    </row>
    <row r="79">
      <c r="A79" s="16" t="s">
        <v>189</v>
      </c>
      <c r="B79" s="17">
        <v>45317.0</v>
      </c>
      <c r="C79" s="18">
        <v>8.7</v>
      </c>
      <c r="D79" s="16">
        <v>-2.46</v>
      </c>
      <c r="E79" s="19">
        <v>-6.95</v>
      </c>
      <c r="F79" s="16">
        <v>-23.55</v>
      </c>
      <c r="G79" s="16">
        <v>-23.55</v>
      </c>
      <c r="H79" s="16">
        <v>-85.74</v>
      </c>
      <c r="I79" s="16">
        <v>8.67</v>
      </c>
      <c r="J79" s="16">
        <v>8.95</v>
      </c>
      <c r="K79" s="16" t="s">
        <v>190</v>
      </c>
      <c r="L79" s="20">
        <f t="shared" si="3"/>
        <v>-0.0246</v>
      </c>
      <c r="M79" s="21">
        <f t="shared" si="4"/>
        <v>8.919417675</v>
      </c>
      <c r="N79" s="22">
        <f>VLOOKUP(A79,Total_de_acoes!A:B,2,0)</f>
        <v>94843047</v>
      </c>
      <c r="O79" s="23">
        <f t="shared" si="5"/>
        <v>-20810240.84</v>
      </c>
      <c r="P79" s="23" t="str">
        <f t="shared" si="6"/>
        <v>Desceu</v>
      </c>
      <c r="Q79" s="22" t="str">
        <f>VLOOKUP(A79,Ticker!A:B,2,0)</f>
        <v>Casas Bahia</v>
      </c>
      <c r="R79" s="22" t="str">
        <f>VLOOKUP(Q79,ChatGPT!A:C,2,0)</f>
        <v>Varejo</v>
      </c>
      <c r="S79" s="22">
        <f>VLOOKUP(Q79,ChatGPT!A:C,3,0)</f>
        <v>72</v>
      </c>
      <c r="T79" s="22" t="str">
        <f t="shared" si="7"/>
        <v>Entre 50 e 100 anos</v>
      </c>
      <c r="U79" s="21">
        <f t="shared" si="8"/>
        <v>9.349811929</v>
      </c>
      <c r="V79" s="21">
        <f t="shared" si="9"/>
        <v>11.37998692</v>
      </c>
      <c r="W79" s="21">
        <f t="shared" si="10"/>
        <v>11.37998692</v>
      </c>
      <c r="X79" s="21">
        <f t="shared" si="11"/>
        <v>61.00981767</v>
      </c>
      <c r="Y79" s="20">
        <f t="shared" ref="Y79:AB79" si="168">E79/100</f>
        <v>-0.0695</v>
      </c>
      <c r="Z79" s="20">
        <f t="shared" si="168"/>
        <v>-0.2355</v>
      </c>
      <c r="AA79" s="20">
        <f t="shared" si="168"/>
        <v>-0.2355</v>
      </c>
      <c r="AB79" s="20">
        <f t="shared" si="168"/>
        <v>-0.8574</v>
      </c>
      <c r="AC79" s="23">
        <f t="shared" si="13"/>
        <v>-61630143.33</v>
      </c>
      <c r="AD79" s="23">
        <f t="shared" si="14"/>
        <v>-254178125.4</v>
      </c>
      <c r="AE79" s="23">
        <f t="shared" si="15"/>
        <v>-254178125.4</v>
      </c>
      <c r="AF79" s="23">
        <f t="shared" si="16"/>
        <v>-4961222496</v>
      </c>
      <c r="AG79" s="15" t="str">
        <f t="shared" ref="AG79:AJ79" si="169">IF(AC79&gt;0,"Subiu",IF(AC79&lt;0,"Desceu","Estavel"))</f>
        <v>Desceu</v>
      </c>
      <c r="AH79" s="15" t="str">
        <f t="shared" si="169"/>
        <v>Desceu</v>
      </c>
      <c r="AI79" s="15" t="str">
        <f t="shared" si="169"/>
        <v>Desceu</v>
      </c>
      <c r="AJ79" s="15" t="str">
        <f t="shared" si="169"/>
        <v>Desceu</v>
      </c>
      <c r="AK79" s="7"/>
      <c r="AL79" s="7"/>
    </row>
    <row r="80">
      <c r="A80" s="8" t="s">
        <v>191</v>
      </c>
      <c r="B80" s="9">
        <v>45317.0</v>
      </c>
      <c r="C80" s="10">
        <v>56.24</v>
      </c>
      <c r="D80" s="8">
        <v>-3.63</v>
      </c>
      <c r="E80" s="11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8" t="s">
        <v>192</v>
      </c>
      <c r="L80" s="12">
        <f t="shared" si="3"/>
        <v>-0.0363</v>
      </c>
      <c r="M80" s="13">
        <f t="shared" si="4"/>
        <v>58.35841029</v>
      </c>
      <c r="N80" s="14">
        <f>VLOOKUP(A80,Total_de_acoes!A:B,2,0)</f>
        <v>853202347</v>
      </c>
      <c r="O80" s="15">
        <f t="shared" si="5"/>
        <v>-1807432634</v>
      </c>
      <c r="P80" s="15" t="str">
        <f t="shared" si="6"/>
        <v>Desceu</v>
      </c>
      <c r="Q80" s="14" t="str">
        <f>VLOOKUP(A80,Ticker!A:B,2,0)</f>
        <v>Localiza</v>
      </c>
      <c r="R80" s="14" t="str">
        <f>VLOOKUP(Q80,ChatGPT!A:C,2,0)</f>
        <v>Serviços </v>
      </c>
      <c r="S80" s="14">
        <f>VLOOKUP(Q80,ChatGPT!A:C,3,0)</f>
        <v>51</v>
      </c>
      <c r="T80" s="14" t="str">
        <f t="shared" si="7"/>
        <v>Entre 50 e 100 anos</v>
      </c>
      <c r="U80" s="13">
        <f t="shared" si="8"/>
        <v>60.09189016</v>
      </c>
      <c r="V80" s="13">
        <f t="shared" si="9"/>
        <v>63.59832636</v>
      </c>
      <c r="W80" s="13">
        <f t="shared" si="10"/>
        <v>63.59832636</v>
      </c>
      <c r="X80" s="13">
        <f t="shared" si="11"/>
        <v>57.84222976</v>
      </c>
      <c r="Y80" s="12">
        <f t="shared" ref="Y80:AB80" si="170">E80/100</f>
        <v>-0.0641</v>
      </c>
      <c r="Z80" s="12">
        <f t="shared" si="170"/>
        <v>-0.1157</v>
      </c>
      <c r="AA80" s="12">
        <f t="shared" si="170"/>
        <v>-0.1157</v>
      </c>
      <c r="AB80" s="12">
        <f t="shared" si="170"/>
        <v>-0.0277</v>
      </c>
      <c r="AC80" s="15">
        <f t="shared" si="13"/>
        <v>-3286441724</v>
      </c>
      <c r="AD80" s="15">
        <f t="shared" si="14"/>
        <v>-6278141320</v>
      </c>
      <c r="AE80" s="15">
        <f t="shared" si="15"/>
        <v>-6278141320</v>
      </c>
      <c r="AF80" s="15">
        <f t="shared" si="16"/>
        <v>-1367026195</v>
      </c>
      <c r="AG80" s="15" t="str">
        <f t="shared" ref="AG80:AJ80" si="171">IF(AC80&gt;0,"Subiu",IF(AC80&lt;0,"Desceu","Estavel"))</f>
        <v>Desceu</v>
      </c>
      <c r="AH80" s="15" t="str">
        <f t="shared" si="171"/>
        <v>Desceu</v>
      </c>
      <c r="AI80" s="15" t="str">
        <f t="shared" si="171"/>
        <v>Desceu</v>
      </c>
      <c r="AJ80" s="15" t="str">
        <f t="shared" si="171"/>
        <v>Desceu</v>
      </c>
      <c r="AK80" s="7"/>
      <c r="AL80" s="7"/>
    </row>
    <row r="81">
      <c r="A81" s="16" t="s">
        <v>193</v>
      </c>
      <c r="B81" s="17">
        <v>45317.0</v>
      </c>
      <c r="C81" s="18">
        <v>3.07</v>
      </c>
      <c r="D81" s="16">
        <v>-4.36</v>
      </c>
      <c r="E81" s="19">
        <v>-5.54</v>
      </c>
      <c r="F81" s="16">
        <v>-12.29</v>
      </c>
      <c r="G81" s="16">
        <v>-12.29</v>
      </c>
      <c r="H81" s="16">
        <v>-36.83</v>
      </c>
      <c r="I81" s="16">
        <v>3.05</v>
      </c>
      <c r="J81" s="16">
        <v>3.23</v>
      </c>
      <c r="K81" s="16" t="s">
        <v>194</v>
      </c>
      <c r="L81" s="20">
        <f t="shared" si="3"/>
        <v>-0.0436</v>
      </c>
      <c r="M81" s="21">
        <f t="shared" si="4"/>
        <v>3.209953994</v>
      </c>
      <c r="N81" s="22">
        <f>VLOOKUP(A81,Total_de_acoes!A:B,2,0)</f>
        <v>525582771</v>
      </c>
      <c r="O81" s="23">
        <f t="shared" si="5"/>
        <v>-73557408.06</v>
      </c>
      <c r="P81" s="23" t="str">
        <f t="shared" si="6"/>
        <v>Desceu</v>
      </c>
      <c r="Q81" s="22" t="str">
        <f>VLOOKUP(A81,Ticker!A:B,2,0)</f>
        <v>CVC</v>
      </c>
      <c r="R81" s="22" t="str">
        <f>VLOOKUP(Q81,ChatGPT!A:C,2,0)</f>
        <v>Turismo</v>
      </c>
      <c r="S81" s="22">
        <f>VLOOKUP(Q81,ChatGPT!A:C,3,0)</f>
        <v>52</v>
      </c>
      <c r="T81" s="22" t="str">
        <f t="shared" si="7"/>
        <v>Entre 50 e 100 anos</v>
      </c>
      <c r="U81" s="21">
        <f t="shared" si="8"/>
        <v>3.250052932</v>
      </c>
      <c r="V81" s="21">
        <f t="shared" si="9"/>
        <v>3.500171018</v>
      </c>
      <c r="W81" s="21">
        <f t="shared" si="10"/>
        <v>3.500171018</v>
      </c>
      <c r="X81" s="21">
        <f t="shared" si="11"/>
        <v>4.859901852</v>
      </c>
      <c r="Y81" s="20">
        <f t="shared" ref="Y81:AB81" si="172">E81/100</f>
        <v>-0.0554</v>
      </c>
      <c r="Z81" s="20">
        <f t="shared" si="172"/>
        <v>-0.1229</v>
      </c>
      <c r="AA81" s="20">
        <f t="shared" si="172"/>
        <v>-0.1229</v>
      </c>
      <c r="AB81" s="20">
        <f t="shared" si="172"/>
        <v>-0.3683</v>
      </c>
      <c r="AC81" s="23">
        <f t="shared" si="13"/>
        <v>-94632719.17</v>
      </c>
      <c r="AD81" s="23">
        <f t="shared" si="14"/>
        <v>-226090475.7</v>
      </c>
      <c r="AE81" s="23">
        <f t="shared" si="15"/>
        <v>-226090475.7</v>
      </c>
      <c r="AF81" s="23">
        <f t="shared" si="16"/>
        <v>-940741575.3</v>
      </c>
      <c r="AG81" s="15" t="str">
        <f t="shared" ref="AG81:AJ81" si="173">IF(AC81&gt;0,"Subiu",IF(AC81&lt;0,"Desceu","Estavel"))</f>
        <v>Desceu</v>
      </c>
      <c r="AH81" s="15" t="str">
        <f t="shared" si="173"/>
        <v>Desceu</v>
      </c>
      <c r="AI81" s="15" t="str">
        <f t="shared" si="173"/>
        <v>Desceu</v>
      </c>
      <c r="AJ81" s="15" t="str">
        <f t="shared" si="173"/>
        <v>Desceu</v>
      </c>
      <c r="AK81" s="7"/>
      <c r="AL81" s="7"/>
    </row>
    <row r="82">
      <c r="A82" s="8" t="s">
        <v>195</v>
      </c>
      <c r="B82" s="9">
        <v>45317.0</v>
      </c>
      <c r="C82" s="10">
        <v>5.92</v>
      </c>
      <c r="D82" s="8">
        <v>-8.07</v>
      </c>
      <c r="E82" s="11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8" t="s">
        <v>196</v>
      </c>
      <c r="L82" s="12">
        <f t="shared" si="3"/>
        <v>-0.0807</v>
      </c>
      <c r="M82" s="13">
        <f t="shared" si="4"/>
        <v>6.439682367</v>
      </c>
      <c r="N82" s="14">
        <f>VLOOKUP(A82,Total_de_acoes!A:B,2,0)</f>
        <v>198184909</v>
      </c>
      <c r="O82" s="15">
        <f t="shared" si="5"/>
        <v>-102993202.6</v>
      </c>
      <c r="P82" s="15" t="str">
        <f t="shared" si="6"/>
        <v>Desceu</v>
      </c>
      <c r="Q82" s="14" t="str">
        <f>VLOOKUP(A82,Ticker!A:B,2,0)</f>
        <v>GOL</v>
      </c>
      <c r="R82" s="14" t="str">
        <f>VLOOKUP(Q82,ChatGPT!A:C,2,0)</f>
        <v>Transporte Aéreo</v>
      </c>
      <c r="S82" s="14">
        <f>VLOOKUP(Q82,ChatGPT!A:C,3,0)</f>
        <v>23</v>
      </c>
      <c r="T82" s="14" t="str">
        <f t="shared" si="7"/>
        <v>Menos de 50 anos</v>
      </c>
      <c r="U82" s="13">
        <f t="shared" si="8"/>
        <v>7.040076109</v>
      </c>
      <c r="V82" s="13">
        <f t="shared" si="9"/>
        <v>8.96969697</v>
      </c>
      <c r="W82" s="13">
        <f t="shared" si="10"/>
        <v>8.96969697</v>
      </c>
      <c r="X82" s="13">
        <f t="shared" si="11"/>
        <v>7.939914163</v>
      </c>
      <c r="Y82" s="12">
        <f t="shared" ref="Y82:AB82" si="174">E82/100</f>
        <v>-0.1591</v>
      </c>
      <c r="Z82" s="12">
        <f t="shared" si="174"/>
        <v>-0.34</v>
      </c>
      <c r="AA82" s="12">
        <f t="shared" si="174"/>
        <v>-0.34</v>
      </c>
      <c r="AB82" s="12">
        <f t="shared" si="174"/>
        <v>-0.2544</v>
      </c>
      <c r="AC82" s="15">
        <f t="shared" si="13"/>
        <v>-221982181.7</v>
      </c>
      <c r="AD82" s="15">
        <f t="shared" si="14"/>
        <v>-604403916.4</v>
      </c>
      <c r="AE82" s="15">
        <f t="shared" si="15"/>
        <v>-604403916.4</v>
      </c>
      <c r="AF82" s="15">
        <f t="shared" si="16"/>
        <v>-400316504.6</v>
      </c>
      <c r="AG82" s="15" t="str">
        <f t="shared" ref="AG82:AJ82" si="175">IF(AC82&gt;0,"Subiu",IF(AC82&lt;0,"Desceu","Estavel"))</f>
        <v>Desceu</v>
      </c>
      <c r="AH82" s="15" t="str">
        <f t="shared" si="175"/>
        <v>Desceu</v>
      </c>
      <c r="AI82" s="15" t="str">
        <f t="shared" si="175"/>
        <v>Desceu</v>
      </c>
      <c r="AJ82" s="15" t="str">
        <f t="shared" si="175"/>
        <v>Desceu</v>
      </c>
      <c r="AK82" s="7"/>
      <c r="AL82" s="7"/>
    </row>
  </sheetData>
  <conditionalFormatting sqref="P2:P82 AG2:AJ82">
    <cfRule type="containsText" dxfId="0" priority="1" operator="containsText" text="Subiu">
      <formula>NOT(ISERROR(SEARCH(("Subiu"),(P2))))</formula>
    </cfRule>
  </conditionalFormatting>
  <conditionalFormatting sqref="P2:P82 AG2:AJ82">
    <cfRule type="containsText" dxfId="1" priority="2" operator="containsText" text="Desceu">
      <formula>NOT(ISERROR(SEARCH(("Desceu"),(P2))))</formula>
    </cfRule>
  </conditionalFormatting>
  <conditionalFormatting sqref="P2:P82 AG2:AJ82">
    <cfRule type="containsText" dxfId="2" priority="3" operator="containsText" text="Estavel">
      <formula>NOT(ISERROR(SEARCH(("Estavel"),(P2))))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38"/>
    <col customWidth="1" min="3" max="3" width="15.38"/>
    <col customWidth="1" min="4" max="4" width="12.63"/>
  </cols>
  <sheetData>
    <row r="1">
      <c r="A1" s="24" t="s">
        <v>197</v>
      </c>
      <c r="B1" s="25" t="s">
        <v>198</v>
      </c>
      <c r="C1" s="25" t="s">
        <v>199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4" t="s">
        <v>200</v>
      </c>
      <c r="B2" s="27">
        <f>MAX(Principal!O:O)</f>
        <v>4762926995</v>
      </c>
      <c r="C2" s="28" t="str">
        <f>VLOOKUP(B2,Principal!O:R,3,0)</f>
        <v>Vale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4" t="s">
        <v>201</v>
      </c>
      <c r="B3" s="27">
        <f>MIN(Principal!O:O)</f>
        <v>-1807432634</v>
      </c>
      <c r="C3" s="28" t="str">
        <f>VLOOKUP(B3,Principal!O:R,3,0)</f>
        <v>Localiza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4" t="s">
        <v>202</v>
      </c>
      <c r="B4" s="27">
        <f>AVERAGE(Principal!O:O)</f>
        <v>165190210.5</v>
      </c>
      <c r="C4" s="29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4" t="s">
        <v>203</v>
      </c>
      <c r="B5" s="27">
        <f>AVERAGEIF(Principal!P:P,"Subiu",Principal!O:O)</f>
        <v>448164250.2</v>
      </c>
      <c r="C5" s="2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4" t="s">
        <v>204</v>
      </c>
      <c r="B6" s="27">
        <f>AVERAGEIF(Principal!P:P,"Desceu",Principal!O:O)</f>
        <v>-181109141.8</v>
      </c>
      <c r="C6" s="29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30" t="str">
        <f>IFERROR(__xludf.DUMMYFUNCTION("UNIQUE(Principal!R:R)"),"Segmentos")</f>
        <v>Segmentos</v>
      </c>
      <c r="B9" s="24" t="s">
        <v>205</v>
      </c>
      <c r="C9" s="24" t="s">
        <v>206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31" t="str">
        <f>IFERROR(__xludf.DUMMYFUNCTION("""COMPUTED_VALUE"""),"Siderurgia e Metalurgia")</f>
        <v>Siderurgia e Metalurgia</v>
      </c>
      <c r="B10" s="27">
        <f>SUMIF(Principal!R:R,A10,Principal!O:O)</f>
        <v>489935930.9</v>
      </c>
      <c r="C10" s="27">
        <f>SUMIFS(Principal!O:O,Principal!R:R,A10,Principal!P:P,"Subiu")</f>
        <v>489935930.9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8" t="str">
        <f>IFERROR(__xludf.DUMMYFUNCTION("""COMPUTED_VALUE"""),"Mineração")</f>
        <v>Mineração</v>
      </c>
      <c r="B11" s="27">
        <f>SUMIF(Principal!R:R,A11,Principal!O:O)</f>
        <v>4940442966</v>
      </c>
      <c r="C11" s="27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8" t="str">
        <f>IFERROR(__xludf.DUMMYFUNCTION("""COMPUTED_VALUE"""),"Energia ")</f>
        <v>Energia </v>
      </c>
      <c r="B12" s="27">
        <f>SUMIF(Principal!R:R,A12,Principal!O:O)</f>
        <v>6389912841</v>
      </c>
      <c r="C12" s="27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8" t="str">
        <f>IFERROR(__xludf.DUMMYFUNCTION("""COMPUTED_VALUE"""),"Papel e Celulose")</f>
        <v>Papel e Celulose</v>
      </c>
      <c r="B13" s="27">
        <f>SUMIF(Principal!R:R,A13,Principal!O:O)</f>
        <v>722946282.7</v>
      </c>
      <c r="C13" s="27">
        <f>SUMIFS(Principal!O:O,Principal!R:R,A13,Principal!P:P,"Subiu")</f>
        <v>722946282.7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8" t="str">
        <f>IFERROR(__xludf.DUMMYFUNCTION("""COMPUTED_VALUE"""),"Shopping Centers")</f>
        <v>Shopping Centers</v>
      </c>
      <c r="B14" s="27">
        <f>SUMIF(Principal!R:R,A14,Principal!O:O)</f>
        <v>117732680.1</v>
      </c>
      <c r="C14" s="27">
        <f>SUMIFS(Principal!O:O,Principal!R:R,A14,Principal!P:P,"Subiu")</f>
        <v>117732680.1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8" t="str">
        <f>IFERROR(__xludf.DUMMYFUNCTION("""COMPUTED_VALUE"""),"Serviços Financeiros")</f>
        <v>Serviços Financeiros</v>
      </c>
      <c r="B15" s="27">
        <f>SUMIF(Principal!R:R,A15,Principal!O:O)</f>
        <v>3779637165</v>
      </c>
      <c r="C15" s="27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8" t="str">
        <f>IFERROR(__xludf.DUMMYFUNCTION("""COMPUTED_VALUE"""),"Saúde")</f>
        <v>Saúde</v>
      </c>
      <c r="B16" s="27">
        <f>SUMIF(Principal!R:R,A16,Principal!O:O)</f>
        <v>613319333.5</v>
      </c>
      <c r="C16" s="27">
        <f>SUMIFS(Principal!O:O,Principal!R:R,A16,Principal!P:P,"Subiu")</f>
        <v>656270380.8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8" t="str">
        <f>IFERROR(__xludf.DUMMYFUNCTION("""COMPUTED_VALUE"""),"Petroquímica")</f>
        <v>Petroquímica</v>
      </c>
      <c r="B17" s="27">
        <f>SUMIF(Principal!R:R,A17,Principal!O:O)</f>
        <v>69054317.64</v>
      </c>
      <c r="C17" s="27">
        <f>SUMIFS(Principal!O:O,Principal!R:R,A17,Principal!P:P,"Subiu")</f>
        <v>69054317.64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8" t="str">
        <f>IFERROR(__xludf.DUMMYFUNCTION("""COMPUTED_VALUE"""),"Transporte Aéreo")</f>
        <v>Transporte Aéreo</v>
      </c>
      <c r="B18" s="27">
        <f>SUMIF(Principal!R:R,A18,Principal!O:O)</f>
        <v>-37540997.06</v>
      </c>
      <c r="C18" s="27">
        <f>SUMIFS(Principal!O:O,Principal!R:R,A18,Principal!P:P,"Subiu")</f>
        <v>65452205.55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8" t="str">
        <f>IFERROR(__xludf.DUMMYFUNCTION("""COMPUTED_VALUE"""),"Energia (Petróleo e Gás)")</f>
        <v>Energia (Petróleo e Gás)</v>
      </c>
      <c r="B19" s="27">
        <f>SUMIF(Principal!R:R,A19,Principal!O:O)</f>
        <v>94204643.35</v>
      </c>
      <c r="C19" s="27">
        <f>SUMIFS(Principal!O:O,Principal!R:R,A19,Principal!P:P,"Subiu")</f>
        <v>94204643.35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8" t="str">
        <f>IFERROR(__xludf.DUMMYFUNCTION("""COMPUTED_VALUE"""),"Educação")</f>
        <v>Educação</v>
      </c>
      <c r="B20" s="27">
        <f>SUMIF(Principal!R:R,A20,Principal!O:O)</f>
        <v>54641872.47</v>
      </c>
      <c r="C20" s="27">
        <f>SUMIFS(Principal!O:O,Principal!R:R,A20,Principal!P:P,"Subiu")</f>
        <v>72295838.99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8" t="str">
        <f>IFERROR(__xludf.DUMMYFUNCTION("""COMPUTED_VALUE"""),"Produtos Diversos")</f>
        <v>Produtos Diversos</v>
      </c>
      <c r="B21" s="27">
        <f>SUMIF(Principal!R:R,A21,Principal!O:O)</f>
        <v>388705224</v>
      </c>
      <c r="C21" s="27">
        <f>SUMIFS(Principal!O:O,Principal!R:R,A21,Principal!P:P,"Subiu")</f>
        <v>388705224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8" t="str">
        <f>IFERROR(__xludf.DUMMYFUNCTION("""COMPUTED_VALUE"""),"Construção Civil")</f>
        <v>Construção Civil</v>
      </c>
      <c r="B22" s="27">
        <f>SUMIF(Principal!R:R,A22,Principal!O:O)</f>
        <v>-61087401.61</v>
      </c>
      <c r="C22" s="27">
        <f>SUMIFS(Principal!O:O,Principal!R:R,A22,Principal!P:P,"Subiu")</f>
        <v>37525872.38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8" t="str">
        <f>IFERROR(__xludf.DUMMYFUNCTION("""COMPUTED_VALUE"""),"Moda")</f>
        <v>Moda</v>
      </c>
      <c r="B23" s="27">
        <f>SUMIF(Principal!R:R,A23,Principal!O:O)</f>
        <v>-24449852.2</v>
      </c>
      <c r="C23" s="27">
        <f>SUMIFS(Principal!O:O,Principal!R:R,A23,Principal!P:P,"Subiu")</f>
        <v>41021792.09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8" t="str">
        <f>IFERROR(__xludf.DUMMYFUNCTION("""COMPUTED_VALUE"""),"Alimentos")</f>
        <v>Alimentos</v>
      </c>
      <c r="B24" s="27">
        <f>SUMIF(Principal!R:R,A24,Principal!O:O)</f>
        <v>174787913.5</v>
      </c>
      <c r="C24" s="27">
        <f>SUMIFS(Principal!O:O,Principal!R:R,A24,Principal!P:P,"Subiu")</f>
        <v>174787913.5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8" t="str">
        <f>IFERROR(__xludf.DUMMYFUNCTION("""COMPUTED_VALUE"""),"Varejo ")</f>
        <v>Varejo </v>
      </c>
      <c r="B25" s="27">
        <f>SUMIF(Principal!R:R,A25,Principal!O:O)</f>
        <v>-414738013.1</v>
      </c>
      <c r="C25" s="27">
        <f>SUMIFS(Principal!O:O,Principal!R:R,A25,Principal!P:P,"Subiu")</f>
        <v>6340916.223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8" t="str">
        <f>IFERROR(__xludf.DUMMYFUNCTION("""COMPUTED_VALUE"""),"Alimentos ")</f>
        <v>Alimentos </v>
      </c>
      <c r="B26" s="27">
        <f>SUMIF(Principal!R:R,A26,Principal!O:O)</f>
        <v>233045769.6</v>
      </c>
      <c r="C26" s="27">
        <f>SUMIFS(Principal!O:O,Principal!R:R,A26,Principal!P:P,"Subiu")</f>
        <v>233045769.6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8" t="str">
        <f>IFERROR(__xludf.DUMMYFUNCTION("""COMPUTED_VALUE"""),"Telecomunicações")</f>
        <v>Telecomunicações</v>
      </c>
      <c r="B27" s="27">
        <f>SUMIF(Principal!R:R,A27,Principal!O:O)</f>
        <v>292938114.4</v>
      </c>
      <c r="C27" s="27">
        <f>SUMIFS(Principal!O:O,Principal!R:R,A27,Principal!P:P,"Subiu")</f>
        <v>292938114.4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8" t="str">
        <f>IFERROR(__xludf.DUMMYFUNCTION("""COMPUTED_VALUE"""),"Logística")</f>
        <v>Logística</v>
      </c>
      <c r="B28" s="27">
        <f>SUMIF(Principal!R:R,A28,Principal!O:O)</f>
        <v>233902674.8</v>
      </c>
      <c r="C28" s="27">
        <f>SUMIFS(Principal!O:O,Principal!R:R,A28,Principal!P:P,"Subiu")</f>
        <v>233902674.8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8" t="str">
        <f>IFERROR(__xludf.DUMMYFUNCTION("""COMPUTED_VALUE"""),"Logística ")</f>
        <v>Logística </v>
      </c>
      <c r="B29" s="27">
        <f>SUMIF(Principal!R:R,A29,Principal!O:O)</f>
        <v>18068446.61</v>
      </c>
      <c r="C29" s="27">
        <f>SUMIFS(Principal!O:O,Principal!R:R,A29,Principal!P:P,"Subiu")</f>
        <v>18068446.61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8" t="str">
        <f>IFERROR(__xludf.DUMMYFUNCTION("""COMPUTED_VALUE"""),"Investimentos")</f>
        <v>Investimentos</v>
      </c>
      <c r="B30" s="27">
        <f>SUMIF(Principal!R:R,A30,Principal!O:O)</f>
        <v>42238249.54</v>
      </c>
      <c r="C30" s="27">
        <f>SUMIFS(Principal!O:O,Principal!R:R,A30,Principal!P:P,"Subiu")</f>
        <v>42238249.54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8" t="str">
        <f>IFERROR(__xludf.DUMMYFUNCTION("""COMPUTED_VALUE"""),"Tecnologia")</f>
        <v>Tecnologia</v>
      </c>
      <c r="B31" s="27">
        <f>SUMIF(Principal!R:R,A31,Principal!O:O)</f>
        <v>-148982453.9</v>
      </c>
      <c r="C31" s="27">
        <f>SUMIFS(Principal!O:O,Principal!R:R,A31,Principal!P:P,"Subiu")</f>
        <v>15598886.65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8" t="str">
        <f>IFERROR(__xludf.DUMMYFUNCTION("""COMPUTED_VALUE"""),"Energia")</f>
        <v>Energia</v>
      </c>
      <c r="B32" s="27">
        <f>SUMIF(Principal!R:R,A32,Principal!O:O)</f>
        <v>-411268581.2</v>
      </c>
      <c r="C32" s="27">
        <f>SUMIFS(Principal!O:O,Principal!R:R,A32,Principal!P:P,"Subiu")</f>
        <v>217071555.1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8" t="str">
        <f>IFERROR(__xludf.DUMMYFUNCTION("""COMPUTED_VALUE"""),"Conglomerado")</f>
        <v>Conglomerado</v>
      </c>
      <c r="B33" s="27">
        <f>SUMIF(Principal!R:R,A33,Principal!O:O)</f>
        <v>373853994.9</v>
      </c>
      <c r="C33" s="27">
        <f>SUMIFS(Principal!O:O,Principal!R:R,A33,Principal!P:P,"Subiu")</f>
        <v>373853994.9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8" t="str">
        <f>IFERROR(__xludf.DUMMYFUNCTION("""COMPUTED_VALUE"""),"Varejo")</f>
        <v>Varejo</v>
      </c>
      <c r="B34" s="27">
        <f>SUMIF(Principal!R:R,A34,Principal!O:O)</f>
        <v>-344147988.2</v>
      </c>
      <c r="C34" s="27">
        <f>SUMIFS(Principal!O:O,Principal!R:R,A34,Principal!P:P,"Subiu")</f>
        <v>28493619.27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8" t="str">
        <f>IFERROR(__xludf.DUMMYFUNCTION("""COMPUTED_VALUE"""),"Bebidas")</f>
        <v>Bebidas</v>
      </c>
      <c r="B35" s="27">
        <f>SUMIF(Principal!R:R,A35,Principal!O:O)</f>
        <v>0</v>
      </c>
      <c r="C35" s="27">
        <f>SUMIFS(Principal!O:O,Principal!R:R,A35,Principal!P:P,"Subiu")</f>
        <v>0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8" t="str">
        <f>IFERROR(__xludf.DUMMYFUNCTION("""COMPUTED_VALUE"""),"Serviços ")</f>
        <v>Serviços </v>
      </c>
      <c r="B36" s="27">
        <f>SUMIF(Principal!R:R,A36,Principal!O:O)</f>
        <v>-1823158313</v>
      </c>
      <c r="C36" s="27">
        <f>SUMIFS(Principal!O:O,Principal!R:R,A36,Principal!P:P,"Subiu")</f>
        <v>0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8" t="str">
        <f>IFERROR(__xludf.DUMMYFUNCTION("""COMPUTED_VALUE"""),"Agricultura")</f>
        <v>Agricultura</v>
      </c>
      <c r="B37" s="27">
        <f>SUMIF(Principal!R:R,A37,Principal!O:O)</f>
        <v>-9468663.682</v>
      </c>
      <c r="C37" s="27">
        <f>SUMIFS(Principal!O:O,Principal!R:R,A37,Principal!P:P,"Subiu")</f>
        <v>0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8" t="str">
        <f>IFERROR(__xludf.DUMMYFUNCTION("""COMPUTED_VALUE"""),"Infraestrutura ")</f>
        <v>Infraestrutura </v>
      </c>
      <c r="B38" s="27">
        <f>SUMIF(Principal!R:R,A38,Principal!O:O)</f>
        <v>-39743554.31</v>
      </c>
      <c r="C38" s="27">
        <f>SUMIFS(Principal!O:O,Principal!R:R,A38,Principal!P:P,"Subiu")</f>
        <v>0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8" t="str">
        <f>IFERROR(__xludf.DUMMYFUNCTION("""COMPUTED_VALUE"""),"Seguros ")</f>
        <v>Seguros </v>
      </c>
      <c r="B39" s="27">
        <f>SUMIF(Principal!R:R,A39,Principal!O:O)</f>
        <v>-21765343.02</v>
      </c>
      <c r="C39" s="27">
        <f>SUMIFS(Principal!O:O,Principal!R:R,A39,Principal!P:P,"Subiu")</f>
        <v>0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8" t="str">
        <f>IFERROR(__xludf.DUMMYFUNCTION("""COMPUTED_VALUE"""),"Indústria")</f>
        <v>Indústria</v>
      </c>
      <c r="B40" s="27">
        <f>SUMIF(Principal!R:R,A40,Principal!O:O)</f>
        <v>-233651943.5</v>
      </c>
      <c r="C40" s="27">
        <f>SUMIFS(Principal!O:O,Principal!R:R,A40,Principal!P:P,"Subiu")</f>
        <v>0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8" t="str">
        <f>IFERROR(__xludf.DUMMYFUNCTION("""COMPUTED_VALUE"""),"Cosméticos e Beleza")</f>
        <v>Cosméticos e Beleza</v>
      </c>
      <c r="B41" s="27">
        <f>SUMIF(Principal!R:R,A41,Principal!O:O)</f>
        <v>-193280001.2</v>
      </c>
      <c r="C41" s="27">
        <f>SUMIFS(Principal!O:O,Principal!R:R,A41,Principal!P:P,"Subiu")</f>
        <v>0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8" t="str">
        <f>IFERROR(__xludf.DUMMYFUNCTION("""COMPUTED_VALUE"""),"Serviços Financeiros ")</f>
        <v>Serviços Financeiros </v>
      </c>
      <c r="B42" s="27">
        <f>SUMIF(Principal!R:R,A42,Principal!O:O)</f>
        <v>-1173785666</v>
      </c>
      <c r="C42" s="27">
        <f>SUMIFS(Principal!O:O,Principal!R:R,A42,Principal!P:P,"Subiu")</f>
        <v>0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8" t="str">
        <f>IFERROR(__xludf.DUMMYFUNCTION("""COMPUTED_VALUE"""),"Farmacêutica")</f>
        <v>Farmacêutica</v>
      </c>
      <c r="B43" s="27">
        <f>SUMIF(Principal!R:R,A43,Principal!O:O)</f>
        <v>-208257014.2</v>
      </c>
      <c r="C43" s="27">
        <f>SUMIFS(Principal!O:O,Principal!R:R,A43,Principal!P:P,"Subiu")</f>
        <v>0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8" t="str">
        <f>IFERROR(__xludf.DUMMYFUNCTION("""COMPUTED_VALUE"""),"Agroindústria")</f>
        <v>Agroindústria</v>
      </c>
      <c r="B44" s="27">
        <f>SUMIF(Principal!R:R,A44,Principal!O:O)</f>
        <v>-79432785.74</v>
      </c>
      <c r="C44" s="27">
        <f>SUMIFS(Principal!O:O,Principal!R:R,A44,Principal!P:P,"Subiu")</f>
        <v>0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8" t="str">
        <f>IFERROR(__xludf.DUMMYFUNCTION("""COMPUTED_VALUE"""),"Saúde ")</f>
        <v>Saúde </v>
      </c>
      <c r="B45" s="27">
        <f>SUMIF(Principal!R:R,A45,Principal!O:O)</f>
        <v>-350645389.9</v>
      </c>
      <c r="C45" s="27">
        <f>SUMIFS(Principal!O:O,Principal!R:R,A45,Principal!P:P,"Subiu")</f>
        <v>0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8" t="str">
        <f>IFERROR(__xludf.DUMMYFUNCTION("""COMPUTED_VALUE"""),"Turismo")</f>
        <v>Turismo</v>
      </c>
      <c r="B46" s="27">
        <f>SUMIF(Principal!R:R,A46,Principal!O:O)</f>
        <v>-73557408.06</v>
      </c>
      <c r="C46" s="27">
        <f>SUMIFS(Principal!O:O,Principal!R:R,A46,Principal!P:P,"Subiu")</f>
        <v>0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32" t="str">
        <f>IFERROR(__xludf.DUMMYFUNCTION("unique(Principal!P:P)"),"Resultado Dia")</f>
        <v>Resultado Dia</v>
      </c>
      <c r="B50" s="24" t="s">
        <v>207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7" t="str">
        <f>IFERROR(__xludf.DUMMYFUNCTION("""COMPUTED_VALUE"""),"Subiu")</f>
        <v>Subiu</v>
      </c>
      <c r="B51" s="27">
        <f>SUMIF(Principal!P:P,A51,Principal!O:O)</f>
        <v>19719227010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7" t="str">
        <f>IFERROR(__xludf.DUMMYFUNCTION("""COMPUTED_VALUE"""),"Estavel")</f>
        <v>Estavel</v>
      </c>
      <c r="B52" s="27">
        <f>SUMIF(Principal!P:P,A52,Principal!O:O)</f>
        <v>0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7" t="str">
        <f>IFERROR(__xludf.DUMMYFUNCTION("""COMPUTED_VALUE"""),"Desceu")</f>
        <v>Desceu</v>
      </c>
      <c r="B53" s="27">
        <f>SUMIF(Principal!P:P,A53,Principal!O:O)</f>
        <v>-6338819961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33" t="s">
        <v>208</v>
      </c>
      <c r="C58" s="33" t="s">
        <v>209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34" t="str">
        <f>IFERROR(__xludf.DUMMYFUNCTION("unique(Principal!T2:T82)"),"Entre 50 e 100 anos")</f>
        <v>Entre 50 e 100 anos</v>
      </c>
      <c r="B59" s="35">
        <f>SUMIF(Principal!T:T,A59,Principal!O:O)</f>
        <v>9679476520</v>
      </c>
      <c r="C59" s="36">
        <f>COUNTIF(Principal!T:T,A59)</f>
        <v>35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37" t="str">
        <f>IFERROR(__xludf.DUMMYFUNCTION("""COMPUTED_VALUE"""),"Mais de 100 anos")</f>
        <v>Mais de 100 anos</v>
      </c>
      <c r="B60" s="38">
        <f>SUMIF(Principal!T:T,A60,Principal!O:O)</f>
        <v>769024882.8</v>
      </c>
      <c r="C60" s="39">
        <f>COUNTIF(Principal!T:T,A60)</f>
        <v>5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34" t="str">
        <f>IFERROR(__xludf.DUMMYFUNCTION("""COMPUTED_VALUE"""),"Menos de 50 anos")</f>
        <v>Menos de 50 anos</v>
      </c>
      <c r="B61" s="35">
        <f>SUMIF(Principal!T:T,A61,Principal!O:O)</f>
        <v>2931905646</v>
      </c>
      <c r="C61" s="36">
        <f>COUNTIF(Principal!T:T,A61)</f>
        <v>41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A58:B58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0" t="s">
        <v>210</v>
      </c>
      <c r="B1" s="40" t="s">
        <v>211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2" t="s">
        <v>62</v>
      </c>
      <c r="B2" s="42">
        <v>2.35665566E8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3" t="s">
        <v>144</v>
      </c>
      <c r="B3" s="43">
        <v>5.32616595E8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2" t="s">
        <v>167</v>
      </c>
      <c r="B4" s="42">
        <v>1.76733968E8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3" t="s">
        <v>126</v>
      </c>
      <c r="B5" s="43">
        <v>4.394245879E9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2" t="s">
        <v>74</v>
      </c>
      <c r="B6" s="42">
        <v>6.2305891E7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3" t="s">
        <v>175</v>
      </c>
      <c r="B7" s="43">
        <v>1.349217892E9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2" t="s">
        <v>60</v>
      </c>
      <c r="B8" s="42">
        <v>3.27593725E8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3" t="s">
        <v>177</v>
      </c>
      <c r="B9" s="43">
        <v>5.60279011E9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2" t="s">
        <v>128</v>
      </c>
      <c r="B10" s="42">
        <v>6.71750768E8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3" t="s">
        <v>114</v>
      </c>
      <c r="B11" s="43">
        <v>1.500728902E9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2" t="s">
        <v>76</v>
      </c>
      <c r="B12" s="42">
        <v>5.146576868E9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3" t="s">
        <v>94</v>
      </c>
      <c r="B13" s="43">
        <v>2.51003438E8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2" t="s">
        <v>102</v>
      </c>
      <c r="B14" s="42">
        <v>1.420949112E9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3" t="s">
        <v>58</v>
      </c>
      <c r="B15" s="43">
        <v>2.65877867E8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2" t="s">
        <v>82</v>
      </c>
      <c r="B16" s="42">
        <v>1.677525446E9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3" t="s">
        <v>212</v>
      </c>
      <c r="B17" s="43">
        <v>1.150645866E9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2" t="s">
        <v>187</v>
      </c>
      <c r="B18" s="42">
        <v>5.33990587E8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3" t="s">
        <v>189</v>
      </c>
      <c r="B19" s="43">
        <v>9.4843047E7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2" t="s">
        <v>146</v>
      </c>
      <c r="B20" s="42">
        <v>9.95335937E8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3" t="s">
        <v>134</v>
      </c>
      <c r="B21" s="43">
        <v>1.437415777E9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2" t="s">
        <v>88</v>
      </c>
      <c r="B22" s="42">
        <v>1.095462329E9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3" t="s">
        <v>148</v>
      </c>
      <c r="B23" s="43">
        <v>1.81492098E9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2" t="s">
        <v>120</v>
      </c>
      <c r="B24" s="42">
        <v>1.67933529E9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3" t="s">
        <v>108</v>
      </c>
      <c r="B25" s="43">
        <v>1.168097881E9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2" t="s">
        <v>44</v>
      </c>
      <c r="B26" s="42">
        <v>1.87732538E8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3" t="s">
        <v>38</v>
      </c>
      <c r="B27" s="43">
        <v>1.110559345E9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2" t="s">
        <v>193</v>
      </c>
      <c r="B28" s="42">
        <v>5.25582771E8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3" t="s">
        <v>169</v>
      </c>
      <c r="B29" s="43">
        <v>2.65784616E8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2" t="s">
        <v>90</v>
      </c>
      <c r="B30" s="42">
        <v>3.0276824E8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3" t="s">
        <v>158</v>
      </c>
      <c r="B31" s="43">
        <v>1.980568384E9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2" t="s">
        <v>136</v>
      </c>
      <c r="B32" s="42">
        <v>2.68544014E8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3" t="s">
        <v>171</v>
      </c>
      <c r="B33" s="43">
        <v>7.34632705E8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2" t="s">
        <v>213</v>
      </c>
      <c r="B34" s="42">
        <v>2.90386402E8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3" t="s">
        <v>138</v>
      </c>
      <c r="B35" s="43">
        <v>1.579130168E9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2" t="s">
        <v>152</v>
      </c>
      <c r="B36" s="42">
        <v>2.55236961E8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3" t="s">
        <v>64</v>
      </c>
      <c r="B37" s="43">
        <v>1.095587251E9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2" t="s">
        <v>162</v>
      </c>
      <c r="B38" s="42">
        <v>9.1514307E7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3" t="s">
        <v>164</v>
      </c>
      <c r="B39" s="43">
        <v>2.40822651E8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2" t="s">
        <v>116</v>
      </c>
      <c r="B40" s="42">
        <v>1.118525506E9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3" t="s">
        <v>106</v>
      </c>
      <c r="B41" s="43">
        <v>6.60411219E8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2" t="s">
        <v>195</v>
      </c>
      <c r="B42" s="42">
        <v>1.98184909E8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3" t="s">
        <v>173</v>
      </c>
      <c r="B43" s="43">
        <v>8.46244302E8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2" t="s">
        <v>165</v>
      </c>
      <c r="B44" s="42">
        <v>4.96029967E8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3" t="s">
        <v>183</v>
      </c>
      <c r="B45" s="43">
        <v>4.394332306E9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2" t="s">
        <v>179</v>
      </c>
      <c r="B46" s="42">
        <v>4.09490388E8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3" t="s">
        <v>214</v>
      </c>
      <c r="B47" s="43">
        <v>2.17622138E8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2" t="s">
        <v>156</v>
      </c>
      <c r="B48" s="42">
        <v>8.1838843E7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3" t="s">
        <v>100</v>
      </c>
      <c r="B49" s="43">
        <v>5.372783971E9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2" t="s">
        <v>54</v>
      </c>
      <c r="B50" s="42">
        <v>4.801593832E9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3" t="s">
        <v>110</v>
      </c>
      <c r="B51" s="43">
        <v>1.134986472E9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2" t="s">
        <v>215</v>
      </c>
      <c r="B52" s="42">
        <v>7.06747385E8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3" t="s">
        <v>191</v>
      </c>
      <c r="B53" s="43">
        <v>8.53202347E8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2" t="s">
        <v>185</v>
      </c>
      <c r="B54" s="42">
        <v>9.5132977E8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3" t="s">
        <v>96</v>
      </c>
      <c r="B55" s="43">
        <v>3.93173139E8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2" t="s">
        <v>112</v>
      </c>
      <c r="B56" s="42">
        <v>2.867627068E9</v>
      </c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3" t="s">
        <v>124</v>
      </c>
      <c r="B57" s="43">
        <v>3.31799687E8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2" t="s">
        <v>78</v>
      </c>
      <c r="B58" s="42">
        <v>2.61036182E8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3" t="s">
        <v>72</v>
      </c>
      <c r="B59" s="43">
        <v>3.76187582E8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2" t="s">
        <v>52</v>
      </c>
      <c r="B60" s="42">
        <v>2.68505432E8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3" t="s">
        <v>80</v>
      </c>
      <c r="B61" s="43">
        <v>1.59430826E8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2" t="s">
        <v>40</v>
      </c>
      <c r="B62" s="42">
        <v>2.379877655E9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3" t="s">
        <v>48</v>
      </c>
      <c r="B63" s="43">
        <v>4.566445852E9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2" t="s">
        <v>98</v>
      </c>
      <c r="B64" s="42">
        <v>2.75005663E8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3" t="s">
        <v>46</v>
      </c>
      <c r="B65" s="43">
        <v>8.00010734E8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2" t="s">
        <v>160</v>
      </c>
      <c r="B66" s="42">
        <v>3.09729428E8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3" t="s">
        <v>104</v>
      </c>
      <c r="B67" s="43">
        <v>1.275798515E9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2" t="s">
        <v>118</v>
      </c>
      <c r="B68" s="42">
        <v>1.193047233E9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3" t="s">
        <v>56</v>
      </c>
      <c r="B69" s="43">
        <v>1.168230366E9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2" t="s">
        <v>86</v>
      </c>
      <c r="B70" s="42">
        <v>1.218352541E9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3" t="s">
        <v>130</v>
      </c>
      <c r="B71" s="43">
        <v>3.40001799E8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2" t="s">
        <v>216</v>
      </c>
      <c r="B72" s="42">
        <v>3.42918449E8</v>
      </c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3" t="s">
        <v>181</v>
      </c>
      <c r="B73" s="43">
        <v>1.4237733E8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2" t="s">
        <v>66</v>
      </c>
      <c r="B74" s="42">
        <v>6.00865451E8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3" t="s">
        <v>142</v>
      </c>
      <c r="B75" s="43">
        <v>1.9575113E8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2" t="s">
        <v>42</v>
      </c>
      <c r="B76" s="42">
        <v>6.83452836E8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3" t="s">
        <v>217</v>
      </c>
      <c r="B77" s="43">
        <v>2.18568234E8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2" t="s">
        <v>84</v>
      </c>
      <c r="B78" s="42">
        <v>4.23091712E8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3" t="s">
        <v>92</v>
      </c>
      <c r="B79" s="43">
        <v>8.07896814E8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2" t="s">
        <v>132</v>
      </c>
      <c r="B80" s="42">
        <v>5.14122351E8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3" t="s">
        <v>150</v>
      </c>
      <c r="B81" s="43">
        <v>3.95801044E8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2" t="s">
        <v>70</v>
      </c>
      <c r="B82" s="42">
        <v>1.086411192E9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3" t="s">
        <v>36</v>
      </c>
      <c r="B83" s="43">
        <v>5.15117391E8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2" t="s">
        <v>50</v>
      </c>
      <c r="B84" s="42">
        <v>4.196924316E9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3" t="s">
        <v>122</v>
      </c>
      <c r="B85" s="43">
        <v>4.2138333E8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2" t="s">
        <v>154</v>
      </c>
      <c r="B86" s="42">
        <v>1.114412532E9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3" t="s">
        <v>140</v>
      </c>
      <c r="B87" s="43">
        <v>1.481593024E9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2" t="s">
        <v>68</v>
      </c>
      <c r="B88" s="42">
        <v>2.89347914E8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3" t="s">
        <v>218</v>
      </c>
      <c r="B89" s="43">
        <v>9.6372098181E10</v>
      </c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2" t="s">
        <v>219</v>
      </c>
      <c r="B90" s="42">
        <v>1.70478507866643E7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9.38"/>
    <col customWidth="1" min="3" max="3" width="5.75"/>
    <col customWidth="1" min="4" max="4" width="4.75"/>
  </cols>
  <sheetData>
    <row r="1">
      <c r="A1" s="40" t="s">
        <v>220</v>
      </c>
      <c r="B1" s="40" t="s">
        <v>221</v>
      </c>
      <c r="C1" s="40" t="s">
        <v>18</v>
      </c>
    </row>
    <row r="2">
      <c r="A2" s="42" t="s">
        <v>222</v>
      </c>
      <c r="B2" s="42" t="s">
        <v>223</v>
      </c>
      <c r="C2" s="42">
        <v>68.0</v>
      </c>
      <c r="D2" s="44"/>
    </row>
    <row r="3">
      <c r="A3" s="43" t="s">
        <v>224</v>
      </c>
      <c r="B3" s="43" t="s">
        <v>225</v>
      </c>
      <c r="C3" s="43">
        <v>83.0</v>
      </c>
      <c r="D3" s="44"/>
    </row>
    <row r="4">
      <c r="A4" s="42" t="s">
        <v>226</v>
      </c>
      <c r="B4" s="42" t="s">
        <v>227</v>
      </c>
      <c r="C4" s="42">
        <v>71.0</v>
      </c>
      <c r="D4" s="44"/>
    </row>
    <row r="5">
      <c r="A5" s="43" t="s">
        <v>228</v>
      </c>
      <c r="B5" s="43" t="s">
        <v>229</v>
      </c>
      <c r="C5" s="43">
        <v>100.0</v>
      </c>
      <c r="D5" s="44"/>
    </row>
    <row r="6">
      <c r="A6" s="42" t="s">
        <v>230</v>
      </c>
      <c r="B6" s="42" t="s">
        <v>227</v>
      </c>
      <c r="C6" s="42">
        <v>112.0</v>
      </c>
      <c r="D6" s="44"/>
    </row>
    <row r="7">
      <c r="A7" s="43" t="s">
        <v>231</v>
      </c>
      <c r="B7" s="43" t="s">
        <v>227</v>
      </c>
      <c r="C7" s="43">
        <v>14.0</v>
      </c>
      <c r="D7" s="44"/>
    </row>
    <row r="8">
      <c r="A8" s="42" t="s">
        <v>232</v>
      </c>
      <c r="B8" s="42" t="s">
        <v>225</v>
      </c>
      <c r="C8" s="42">
        <v>82.0</v>
      </c>
      <c r="D8" s="44"/>
    </row>
    <row r="9">
      <c r="A9" s="43" t="s">
        <v>233</v>
      </c>
      <c r="B9" s="43" t="s">
        <v>234</v>
      </c>
      <c r="C9" s="43">
        <v>50.0</v>
      </c>
      <c r="D9" s="44"/>
    </row>
    <row r="10">
      <c r="A10" s="42" t="s">
        <v>235</v>
      </c>
      <c r="B10" s="42" t="s">
        <v>236</v>
      </c>
      <c r="C10" s="42">
        <v>16.0</v>
      </c>
      <c r="D10" s="44"/>
    </row>
    <row r="11">
      <c r="A11" s="43" t="s">
        <v>237</v>
      </c>
      <c r="B11" s="43" t="s">
        <v>238</v>
      </c>
      <c r="C11" s="43">
        <v>47.0</v>
      </c>
      <c r="D11" s="44"/>
    </row>
    <row r="12">
      <c r="A12" s="42" t="s">
        <v>239</v>
      </c>
      <c r="B12" s="42" t="s">
        <v>240</v>
      </c>
      <c r="C12" s="42">
        <v>22.0</v>
      </c>
      <c r="D12" s="44"/>
    </row>
    <row r="13">
      <c r="A13" s="43" t="s">
        <v>241</v>
      </c>
      <c r="B13" s="43" t="s">
        <v>242</v>
      </c>
      <c r="C13" s="43">
        <v>16.0</v>
      </c>
      <c r="D13" s="44"/>
    </row>
    <row r="14">
      <c r="A14" s="42" t="s">
        <v>243</v>
      </c>
      <c r="B14" s="42" t="s">
        <v>244</v>
      </c>
      <c r="C14" s="42">
        <v>10.0</v>
      </c>
      <c r="D14" s="44"/>
    </row>
    <row r="15">
      <c r="A15" s="43" t="s">
        <v>245</v>
      </c>
      <c r="B15" s="43" t="s">
        <v>227</v>
      </c>
      <c r="C15" s="43">
        <v>25.0</v>
      </c>
      <c r="D15" s="44"/>
    </row>
    <row r="16">
      <c r="A16" s="42" t="s">
        <v>246</v>
      </c>
      <c r="B16" s="42" t="s">
        <v>223</v>
      </c>
      <c r="C16" s="42">
        <v>83.0</v>
      </c>
      <c r="D16" s="44"/>
    </row>
    <row r="17">
      <c r="A17" s="43" t="s">
        <v>247</v>
      </c>
      <c r="B17" s="43" t="s">
        <v>248</v>
      </c>
      <c r="C17" s="43">
        <v>55.0</v>
      </c>
      <c r="D17" s="44"/>
    </row>
    <row r="18">
      <c r="A18" s="42" t="s">
        <v>249</v>
      </c>
      <c r="B18" s="42" t="s">
        <v>250</v>
      </c>
      <c r="C18" s="42">
        <v>87.0</v>
      </c>
      <c r="D18" s="44"/>
    </row>
    <row r="19">
      <c r="A19" s="43" t="s">
        <v>251</v>
      </c>
      <c r="B19" s="43" t="s">
        <v>252</v>
      </c>
      <c r="C19" s="43">
        <v>45.0</v>
      </c>
      <c r="D19" s="44"/>
    </row>
    <row r="20">
      <c r="A20" s="42" t="s">
        <v>253</v>
      </c>
      <c r="B20" s="42" t="s">
        <v>254</v>
      </c>
      <c r="C20" s="42">
        <v>52.0</v>
      </c>
      <c r="D20" s="44"/>
    </row>
    <row r="21">
      <c r="A21" s="43" t="s">
        <v>255</v>
      </c>
      <c r="B21" s="43" t="s">
        <v>236</v>
      </c>
      <c r="C21" s="43">
        <v>81.0</v>
      </c>
      <c r="D21" s="44"/>
    </row>
    <row r="22">
      <c r="A22" s="42" t="s">
        <v>256</v>
      </c>
      <c r="B22" s="42" t="s">
        <v>257</v>
      </c>
      <c r="C22" s="42">
        <v>32.0</v>
      </c>
      <c r="D22" s="44"/>
    </row>
    <row r="23">
      <c r="A23" s="43" t="s">
        <v>258</v>
      </c>
      <c r="B23" s="43" t="s">
        <v>259</v>
      </c>
      <c r="C23" s="43">
        <v>76.0</v>
      </c>
      <c r="D23" s="44"/>
    </row>
    <row r="24">
      <c r="A24" s="42" t="s">
        <v>260</v>
      </c>
      <c r="B24" s="42" t="s">
        <v>261</v>
      </c>
      <c r="C24" s="42">
        <v>15.0</v>
      </c>
      <c r="D24" s="44"/>
    </row>
    <row r="25">
      <c r="A25" s="43" t="s">
        <v>262</v>
      </c>
      <c r="B25" s="43" t="s">
        <v>263</v>
      </c>
      <c r="C25" s="43">
        <v>21.0</v>
      </c>
      <c r="D25" s="44"/>
    </row>
    <row r="26">
      <c r="A26" s="42" t="s">
        <v>264</v>
      </c>
      <c r="B26" s="42" t="s">
        <v>265</v>
      </c>
      <c r="C26" s="42">
        <v>15.0</v>
      </c>
      <c r="D26" s="44"/>
    </row>
    <row r="27">
      <c r="A27" s="43" t="s">
        <v>266</v>
      </c>
      <c r="B27" s="43" t="s">
        <v>236</v>
      </c>
      <c r="C27" s="43">
        <v>29.0</v>
      </c>
      <c r="D27" s="44"/>
    </row>
    <row r="28">
      <c r="A28" s="42" t="s">
        <v>267</v>
      </c>
      <c r="B28" s="42" t="s">
        <v>268</v>
      </c>
      <c r="C28" s="42">
        <v>24.0</v>
      </c>
      <c r="D28" s="44"/>
    </row>
    <row r="29">
      <c r="A29" s="43" t="s">
        <v>269</v>
      </c>
      <c r="B29" s="43" t="s">
        <v>263</v>
      </c>
      <c r="C29" s="43">
        <v>26.0</v>
      </c>
      <c r="D29" s="44"/>
    </row>
    <row r="30">
      <c r="A30" s="42" t="s">
        <v>270</v>
      </c>
      <c r="B30" s="42" t="s">
        <v>271</v>
      </c>
      <c r="C30" s="42">
        <v>24.0</v>
      </c>
      <c r="D30" s="44"/>
    </row>
    <row r="31">
      <c r="A31" s="43" t="s">
        <v>272</v>
      </c>
      <c r="B31" s="43" t="s">
        <v>273</v>
      </c>
      <c r="C31" s="43">
        <v>26.0</v>
      </c>
      <c r="D31" s="44"/>
    </row>
    <row r="32">
      <c r="A32" s="42" t="s">
        <v>274</v>
      </c>
      <c r="B32" s="42" t="s">
        <v>275</v>
      </c>
      <c r="C32" s="42">
        <v>19.0</v>
      </c>
      <c r="D32" s="44"/>
    </row>
    <row r="33">
      <c r="A33" s="43" t="s">
        <v>276</v>
      </c>
      <c r="B33" s="43" t="s">
        <v>277</v>
      </c>
      <c r="C33" s="43">
        <v>58.0</v>
      </c>
      <c r="D33" s="44"/>
    </row>
    <row r="34">
      <c r="A34" s="42" t="s">
        <v>278</v>
      </c>
      <c r="B34" s="42" t="s">
        <v>236</v>
      </c>
      <c r="C34" s="42">
        <v>216.0</v>
      </c>
      <c r="D34" s="44"/>
    </row>
    <row r="35">
      <c r="A35" s="43" t="s">
        <v>279</v>
      </c>
      <c r="B35" s="43" t="s">
        <v>238</v>
      </c>
      <c r="C35" s="43">
        <v>13.0</v>
      </c>
      <c r="D35" s="44"/>
    </row>
    <row r="36">
      <c r="A36" s="42" t="s">
        <v>280</v>
      </c>
      <c r="B36" s="42" t="s">
        <v>223</v>
      </c>
      <c r="C36" s="42">
        <v>123.0</v>
      </c>
      <c r="D36" s="44"/>
    </row>
    <row r="37">
      <c r="A37" s="43" t="s">
        <v>281</v>
      </c>
      <c r="B37" s="43" t="s">
        <v>275</v>
      </c>
      <c r="C37" s="43">
        <v>88.0</v>
      </c>
      <c r="D37" s="44"/>
    </row>
    <row r="38">
      <c r="A38" s="42" t="s">
        <v>282</v>
      </c>
      <c r="B38" s="42" t="s">
        <v>257</v>
      </c>
      <c r="C38" s="42">
        <v>71.0</v>
      </c>
      <c r="D38" s="44"/>
    </row>
    <row r="39">
      <c r="A39" s="43" t="s">
        <v>283</v>
      </c>
      <c r="B39" s="43" t="s">
        <v>284</v>
      </c>
      <c r="C39" s="43">
        <v>67.0</v>
      </c>
      <c r="D39" s="44"/>
    </row>
    <row r="40">
      <c r="A40" s="42" t="s">
        <v>285</v>
      </c>
      <c r="B40" s="42" t="s">
        <v>223</v>
      </c>
      <c r="C40" s="42">
        <v>123.0</v>
      </c>
      <c r="D40" s="44"/>
    </row>
    <row r="41">
      <c r="A41" s="43" t="s">
        <v>286</v>
      </c>
      <c r="B41" s="43" t="s">
        <v>275</v>
      </c>
      <c r="C41" s="43">
        <v>14.0</v>
      </c>
      <c r="D41" s="44"/>
    </row>
    <row r="42">
      <c r="A42" s="42" t="s">
        <v>287</v>
      </c>
      <c r="B42" s="42" t="s">
        <v>275</v>
      </c>
      <c r="C42" s="42">
        <v>70.0</v>
      </c>
      <c r="D42" s="44"/>
    </row>
    <row r="43">
      <c r="A43" s="43" t="s">
        <v>288</v>
      </c>
      <c r="B43" s="43" t="s">
        <v>265</v>
      </c>
      <c r="C43" s="43">
        <v>6.0</v>
      </c>
      <c r="D43" s="44"/>
    </row>
    <row r="44">
      <c r="A44" s="42" t="s">
        <v>289</v>
      </c>
      <c r="B44" s="42" t="s">
        <v>257</v>
      </c>
      <c r="C44" s="42">
        <v>24.0</v>
      </c>
      <c r="D44" s="44"/>
    </row>
    <row r="45">
      <c r="A45" s="43" t="s">
        <v>290</v>
      </c>
      <c r="B45" s="43" t="s">
        <v>291</v>
      </c>
      <c r="C45" s="43">
        <v>25.0</v>
      </c>
      <c r="D45" s="44"/>
    </row>
    <row r="46">
      <c r="A46" s="42" t="s">
        <v>292</v>
      </c>
      <c r="B46" s="42" t="s">
        <v>236</v>
      </c>
      <c r="C46" s="42">
        <v>12.0</v>
      </c>
      <c r="D46" s="44"/>
    </row>
    <row r="47">
      <c r="A47" s="43" t="s">
        <v>293</v>
      </c>
      <c r="B47" s="43" t="s">
        <v>294</v>
      </c>
      <c r="C47" s="43">
        <v>51.0</v>
      </c>
      <c r="D47" s="44"/>
    </row>
    <row r="48">
      <c r="A48" s="42" t="s">
        <v>295</v>
      </c>
      <c r="B48" s="42" t="s">
        <v>273</v>
      </c>
      <c r="C48" s="42">
        <v>41.0</v>
      </c>
      <c r="D48" s="44"/>
    </row>
    <row r="49">
      <c r="A49" s="43" t="s">
        <v>296</v>
      </c>
      <c r="B49" s="43" t="s">
        <v>275</v>
      </c>
      <c r="C49" s="43">
        <v>72.0</v>
      </c>
      <c r="D49" s="44"/>
    </row>
    <row r="50">
      <c r="A50" s="42" t="s">
        <v>297</v>
      </c>
      <c r="B50" s="42" t="s">
        <v>275</v>
      </c>
      <c r="C50" s="42">
        <v>62.0</v>
      </c>
      <c r="D50" s="44"/>
    </row>
    <row r="51">
      <c r="A51" s="43" t="s">
        <v>298</v>
      </c>
      <c r="B51" s="43" t="s">
        <v>275</v>
      </c>
      <c r="C51" s="43">
        <v>17.0</v>
      </c>
      <c r="D51" s="44"/>
    </row>
    <row r="52">
      <c r="A52" s="42" t="s">
        <v>299</v>
      </c>
      <c r="B52" s="42" t="s">
        <v>273</v>
      </c>
      <c r="C52" s="42">
        <v>63.0</v>
      </c>
      <c r="D52" s="44"/>
    </row>
    <row r="53">
      <c r="A53" s="43" t="s">
        <v>300</v>
      </c>
      <c r="B53" s="43" t="s">
        <v>301</v>
      </c>
      <c r="C53" s="43">
        <v>47.0</v>
      </c>
      <c r="D53" s="44"/>
    </row>
    <row r="54">
      <c r="A54" s="42" t="s">
        <v>144</v>
      </c>
      <c r="B54" s="42" t="s">
        <v>273</v>
      </c>
      <c r="C54" s="42">
        <v>25.0</v>
      </c>
      <c r="D54" s="44"/>
    </row>
    <row r="55">
      <c r="A55" s="43" t="s">
        <v>302</v>
      </c>
      <c r="B55" s="43" t="s">
        <v>303</v>
      </c>
      <c r="C55" s="43">
        <v>25.0</v>
      </c>
      <c r="D55" s="44"/>
    </row>
    <row r="56">
      <c r="A56" s="42" t="s">
        <v>304</v>
      </c>
      <c r="B56" s="42" t="s">
        <v>248</v>
      </c>
      <c r="C56" s="42">
        <v>5.0</v>
      </c>
      <c r="D56" s="44"/>
    </row>
    <row r="57">
      <c r="A57" s="43" t="s">
        <v>305</v>
      </c>
      <c r="B57" s="43" t="s">
        <v>227</v>
      </c>
      <c r="C57" s="43">
        <v>25.0</v>
      </c>
      <c r="D57" s="44"/>
    </row>
    <row r="58">
      <c r="A58" s="42" t="s">
        <v>306</v>
      </c>
      <c r="B58" s="42" t="s">
        <v>227</v>
      </c>
      <c r="C58" s="42">
        <v>9.0</v>
      </c>
      <c r="D58" s="44"/>
    </row>
    <row r="59">
      <c r="A59" s="43" t="s">
        <v>307</v>
      </c>
      <c r="B59" s="43" t="s">
        <v>227</v>
      </c>
      <c r="C59" s="43">
        <v>7.0</v>
      </c>
      <c r="D59" s="44"/>
    </row>
    <row r="60">
      <c r="A60" s="42" t="s">
        <v>308</v>
      </c>
      <c r="B60" s="42" t="s">
        <v>309</v>
      </c>
      <c r="C60" s="42">
        <v>85.0</v>
      </c>
      <c r="D60" s="44"/>
    </row>
    <row r="61">
      <c r="A61" s="43" t="s">
        <v>310</v>
      </c>
      <c r="B61" s="43" t="s">
        <v>259</v>
      </c>
      <c r="C61" s="43">
        <v>22.0</v>
      </c>
      <c r="D61" s="44"/>
    </row>
    <row r="62">
      <c r="A62" s="42" t="s">
        <v>311</v>
      </c>
      <c r="B62" s="42" t="s">
        <v>252</v>
      </c>
      <c r="C62" s="42">
        <v>45.0</v>
      </c>
      <c r="D62" s="44"/>
    </row>
    <row r="63">
      <c r="A63" s="43" t="s">
        <v>312</v>
      </c>
      <c r="B63" s="43" t="s">
        <v>238</v>
      </c>
      <c r="C63" s="43">
        <v>98.0</v>
      </c>
      <c r="D63" s="44"/>
    </row>
    <row r="64">
      <c r="A64" s="42" t="s">
        <v>313</v>
      </c>
      <c r="B64" s="42" t="s">
        <v>254</v>
      </c>
      <c r="C64" s="42">
        <v>57.0</v>
      </c>
      <c r="D64" s="44"/>
    </row>
    <row r="65">
      <c r="A65" s="43" t="s">
        <v>314</v>
      </c>
      <c r="B65" s="43" t="s">
        <v>254</v>
      </c>
      <c r="C65" s="43">
        <v>117.0</v>
      </c>
      <c r="D65" s="44"/>
    </row>
    <row r="66">
      <c r="A66" s="42" t="s">
        <v>315</v>
      </c>
      <c r="B66" s="42" t="s">
        <v>252</v>
      </c>
      <c r="C66" s="42">
        <v>46.0</v>
      </c>
      <c r="D66" s="44"/>
    </row>
    <row r="67">
      <c r="A67" s="43" t="s">
        <v>316</v>
      </c>
      <c r="B67" s="43" t="s">
        <v>317</v>
      </c>
      <c r="C67" s="43">
        <v>55.0</v>
      </c>
      <c r="D67" s="44"/>
    </row>
    <row r="68">
      <c r="A68" s="42" t="s">
        <v>318</v>
      </c>
      <c r="B68" s="42" t="s">
        <v>319</v>
      </c>
      <c r="C68" s="42">
        <v>55.0</v>
      </c>
      <c r="D68" s="44"/>
    </row>
    <row r="69">
      <c r="A69" s="43" t="s">
        <v>320</v>
      </c>
      <c r="B69" s="43" t="s">
        <v>259</v>
      </c>
      <c r="C69" s="43">
        <v>50.0</v>
      </c>
      <c r="D69" s="44"/>
    </row>
    <row r="70">
      <c r="A70" s="42" t="s">
        <v>321</v>
      </c>
      <c r="B70" s="42" t="s">
        <v>322</v>
      </c>
      <c r="C70" s="42">
        <v>7.0</v>
      </c>
      <c r="D70" s="44"/>
    </row>
    <row r="71">
      <c r="A71" s="43" t="s">
        <v>323</v>
      </c>
      <c r="B71" s="43" t="s">
        <v>324</v>
      </c>
      <c r="C71" s="43">
        <v>23.0</v>
      </c>
      <c r="D71" s="44"/>
    </row>
    <row r="72">
      <c r="A72" s="42" t="s">
        <v>325</v>
      </c>
      <c r="B72" s="42" t="s">
        <v>326</v>
      </c>
      <c r="C72" s="42">
        <v>84.0</v>
      </c>
      <c r="D72" s="44"/>
    </row>
    <row r="73">
      <c r="A73" s="43" t="s">
        <v>327</v>
      </c>
      <c r="B73" s="43" t="s">
        <v>328</v>
      </c>
      <c r="C73" s="43">
        <v>45.0</v>
      </c>
      <c r="D73" s="44"/>
    </row>
    <row r="74">
      <c r="A74" s="42" t="s">
        <v>329</v>
      </c>
      <c r="B74" s="42" t="s">
        <v>284</v>
      </c>
      <c r="C74" s="42">
        <v>59.0</v>
      </c>
      <c r="D74" s="44"/>
    </row>
    <row r="75">
      <c r="A75" s="43" t="s">
        <v>330</v>
      </c>
      <c r="B75" s="43" t="s">
        <v>259</v>
      </c>
      <c r="C75" s="43">
        <v>49.0</v>
      </c>
      <c r="D75" s="44"/>
    </row>
    <row r="76">
      <c r="A76" s="42" t="s">
        <v>331</v>
      </c>
      <c r="B76" s="42" t="s">
        <v>284</v>
      </c>
      <c r="C76" s="42">
        <v>72.0</v>
      </c>
      <c r="D76" s="44"/>
    </row>
    <row r="77">
      <c r="A77" s="43" t="s">
        <v>332</v>
      </c>
      <c r="B77" s="43" t="s">
        <v>294</v>
      </c>
      <c r="C77" s="43">
        <v>51.0</v>
      </c>
      <c r="D77" s="44"/>
    </row>
    <row r="78">
      <c r="A78" s="42" t="s">
        <v>333</v>
      </c>
      <c r="B78" s="42" t="s">
        <v>334</v>
      </c>
      <c r="C78" s="42">
        <v>52.0</v>
      </c>
      <c r="D78" s="44"/>
    </row>
    <row r="79">
      <c r="A79" s="43" t="s">
        <v>335</v>
      </c>
      <c r="B79" s="43" t="s">
        <v>242</v>
      </c>
      <c r="C79" s="43">
        <v>23.0</v>
      </c>
      <c r="D79" s="44"/>
    </row>
    <row r="80">
      <c r="A80" s="42"/>
      <c r="B80" s="42"/>
      <c r="C80" s="42"/>
    </row>
    <row r="81">
      <c r="A81" s="43"/>
      <c r="B81" s="43"/>
      <c r="C81" s="43"/>
    </row>
    <row r="82">
      <c r="A82" s="42"/>
      <c r="B82" s="42"/>
      <c r="C82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5" t="s">
        <v>336</v>
      </c>
      <c r="B1" s="45" t="s">
        <v>337</v>
      </c>
    </row>
    <row r="2">
      <c r="A2" s="42" t="s">
        <v>112</v>
      </c>
      <c r="B2" s="42" t="s">
        <v>283</v>
      </c>
    </row>
    <row r="3">
      <c r="A3" s="43" t="s">
        <v>183</v>
      </c>
      <c r="B3" s="43" t="s">
        <v>327</v>
      </c>
    </row>
    <row r="4">
      <c r="A4" s="42" t="s">
        <v>48</v>
      </c>
      <c r="B4" s="42" t="s">
        <v>226</v>
      </c>
    </row>
    <row r="5">
      <c r="A5" s="43" t="s">
        <v>177</v>
      </c>
      <c r="B5" s="43" t="s">
        <v>321</v>
      </c>
    </row>
    <row r="6">
      <c r="A6" s="42" t="s">
        <v>36</v>
      </c>
      <c r="B6" s="42" t="s">
        <v>222</v>
      </c>
    </row>
    <row r="7">
      <c r="A7" s="43" t="s">
        <v>193</v>
      </c>
      <c r="B7" s="43" t="s">
        <v>333</v>
      </c>
    </row>
    <row r="8">
      <c r="A8" s="42" t="s">
        <v>88</v>
      </c>
      <c r="B8" s="42" t="s">
        <v>266</v>
      </c>
    </row>
    <row r="9">
      <c r="A9" s="43" t="s">
        <v>50</v>
      </c>
      <c r="B9" s="43" t="s">
        <v>232</v>
      </c>
    </row>
    <row r="10">
      <c r="A10" s="42" t="s">
        <v>195</v>
      </c>
      <c r="B10" s="42" t="s">
        <v>335</v>
      </c>
    </row>
    <row r="11">
      <c r="A11" s="43" t="s">
        <v>76</v>
      </c>
      <c r="B11" s="43" t="s">
        <v>255</v>
      </c>
    </row>
    <row r="12">
      <c r="A12" s="42" t="s">
        <v>60</v>
      </c>
      <c r="B12" s="42" t="s">
        <v>241</v>
      </c>
    </row>
    <row r="13">
      <c r="A13" s="43" t="s">
        <v>148</v>
      </c>
      <c r="B13" s="43" t="s">
        <v>304</v>
      </c>
    </row>
    <row r="14">
      <c r="A14" s="42" t="s">
        <v>100</v>
      </c>
      <c r="B14" s="42" t="s">
        <v>276</v>
      </c>
    </row>
    <row r="15">
      <c r="A15" s="43" t="s">
        <v>54</v>
      </c>
      <c r="B15" s="43" t="s">
        <v>235</v>
      </c>
    </row>
    <row r="16">
      <c r="A16" s="42" t="s">
        <v>160</v>
      </c>
      <c r="B16" s="42" t="s">
        <v>310</v>
      </c>
    </row>
    <row r="17">
      <c r="A17" s="43" t="s">
        <v>72</v>
      </c>
      <c r="B17" s="43" t="s">
        <v>251</v>
      </c>
    </row>
    <row r="18">
      <c r="A18" s="42" t="s">
        <v>173</v>
      </c>
      <c r="B18" s="42" t="s">
        <v>318</v>
      </c>
    </row>
    <row r="19">
      <c r="A19" s="43" t="s">
        <v>185</v>
      </c>
      <c r="B19" s="43" t="s">
        <v>329</v>
      </c>
    </row>
    <row r="20">
      <c r="A20" s="42" t="s">
        <v>64</v>
      </c>
      <c r="B20" s="42" t="s">
        <v>245</v>
      </c>
    </row>
    <row r="21">
      <c r="A21" s="43" t="s">
        <v>191</v>
      </c>
      <c r="B21" s="43" t="s">
        <v>332</v>
      </c>
    </row>
    <row r="22">
      <c r="A22" s="42" t="s">
        <v>338</v>
      </c>
      <c r="B22" s="42" t="s">
        <v>339</v>
      </c>
    </row>
    <row r="23">
      <c r="A23" s="43" t="s">
        <v>340</v>
      </c>
      <c r="B23" s="43" t="s">
        <v>341</v>
      </c>
    </row>
    <row r="24">
      <c r="A24" s="42" t="s">
        <v>40</v>
      </c>
      <c r="B24" s="42" t="s">
        <v>226</v>
      </c>
    </row>
    <row r="25">
      <c r="A25" s="43" t="s">
        <v>96</v>
      </c>
      <c r="B25" s="43" t="s">
        <v>272</v>
      </c>
    </row>
    <row r="26">
      <c r="A26" s="42" t="s">
        <v>120</v>
      </c>
      <c r="B26" s="42" t="s">
        <v>287</v>
      </c>
    </row>
    <row r="27">
      <c r="A27" s="43" t="s">
        <v>342</v>
      </c>
      <c r="B27" s="43" t="s">
        <v>343</v>
      </c>
    </row>
    <row r="28">
      <c r="A28" s="42" t="s">
        <v>165</v>
      </c>
      <c r="B28" s="42" t="s">
        <v>313</v>
      </c>
    </row>
    <row r="29">
      <c r="A29" s="43" t="s">
        <v>102</v>
      </c>
      <c r="B29" s="43" t="s">
        <v>278</v>
      </c>
    </row>
    <row r="30">
      <c r="A30" s="42" t="s">
        <v>344</v>
      </c>
      <c r="B30" s="42" t="s">
        <v>345</v>
      </c>
    </row>
    <row r="31">
      <c r="A31" s="43" t="s">
        <v>86</v>
      </c>
      <c r="B31" s="43" t="s">
        <v>264</v>
      </c>
    </row>
    <row r="32">
      <c r="A32" s="42" t="s">
        <v>46</v>
      </c>
      <c r="B32" s="42" t="s">
        <v>231</v>
      </c>
    </row>
    <row r="33">
      <c r="A33" s="43" t="s">
        <v>346</v>
      </c>
      <c r="B33" s="43" t="s">
        <v>287</v>
      </c>
    </row>
    <row r="34">
      <c r="A34" s="42" t="s">
        <v>82</v>
      </c>
      <c r="B34" s="42" t="s">
        <v>260</v>
      </c>
    </row>
    <row r="35">
      <c r="A35" s="43" t="s">
        <v>126</v>
      </c>
      <c r="B35" s="43" t="s">
        <v>290</v>
      </c>
    </row>
    <row r="36">
      <c r="A36" s="42" t="s">
        <v>347</v>
      </c>
      <c r="B36" s="42" t="s">
        <v>348</v>
      </c>
    </row>
    <row r="37">
      <c r="A37" s="43" t="s">
        <v>349</v>
      </c>
      <c r="B37" s="43" t="s">
        <v>350</v>
      </c>
    </row>
    <row r="38">
      <c r="A38" s="42" t="s">
        <v>351</v>
      </c>
      <c r="B38" s="42" t="s">
        <v>352</v>
      </c>
    </row>
    <row r="39">
      <c r="A39" s="43" t="s">
        <v>66</v>
      </c>
      <c r="B39" s="43" t="s">
        <v>246</v>
      </c>
    </row>
    <row r="40">
      <c r="A40" s="42" t="s">
        <v>78</v>
      </c>
      <c r="B40" s="42" t="s">
        <v>256</v>
      </c>
    </row>
    <row r="41">
      <c r="A41" s="43" t="s">
        <v>175</v>
      </c>
      <c r="B41" s="43" t="s">
        <v>320</v>
      </c>
    </row>
    <row r="42">
      <c r="A42" s="42" t="s">
        <v>134</v>
      </c>
      <c r="B42" s="42" t="s">
        <v>296</v>
      </c>
    </row>
    <row r="43">
      <c r="A43" s="43" t="s">
        <v>353</v>
      </c>
      <c r="B43" s="43" t="s">
        <v>354</v>
      </c>
    </row>
    <row r="44">
      <c r="A44" s="42" t="s">
        <v>118</v>
      </c>
      <c r="B44" s="42" t="s">
        <v>286</v>
      </c>
    </row>
    <row r="45">
      <c r="A45" s="43" t="s">
        <v>80</v>
      </c>
      <c r="B45" s="43" t="s">
        <v>258</v>
      </c>
    </row>
    <row r="46">
      <c r="A46" s="42" t="s">
        <v>122</v>
      </c>
      <c r="B46" s="42" t="s">
        <v>288</v>
      </c>
    </row>
    <row r="47">
      <c r="A47" s="43" t="s">
        <v>116</v>
      </c>
      <c r="B47" s="43" t="s">
        <v>285</v>
      </c>
    </row>
    <row r="48">
      <c r="A48" s="42" t="s">
        <v>355</v>
      </c>
      <c r="B48" s="42" t="s">
        <v>356</v>
      </c>
    </row>
    <row r="49">
      <c r="A49" s="43" t="s">
        <v>38</v>
      </c>
      <c r="B49" s="43" t="s">
        <v>224</v>
      </c>
    </row>
    <row r="50">
      <c r="A50" s="42" t="s">
        <v>357</v>
      </c>
      <c r="B50" s="42" t="s">
        <v>358</v>
      </c>
    </row>
    <row r="51">
      <c r="A51" s="43" t="s">
        <v>359</v>
      </c>
      <c r="B51" s="43" t="s">
        <v>360</v>
      </c>
    </row>
    <row r="52">
      <c r="A52" s="42" t="s">
        <v>169</v>
      </c>
      <c r="B52" s="42" t="s">
        <v>315</v>
      </c>
    </row>
    <row r="53">
      <c r="A53" s="43" t="s">
        <v>361</v>
      </c>
      <c r="B53" s="43" t="s">
        <v>362</v>
      </c>
    </row>
    <row r="54">
      <c r="A54" s="42" t="s">
        <v>363</v>
      </c>
      <c r="B54" s="42" t="s">
        <v>350</v>
      </c>
    </row>
    <row r="55">
      <c r="A55" s="43" t="s">
        <v>124</v>
      </c>
      <c r="B55" s="43" t="s">
        <v>289</v>
      </c>
    </row>
    <row r="56">
      <c r="A56" s="42" t="s">
        <v>364</v>
      </c>
      <c r="B56" s="42" t="s">
        <v>365</v>
      </c>
    </row>
    <row r="57">
      <c r="A57" s="43" t="s">
        <v>104</v>
      </c>
      <c r="B57" s="43" t="s">
        <v>279</v>
      </c>
    </row>
    <row r="58">
      <c r="A58" s="42" t="s">
        <v>140</v>
      </c>
      <c r="B58" s="42" t="s">
        <v>299</v>
      </c>
    </row>
    <row r="59">
      <c r="A59" s="43" t="s">
        <v>70</v>
      </c>
      <c r="B59" s="43" t="s">
        <v>249</v>
      </c>
    </row>
    <row r="60">
      <c r="A60" s="42" t="s">
        <v>52</v>
      </c>
      <c r="B60" s="42" t="s">
        <v>233</v>
      </c>
    </row>
    <row r="61">
      <c r="A61" s="43" t="s">
        <v>106</v>
      </c>
      <c r="B61" s="43" t="s">
        <v>280</v>
      </c>
    </row>
    <row r="62">
      <c r="A62" s="42" t="s">
        <v>92</v>
      </c>
      <c r="B62" s="42" t="s">
        <v>269</v>
      </c>
    </row>
    <row r="63">
      <c r="A63" s="43" t="s">
        <v>366</v>
      </c>
      <c r="B63" s="43" t="s">
        <v>367</v>
      </c>
    </row>
    <row r="64">
      <c r="A64" s="42" t="s">
        <v>187</v>
      </c>
      <c r="B64" s="42" t="s">
        <v>330</v>
      </c>
    </row>
    <row r="65">
      <c r="A65" s="43" t="s">
        <v>74</v>
      </c>
      <c r="B65" s="43" t="s">
        <v>253</v>
      </c>
    </row>
    <row r="66">
      <c r="A66" s="42" t="s">
        <v>368</v>
      </c>
      <c r="B66" s="42" t="s">
        <v>369</v>
      </c>
    </row>
    <row r="67">
      <c r="A67" s="43" t="s">
        <v>179</v>
      </c>
      <c r="B67" s="43" t="s">
        <v>323</v>
      </c>
    </row>
    <row r="68">
      <c r="A68" s="42" t="s">
        <v>370</v>
      </c>
      <c r="B68" s="42" t="s">
        <v>371</v>
      </c>
    </row>
    <row r="69">
      <c r="A69" s="43" t="s">
        <v>114</v>
      </c>
      <c r="B69" s="43" t="s">
        <v>255</v>
      </c>
    </row>
    <row r="70">
      <c r="A70" s="42" t="s">
        <v>68</v>
      </c>
      <c r="B70" s="42" t="s">
        <v>247</v>
      </c>
    </row>
    <row r="71">
      <c r="A71" s="43" t="s">
        <v>372</v>
      </c>
      <c r="B71" s="43" t="s">
        <v>373</v>
      </c>
    </row>
    <row r="72">
      <c r="A72" s="42" t="s">
        <v>189</v>
      </c>
      <c r="B72" s="42" t="s">
        <v>331</v>
      </c>
    </row>
    <row r="73">
      <c r="A73" s="43" t="s">
        <v>42</v>
      </c>
      <c r="B73" s="43" t="s">
        <v>228</v>
      </c>
    </row>
    <row r="74">
      <c r="A74" s="42" t="s">
        <v>374</v>
      </c>
      <c r="B74" s="42" t="s">
        <v>375</v>
      </c>
    </row>
    <row r="75">
      <c r="A75" s="43" t="s">
        <v>94</v>
      </c>
      <c r="B75" s="43" t="s">
        <v>270</v>
      </c>
    </row>
    <row r="76">
      <c r="A76" s="42" t="s">
        <v>376</v>
      </c>
      <c r="B76" s="42" t="s">
        <v>377</v>
      </c>
    </row>
    <row r="77">
      <c r="A77" s="43" t="s">
        <v>128</v>
      </c>
      <c r="B77" s="43" t="s">
        <v>292</v>
      </c>
    </row>
    <row r="78">
      <c r="A78" s="42" t="s">
        <v>378</v>
      </c>
      <c r="B78" s="42" t="s">
        <v>379</v>
      </c>
    </row>
    <row r="79">
      <c r="A79" s="43" t="s">
        <v>380</v>
      </c>
      <c r="B79" s="43" t="s">
        <v>381</v>
      </c>
    </row>
    <row r="80">
      <c r="A80" s="42" t="s">
        <v>382</v>
      </c>
      <c r="B80" s="42" t="s">
        <v>383</v>
      </c>
    </row>
    <row r="81">
      <c r="A81" s="43" t="s">
        <v>384</v>
      </c>
      <c r="B81" s="43" t="s">
        <v>385</v>
      </c>
    </row>
    <row r="82">
      <c r="A82" s="42" t="s">
        <v>90</v>
      </c>
      <c r="B82" s="42" t="s">
        <v>267</v>
      </c>
    </row>
    <row r="83">
      <c r="A83" s="43" t="s">
        <v>62</v>
      </c>
      <c r="B83" s="43" t="s">
        <v>243</v>
      </c>
    </row>
    <row r="84">
      <c r="A84" s="42" t="s">
        <v>171</v>
      </c>
      <c r="B84" s="42" t="s">
        <v>316</v>
      </c>
    </row>
    <row r="85">
      <c r="A85" s="43" t="s">
        <v>158</v>
      </c>
      <c r="B85" s="43" t="s">
        <v>297</v>
      </c>
    </row>
    <row r="86">
      <c r="A86" s="42" t="s">
        <v>56</v>
      </c>
      <c r="B86" s="42" t="s">
        <v>237</v>
      </c>
    </row>
    <row r="87">
      <c r="A87" s="43" t="s">
        <v>181</v>
      </c>
      <c r="B87" s="43" t="s">
        <v>325</v>
      </c>
    </row>
    <row r="88">
      <c r="A88" s="42" t="s">
        <v>386</v>
      </c>
      <c r="B88" s="42" t="s">
        <v>387</v>
      </c>
    </row>
    <row r="89">
      <c r="A89" s="43" t="s">
        <v>388</v>
      </c>
      <c r="B89" s="43" t="s">
        <v>389</v>
      </c>
    </row>
    <row r="90">
      <c r="A90" s="42" t="s">
        <v>154</v>
      </c>
      <c r="B90" s="42" t="s">
        <v>307</v>
      </c>
    </row>
    <row r="91">
      <c r="A91" s="43" t="s">
        <v>390</v>
      </c>
      <c r="B91" s="43" t="s">
        <v>391</v>
      </c>
    </row>
    <row r="92">
      <c r="A92" s="42" t="s">
        <v>138</v>
      </c>
      <c r="B92" s="42" t="s">
        <v>298</v>
      </c>
    </row>
    <row r="93">
      <c r="A93" s="43" t="s">
        <v>98</v>
      </c>
      <c r="B93" s="43" t="s">
        <v>274</v>
      </c>
    </row>
    <row r="94">
      <c r="A94" s="42" t="s">
        <v>392</v>
      </c>
      <c r="B94" s="42" t="s">
        <v>393</v>
      </c>
    </row>
    <row r="95">
      <c r="A95" s="43" t="s">
        <v>146</v>
      </c>
      <c r="B95" s="43" t="s">
        <v>302</v>
      </c>
    </row>
    <row r="96">
      <c r="A96" s="42" t="s">
        <v>108</v>
      </c>
      <c r="B96" s="42" t="s">
        <v>281</v>
      </c>
    </row>
    <row r="97">
      <c r="A97" s="43" t="s">
        <v>58</v>
      </c>
      <c r="B97" s="43" t="s">
        <v>239</v>
      </c>
    </row>
    <row r="98">
      <c r="A98" s="42" t="s">
        <v>394</v>
      </c>
      <c r="B98" s="42" t="s">
        <v>395</v>
      </c>
    </row>
    <row r="99">
      <c r="A99" s="43" t="s">
        <v>164</v>
      </c>
      <c r="B99" s="43" t="s">
        <v>312</v>
      </c>
    </row>
    <row r="100">
      <c r="A100" s="42" t="s">
        <v>396</v>
      </c>
      <c r="B100" s="42" t="s">
        <v>397</v>
      </c>
    </row>
    <row r="101">
      <c r="A101" s="43" t="s">
        <v>398</v>
      </c>
      <c r="B101" s="43" t="s">
        <v>399</v>
      </c>
    </row>
    <row r="102">
      <c r="A102" s="42" t="s">
        <v>44</v>
      </c>
      <c r="B102" s="42" t="s">
        <v>230</v>
      </c>
    </row>
    <row r="103">
      <c r="A103" s="43" t="s">
        <v>400</v>
      </c>
      <c r="B103" s="43" t="s">
        <v>401</v>
      </c>
    </row>
    <row r="104">
      <c r="A104" s="42" t="s">
        <v>402</v>
      </c>
      <c r="B104" s="42" t="s">
        <v>222</v>
      </c>
    </row>
    <row r="105">
      <c r="A105" s="43" t="s">
        <v>156</v>
      </c>
      <c r="B105" s="43" t="s">
        <v>308</v>
      </c>
    </row>
    <row r="106">
      <c r="A106" s="42" t="s">
        <v>403</v>
      </c>
      <c r="B106" s="42" t="s">
        <v>404</v>
      </c>
    </row>
    <row r="107">
      <c r="A107" s="43" t="s">
        <v>405</v>
      </c>
      <c r="B107" s="43" t="s">
        <v>406</v>
      </c>
    </row>
    <row r="108">
      <c r="A108" s="42" t="s">
        <v>110</v>
      </c>
      <c r="B108" s="42" t="s">
        <v>282</v>
      </c>
    </row>
    <row r="109">
      <c r="A109" s="43" t="s">
        <v>130</v>
      </c>
      <c r="B109" s="43" t="s">
        <v>293</v>
      </c>
    </row>
    <row r="110">
      <c r="A110" s="42" t="s">
        <v>407</v>
      </c>
      <c r="B110" s="42" t="s">
        <v>408</v>
      </c>
    </row>
    <row r="111">
      <c r="A111" s="43" t="s">
        <v>167</v>
      </c>
      <c r="B111" s="43" t="s">
        <v>314</v>
      </c>
    </row>
    <row r="112">
      <c r="A112" s="42" t="s">
        <v>142</v>
      </c>
      <c r="B112" s="42" t="s">
        <v>300</v>
      </c>
    </row>
    <row r="113">
      <c r="A113" s="43" t="s">
        <v>409</v>
      </c>
      <c r="B113" s="43" t="s">
        <v>410</v>
      </c>
    </row>
    <row r="114">
      <c r="A114" s="42" t="s">
        <v>411</v>
      </c>
      <c r="B114" s="42" t="s">
        <v>412</v>
      </c>
    </row>
    <row r="115">
      <c r="A115" s="43" t="s">
        <v>144</v>
      </c>
      <c r="B115" s="43" t="s">
        <v>144</v>
      </c>
    </row>
    <row r="116">
      <c r="A116" s="42" t="s">
        <v>162</v>
      </c>
      <c r="B116" s="42" t="s">
        <v>311</v>
      </c>
    </row>
    <row r="117">
      <c r="A117" s="43" t="s">
        <v>132</v>
      </c>
      <c r="B117" s="43" t="s">
        <v>295</v>
      </c>
    </row>
    <row r="118">
      <c r="A118" s="42" t="s">
        <v>413</v>
      </c>
      <c r="B118" s="42" t="s">
        <v>414</v>
      </c>
    </row>
    <row r="119">
      <c r="A119" s="43" t="s">
        <v>415</v>
      </c>
      <c r="B119" s="43" t="s">
        <v>416</v>
      </c>
    </row>
    <row r="120">
      <c r="A120" s="42" t="s">
        <v>417</v>
      </c>
      <c r="B120" s="42" t="s">
        <v>418</v>
      </c>
    </row>
    <row r="121">
      <c r="A121" s="43" t="s">
        <v>84</v>
      </c>
      <c r="B121" s="43" t="s">
        <v>262</v>
      </c>
    </row>
    <row r="122">
      <c r="A122" s="42" t="s">
        <v>419</v>
      </c>
      <c r="B122" s="42" t="s">
        <v>420</v>
      </c>
    </row>
    <row r="123">
      <c r="A123" s="43" t="s">
        <v>421</v>
      </c>
      <c r="B123" s="43" t="s">
        <v>422</v>
      </c>
    </row>
    <row r="124">
      <c r="A124" s="42" t="s">
        <v>423</v>
      </c>
      <c r="B124" s="42" t="s">
        <v>424</v>
      </c>
    </row>
    <row r="125">
      <c r="A125" s="43" t="s">
        <v>425</v>
      </c>
      <c r="B125" s="43" t="s">
        <v>426</v>
      </c>
    </row>
    <row r="126">
      <c r="A126" s="42" t="s">
        <v>427</v>
      </c>
      <c r="B126" s="42" t="s">
        <v>428</v>
      </c>
    </row>
    <row r="127">
      <c r="A127" s="43" t="s">
        <v>429</v>
      </c>
      <c r="B127" s="43" t="s">
        <v>430</v>
      </c>
    </row>
    <row r="128">
      <c r="A128" s="42" t="s">
        <v>431</v>
      </c>
      <c r="B128" s="42" t="s">
        <v>432</v>
      </c>
    </row>
    <row r="129">
      <c r="A129" s="43" t="s">
        <v>433</v>
      </c>
      <c r="B129" s="43" t="s">
        <v>434</v>
      </c>
    </row>
    <row r="130">
      <c r="A130" s="42" t="s">
        <v>150</v>
      </c>
      <c r="B130" s="42" t="s">
        <v>305</v>
      </c>
    </row>
    <row r="131">
      <c r="A131" s="43" t="s">
        <v>152</v>
      </c>
      <c r="B131" s="43" t="s">
        <v>306</v>
      </c>
    </row>
    <row r="132">
      <c r="A132" s="42" t="s">
        <v>435</v>
      </c>
      <c r="B132" s="42" t="s">
        <v>436</v>
      </c>
    </row>
    <row r="133">
      <c r="A133" s="43" t="s">
        <v>437</v>
      </c>
      <c r="B133" s="43" t="s">
        <v>438</v>
      </c>
    </row>
    <row r="134">
      <c r="A134" s="42" t="s">
        <v>439</v>
      </c>
      <c r="B134" s="42" t="s">
        <v>440</v>
      </c>
    </row>
    <row r="135">
      <c r="A135" s="43" t="s">
        <v>441</v>
      </c>
      <c r="B135" s="43" t="s">
        <v>442</v>
      </c>
    </row>
    <row r="136">
      <c r="A136" s="42" t="s">
        <v>443</v>
      </c>
      <c r="B136" s="42" t="s">
        <v>444</v>
      </c>
    </row>
    <row r="137">
      <c r="A137" s="43" t="s">
        <v>445</v>
      </c>
      <c r="B137" s="43" t="s">
        <v>446</v>
      </c>
    </row>
    <row r="138">
      <c r="A138" s="42" t="s">
        <v>447</v>
      </c>
      <c r="B138" s="42" t="s">
        <v>448</v>
      </c>
    </row>
    <row r="139">
      <c r="A139" s="43" t="s">
        <v>449</v>
      </c>
      <c r="B139" s="43" t="s">
        <v>450</v>
      </c>
    </row>
    <row r="140">
      <c r="A140" s="42" t="s">
        <v>451</v>
      </c>
      <c r="B140" s="42" t="s">
        <v>452</v>
      </c>
    </row>
    <row r="141">
      <c r="A141" s="43" t="s">
        <v>453</v>
      </c>
      <c r="B141" s="43" t="s">
        <v>454</v>
      </c>
    </row>
    <row r="142">
      <c r="A142" s="42" t="s">
        <v>455</v>
      </c>
      <c r="B142" s="42" t="s">
        <v>456</v>
      </c>
    </row>
    <row r="143">
      <c r="A143" s="43" t="s">
        <v>457</v>
      </c>
      <c r="B143" s="43" t="s">
        <v>458</v>
      </c>
    </row>
    <row r="144">
      <c r="A144" s="42" t="s">
        <v>459</v>
      </c>
      <c r="B144" s="42" t="s">
        <v>460</v>
      </c>
    </row>
    <row r="145">
      <c r="A145" s="43" t="s">
        <v>461</v>
      </c>
      <c r="B145" s="43" t="s">
        <v>461</v>
      </c>
    </row>
    <row r="146">
      <c r="A146" s="42" t="s">
        <v>462</v>
      </c>
      <c r="B146" s="42" t="s">
        <v>463</v>
      </c>
    </row>
    <row r="147">
      <c r="A147" s="43" t="s">
        <v>464</v>
      </c>
      <c r="B147" s="43" t="s">
        <v>465</v>
      </c>
    </row>
    <row r="148">
      <c r="A148" s="42" t="s">
        <v>466</v>
      </c>
      <c r="B148" s="42" t="s">
        <v>467</v>
      </c>
    </row>
    <row r="149">
      <c r="A149" s="43" t="s">
        <v>468</v>
      </c>
      <c r="B149" s="43" t="s">
        <v>235</v>
      </c>
    </row>
    <row r="150">
      <c r="A150" s="42" t="s">
        <v>469</v>
      </c>
      <c r="B150" s="42" t="s">
        <v>470</v>
      </c>
    </row>
    <row r="151">
      <c r="A151" s="43" t="s">
        <v>471</v>
      </c>
      <c r="B151" s="43" t="s">
        <v>472</v>
      </c>
    </row>
    <row r="152">
      <c r="A152" s="42" t="s">
        <v>473</v>
      </c>
      <c r="B152" s="42" t="s">
        <v>474</v>
      </c>
    </row>
    <row r="153">
      <c r="A153" s="43" t="s">
        <v>475</v>
      </c>
      <c r="B153" s="43" t="s">
        <v>476</v>
      </c>
    </row>
    <row r="154">
      <c r="A154" s="42" t="s">
        <v>477</v>
      </c>
      <c r="B154" s="42" t="s">
        <v>478</v>
      </c>
    </row>
    <row r="155">
      <c r="A155" s="43" t="s">
        <v>479</v>
      </c>
      <c r="B155" s="43" t="s">
        <v>480</v>
      </c>
    </row>
    <row r="156">
      <c r="A156" s="42" t="s">
        <v>481</v>
      </c>
      <c r="B156" s="42" t="s">
        <v>482</v>
      </c>
    </row>
    <row r="157">
      <c r="A157" s="43" t="s">
        <v>483</v>
      </c>
      <c r="B157" s="43" t="s">
        <v>484</v>
      </c>
    </row>
    <row r="158">
      <c r="A158" s="42" t="s">
        <v>485</v>
      </c>
      <c r="B158" s="42" t="s">
        <v>486</v>
      </c>
    </row>
    <row r="159">
      <c r="A159" s="43" t="s">
        <v>487</v>
      </c>
      <c r="B159" s="43" t="s">
        <v>488</v>
      </c>
    </row>
    <row r="160">
      <c r="A160" s="42" t="s">
        <v>489</v>
      </c>
      <c r="B160" s="42" t="s">
        <v>490</v>
      </c>
    </row>
    <row r="161">
      <c r="A161" s="43" t="s">
        <v>491</v>
      </c>
      <c r="B161" s="43" t="s">
        <v>492</v>
      </c>
    </row>
    <row r="162">
      <c r="A162" s="42" t="s">
        <v>493</v>
      </c>
      <c r="B162" s="42" t="s">
        <v>494</v>
      </c>
    </row>
    <row r="163">
      <c r="A163" s="43" t="s">
        <v>495</v>
      </c>
      <c r="B163" s="43" t="s">
        <v>496</v>
      </c>
    </row>
    <row r="164">
      <c r="A164" s="42" t="s">
        <v>497</v>
      </c>
      <c r="B164" s="42" t="s">
        <v>498</v>
      </c>
    </row>
    <row r="165">
      <c r="A165" s="43" t="s">
        <v>499</v>
      </c>
      <c r="B165" s="43" t="s">
        <v>500</v>
      </c>
    </row>
    <row r="166">
      <c r="A166" s="42" t="s">
        <v>501</v>
      </c>
      <c r="B166" s="42" t="s">
        <v>502</v>
      </c>
    </row>
    <row r="167">
      <c r="A167" s="43" t="s">
        <v>503</v>
      </c>
      <c r="B167" s="43" t="s">
        <v>504</v>
      </c>
    </row>
    <row r="168">
      <c r="A168" s="42" t="s">
        <v>505</v>
      </c>
      <c r="B168" s="42" t="s">
        <v>506</v>
      </c>
    </row>
    <row r="169">
      <c r="A169" s="43" t="s">
        <v>507</v>
      </c>
      <c r="B169" s="43" t="s">
        <v>508</v>
      </c>
    </row>
    <row r="170">
      <c r="A170" s="42" t="s">
        <v>509</v>
      </c>
      <c r="B170" s="42" t="s">
        <v>510</v>
      </c>
    </row>
    <row r="171">
      <c r="A171" s="43" t="s">
        <v>511</v>
      </c>
      <c r="B171" s="43" t="s">
        <v>512</v>
      </c>
    </row>
    <row r="172">
      <c r="A172" s="42" t="s">
        <v>513</v>
      </c>
      <c r="B172" s="42" t="s">
        <v>296</v>
      </c>
    </row>
    <row r="173">
      <c r="A173" s="43" t="s">
        <v>136</v>
      </c>
      <c r="B173" s="43" t="s">
        <v>297</v>
      </c>
    </row>
    <row r="174">
      <c r="A174" s="42" t="s">
        <v>514</v>
      </c>
      <c r="B174" s="42" t="s">
        <v>515</v>
      </c>
    </row>
    <row r="175">
      <c r="A175" s="43" t="s">
        <v>516</v>
      </c>
      <c r="B175" s="43" t="s">
        <v>517</v>
      </c>
    </row>
    <row r="176">
      <c r="A176" s="42" t="s">
        <v>518</v>
      </c>
      <c r="B176" s="42" t="s">
        <v>519</v>
      </c>
    </row>
    <row r="177">
      <c r="A177" s="43" t="s">
        <v>520</v>
      </c>
      <c r="B177" s="43" t="s">
        <v>521</v>
      </c>
    </row>
    <row r="178">
      <c r="A178" s="42" t="s">
        <v>522</v>
      </c>
      <c r="B178" s="42" t="s">
        <v>523</v>
      </c>
    </row>
    <row r="179">
      <c r="A179" s="43" t="s">
        <v>524</v>
      </c>
      <c r="B179" s="43" t="s">
        <v>525</v>
      </c>
    </row>
    <row r="180">
      <c r="A180" s="42" t="s">
        <v>526</v>
      </c>
      <c r="B180" s="42" t="s">
        <v>408</v>
      </c>
    </row>
    <row r="181">
      <c r="A181" s="43" t="s">
        <v>527</v>
      </c>
      <c r="B181" s="43" t="s">
        <v>528</v>
      </c>
    </row>
    <row r="182">
      <c r="A182" s="42" t="s">
        <v>529</v>
      </c>
      <c r="B182" s="42" t="s">
        <v>530</v>
      </c>
    </row>
    <row r="183">
      <c r="A183" s="43" t="s">
        <v>531</v>
      </c>
      <c r="B183" s="43" t="s">
        <v>532</v>
      </c>
    </row>
    <row r="184">
      <c r="A184" s="42" t="s">
        <v>533</v>
      </c>
      <c r="B184" s="42" t="s">
        <v>534</v>
      </c>
    </row>
    <row r="185">
      <c r="A185" s="43" t="s">
        <v>535</v>
      </c>
      <c r="B185" s="43" t="s">
        <v>536</v>
      </c>
    </row>
    <row r="186">
      <c r="A186" s="42" t="s">
        <v>537</v>
      </c>
      <c r="B186" s="42" t="s">
        <v>538</v>
      </c>
    </row>
    <row r="187">
      <c r="A187" s="43" t="s">
        <v>539</v>
      </c>
      <c r="B187" s="43" t="s">
        <v>540</v>
      </c>
    </row>
    <row r="188">
      <c r="A188" s="42" t="s">
        <v>541</v>
      </c>
      <c r="B188" s="42" t="s">
        <v>542</v>
      </c>
    </row>
    <row r="189">
      <c r="A189" s="43" t="s">
        <v>543</v>
      </c>
      <c r="B189" s="43" t="s">
        <v>544</v>
      </c>
    </row>
    <row r="190">
      <c r="A190" s="42" t="s">
        <v>545</v>
      </c>
      <c r="B190" s="42" t="s">
        <v>546</v>
      </c>
    </row>
    <row r="191">
      <c r="A191" s="43" t="s">
        <v>547</v>
      </c>
      <c r="B191" s="43" t="s">
        <v>426</v>
      </c>
    </row>
    <row r="192">
      <c r="A192" s="42" t="s">
        <v>548</v>
      </c>
      <c r="B192" s="42" t="s">
        <v>458</v>
      </c>
    </row>
    <row r="193">
      <c r="A193" s="43" t="s">
        <v>549</v>
      </c>
      <c r="B193" s="43" t="s">
        <v>550</v>
      </c>
    </row>
    <row r="194">
      <c r="A194" s="42" t="s">
        <v>551</v>
      </c>
      <c r="B194" s="42" t="s">
        <v>552</v>
      </c>
    </row>
    <row r="195">
      <c r="A195" s="43" t="s">
        <v>553</v>
      </c>
      <c r="B195" s="43" t="s">
        <v>554</v>
      </c>
    </row>
    <row r="196">
      <c r="A196" s="42" t="s">
        <v>555</v>
      </c>
      <c r="B196" s="42" t="s">
        <v>556</v>
      </c>
    </row>
    <row r="197">
      <c r="A197" s="43" t="s">
        <v>557</v>
      </c>
      <c r="B197" s="43" t="s">
        <v>558</v>
      </c>
    </row>
    <row r="198">
      <c r="A198" s="42" t="s">
        <v>559</v>
      </c>
      <c r="B198" s="42" t="s">
        <v>560</v>
      </c>
    </row>
    <row r="199">
      <c r="A199" s="43" t="s">
        <v>561</v>
      </c>
      <c r="B199" s="43" t="s">
        <v>562</v>
      </c>
    </row>
    <row r="200">
      <c r="A200" s="42" t="s">
        <v>563</v>
      </c>
      <c r="B200" s="42" t="s">
        <v>564</v>
      </c>
    </row>
    <row r="201">
      <c r="A201" s="43" t="s">
        <v>565</v>
      </c>
      <c r="B201" s="43" t="s">
        <v>566</v>
      </c>
    </row>
    <row r="202">
      <c r="A202" s="42" t="s">
        <v>567</v>
      </c>
      <c r="B202" s="42" t="s">
        <v>568</v>
      </c>
    </row>
    <row r="203">
      <c r="A203" s="43" t="s">
        <v>569</v>
      </c>
      <c r="B203" s="43" t="s">
        <v>570</v>
      </c>
    </row>
    <row r="204">
      <c r="A204" s="42" t="s">
        <v>571</v>
      </c>
      <c r="B204" s="42" t="s">
        <v>572</v>
      </c>
    </row>
    <row r="205">
      <c r="A205" s="43" t="s">
        <v>573</v>
      </c>
      <c r="B205" s="43" t="s">
        <v>574</v>
      </c>
    </row>
    <row r="206">
      <c r="A206" s="42" t="s">
        <v>575</v>
      </c>
      <c r="B206" s="42" t="s">
        <v>576</v>
      </c>
    </row>
    <row r="207">
      <c r="A207" s="43" t="s">
        <v>577</v>
      </c>
      <c r="B207" s="43" t="s">
        <v>578</v>
      </c>
    </row>
    <row r="208">
      <c r="A208" s="42" t="s">
        <v>579</v>
      </c>
      <c r="B208" s="42" t="s">
        <v>339</v>
      </c>
    </row>
    <row r="209">
      <c r="A209" s="43" t="s">
        <v>580</v>
      </c>
      <c r="B209" s="43" t="s">
        <v>581</v>
      </c>
    </row>
    <row r="210">
      <c r="A210" s="42" t="s">
        <v>582</v>
      </c>
      <c r="B210" s="42" t="s">
        <v>583</v>
      </c>
    </row>
    <row r="211">
      <c r="A211" s="43" t="s">
        <v>584</v>
      </c>
      <c r="B211" s="43" t="s">
        <v>585</v>
      </c>
    </row>
    <row r="212">
      <c r="A212" s="42" t="s">
        <v>586</v>
      </c>
      <c r="B212" s="42" t="s">
        <v>587</v>
      </c>
    </row>
    <row r="213">
      <c r="A213" s="43" t="s">
        <v>588</v>
      </c>
      <c r="B213" s="43" t="s">
        <v>589</v>
      </c>
    </row>
    <row r="214">
      <c r="A214" s="42" t="s">
        <v>590</v>
      </c>
      <c r="B214" s="42" t="s">
        <v>591</v>
      </c>
    </row>
    <row r="215">
      <c r="A215" s="43" t="s">
        <v>592</v>
      </c>
      <c r="B215" s="43" t="s">
        <v>356</v>
      </c>
    </row>
    <row r="216">
      <c r="A216" s="42" t="s">
        <v>593</v>
      </c>
      <c r="B216" s="42" t="s">
        <v>594</v>
      </c>
    </row>
    <row r="217">
      <c r="A217" s="43" t="s">
        <v>595</v>
      </c>
      <c r="B217" s="43" t="s">
        <v>596</v>
      </c>
    </row>
    <row r="218">
      <c r="A218" s="42" t="s">
        <v>597</v>
      </c>
      <c r="B218" s="42" t="s">
        <v>598</v>
      </c>
    </row>
    <row r="219">
      <c r="A219" s="43" t="s">
        <v>599</v>
      </c>
      <c r="B219" s="43" t="s">
        <v>276</v>
      </c>
    </row>
    <row r="220">
      <c r="A220" s="42" t="s">
        <v>600</v>
      </c>
      <c r="B220" s="42" t="s">
        <v>601</v>
      </c>
    </row>
    <row r="221">
      <c r="A221" s="43" t="s">
        <v>602</v>
      </c>
      <c r="B221" s="43" t="s">
        <v>603</v>
      </c>
    </row>
    <row r="222">
      <c r="A222" s="42" t="s">
        <v>602</v>
      </c>
      <c r="B222" s="42" t="s">
        <v>604</v>
      </c>
    </row>
    <row r="223">
      <c r="A223" s="43" t="s">
        <v>605</v>
      </c>
      <c r="B223" s="43" t="s">
        <v>606</v>
      </c>
    </row>
    <row r="224">
      <c r="A224" s="42" t="s">
        <v>607</v>
      </c>
      <c r="B224" s="42" t="s">
        <v>608</v>
      </c>
    </row>
    <row r="225">
      <c r="A225" s="43" t="s">
        <v>609</v>
      </c>
      <c r="B225" s="43" t="s">
        <v>610</v>
      </c>
    </row>
    <row r="226">
      <c r="A226" s="42" t="s">
        <v>611</v>
      </c>
      <c r="B226" s="42" t="s">
        <v>612</v>
      </c>
    </row>
    <row r="227">
      <c r="A227" s="43" t="s">
        <v>613</v>
      </c>
      <c r="B227" s="43" t="s">
        <v>614</v>
      </c>
    </row>
    <row r="228">
      <c r="A228" s="42" t="s">
        <v>615</v>
      </c>
      <c r="B228" s="42" t="s">
        <v>616</v>
      </c>
    </row>
    <row r="229">
      <c r="A229" s="43" t="s">
        <v>617</v>
      </c>
      <c r="B229" s="43" t="s">
        <v>618</v>
      </c>
    </row>
    <row r="230">
      <c r="A230" s="42" t="s">
        <v>619</v>
      </c>
      <c r="B230" s="42" t="s">
        <v>616</v>
      </c>
    </row>
    <row r="231">
      <c r="A231" s="43" t="s">
        <v>620</v>
      </c>
      <c r="B231" s="43" t="s">
        <v>621</v>
      </c>
    </row>
    <row r="232">
      <c r="A232" s="42" t="s">
        <v>622</v>
      </c>
      <c r="B232" s="42" t="s">
        <v>623</v>
      </c>
    </row>
    <row r="233">
      <c r="A233" s="43" t="s">
        <v>624</v>
      </c>
      <c r="B233" s="43" t="s">
        <v>625</v>
      </c>
    </row>
    <row r="234">
      <c r="A234" s="42" t="s">
        <v>626</v>
      </c>
      <c r="B234" s="42" t="s">
        <v>627</v>
      </c>
    </row>
    <row r="235">
      <c r="A235" s="43" t="s">
        <v>628</v>
      </c>
      <c r="B235" s="43" t="s">
        <v>589</v>
      </c>
    </row>
    <row r="236">
      <c r="A236" s="42" t="s">
        <v>629</v>
      </c>
      <c r="B236" s="42" t="s">
        <v>630</v>
      </c>
    </row>
    <row r="237">
      <c r="A237" s="43" t="s">
        <v>631</v>
      </c>
      <c r="B237" s="43" t="s">
        <v>632</v>
      </c>
    </row>
    <row r="238">
      <c r="A238" s="42" t="s">
        <v>633</v>
      </c>
      <c r="B238" s="42" t="s">
        <v>285</v>
      </c>
    </row>
    <row r="239">
      <c r="A239" s="43" t="s">
        <v>634</v>
      </c>
      <c r="B239" s="43" t="s">
        <v>635</v>
      </c>
    </row>
    <row r="240">
      <c r="A240" s="42" t="s">
        <v>636</v>
      </c>
      <c r="B240" s="42" t="s">
        <v>606</v>
      </c>
    </row>
    <row r="241">
      <c r="A241" s="43" t="s">
        <v>637</v>
      </c>
      <c r="B241" s="43" t="s">
        <v>638</v>
      </c>
    </row>
    <row r="242">
      <c r="A242" s="42" t="s">
        <v>639</v>
      </c>
      <c r="B242" s="42" t="s">
        <v>640</v>
      </c>
    </row>
    <row r="243">
      <c r="A243" s="43" t="s">
        <v>641</v>
      </c>
      <c r="B243" s="43" t="s">
        <v>642</v>
      </c>
    </row>
    <row r="244">
      <c r="A244" s="42" t="s">
        <v>643</v>
      </c>
      <c r="B244" s="42" t="s">
        <v>280</v>
      </c>
    </row>
    <row r="245">
      <c r="A245" s="43" t="s">
        <v>644</v>
      </c>
      <c r="B245" s="43" t="s">
        <v>645</v>
      </c>
    </row>
    <row r="246">
      <c r="A246" s="42" t="s">
        <v>646</v>
      </c>
      <c r="B246" s="42" t="s">
        <v>560</v>
      </c>
    </row>
    <row r="247">
      <c r="A247" s="43" t="s">
        <v>647</v>
      </c>
      <c r="B247" s="43" t="s">
        <v>648</v>
      </c>
    </row>
    <row r="248">
      <c r="A248" s="42" t="s">
        <v>649</v>
      </c>
      <c r="B248" s="42" t="s">
        <v>650</v>
      </c>
    </row>
    <row r="249">
      <c r="A249" s="43" t="s">
        <v>651</v>
      </c>
      <c r="B249" s="43" t="s">
        <v>652</v>
      </c>
    </row>
    <row r="250">
      <c r="A250" s="42" t="s">
        <v>653</v>
      </c>
      <c r="B250" s="42" t="s">
        <v>654</v>
      </c>
    </row>
    <row r="251">
      <c r="A251" s="43" t="s">
        <v>655</v>
      </c>
      <c r="B251" s="43" t="s">
        <v>656</v>
      </c>
    </row>
    <row r="252">
      <c r="A252" s="42" t="s">
        <v>657</v>
      </c>
      <c r="B252" s="42" t="s">
        <v>412</v>
      </c>
    </row>
    <row r="253">
      <c r="A253" s="43" t="s">
        <v>658</v>
      </c>
      <c r="B253" s="43" t="s">
        <v>659</v>
      </c>
    </row>
    <row r="254">
      <c r="A254" s="42" t="s">
        <v>660</v>
      </c>
      <c r="B254" s="42" t="s">
        <v>661</v>
      </c>
    </row>
    <row r="255">
      <c r="A255" s="43" t="s">
        <v>662</v>
      </c>
      <c r="B255" s="43" t="s">
        <v>663</v>
      </c>
    </row>
    <row r="256">
      <c r="A256" s="42" t="s">
        <v>664</v>
      </c>
      <c r="B256" s="42" t="s">
        <v>270</v>
      </c>
    </row>
    <row r="257">
      <c r="A257" s="43" t="s">
        <v>665</v>
      </c>
      <c r="B257" s="43" t="s">
        <v>239</v>
      </c>
    </row>
    <row r="258">
      <c r="A258" s="42" t="s">
        <v>666</v>
      </c>
      <c r="B258" s="42" t="s">
        <v>667</v>
      </c>
    </row>
    <row r="259">
      <c r="A259" s="43" t="s">
        <v>668</v>
      </c>
      <c r="B259" s="43" t="s">
        <v>669</v>
      </c>
    </row>
    <row r="260">
      <c r="A260" s="42" t="s">
        <v>670</v>
      </c>
      <c r="B260" s="42" t="s">
        <v>661</v>
      </c>
    </row>
    <row r="261">
      <c r="A261" s="43" t="s">
        <v>671</v>
      </c>
      <c r="B261" s="43" t="s">
        <v>672</v>
      </c>
    </row>
    <row r="262">
      <c r="A262" s="42" t="s">
        <v>673</v>
      </c>
      <c r="B262" s="42" t="s">
        <v>674</v>
      </c>
    </row>
    <row r="263">
      <c r="A263" s="43" t="s">
        <v>675</v>
      </c>
      <c r="B263" s="43" t="s">
        <v>676</v>
      </c>
    </row>
    <row r="264">
      <c r="A264" s="42" t="s">
        <v>677</v>
      </c>
      <c r="B264" s="42" t="s">
        <v>678</v>
      </c>
    </row>
    <row r="265">
      <c r="A265" s="43" t="s">
        <v>679</v>
      </c>
      <c r="B265" s="43" t="s">
        <v>680</v>
      </c>
    </row>
    <row r="266">
      <c r="A266" s="42" t="s">
        <v>681</v>
      </c>
      <c r="B266" s="42" t="s">
        <v>682</v>
      </c>
    </row>
    <row r="267">
      <c r="A267" s="43" t="s">
        <v>683</v>
      </c>
      <c r="B267" s="43" t="s">
        <v>684</v>
      </c>
    </row>
    <row r="268">
      <c r="A268" s="42" t="s">
        <v>685</v>
      </c>
      <c r="B268" s="42" t="s">
        <v>585</v>
      </c>
    </row>
    <row r="269">
      <c r="A269" s="43" t="s">
        <v>686</v>
      </c>
      <c r="B269" s="43" t="s">
        <v>687</v>
      </c>
    </row>
    <row r="270">
      <c r="A270" s="42" t="s">
        <v>688</v>
      </c>
      <c r="B270" s="42" t="s">
        <v>687</v>
      </c>
    </row>
    <row r="271">
      <c r="A271" s="43" t="s">
        <v>689</v>
      </c>
      <c r="B271" s="43" t="s">
        <v>690</v>
      </c>
    </row>
    <row r="272">
      <c r="A272" s="42" t="s">
        <v>691</v>
      </c>
      <c r="B272" s="42" t="s">
        <v>692</v>
      </c>
    </row>
    <row r="273">
      <c r="A273" s="43" t="s">
        <v>693</v>
      </c>
      <c r="B273" s="43" t="s">
        <v>694</v>
      </c>
    </row>
    <row r="274">
      <c r="A274" s="42" t="s">
        <v>695</v>
      </c>
      <c r="B274" s="42" t="s">
        <v>696</v>
      </c>
    </row>
    <row r="275">
      <c r="A275" s="43" t="s">
        <v>697</v>
      </c>
      <c r="B275" s="43" t="s">
        <v>698</v>
      </c>
    </row>
    <row r="276">
      <c r="A276" s="42" t="s">
        <v>699</v>
      </c>
      <c r="B276" s="42" t="s">
        <v>700</v>
      </c>
    </row>
    <row r="277">
      <c r="A277" s="43" t="s">
        <v>701</v>
      </c>
      <c r="B277" s="43" t="s">
        <v>702</v>
      </c>
    </row>
    <row r="278">
      <c r="A278" s="42" t="s">
        <v>703</v>
      </c>
      <c r="B278" s="42" t="s">
        <v>704</v>
      </c>
    </row>
    <row r="279">
      <c r="A279" s="43" t="s">
        <v>705</v>
      </c>
      <c r="B279" s="43" t="s">
        <v>702</v>
      </c>
    </row>
    <row r="280">
      <c r="A280" s="42" t="s">
        <v>706</v>
      </c>
      <c r="B280" s="42" t="s">
        <v>566</v>
      </c>
    </row>
    <row r="281">
      <c r="A281" s="43" t="s">
        <v>707</v>
      </c>
      <c r="B281" s="43" t="s">
        <v>708</v>
      </c>
    </row>
    <row r="282">
      <c r="A282" s="42" t="s">
        <v>709</v>
      </c>
      <c r="B282" s="42" t="s">
        <v>702</v>
      </c>
    </row>
    <row r="283">
      <c r="A283" s="43" t="s">
        <v>710</v>
      </c>
      <c r="B283" s="43" t="s">
        <v>711</v>
      </c>
    </row>
    <row r="284">
      <c r="A284" s="42" t="s">
        <v>712</v>
      </c>
      <c r="B284" s="42" t="s">
        <v>444</v>
      </c>
    </row>
    <row r="285">
      <c r="A285" s="43" t="s">
        <v>713</v>
      </c>
      <c r="B285" s="43" t="s">
        <v>714</v>
      </c>
    </row>
    <row r="286">
      <c r="A286" s="42" t="s">
        <v>715</v>
      </c>
      <c r="B286" s="42" t="s">
        <v>676</v>
      </c>
    </row>
    <row r="287">
      <c r="A287" s="43" t="s">
        <v>716</v>
      </c>
      <c r="B287" s="43" t="s">
        <v>652</v>
      </c>
    </row>
    <row r="288">
      <c r="A288" s="42" t="s">
        <v>717</v>
      </c>
      <c r="B288" s="42" t="s">
        <v>718</v>
      </c>
    </row>
    <row r="289">
      <c r="A289" s="43" t="s">
        <v>719</v>
      </c>
      <c r="B289" s="43" t="s">
        <v>720</v>
      </c>
    </row>
    <row r="290">
      <c r="A290" s="42" t="s">
        <v>721</v>
      </c>
      <c r="B290" s="42" t="s">
        <v>722</v>
      </c>
    </row>
    <row r="291">
      <c r="A291" s="43" t="s">
        <v>723</v>
      </c>
      <c r="B291" s="43" t="s">
        <v>724</v>
      </c>
    </row>
    <row r="292">
      <c r="A292" s="42" t="s">
        <v>725</v>
      </c>
      <c r="B292" s="42" t="s">
        <v>726</v>
      </c>
    </row>
    <row r="293">
      <c r="A293" s="43" t="s">
        <v>727</v>
      </c>
      <c r="B293" s="43" t="s">
        <v>728</v>
      </c>
    </row>
    <row r="294">
      <c r="A294" s="42" t="s">
        <v>729</v>
      </c>
      <c r="B294" s="42" t="s">
        <v>730</v>
      </c>
    </row>
    <row r="295">
      <c r="A295" s="43" t="s">
        <v>731</v>
      </c>
      <c r="B295" s="43" t="s">
        <v>732</v>
      </c>
    </row>
    <row r="296">
      <c r="A296" s="42" t="s">
        <v>733</v>
      </c>
      <c r="B296" s="42" t="s">
        <v>734</v>
      </c>
    </row>
    <row r="297">
      <c r="A297" s="43" t="s">
        <v>735</v>
      </c>
      <c r="B297" s="43" t="s">
        <v>736</v>
      </c>
    </row>
    <row r="298">
      <c r="A298" s="42" t="s">
        <v>737</v>
      </c>
      <c r="B298" s="42" t="s">
        <v>738</v>
      </c>
    </row>
    <row r="299">
      <c r="A299" s="43" t="s">
        <v>739</v>
      </c>
      <c r="B299" s="43" t="s">
        <v>740</v>
      </c>
    </row>
    <row r="300">
      <c r="A300" s="42" t="s">
        <v>741</v>
      </c>
      <c r="B300" s="42" t="s">
        <v>742</v>
      </c>
    </row>
    <row r="301">
      <c r="A301" s="43" t="s">
        <v>743</v>
      </c>
      <c r="B301" s="43" t="s">
        <v>744</v>
      </c>
    </row>
    <row r="302">
      <c r="A302" s="42" t="s">
        <v>745</v>
      </c>
      <c r="B302" s="42" t="s">
        <v>746</v>
      </c>
    </row>
    <row r="303">
      <c r="A303" s="43" t="s">
        <v>747</v>
      </c>
      <c r="B303" s="43" t="s">
        <v>305</v>
      </c>
    </row>
    <row r="304">
      <c r="A304" s="42" t="s">
        <v>748</v>
      </c>
      <c r="B304" s="42" t="s">
        <v>749</v>
      </c>
    </row>
    <row r="305">
      <c r="A305" s="43" t="s">
        <v>750</v>
      </c>
      <c r="B305" s="43" t="s">
        <v>751</v>
      </c>
    </row>
    <row r="306">
      <c r="A306" s="42" t="s">
        <v>752</v>
      </c>
      <c r="B306" s="42" t="s">
        <v>753</v>
      </c>
    </row>
    <row r="307">
      <c r="A307" s="43" t="s">
        <v>754</v>
      </c>
      <c r="B307" s="43" t="s">
        <v>755</v>
      </c>
    </row>
    <row r="308">
      <c r="A308" s="42" t="s">
        <v>756</v>
      </c>
      <c r="B308" s="42" t="s">
        <v>757</v>
      </c>
    </row>
    <row r="309">
      <c r="A309" s="43" t="s">
        <v>758</v>
      </c>
      <c r="B309" s="43" t="s">
        <v>474</v>
      </c>
    </row>
    <row r="310">
      <c r="A310" s="42" t="s">
        <v>759</v>
      </c>
      <c r="B310" s="42" t="s">
        <v>760</v>
      </c>
    </row>
    <row r="311">
      <c r="A311" s="43" t="s">
        <v>761</v>
      </c>
      <c r="B311" s="43" t="s">
        <v>718</v>
      </c>
    </row>
    <row r="312">
      <c r="A312" s="42" t="s">
        <v>762</v>
      </c>
      <c r="B312" s="42" t="s">
        <v>763</v>
      </c>
    </row>
    <row r="313">
      <c r="A313" s="43" t="s">
        <v>764</v>
      </c>
      <c r="B313" s="43" t="s">
        <v>724</v>
      </c>
    </row>
    <row r="314">
      <c r="A314" s="42" t="s">
        <v>765</v>
      </c>
      <c r="B314" s="42" t="s">
        <v>667</v>
      </c>
    </row>
    <row r="315">
      <c r="A315" s="43" t="s">
        <v>766</v>
      </c>
      <c r="B315" s="43" t="s">
        <v>767</v>
      </c>
    </row>
    <row r="316">
      <c r="A316" s="42" t="s">
        <v>768</v>
      </c>
      <c r="B316" s="42" t="s">
        <v>769</v>
      </c>
    </row>
    <row r="317">
      <c r="A317" s="43" t="s">
        <v>770</v>
      </c>
      <c r="B317" s="43" t="s">
        <v>771</v>
      </c>
    </row>
    <row r="318">
      <c r="A318" s="42" t="s">
        <v>772</v>
      </c>
      <c r="B318" s="42" t="s">
        <v>773</v>
      </c>
    </row>
    <row r="319">
      <c r="A319" s="43" t="s">
        <v>774</v>
      </c>
      <c r="B319" s="43" t="s">
        <v>775</v>
      </c>
    </row>
    <row r="320">
      <c r="A320" s="42" t="s">
        <v>776</v>
      </c>
      <c r="B320" s="42" t="s">
        <v>777</v>
      </c>
    </row>
    <row r="321">
      <c r="A321" s="43" t="s">
        <v>778</v>
      </c>
      <c r="B321" s="43" t="s">
        <v>711</v>
      </c>
    </row>
    <row r="322">
      <c r="A322" s="42" t="s">
        <v>779</v>
      </c>
      <c r="B322" s="42" t="s">
        <v>780</v>
      </c>
    </row>
    <row r="323">
      <c r="A323" s="43" t="s">
        <v>781</v>
      </c>
      <c r="B323" s="43" t="s">
        <v>782</v>
      </c>
    </row>
    <row r="324">
      <c r="A324" s="42" t="s">
        <v>783</v>
      </c>
      <c r="B324" s="42" t="s">
        <v>784</v>
      </c>
    </row>
    <row r="325">
      <c r="A325" s="43" t="s">
        <v>785</v>
      </c>
      <c r="B325" s="43" t="s">
        <v>786</v>
      </c>
    </row>
    <row r="326">
      <c r="A326" s="42" t="s">
        <v>787</v>
      </c>
      <c r="B326" s="42" t="s">
        <v>732</v>
      </c>
    </row>
    <row r="327">
      <c r="A327" s="43" t="s">
        <v>788</v>
      </c>
      <c r="B327" s="43" t="s">
        <v>490</v>
      </c>
    </row>
    <row r="328">
      <c r="A328" s="42" t="s">
        <v>789</v>
      </c>
      <c r="B328" s="42" t="s">
        <v>790</v>
      </c>
    </row>
    <row r="329">
      <c r="A329" s="43" t="s">
        <v>791</v>
      </c>
      <c r="B329" s="43" t="s">
        <v>692</v>
      </c>
    </row>
    <row r="330">
      <c r="A330" s="42" t="s">
        <v>792</v>
      </c>
      <c r="B330" s="42" t="s">
        <v>793</v>
      </c>
    </row>
    <row r="331">
      <c r="A331" s="43" t="s">
        <v>794</v>
      </c>
      <c r="B331" s="43" t="s">
        <v>795</v>
      </c>
    </row>
    <row r="332">
      <c r="A332" s="42" t="s">
        <v>796</v>
      </c>
      <c r="B332" s="42" t="s">
        <v>797</v>
      </c>
    </row>
    <row r="333">
      <c r="A333" s="43" t="s">
        <v>798</v>
      </c>
      <c r="B333" s="43" t="s">
        <v>799</v>
      </c>
    </row>
    <row r="334">
      <c r="A334" s="42" t="s">
        <v>800</v>
      </c>
      <c r="B334" s="42" t="s">
        <v>801</v>
      </c>
    </row>
    <row r="335">
      <c r="A335" s="43" t="s">
        <v>802</v>
      </c>
      <c r="B335" s="43" t="s">
        <v>694</v>
      </c>
    </row>
    <row r="336">
      <c r="A336" s="42" t="s">
        <v>803</v>
      </c>
      <c r="B336" s="42" t="s">
        <v>804</v>
      </c>
    </row>
    <row r="337">
      <c r="A337" s="43" t="s">
        <v>805</v>
      </c>
      <c r="B337" s="43" t="s">
        <v>720</v>
      </c>
    </row>
    <row r="338">
      <c r="A338" s="42" t="s">
        <v>806</v>
      </c>
      <c r="B338" s="42" t="s">
        <v>807</v>
      </c>
    </row>
    <row r="339">
      <c r="A339" s="43" t="s">
        <v>808</v>
      </c>
      <c r="B339" s="43" t="s">
        <v>809</v>
      </c>
    </row>
    <row r="340">
      <c r="A340" s="42" t="s">
        <v>810</v>
      </c>
      <c r="B340" s="42" t="s">
        <v>811</v>
      </c>
    </row>
    <row r="341">
      <c r="A341" s="43" t="s">
        <v>812</v>
      </c>
      <c r="B341" s="43" t="s">
        <v>780</v>
      </c>
    </row>
    <row r="342">
      <c r="A342" s="42" t="s">
        <v>813</v>
      </c>
      <c r="B342" s="42" t="s">
        <v>648</v>
      </c>
    </row>
    <row r="343">
      <c r="A343" s="43" t="s">
        <v>814</v>
      </c>
      <c r="B343" s="43" t="s">
        <v>751</v>
      </c>
    </row>
    <row r="344">
      <c r="A344" s="42" t="s">
        <v>815</v>
      </c>
      <c r="B344" s="42" t="s">
        <v>807</v>
      </c>
    </row>
    <row r="345">
      <c r="A345" s="43" t="s">
        <v>816</v>
      </c>
      <c r="B345" s="43" t="s">
        <v>817</v>
      </c>
    </row>
    <row r="346">
      <c r="A346" s="42" t="s">
        <v>818</v>
      </c>
      <c r="B346" s="42" t="s">
        <v>819</v>
      </c>
    </row>
    <row r="347">
      <c r="A347" s="43" t="s">
        <v>820</v>
      </c>
      <c r="B347" s="43" t="s">
        <v>821</v>
      </c>
    </row>
    <row r="348">
      <c r="A348" s="42" t="s">
        <v>822</v>
      </c>
      <c r="B348" s="42" t="s">
        <v>696</v>
      </c>
    </row>
    <row r="349">
      <c r="A349" s="43" t="s">
        <v>823</v>
      </c>
      <c r="B349" s="43" t="s">
        <v>767</v>
      </c>
    </row>
    <row r="350">
      <c r="A350" s="42" t="s">
        <v>824</v>
      </c>
      <c r="B350" s="42" t="s">
        <v>801</v>
      </c>
    </row>
    <row r="351">
      <c r="A351" s="43" t="s">
        <v>825</v>
      </c>
      <c r="B351" s="43" t="s">
        <v>826</v>
      </c>
    </row>
    <row r="352">
      <c r="A352" s="42" t="s">
        <v>827</v>
      </c>
      <c r="B352" s="42" t="s">
        <v>828</v>
      </c>
    </row>
    <row r="353">
      <c r="A353" s="43" t="s">
        <v>829</v>
      </c>
      <c r="B353" s="43" t="s">
        <v>287</v>
      </c>
    </row>
    <row r="354">
      <c r="A354" s="42" t="s">
        <v>830</v>
      </c>
      <c r="B354" s="42" t="s">
        <v>793</v>
      </c>
    </row>
    <row r="355">
      <c r="A355" s="43" t="s">
        <v>831</v>
      </c>
      <c r="B355" s="43" t="s">
        <v>625</v>
      </c>
    </row>
    <row r="356">
      <c r="A356" s="42" t="s">
        <v>832</v>
      </c>
      <c r="B356" s="42" t="s">
        <v>598</v>
      </c>
    </row>
    <row r="357">
      <c r="A357" s="43" t="s">
        <v>833</v>
      </c>
      <c r="B357" s="43" t="s">
        <v>314</v>
      </c>
    </row>
    <row r="358">
      <c r="A358" s="42" t="s">
        <v>834</v>
      </c>
      <c r="B358" s="42" t="s">
        <v>835</v>
      </c>
    </row>
    <row r="359">
      <c r="A359" s="43" t="s">
        <v>836</v>
      </c>
      <c r="B359" s="43" t="s">
        <v>837</v>
      </c>
    </row>
    <row r="360">
      <c r="A360" s="42" t="s">
        <v>838</v>
      </c>
      <c r="B360" s="42" t="s">
        <v>839</v>
      </c>
    </row>
    <row r="361">
      <c r="A361" s="43" t="s">
        <v>840</v>
      </c>
      <c r="B361" s="43" t="s">
        <v>841</v>
      </c>
    </row>
    <row r="362">
      <c r="A362" s="42" t="s">
        <v>842</v>
      </c>
      <c r="B362" s="42" t="s">
        <v>786</v>
      </c>
    </row>
    <row r="363">
      <c r="A363" s="43" t="s">
        <v>843</v>
      </c>
      <c r="B363" s="43" t="s">
        <v>753</v>
      </c>
    </row>
    <row r="364">
      <c r="A364" s="42" t="s">
        <v>844</v>
      </c>
      <c r="B364" s="42" t="s">
        <v>736</v>
      </c>
    </row>
    <row r="365">
      <c r="A365" s="43" t="s">
        <v>845</v>
      </c>
      <c r="B365" s="43" t="s">
        <v>846</v>
      </c>
    </row>
    <row r="366">
      <c r="A366" s="42" t="s">
        <v>847</v>
      </c>
      <c r="B366" s="42" t="s">
        <v>821</v>
      </c>
    </row>
    <row r="367">
      <c r="A367" s="43" t="s">
        <v>848</v>
      </c>
      <c r="B367" s="43" t="s">
        <v>849</v>
      </c>
    </row>
    <row r="368">
      <c r="A368" s="42" t="s">
        <v>850</v>
      </c>
      <c r="B368" s="42" t="s">
        <v>851</v>
      </c>
    </row>
    <row r="369">
      <c r="A369" s="43" t="s">
        <v>852</v>
      </c>
      <c r="B369" s="43" t="s">
        <v>853</v>
      </c>
    </row>
    <row r="370">
      <c r="A370" s="42" t="s">
        <v>854</v>
      </c>
      <c r="B370" s="42" t="s">
        <v>855</v>
      </c>
    </row>
    <row r="371">
      <c r="A371" s="43" t="s">
        <v>856</v>
      </c>
      <c r="B371" s="43" t="s">
        <v>849</v>
      </c>
    </row>
    <row r="372">
      <c r="A372" s="42" t="s">
        <v>857</v>
      </c>
      <c r="B372" s="42" t="s">
        <v>858</v>
      </c>
    </row>
    <row r="373">
      <c r="A373" s="43" t="s">
        <v>859</v>
      </c>
      <c r="B373" s="43" t="s">
        <v>757</v>
      </c>
    </row>
    <row r="374">
      <c r="A374" s="42" t="s">
        <v>860</v>
      </c>
      <c r="B374" s="42" t="s">
        <v>861</v>
      </c>
    </row>
    <row r="375">
      <c r="A375" s="43" t="s">
        <v>862</v>
      </c>
      <c r="B375" s="43" t="s">
        <v>863</v>
      </c>
    </row>
    <row r="376">
      <c r="A376" s="42" t="s">
        <v>864</v>
      </c>
      <c r="B376" s="42" t="s">
        <v>865</v>
      </c>
    </row>
    <row r="377">
      <c r="A377" s="43" t="s">
        <v>866</v>
      </c>
      <c r="B377" s="43" t="s">
        <v>863</v>
      </c>
    </row>
    <row r="378">
      <c r="A378" s="42" t="s">
        <v>867</v>
      </c>
      <c r="B378" s="42" t="s">
        <v>868</v>
      </c>
    </row>
    <row r="379">
      <c r="A379" s="43" t="s">
        <v>869</v>
      </c>
      <c r="B379" s="43" t="s">
        <v>585</v>
      </c>
    </row>
    <row r="380">
      <c r="A380" s="42" t="s">
        <v>870</v>
      </c>
      <c r="B380" s="42" t="s">
        <v>760</v>
      </c>
    </row>
    <row r="381">
      <c r="A381" s="43" t="s">
        <v>871</v>
      </c>
      <c r="B381" s="43" t="s">
        <v>872</v>
      </c>
    </row>
    <row r="382">
      <c r="A382" s="42" t="s">
        <v>873</v>
      </c>
      <c r="B382" s="42" t="s">
        <v>874</v>
      </c>
    </row>
    <row r="383">
      <c r="A383" s="43" t="s">
        <v>875</v>
      </c>
      <c r="B383" s="43" t="s">
        <v>821</v>
      </c>
    </row>
    <row r="384">
      <c r="A384" s="42" t="s">
        <v>876</v>
      </c>
      <c r="B384" s="42" t="s">
        <v>604</v>
      </c>
    </row>
    <row r="385">
      <c r="A385" s="43" t="s">
        <v>876</v>
      </c>
      <c r="B385" s="43" t="s">
        <v>603</v>
      </c>
    </row>
    <row r="386">
      <c r="A386" s="42" t="s">
        <v>877</v>
      </c>
      <c r="B386" s="42" t="s">
        <v>878</v>
      </c>
    </row>
    <row r="387">
      <c r="A387" s="43" t="s">
        <v>879</v>
      </c>
      <c r="B387" s="43" t="s">
        <v>828</v>
      </c>
    </row>
    <row r="388">
      <c r="A388" s="42" t="s">
        <v>880</v>
      </c>
      <c r="B388" s="42" t="s">
        <v>736</v>
      </c>
    </row>
    <row r="389">
      <c r="A389" s="43" t="s">
        <v>881</v>
      </c>
      <c r="B389" s="43" t="s">
        <v>882</v>
      </c>
    </row>
    <row r="390">
      <c r="A390" s="42" t="s">
        <v>883</v>
      </c>
      <c r="B390" s="42" t="s">
        <v>884</v>
      </c>
    </row>
    <row r="391">
      <c r="A391" s="43" t="s">
        <v>885</v>
      </c>
      <c r="B391" s="43" t="s">
        <v>734</v>
      </c>
    </row>
    <row r="392">
      <c r="A392" s="42" t="s">
        <v>886</v>
      </c>
      <c r="B392" s="42" t="s">
        <v>855</v>
      </c>
    </row>
    <row r="393">
      <c r="A393" s="43" t="s">
        <v>887</v>
      </c>
      <c r="B393" s="43" t="s">
        <v>734</v>
      </c>
    </row>
    <row r="394">
      <c r="A394" s="42" t="s">
        <v>888</v>
      </c>
      <c r="B394" s="42" t="s">
        <v>889</v>
      </c>
    </row>
    <row r="395">
      <c r="A395" s="43" t="s">
        <v>890</v>
      </c>
      <c r="B395" s="43" t="s">
        <v>817</v>
      </c>
    </row>
    <row r="396">
      <c r="A396" s="42" t="s">
        <v>891</v>
      </c>
      <c r="B396" s="42" t="s">
        <v>892</v>
      </c>
    </row>
    <row r="397">
      <c r="A397" s="43" t="s">
        <v>893</v>
      </c>
      <c r="B397" s="43" t="s">
        <v>894</v>
      </c>
    </row>
    <row r="398">
      <c r="A398" s="42" t="s">
        <v>895</v>
      </c>
      <c r="B398" s="42" t="s">
        <v>855</v>
      </c>
    </row>
    <row r="399">
      <c r="A399" s="43" t="s">
        <v>896</v>
      </c>
      <c r="B399" s="43" t="s">
        <v>884</v>
      </c>
    </row>
    <row r="400">
      <c r="A400" s="42" t="s">
        <v>897</v>
      </c>
      <c r="B400" s="42" t="s">
        <v>734</v>
      </c>
    </row>
    <row r="401">
      <c r="A401" s="43" t="s">
        <v>898</v>
      </c>
      <c r="B401" s="43" t="s">
        <v>865</v>
      </c>
    </row>
    <row r="402">
      <c r="A402" s="42" t="s">
        <v>899</v>
      </c>
      <c r="B402" s="42" t="s">
        <v>900</v>
      </c>
    </row>
    <row r="403">
      <c r="A403" s="43" t="s">
        <v>901</v>
      </c>
      <c r="B403" s="43" t="s">
        <v>790</v>
      </c>
    </row>
    <row r="404">
      <c r="A404" s="42" t="s">
        <v>902</v>
      </c>
      <c r="B404" s="42" t="s">
        <v>878</v>
      </c>
    </row>
    <row r="405">
      <c r="A405" s="43" t="s">
        <v>903</v>
      </c>
      <c r="B405" s="43" t="s">
        <v>904</v>
      </c>
    </row>
    <row r="406">
      <c r="A406" s="42" t="s">
        <v>905</v>
      </c>
      <c r="B406" s="42" t="s">
        <v>906</v>
      </c>
    </row>
    <row r="407">
      <c r="A407" s="43" t="s">
        <v>907</v>
      </c>
      <c r="B407" s="43" t="s">
        <v>297</v>
      </c>
    </row>
    <row r="408">
      <c r="A408" s="42" t="s">
        <v>908</v>
      </c>
      <c r="B408" s="42" t="s">
        <v>821</v>
      </c>
    </row>
    <row r="409">
      <c r="A409" s="43" t="s">
        <v>909</v>
      </c>
      <c r="B409" s="43" t="s">
        <v>904</v>
      </c>
    </row>
    <row r="410">
      <c r="A410" s="42" t="s">
        <v>910</v>
      </c>
      <c r="B410" s="42" t="s">
        <v>904</v>
      </c>
    </row>
    <row r="411">
      <c r="A411" s="43" t="s">
        <v>911</v>
      </c>
      <c r="B411" s="43" t="s">
        <v>239</v>
      </c>
    </row>
    <row r="412">
      <c r="A412" s="42" t="s">
        <v>912</v>
      </c>
      <c r="B412" s="42" t="s">
        <v>222</v>
      </c>
    </row>
    <row r="413">
      <c r="A413" s="43" t="s">
        <v>913</v>
      </c>
      <c r="B413" s="43" t="s">
        <v>914</v>
      </c>
    </row>
    <row r="414">
      <c r="A414" s="42" t="s">
        <v>915</v>
      </c>
      <c r="B414" s="42" t="s">
        <v>916</v>
      </c>
    </row>
    <row r="415">
      <c r="A415" s="43" t="s">
        <v>917</v>
      </c>
      <c r="B415" s="43" t="s">
        <v>784</v>
      </c>
    </row>
    <row r="416">
      <c r="A416" s="42" t="s">
        <v>918</v>
      </c>
      <c r="B416" s="42" t="s">
        <v>746</v>
      </c>
    </row>
    <row r="417">
      <c r="A417" s="43" t="s">
        <v>919</v>
      </c>
      <c r="B417" s="43" t="s">
        <v>797</v>
      </c>
    </row>
    <row r="418">
      <c r="A418" s="42" t="s">
        <v>920</v>
      </c>
      <c r="B418" s="42" t="s">
        <v>916</v>
      </c>
    </row>
    <row r="419">
      <c r="A419" s="43" t="s">
        <v>921</v>
      </c>
      <c r="B419" s="43" t="s">
        <v>922</v>
      </c>
    </row>
    <row r="420">
      <c r="A420" s="42" t="s">
        <v>923</v>
      </c>
      <c r="B420" s="42" t="s">
        <v>444</v>
      </c>
    </row>
    <row r="421">
      <c r="A421" s="43" t="s">
        <v>924</v>
      </c>
      <c r="B421" s="43" t="s">
        <v>906</v>
      </c>
    </row>
    <row r="422">
      <c r="A422" s="42" t="s">
        <v>925</v>
      </c>
      <c r="B422" s="42" t="s">
        <v>821</v>
      </c>
    </row>
    <row r="423">
      <c r="A423" s="43" t="s">
        <v>926</v>
      </c>
      <c r="B423" s="43" t="s">
        <v>927</v>
      </c>
    </row>
    <row r="424">
      <c r="A424" s="42" t="s">
        <v>928</v>
      </c>
      <c r="B424" s="42" t="s">
        <v>929</v>
      </c>
    </row>
    <row r="425">
      <c r="A425" s="43" t="s">
        <v>930</v>
      </c>
      <c r="B425" s="43" t="s">
        <v>929</v>
      </c>
    </row>
    <row r="426">
      <c r="A426" s="42" t="s">
        <v>931</v>
      </c>
      <c r="B426" s="42" t="s">
        <v>882</v>
      </c>
    </row>
    <row r="427">
      <c r="A427" s="43" t="s">
        <v>932</v>
      </c>
      <c r="B427" s="43" t="s">
        <v>720</v>
      </c>
    </row>
    <row r="428">
      <c r="A428" s="42" t="s">
        <v>933</v>
      </c>
      <c r="B428" s="42" t="s">
        <v>934</v>
      </c>
    </row>
    <row r="429">
      <c r="A429" s="43" t="s">
        <v>935</v>
      </c>
      <c r="B429" s="43" t="s">
        <v>936</v>
      </c>
    </row>
    <row r="430">
      <c r="A430" s="42" t="s">
        <v>937</v>
      </c>
      <c r="B430" s="42" t="s">
        <v>821</v>
      </c>
    </row>
    <row r="431">
      <c r="A431" s="43" t="s">
        <v>938</v>
      </c>
      <c r="B431" s="43" t="s">
        <v>939</v>
      </c>
    </row>
    <row r="432">
      <c r="A432" s="42" t="s">
        <v>940</v>
      </c>
      <c r="B432" s="42" t="s">
        <v>941</v>
      </c>
    </row>
    <row r="433">
      <c r="A433" s="43" t="s">
        <v>942</v>
      </c>
      <c r="B433" s="43" t="s">
        <v>821</v>
      </c>
    </row>
    <row r="434">
      <c r="A434" s="42" t="s">
        <v>943</v>
      </c>
      <c r="B434" s="42" t="s">
        <v>944</v>
      </c>
    </row>
    <row r="435">
      <c r="A435" s="43" t="s">
        <v>945</v>
      </c>
      <c r="B435" s="43" t="s">
        <v>946</v>
      </c>
    </row>
    <row r="436">
      <c r="A436" s="42" t="s">
        <v>947</v>
      </c>
      <c r="B436" s="42" t="s">
        <v>771</v>
      </c>
    </row>
    <row r="437">
      <c r="A437" s="43" t="s">
        <v>948</v>
      </c>
      <c r="B437" s="43" t="s">
        <v>949</v>
      </c>
    </row>
    <row r="438">
      <c r="A438" s="42" t="s">
        <v>950</v>
      </c>
      <c r="B438" s="42" t="s">
        <v>949</v>
      </c>
    </row>
    <row r="439">
      <c r="A439" s="43" t="s">
        <v>951</v>
      </c>
      <c r="B439" s="43" t="s">
        <v>882</v>
      </c>
    </row>
    <row r="440">
      <c r="A440" s="42" t="s">
        <v>952</v>
      </c>
      <c r="B440" s="42" t="s">
        <v>952</v>
      </c>
    </row>
    <row r="441">
      <c r="A441" s="43" t="s">
        <v>953</v>
      </c>
      <c r="B441" s="43" t="s">
        <v>894</v>
      </c>
    </row>
    <row r="442">
      <c r="A442" s="42" t="s">
        <v>954</v>
      </c>
      <c r="B442" s="42" t="s">
        <v>799</v>
      </c>
    </row>
    <row r="443">
      <c r="A443" s="43" t="s">
        <v>955</v>
      </c>
      <c r="B443" s="43" t="s">
        <v>956</v>
      </c>
    </row>
    <row r="444">
      <c r="A444" s="42" t="s">
        <v>957</v>
      </c>
      <c r="B444" s="42" t="s">
        <v>958</v>
      </c>
    </row>
    <row r="445">
      <c r="A445" s="43" t="s">
        <v>959</v>
      </c>
      <c r="B445" s="43" t="s">
        <v>728</v>
      </c>
    </row>
    <row r="446">
      <c r="A446" s="42" t="s">
        <v>960</v>
      </c>
      <c r="B446" s="42" t="s">
        <v>858</v>
      </c>
    </row>
    <row r="447">
      <c r="A447" s="43" t="s">
        <v>961</v>
      </c>
      <c r="B447" s="43" t="s">
        <v>962</v>
      </c>
    </row>
    <row r="448">
      <c r="A448" s="42" t="s">
        <v>963</v>
      </c>
      <c r="B448" s="42" t="s">
        <v>714</v>
      </c>
    </row>
    <row r="449">
      <c r="A449" s="43" t="s">
        <v>964</v>
      </c>
      <c r="B449" s="43" t="s">
        <v>965</v>
      </c>
    </row>
    <row r="450">
      <c r="A450" s="42" t="s">
        <v>966</v>
      </c>
      <c r="B450" s="42" t="s">
        <v>966</v>
      </c>
    </row>
    <row r="451">
      <c r="A451" s="43" t="s">
        <v>967</v>
      </c>
      <c r="B451" s="43" t="s">
        <v>968</v>
      </c>
    </row>
    <row r="452">
      <c r="A452" s="42" t="s">
        <v>969</v>
      </c>
      <c r="B452" s="42" t="s">
        <v>970</v>
      </c>
    </row>
    <row r="453">
      <c r="A453" s="43" t="s">
        <v>971</v>
      </c>
      <c r="B453" s="43" t="s">
        <v>972</v>
      </c>
    </row>
    <row r="454">
      <c r="A454" s="42" t="s">
        <v>973</v>
      </c>
      <c r="B454" s="42" t="s">
        <v>974</v>
      </c>
    </row>
    <row r="455">
      <c r="A455" s="43" t="s">
        <v>975</v>
      </c>
      <c r="B455" s="43" t="s">
        <v>976</v>
      </c>
    </row>
    <row r="456">
      <c r="A456" s="42" t="s">
        <v>977</v>
      </c>
      <c r="B456" s="42" t="s">
        <v>977</v>
      </c>
    </row>
    <row r="457">
      <c r="A457" s="43" t="s">
        <v>978</v>
      </c>
      <c r="B457" s="43" t="s">
        <v>978</v>
      </c>
    </row>
    <row r="458">
      <c r="A458" s="42" t="s">
        <v>979</v>
      </c>
      <c r="B458" s="42" t="s">
        <v>970</v>
      </c>
    </row>
    <row r="459">
      <c r="A459" s="43" t="s">
        <v>980</v>
      </c>
      <c r="B459" s="43" t="s">
        <v>981</v>
      </c>
    </row>
    <row r="460">
      <c r="A460" s="42" t="s">
        <v>982</v>
      </c>
      <c r="B460" s="42" t="s">
        <v>983</v>
      </c>
    </row>
    <row r="461">
      <c r="A461" s="43" t="s">
        <v>984</v>
      </c>
      <c r="B461" s="43" t="s">
        <v>985</v>
      </c>
    </row>
    <row r="462">
      <c r="A462" s="42" t="s">
        <v>986</v>
      </c>
      <c r="B462" s="42" t="s">
        <v>985</v>
      </c>
    </row>
    <row r="463">
      <c r="A463" s="43" t="s">
        <v>987</v>
      </c>
      <c r="B463" s="43" t="s">
        <v>988</v>
      </c>
    </row>
    <row r="464">
      <c r="A464" s="42" t="s">
        <v>989</v>
      </c>
      <c r="B464" s="42" t="s">
        <v>988</v>
      </c>
    </row>
    <row r="465">
      <c r="A465" s="43" t="s">
        <v>990</v>
      </c>
      <c r="B465" s="43" t="s">
        <v>991</v>
      </c>
    </row>
    <row r="466">
      <c r="A466" s="42" t="s">
        <v>992</v>
      </c>
      <c r="B466" s="42" t="s">
        <v>993</v>
      </c>
    </row>
    <row r="467">
      <c r="A467" s="43" t="s">
        <v>994</v>
      </c>
      <c r="B467" s="43" t="s">
        <v>993</v>
      </c>
    </row>
    <row r="468">
      <c r="A468" s="42" t="s">
        <v>995</v>
      </c>
      <c r="B468" s="42" t="s">
        <v>991</v>
      </c>
    </row>
    <row r="469">
      <c r="A469" s="43" t="s">
        <v>996</v>
      </c>
      <c r="B469" s="43" t="s">
        <v>996</v>
      </c>
    </row>
    <row r="470">
      <c r="A470" s="42" t="s">
        <v>997</v>
      </c>
      <c r="B470" s="42" t="s">
        <v>998</v>
      </c>
    </row>
    <row r="471">
      <c r="A471" s="43" t="s">
        <v>999</v>
      </c>
      <c r="B471" s="43" t="s">
        <v>1000</v>
      </c>
    </row>
    <row r="472">
      <c r="A472" s="42" t="s">
        <v>1001</v>
      </c>
      <c r="B472" s="42" t="s">
        <v>1000</v>
      </c>
    </row>
    <row r="473">
      <c r="A473" s="43" t="s">
        <v>1002</v>
      </c>
      <c r="B473" s="43" t="s">
        <v>962</v>
      </c>
    </row>
    <row r="474">
      <c r="A474" s="42" t="s">
        <v>1003</v>
      </c>
      <c r="B474" s="42" t="s">
        <v>1003</v>
      </c>
    </row>
    <row r="475">
      <c r="A475" s="43" t="s">
        <v>1004</v>
      </c>
      <c r="B475" s="43" t="s">
        <v>542</v>
      </c>
    </row>
    <row r="476">
      <c r="A476" s="42" t="s">
        <v>1005</v>
      </c>
      <c r="B476" s="42" t="s">
        <v>1006</v>
      </c>
    </row>
    <row r="477">
      <c r="A477" s="43" t="s">
        <v>1007</v>
      </c>
      <c r="B477" s="43" t="s">
        <v>1007</v>
      </c>
    </row>
    <row r="478">
      <c r="A478" s="42" t="s">
        <v>1008</v>
      </c>
      <c r="B478" s="42" t="s">
        <v>826</v>
      </c>
    </row>
    <row r="479">
      <c r="A479" s="43" t="s">
        <v>1009</v>
      </c>
      <c r="B479" s="43" t="s">
        <v>837</v>
      </c>
    </row>
    <row r="480">
      <c r="A480" s="42" t="s">
        <v>1010</v>
      </c>
      <c r="B480" s="42" t="s">
        <v>1011</v>
      </c>
    </row>
    <row r="481">
      <c r="A481" s="43" t="s">
        <v>1012</v>
      </c>
      <c r="B481" s="43" t="s">
        <v>1013</v>
      </c>
    </row>
    <row r="482">
      <c r="A482" s="42" t="s">
        <v>1014</v>
      </c>
      <c r="B482" s="42" t="s">
        <v>1013</v>
      </c>
    </row>
    <row r="483">
      <c r="A483" s="43" t="s">
        <v>1015</v>
      </c>
      <c r="B483" s="43" t="s">
        <v>1016</v>
      </c>
    </row>
    <row r="484">
      <c r="A484" s="42" t="s">
        <v>1017</v>
      </c>
      <c r="B484" s="42" t="s">
        <v>1016</v>
      </c>
    </row>
    <row r="485">
      <c r="A485" s="43" t="s">
        <v>1018</v>
      </c>
      <c r="B485" s="43" t="s">
        <v>1018</v>
      </c>
    </row>
    <row r="486">
      <c r="A486" s="42" t="s">
        <v>1019</v>
      </c>
      <c r="B486" s="42" t="s">
        <v>916</v>
      </c>
    </row>
    <row r="487">
      <c r="A487" s="43" t="s">
        <v>1020</v>
      </c>
      <c r="B487" s="43" t="s">
        <v>1021</v>
      </c>
    </row>
    <row r="488">
      <c r="A488" s="42" t="s">
        <v>1022</v>
      </c>
      <c r="B488" s="42" t="s">
        <v>1021</v>
      </c>
    </row>
    <row r="489">
      <c r="A489" s="43" t="s">
        <v>1023</v>
      </c>
      <c r="B489" s="43" t="s">
        <v>1021</v>
      </c>
    </row>
    <row r="490">
      <c r="A490" s="42" t="s">
        <v>1024</v>
      </c>
      <c r="B490" s="42" t="s">
        <v>1025</v>
      </c>
    </row>
    <row r="491">
      <c r="A491" s="43" t="s">
        <v>1026</v>
      </c>
      <c r="B491" s="43" t="s">
        <v>1027</v>
      </c>
    </row>
    <row r="492">
      <c r="A492" s="42" t="s">
        <v>1028</v>
      </c>
      <c r="B492" s="42" t="s">
        <v>1029</v>
      </c>
    </row>
    <row r="493">
      <c r="A493" s="43" t="s">
        <v>1030</v>
      </c>
      <c r="B493" s="43" t="s">
        <v>1025</v>
      </c>
    </row>
    <row r="494">
      <c r="A494" s="42" t="s">
        <v>1031</v>
      </c>
      <c r="B494" s="42" t="s">
        <v>1032</v>
      </c>
    </row>
    <row r="495">
      <c r="A495" s="43" t="s">
        <v>1033</v>
      </c>
      <c r="B495" s="43" t="s">
        <v>1034</v>
      </c>
    </row>
    <row r="496">
      <c r="A496" s="42" t="s">
        <v>1035</v>
      </c>
      <c r="B496" s="42" t="s">
        <v>1034</v>
      </c>
    </row>
    <row r="497">
      <c r="A497" s="43" t="s">
        <v>1036</v>
      </c>
      <c r="B497" s="43" t="s">
        <v>1037</v>
      </c>
    </row>
    <row r="498">
      <c r="A498" s="42" t="s">
        <v>1038</v>
      </c>
      <c r="B498" s="42" t="s">
        <v>1038</v>
      </c>
    </row>
    <row r="499">
      <c r="A499" s="43" t="s">
        <v>1039</v>
      </c>
      <c r="B499" s="43" t="s">
        <v>1039</v>
      </c>
    </row>
    <row r="500">
      <c r="A500" s="42" t="s">
        <v>1040</v>
      </c>
      <c r="B500" s="42" t="s">
        <v>1040</v>
      </c>
    </row>
    <row r="501">
      <c r="A501" s="43" t="s">
        <v>1041</v>
      </c>
      <c r="B501" s="43" t="s">
        <v>1041</v>
      </c>
    </row>
    <row r="502">
      <c r="A502" s="42" t="s">
        <v>1042</v>
      </c>
      <c r="B502" s="42" t="s">
        <v>1042</v>
      </c>
    </row>
    <row r="503">
      <c r="A503" s="43" t="s">
        <v>1043</v>
      </c>
      <c r="B503" s="43" t="s">
        <v>1044</v>
      </c>
    </row>
    <row r="504">
      <c r="A504" s="42" t="s">
        <v>1045</v>
      </c>
      <c r="B504" s="42" t="s">
        <v>1045</v>
      </c>
    </row>
    <row r="505">
      <c r="A505" s="43" t="s">
        <v>1046</v>
      </c>
      <c r="B505" s="43" t="s">
        <v>1046</v>
      </c>
    </row>
    <row r="506">
      <c r="A506" s="42" t="s">
        <v>1047</v>
      </c>
      <c r="B506" s="42" t="s">
        <v>1047</v>
      </c>
    </row>
    <row r="507">
      <c r="A507" s="43" t="s">
        <v>1048</v>
      </c>
      <c r="B507" s="43" t="s">
        <v>540</v>
      </c>
    </row>
    <row r="508">
      <c r="A508" s="42" t="s">
        <v>1049</v>
      </c>
      <c r="B508" s="42" t="s">
        <v>645</v>
      </c>
    </row>
    <row r="509">
      <c r="A509" s="43" t="s">
        <v>1050</v>
      </c>
      <c r="B509" s="43" t="s">
        <v>1050</v>
      </c>
    </row>
    <row r="510">
      <c r="A510" s="42" t="s">
        <v>1051</v>
      </c>
      <c r="B510" s="42" t="s">
        <v>1052</v>
      </c>
    </row>
    <row r="511">
      <c r="A511" s="43" t="s">
        <v>1053</v>
      </c>
      <c r="B511" s="43" t="s">
        <v>1053</v>
      </c>
    </row>
    <row r="512">
      <c r="A512" s="42" t="s">
        <v>1054</v>
      </c>
      <c r="B512" s="42" t="s">
        <v>1054</v>
      </c>
    </row>
    <row r="513">
      <c r="A513" s="43" t="s">
        <v>1055</v>
      </c>
      <c r="B513" s="43" t="s">
        <v>1055</v>
      </c>
    </row>
    <row r="514">
      <c r="A514" s="42" t="s">
        <v>1056</v>
      </c>
      <c r="B514" s="42" t="s">
        <v>1057</v>
      </c>
    </row>
    <row r="515">
      <c r="A515" s="43" t="s">
        <v>1058</v>
      </c>
      <c r="B515" s="43" t="s">
        <v>1059</v>
      </c>
    </row>
    <row r="516">
      <c r="A516" s="42" t="s">
        <v>1060</v>
      </c>
      <c r="B516" s="42" t="s">
        <v>1061</v>
      </c>
    </row>
    <row r="517">
      <c r="A517" s="43" t="s">
        <v>1062</v>
      </c>
      <c r="B517" s="43" t="s">
        <v>1062</v>
      </c>
    </row>
    <row r="518">
      <c r="A518" s="42" t="s">
        <v>1063</v>
      </c>
      <c r="B518" s="42" t="s">
        <v>1064</v>
      </c>
    </row>
    <row r="519">
      <c r="A519" s="43" t="s">
        <v>1065</v>
      </c>
      <c r="B519" s="43" t="s">
        <v>1064</v>
      </c>
    </row>
    <row r="520">
      <c r="A520" s="42" t="s">
        <v>1066</v>
      </c>
      <c r="B520" s="42" t="s">
        <v>1067</v>
      </c>
    </row>
    <row r="521">
      <c r="A521" s="43" t="s">
        <v>1068</v>
      </c>
      <c r="B521" s="43" t="s">
        <v>991</v>
      </c>
    </row>
    <row r="522">
      <c r="A522" s="42" t="s">
        <v>1069</v>
      </c>
      <c r="B522" s="42" t="s">
        <v>900</v>
      </c>
    </row>
    <row r="523">
      <c r="A523" s="43" t="s">
        <v>1070</v>
      </c>
      <c r="B523" s="43" t="s">
        <v>661</v>
      </c>
    </row>
    <row r="524">
      <c r="A524" s="42" t="s">
        <v>1071</v>
      </c>
      <c r="B524" s="42" t="s">
        <v>976</v>
      </c>
    </row>
    <row r="525">
      <c r="A525" s="43" t="s">
        <v>1072</v>
      </c>
      <c r="B525" s="43" t="s">
        <v>769</v>
      </c>
    </row>
    <row r="526">
      <c r="A526" s="42" t="s">
        <v>1073</v>
      </c>
      <c r="B526" s="42" t="s">
        <v>1074</v>
      </c>
    </row>
    <row r="527">
      <c r="A527" s="43" t="s">
        <v>1075</v>
      </c>
      <c r="B527" s="43" t="s">
        <v>1076</v>
      </c>
    </row>
    <row r="528">
      <c r="A528" s="42" t="s">
        <v>1077</v>
      </c>
      <c r="B528" s="42" t="s">
        <v>1078</v>
      </c>
    </row>
    <row r="529">
      <c r="A529" s="43" t="s">
        <v>1079</v>
      </c>
      <c r="B529" s="43" t="s">
        <v>998</v>
      </c>
    </row>
    <row r="530">
      <c r="A530" s="42" t="s">
        <v>1080</v>
      </c>
      <c r="B530" s="42" t="s">
        <v>1006</v>
      </c>
    </row>
    <row r="531">
      <c r="A531" s="43" t="s">
        <v>1081</v>
      </c>
      <c r="B531" s="43" t="s">
        <v>889</v>
      </c>
    </row>
    <row r="532">
      <c r="A532" s="42" t="s">
        <v>1082</v>
      </c>
      <c r="B532" s="42" t="s">
        <v>851</v>
      </c>
    </row>
    <row r="533">
      <c r="A533" s="43" t="s">
        <v>1083</v>
      </c>
      <c r="B533" s="43" t="s">
        <v>728</v>
      </c>
    </row>
    <row r="534">
      <c r="A534" s="42" t="s">
        <v>1084</v>
      </c>
      <c r="B534" s="42" t="s">
        <v>819</v>
      </c>
    </row>
    <row r="535">
      <c r="A535" s="43" t="s">
        <v>1085</v>
      </c>
      <c r="B535" s="43" t="s">
        <v>652</v>
      </c>
    </row>
    <row r="536">
      <c r="A536" s="42" t="s">
        <v>1086</v>
      </c>
      <c r="B536" s="42" t="s">
        <v>1087</v>
      </c>
    </row>
    <row r="537">
      <c r="A537" s="41"/>
      <c r="B537" s="41"/>
    </row>
    <row r="538">
      <c r="A538" s="41"/>
      <c r="B538" s="41"/>
    </row>
    <row r="539">
      <c r="A539" s="41"/>
      <c r="B539" s="41"/>
    </row>
    <row r="540">
      <c r="A540" s="41"/>
      <c r="B540" s="41"/>
    </row>
    <row r="541">
      <c r="A541" s="41"/>
      <c r="B541" s="41"/>
    </row>
    <row r="542">
      <c r="A542" s="41"/>
      <c r="B542" s="41"/>
    </row>
    <row r="543">
      <c r="A543" s="41"/>
      <c r="B543" s="41"/>
    </row>
    <row r="544">
      <c r="A544" s="41"/>
      <c r="B544" s="41"/>
    </row>
    <row r="545">
      <c r="A545" s="41"/>
      <c r="B545" s="41"/>
    </row>
    <row r="546">
      <c r="A546" s="41"/>
      <c r="B546" s="41"/>
    </row>
    <row r="547">
      <c r="A547" s="41"/>
      <c r="B547" s="41"/>
    </row>
    <row r="548">
      <c r="A548" s="41"/>
      <c r="B548" s="41"/>
    </row>
    <row r="549">
      <c r="A549" s="41"/>
      <c r="B549" s="41"/>
    </row>
    <row r="550">
      <c r="A550" s="41"/>
      <c r="B550" s="41"/>
    </row>
    <row r="551">
      <c r="A551" s="41"/>
      <c r="B551" s="41"/>
    </row>
    <row r="552">
      <c r="A552" s="41"/>
      <c r="B552" s="41"/>
    </row>
    <row r="553">
      <c r="A553" s="41"/>
      <c r="B553" s="41"/>
    </row>
    <row r="554">
      <c r="A554" s="41"/>
      <c r="B554" s="41"/>
    </row>
    <row r="555">
      <c r="A555" s="41"/>
      <c r="B555" s="41"/>
    </row>
    <row r="556">
      <c r="A556" s="41"/>
      <c r="B556" s="41"/>
    </row>
    <row r="557">
      <c r="A557" s="41"/>
      <c r="B557" s="41"/>
    </row>
    <row r="558">
      <c r="A558" s="41"/>
      <c r="B558" s="41"/>
    </row>
    <row r="559">
      <c r="A559" s="41"/>
      <c r="B559" s="41"/>
    </row>
    <row r="560">
      <c r="A560" s="41"/>
      <c r="B560" s="41"/>
    </row>
    <row r="561">
      <c r="A561" s="41"/>
      <c r="B561" s="41"/>
    </row>
    <row r="562">
      <c r="A562" s="41"/>
      <c r="B562" s="41"/>
    </row>
    <row r="563">
      <c r="A563" s="41"/>
      <c r="B563" s="41"/>
    </row>
    <row r="564">
      <c r="A564" s="41"/>
      <c r="B564" s="41"/>
    </row>
    <row r="565">
      <c r="A565" s="41"/>
      <c r="B565" s="41"/>
    </row>
    <row r="566">
      <c r="A566" s="41"/>
      <c r="B566" s="41"/>
    </row>
    <row r="567">
      <c r="A567" s="41"/>
      <c r="B567" s="41"/>
    </row>
    <row r="568">
      <c r="A568" s="41"/>
      <c r="B568" s="41"/>
    </row>
    <row r="569">
      <c r="A569" s="41"/>
      <c r="B569" s="41"/>
    </row>
    <row r="570">
      <c r="A570" s="41"/>
      <c r="B570" s="41"/>
    </row>
    <row r="571">
      <c r="A571" s="41"/>
      <c r="B571" s="41"/>
    </row>
    <row r="572">
      <c r="A572" s="41"/>
      <c r="B572" s="41"/>
    </row>
    <row r="573">
      <c r="A573" s="41"/>
      <c r="B573" s="41"/>
    </row>
    <row r="574">
      <c r="A574" s="41"/>
      <c r="B574" s="41"/>
    </row>
    <row r="575">
      <c r="A575" s="41"/>
      <c r="B575" s="41"/>
    </row>
    <row r="576">
      <c r="A576" s="41"/>
      <c r="B576" s="41"/>
    </row>
    <row r="577">
      <c r="A577" s="41"/>
      <c r="B577" s="41"/>
    </row>
    <row r="578">
      <c r="A578" s="41"/>
      <c r="B578" s="41"/>
    </row>
    <row r="579">
      <c r="A579" s="41"/>
      <c r="B579" s="41"/>
    </row>
    <row r="580">
      <c r="A580" s="41"/>
      <c r="B580" s="41"/>
    </row>
    <row r="581">
      <c r="A581" s="41"/>
      <c r="B581" s="41"/>
    </row>
    <row r="582">
      <c r="A582" s="41"/>
      <c r="B582" s="41"/>
    </row>
    <row r="583">
      <c r="A583" s="41"/>
      <c r="B583" s="41"/>
    </row>
    <row r="584">
      <c r="A584" s="41"/>
      <c r="B584" s="41"/>
    </row>
    <row r="585">
      <c r="A585" s="41"/>
      <c r="B585" s="41"/>
    </row>
    <row r="586">
      <c r="A586" s="41"/>
      <c r="B586" s="41"/>
    </row>
    <row r="587">
      <c r="A587" s="41"/>
      <c r="B587" s="41"/>
    </row>
    <row r="588">
      <c r="A588" s="41"/>
      <c r="B588" s="41"/>
    </row>
    <row r="589">
      <c r="A589" s="41"/>
      <c r="B589" s="41"/>
    </row>
    <row r="590">
      <c r="A590" s="41"/>
      <c r="B590" s="41"/>
    </row>
    <row r="591">
      <c r="A591" s="41"/>
      <c r="B591" s="41"/>
    </row>
    <row r="592">
      <c r="A592" s="41"/>
      <c r="B592" s="41"/>
    </row>
    <row r="593">
      <c r="A593" s="41"/>
      <c r="B593" s="41"/>
    </row>
    <row r="594">
      <c r="A594" s="41"/>
      <c r="B594" s="41"/>
    </row>
    <row r="595">
      <c r="A595" s="41"/>
      <c r="B595" s="41"/>
    </row>
    <row r="596">
      <c r="A596" s="41"/>
      <c r="B596" s="41"/>
    </row>
    <row r="597">
      <c r="A597" s="41"/>
      <c r="B597" s="41"/>
    </row>
    <row r="598">
      <c r="A598" s="41"/>
      <c r="B598" s="41"/>
    </row>
    <row r="599">
      <c r="A599" s="41"/>
      <c r="B599" s="41"/>
    </row>
    <row r="600">
      <c r="A600" s="41"/>
      <c r="B600" s="41"/>
    </row>
    <row r="601">
      <c r="A601" s="41"/>
      <c r="B601" s="41"/>
    </row>
    <row r="602">
      <c r="A602" s="41"/>
      <c r="B602" s="41"/>
    </row>
    <row r="603">
      <c r="A603" s="41"/>
      <c r="B603" s="41"/>
    </row>
    <row r="604">
      <c r="A604" s="41"/>
      <c r="B604" s="41"/>
    </row>
    <row r="605">
      <c r="A605" s="41"/>
      <c r="B605" s="41"/>
    </row>
    <row r="606">
      <c r="A606" s="41"/>
      <c r="B606" s="41"/>
    </row>
    <row r="607">
      <c r="A607" s="41"/>
      <c r="B607" s="41"/>
    </row>
    <row r="608">
      <c r="A608" s="41"/>
      <c r="B608" s="41"/>
    </row>
    <row r="609">
      <c r="A609" s="41"/>
      <c r="B609" s="41"/>
    </row>
    <row r="610">
      <c r="A610" s="41"/>
      <c r="B610" s="41"/>
    </row>
    <row r="611">
      <c r="A611" s="41"/>
      <c r="B611" s="41"/>
    </row>
    <row r="612">
      <c r="A612" s="41"/>
      <c r="B612" s="41"/>
    </row>
    <row r="613">
      <c r="A613" s="41"/>
      <c r="B613" s="41"/>
    </row>
    <row r="614">
      <c r="A614" s="41"/>
      <c r="B614" s="41"/>
    </row>
    <row r="615">
      <c r="A615" s="41"/>
      <c r="B615" s="41"/>
    </row>
    <row r="616">
      <c r="A616" s="41"/>
      <c r="B616" s="41"/>
    </row>
    <row r="617">
      <c r="A617" s="41"/>
      <c r="B617" s="41"/>
    </row>
    <row r="618">
      <c r="A618" s="41"/>
      <c r="B618" s="41"/>
    </row>
    <row r="619">
      <c r="A619" s="41"/>
      <c r="B619" s="41"/>
    </row>
    <row r="620">
      <c r="A620" s="41"/>
      <c r="B620" s="41"/>
    </row>
    <row r="621">
      <c r="A621" s="41"/>
      <c r="B621" s="41"/>
    </row>
    <row r="622">
      <c r="A622" s="41"/>
      <c r="B622" s="41"/>
    </row>
    <row r="623">
      <c r="A623" s="41"/>
      <c r="B623" s="41"/>
    </row>
    <row r="624">
      <c r="A624" s="41"/>
      <c r="B624" s="41"/>
    </row>
    <row r="625">
      <c r="A625" s="41"/>
      <c r="B625" s="41"/>
    </row>
    <row r="626">
      <c r="A626" s="41"/>
      <c r="B626" s="41"/>
    </row>
    <row r="627">
      <c r="A627" s="41"/>
      <c r="B627" s="41"/>
    </row>
    <row r="628">
      <c r="A628" s="41"/>
      <c r="B628" s="41"/>
    </row>
    <row r="629">
      <c r="A629" s="41"/>
      <c r="B629" s="41"/>
    </row>
    <row r="630">
      <c r="A630" s="41"/>
      <c r="B630" s="41"/>
    </row>
    <row r="631">
      <c r="A631" s="41"/>
      <c r="B631" s="41"/>
    </row>
    <row r="632">
      <c r="A632" s="41"/>
      <c r="B632" s="41"/>
    </row>
    <row r="633">
      <c r="A633" s="41"/>
      <c r="B633" s="41"/>
    </row>
    <row r="634">
      <c r="A634" s="41"/>
      <c r="B634" s="41"/>
    </row>
    <row r="635">
      <c r="A635" s="41"/>
      <c r="B635" s="41"/>
    </row>
    <row r="636">
      <c r="A636" s="41"/>
      <c r="B636" s="41"/>
    </row>
    <row r="637">
      <c r="A637" s="41"/>
      <c r="B637" s="41"/>
    </row>
    <row r="638">
      <c r="A638" s="41"/>
      <c r="B638" s="41"/>
    </row>
    <row r="639">
      <c r="A639" s="41"/>
      <c r="B639" s="41"/>
    </row>
    <row r="640">
      <c r="A640" s="41"/>
      <c r="B640" s="41"/>
    </row>
    <row r="641">
      <c r="A641" s="41"/>
      <c r="B641" s="41"/>
    </row>
    <row r="642">
      <c r="A642" s="41"/>
      <c r="B642" s="41"/>
    </row>
    <row r="643">
      <c r="A643" s="41"/>
      <c r="B643" s="41"/>
    </row>
    <row r="644">
      <c r="A644" s="41"/>
      <c r="B644" s="41"/>
    </row>
    <row r="645">
      <c r="A645" s="41"/>
      <c r="B645" s="41"/>
    </row>
    <row r="646">
      <c r="A646" s="41"/>
      <c r="B646" s="41"/>
    </row>
    <row r="647">
      <c r="A647" s="41"/>
      <c r="B647" s="41"/>
    </row>
    <row r="648">
      <c r="A648" s="41"/>
      <c r="B648" s="41"/>
    </row>
    <row r="649">
      <c r="A649" s="41"/>
      <c r="B649" s="41"/>
    </row>
    <row r="650">
      <c r="A650" s="41"/>
      <c r="B650" s="41"/>
    </row>
    <row r="651">
      <c r="A651" s="41"/>
      <c r="B651" s="41"/>
    </row>
    <row r="652">
      <c r="A652" s="41"/>
      <c r="B652" s="41"/>
    </row>
    <row r="653">
      <c r="A653" s="41"/>
      <c r="B653" s="41"/>
    </row>
    <row r="654">
      <c r="A654" s="41"/>
      <c r="B654" s="41"/>
    </row>
    <row r="655">
      <c r="A655" s="41"/>
      <c r="B655" s="41"/>
    </row>
    <row r="656">
      <c r="A656" s="41"/>
      <c r="B656" s="41"/>
    </row>
    <row r="657">
      <c r="A657" s="41"/>
      <c r="B657" s="41"/>
    </row>
    <row r="658">
      <c r="A658" s="41"/>
      <c r="B658" s="41"/>
    </row>
    <row r="659">
      <c r="A659" s="41"/>
      <c r="B659" s="41"/>
    </row>
    <row r="660">
      <c r="A660" s="41"/>
      <c r="B660" s="41"/>
    </row>
    <row r="661">
      <c r="A661" s="41"/>
      <c r="B661" s="41"/>
    </row>
    <row r="662">
      <c r="A662" s="41"/>
      <c r="B662" s="41"/>
    </row>
    <row r="663">
      <c r="A663" s="41"/>
      <c r="B663" s="41"/>
    </row>
    <row r="664">
      <c r="A664" s="41"/>
      <c r="B664" s="41"/>
    </row>
    <row r="665">
      <c r="A665" s="41"/>
      <c r="B665" s="41"/>
    </row>
    <row r="666">
      <c r="A666" s="41"/>
      <c r="B666" s="41"/>
    </row>
    <row r="667">
      <c r="A667" s="41"/>
      <c r="B667" s="41"/>
    </row>
    <row r="668">
      <c r="A668" s="41"/>
      <c r="B668" s="41"/>
    </row>
    <row r="669">
      <c r="A669" s="41"/>
      <c r="B669" s="41"/>
    </row>
    <row r="670">
      <c r="A670" s="41"/>
      <c r="B670" s="41"/>
    </row>
    <row r="671">
      <c r="A671" s="41"/>
      <c r="B671" s="41"/>
    </row>
    <row r="672">
      <c r="A672" s="41"/>
      <c r="B672" s="41"/>
    </row>
    <row r="673">
      <c r="A673" s="41"/>
      <c r="B673" s="41"/>
    </row>
    <row r="674">
      <c r="A674" s="41"/>
      <c r="B674" s="41"/>
    </row>
    <row r="675">
      <c r="A675" s="41"/>
      <c r="B675" s="41"/>
    </row>
    <row r="676">
      <c r="A676" s="41"/>
      <c r="B676" s="41"/>
    </row>
    <row r="677">
      <c r="A677" s="41"/>
      <c r="B677" s="41"/>
    </row>
    <row r="678">
      <c r="A678" s="41"/>
      <c r="B678" s="41"/>
    </row>
    <row r="679">
      <c r="A679" s="41"/>
      <c r="B679" s="41"/>
    </row>
    <row r="680">
      <c r="A680" s="41"/>
      <c r="B680" s="41"/>
    </row>
    <row r="681">
      <c r="A681" s="41"/>
      <c r="B681" s="41"/>
    </row>
    <row r="682">
      <c r="A682" s="41"/>
      <c r="B682" s="41"/>
    </row>
    <row r="683">
      <c r="A683" s="41"/>
      <c r="B683" s="41"/>
    </row>
    <row r="684">
      <c r="A684" s="41"/>
      <c r="B684" s="41"/>
    </row>
    <row r="685">
      <c r="A685" s="41"/>
      <c r="B685" s="41"/>
    </row>
    <row r="686">
      <c r="A686" s="41"/>
      <c r="B686" s="41"/>
    </row>
    <row r="687">
      <c r="A687" s="41"/>
      <c r="B687" s="41"/>
    </row>
    <row r="688">
      <c r="A688" s="41"/>
      <c r="B688" s="41"/>
    </row>
    <row r="689">
      <c r="A689" s="41"/>
      <c r="B689" s="41"/>
    </row>
    <row r="690">
      <c r="A690" s="41"/>
      <c r="B690" s="41"/>
    </row>
    <row r="691">
      <c r="A691" s="41"/>
      <c r="B691" s="41"/>
    </row>
    <row r="692">
      <c r="A692" s="41"/>
      <c r="B692" s="41"/>
    </row>
    <row r="693">
      <c r="A693" s="41"/>
      <c r="B693" s="41"/>
    </row>
    <row r="694">
      <c r="A694" s="41"/>
      <c r="B694" s="41"/>
    </row>
    <row r="695">
      <c r="A695" s="41"/>
      <c r="B695" s="41"/>
    </row>
    <row r="696">
      <c r="A696" s="41"/>
      <c r="B696" s="41"/>
    </row>
    <row r="697">
      <c r="A697" s="41"/>
      <c r="B697" s="41"/>
    </row>
    <row r="698">
      <c r="A698" s="41"/>
      <c r="B698" s="41"/>
    </row>
    <row r="699">
      <c r="A699" s="41"/>
      <c r="B699" s="41"/>
    </row>
    <row r="700">
      <c r="A700" s="41"/>
      <c r="B700" s="41"/>
    </row>
    <row r="701">
      <c r="A701" s="41"/>
      <c r="B701" s="41"/>
    </row>
    <row r="702">
      <c r="A702" s="41"/>
      <c r="B702" s="41"/>
    </row>
    <row r="703">
      <c r="A703" s="41"/>
      <c r="B703" s="41"/>
    </row>
    <row r="704">
      <c r="A704" s="41"/>
      <c r="B704" s="41"/>
    </row>
    <row r="705">
      <c r="A705" s="41"/>
      <c r="B705" s="41"/>
    </row>
    <row r="706">
      <c r="A706" s="41"/>
      <c r="B706" s="41"/>
    </row>
    <row r="707">
      <c r="A707" s="41"/>
      <c r="B707" s="41"/>
    </row>
    <row r="708">
      <c r="A708" s="41"/>
      <c r="B708" s="41"/>
    </row>
    <row r="709">
      <c r="A709" s="41"/>
      <c r="B709" s="41"/>
    </row>
    <row r="710">
      <c r="A710" s="41"/>
      <c r="B710" s="41"/>
    </row>
    <row r="711">
      <c r="A711" s="41"/>
      <c r="B711" s="41"/>
    </row>
    <row r="712">
      <c r="A712" s="41"/>
      <c r="B712" s="41"/>
    </row>
    <row r="713">
      <c r="A713" s="41"/>
      <c r="B713" s="41"/>
    </row>
    <row r="714">
      <c r="A714" s="41"/>
      <c r="B714" s="41"/>
    </row>
    <row r="715">
      <c r="A715" s="41"/>
      <c r="B715" s="41"/>
    </row>
    <row r="716">
      <c r="A716" s="41"/>
      <c r="B716" s="41"/>
    </row>
    <row r="717">
      <c r="A717" s="41"/>
      <c r="B717" s="41"/>
    </row>
    <row r="718">
      <c r="A718" s="41"/>
      <c r="B718" s="41"/>
    </row>
    <row r="719">
      <c r="A719" s="41"/>
      <c r="B719" s="41"/>
    </row>
    <row r="720">
      <c r="A720" s="41"/>
      <c r="B720" s="41"/>
    </row>
    <row r="721">
      <c r="A721" s="41"/>
      <c r="B721" s="41"/>
    </row>
    <row r="722">
      <c r="A722" s="41"/>
      <c r="B722" s="41"/>
    </row>
    <row r="723">
      <c r="A723" s="41"/>
      <c r="B723" s="41"/>
    </row>
    <row r="724">
      <c r="A724" s="41"/>
      <c r="B724" s="41"/>
    </row>
    <row r="725">
      <c r="A725" s="41"/>
      <c r="B725" s="41"/>
    </row>
    <row r="726">
      <c r="A726" s="41"/>
      <c r="B726" s="41"/>
    </row>
    <row r="727">
      <c r="A727" s="41"/>
      <c r="B727" s="41"/>
    </row>
    <row r="728">
      <c r="A728" s="41"/>
      <c r="B728" s="41"/>
    </row>
    <row r="729">
      <c r="A729" s="41"/>
      <c r="B729" s="41"/>
    </row>
    <row r="730">
      <c r="A730" s="41"/>
      <c r="B730" s="41"/>
    </row>
    <row r="731">
      <c r="A731" s="41"/>
      <c r="B731" s="41"/>
    </row>
    <row r="732">
      <c r="A732" s="41"/>
      <c r="B732" s="41"/>
    </row>
    <row r="733">
      <c r="A733" s="41"/>
      <c r="B733" s="41"/>
    </row>
    <row r="734">
      <c r="A734" s="41"/>
      <c r="B734" s="41"/>
    </row>
    <row r="735">
      <c r="A735" s="41"/>
      <c r="B735" s="41"/>
    </row>
    <row r="736">
      <c r="A736" s="41"/>
      <c r="B736" s="41"/>
    </row>
    <row r="737">
      <c r="A737" s="41"/>
      <c r="B737" s="41"/>
    </row>
    <row r="738">
      <c r="A738" s="41"/>
      <c r="B738" s="41"/>
    </row>
    <row r="739">
      <c r="A739" s="41"/>
      <c r="B739" s="41"/>
    </row>
    <row r="740">
      <c r="A740" s="41"/>
      <c r="B740" s="41"/>
    </row>
    <row r="741">
      <c r="A741" s="41"/>
      <c r="B741" s="41"/>
    </row>
    <row r="742">
      <c r="A742" s="41"/>
      <c r="B742" s="41"/>
    </row>
    <row r="743">
      <c r="A743" s="41"/>
      <c r="B743" s="41"/>
    </row>
    <row r="744">
      <c r="A744" s="41"/>
      <c r="B744" s="41"/>
    </row>
    <row r="745">
      <c r="A745" s="41"/>
      <c r="B745" s="41"/>
    </row>
    <row r="746">
      <c r="A746" s="41"/>
      <c r="B746" s="41"/>
    </row>
    <row r="747">
      <c r="A747" s="41"/>
      <c r="B747" s="41"/>
    </row>
    <row r="748">
      <c r="A748" s="41"/>
      <c r="B748" s="41"/>
    </row>
    <row r="749">
      <c r="A749" s="41"/>
      <c r="B749" s="41"/>
    </row>
    <row r="750">
      <c r="A750" s="41"/>
      <c r="B750" s="41"/>
    </row>
    <row r="751">
      <c r="A751" s="41"/>
      <c r="B751" s="41"/>
    </row>
    <row r="752">
      <c r="A752" s="41"/>
      <c r="B752" s="41"/>
    </row>
    <row r="753">
      <c r="A753" s="41"/>
      <c r="B753" s="41"/>
    </row>
    <row r="754">
      <c r="A754" s="41"/>
      <c r="B754" s="41"/>
    </row>
    <row r="755">
      <c r="A755" s="41"/>
      <c r="B755" s="41"/>
    </row>
    <row r="756">
      <c r="A756" s="41"/>
      <c r="B756" s="41"/>
    </row>
    <row r="757">
      <c r="A757" s="41"/>
      <c r="B757" s="41"/>
    </row>
    <row r="758">
      <c r="A758" s="41"/>
      <c r="B758" s="41"/>
    </row>
    <row r="759">
      <c r="A759" s="41"/>
      <c r="B759" s="41"/>
    </row>
    <row r="760">
      <c r="A760" s="41"/>
      <c r="B760" s="41"/>
    </row>
    <row r="761">
      <c r="A761" s="41"/>
      <c r="B761" s="41"/>
    </row>
    <row r="762">
      <c r="A762" s="41"/>
      <c r="B762" s="41"/>
    </row>
    <row r="763">
      <c r="A763" s="41"/>
      <c r="B763" s="41"/>
    </row>
    <row r="764">
      <c r="A764" s="41"/>
      <c r="B764" s="41"/>
    </row>
    <row r="765">
      <c r="A765" s="41"/>
      <c r="B765" s="41"/>
    </row>
    <row r="766">
      <c r="A766" s="41"/>
      <c r="B766" s="41"/>
    </row>
    <row r="767">
      <c r="A767" s="41"/>
      <c r="B767" s="41"/>
    </row>
    <row r="768">
      <c r="A768" s="41"/>
      <c r="B768" s="41"/>
    </row>
    <row r="769">
      <c r="A769" s="41"/>
      <c r="B769" s="41"/>
    </row>
    <row r="770">
      <c r="A770" s="41"/>
      <c r="B770" s="41"/>
    </row>
    <row r="771">
      <c r="A771" s="41"/>
      <c r="B771" s="41"/>
    </row>
    <row r="772">
      <c r="A772" s="41"/>
      <c r="B772" s="41"/>
    </row>
    <row r="773">
      <c r="A773" s="41"/>
      <c r="B773" s="41"/>
    </row>
    <row r="774">
      <c r="A774" s="41"/>
      <c r="B774" s="41"/>
    </row>
    <row r="775">
      <c r="A775" s="41"/>
      <c r="B775" s="41"/>
    </row>
    <row r="776">
      <c r="A776" s="41"/>
      <c r="B776" s="41"/>
    </row>
    <row r="777">
      <c r="A777" s="41"/>
      <c r="B777" s="41"/>
    </row>
    <row r="778">
      <c r="A778" s="41"/>
      <c r="B778" s="41"/>
    </row>
    <row r="779">
      <c r="A779" s="41"/>
      <c r="B779" s="41"/>
    </row>
    <row r="780">
      <c r="A780" s="41"/>
      <c r="B780" s="41"/>
    </row>
    <row r="781">
      <c r="A781" s="41"/>
      <c r="B781" s="41"/>
    </row>
    <row r="782">
      <c r="A782" s="41"/>
      <c r="B782" s="41"/>
    </row>
    <row r="783">
      <c r="A783" s="41"/>
      <c r="B783" s="41"/>
    </row>
    <row r="784">
      <c r="A784" s="41"/>
      <c r="B784" s="41"/>
    </row>
    <row r="785">
      <c r="A785" s="41"/>
      <c r="B785" s="41"/>
    </row>
    <row r="786">
      <c r="A786" s="41"/>
      <c r="B786" s="41"/>
    </row>
    <row r="787">
      <c r="A787" s="41"/>
      <c r="B787" s="41"/>
    </row>
    <row r="788">
      <c r="A788" s="41"/>
      <c r="B788" s="41"/>
    </row>
    <row r="789">
      <c r="A789" s="41"/>
      <c r="B789" s="41"/>
    </row>
    <row r="790">
      <c r="A790" s="41"/>
      <c r="B790" s="41"/>
    </row>
    <row r="791">
      <c r="A791" s="41"/>
      <c r="B791" s="41"/>
    </row>
    <row r="792">
      <c r="A792" s="41"/>
      <c r="B792" s="41"/>
    </row>
    <row r="793">
      <c r="A793" s="41"/>
      <c r="B793" s="41"/>
    </row>
    <row r="794">
      <c r="A794" s="41"/>
      <c r="B794" s="41"/>
    </row>
    <row r="795">
      <c r="A795" s="41"/>
      <c r="B795" s="41"/>
    </row>
    <row r="796">
      <c r="A796" s="41"/>
      <c r="B796" s="41"/>
    </row>
    <row r="797">
      <c r="A797" s="41"/>
      <c r="B797" s="41"/>
    </row>
    <row r="798">
      <c r="A798" s="41"/>
      <c r="B798" s="41"/>
    </row>
    <row r="799">
      <c r="A799" s="41"/>
      <c r="B799" s="41"/>
    </row>
    <row r="800">
      <c r="A800" s="41"/>
      <c r="B800" s="41"/>
    </row>
    <row r="801">
      <c r="A801" s="41"/>
      <c r="B801" s="41"/>
    </row>
    <row r="802">
      <c r="A802" s="41"/>
      <c r="B802" s="41"/>
    </row>
    <row r="803">
      <c r="A803" s="41"/>
      <c r="B803" s="41"/>
    </row>
    <row r="804">
      <c r="A804" s="41"/>
      <c r="B804" s="41"/>
    </row>
    <row r="805">
      <c r="A805" s="41"/>
      <c r="B805" s="41"/>
    </row>
    <row r="806">
      <c r="A806" s="41"/>
      <c r="B806" s="41"/>
    </row>
    <row r="807">
      <c r="A807" s="41"/>
      <c r="B807" s="41"/>
    </row>
    <row r="808">
      <c r="A808" s="41"/>
      <c r="B808" s="41"/>
    </row>
    <row r="809">
      <c r="A809" s="41"/>
      <c r="B809" s="41"/>
    </row>
    <row r="810">
      <c r="A810" s="41"/>
      <c r="B810" s="41"/>
    </row>
    <row r="811">
      <c r="A811" s="41"/>
      <c r="B811" s="41"/>
    </row>
    <row r="812">
      <c r="A812" s="41"/>
      <c r="B812" s="41"/>
    </row>
    <row r="813">
      <c r="A813" s="41"/>
      <c r="B813" s="41"/>
    </row>
    <row r="814">
      <c r="A814" s="41"/>
      <c r="B814" s="41"/>
    </row>
    <row r="815">
      <c r="A815" s="41"/>
      <c r="B815" s="41"/>
    </row>
    <row r="816">
      <c r="A816" s="41"/>
      <c r="B816" s="41"/>
    </row>
    <row r="817">
      <c r="A817" s="41"/>
      <c r="B817" s="41"/>
    </row>
    <row r="818">
      <c r="A818" s="41"/>
      <c r="B818" s="41"/>
    </row>
    <row r="819">
      <c r="A819" s="41"/>
      <c r="B819" s="41"/>
    </row>
    <row r="820">
      <c r="A820" s="41"/>
      <c r="B820" s="41"/>
    </row>
    <row r="821">
      <c r="A821" s="41"/>
      <c r="B821" s="41"/>
    </row>
    <row r="822">
      <c r="A822" s="41"/>
      <c r="B822" s="41"/>
    </row>
    <row r="823">
      <c r="A823" s="41"/>
      <c r="B823" s="41"/>
    </row>
    <row r="824">
      <c r="A824" s="41"/>
      <c r="B824" s="41"/>
    </row>
    <row r="825">
      <c r="A825" s="41"/>
      <c r="B825" s="41"/>
    </row>
    <row r="826">
      <c r="A826" s="41"/>
      <c r="B826" s="41"/>
    </row>
    <row r="827">
      <c r="A827" s="41"/>
      <c r="B827" s="41"/>
    </row>
    <row r="828">
      <c r="A828" s="41"/>
      <c r="B828" s="41"/>
    </row>
    <row r="829">
      <c r="A829" s="41"/>
      <c r="B829" s="41"/>
    </row>
    <row r="830">
      <c r="A830" s="41"/>
      <c r="B830" s="41"/>
    </row>
    <row r="831">
      <c r="A831" s="41"/>
      <c r="B831" s="41"/>
    </row>
    <row r="832">
      <c r="A832" s="41"/>
      <c r="B832" s="41"/>
    </row>
    <row r="833">
      <c r="A833" s="41"/>
      <c r="B833" s="41"/>
    </row>
    <row r="834">
      <c r="A834" s="41"/>
      <c r="B834" s="41"/>
    </row>
    <row r="835">
      <c r="A835" s="41"/>
      <c r="B835" s="41"/>
    </row>
    <row r="836">
      <c r="A836" s="41"/>
      <c r="B836" s="41"/>
    </row>
    <row r="837">
      <c r="A837" s="41"/>
      <c r="B837" s="41"/>
    </row>
    <row r="838">
      <c r="A838" s="41"/>
      <c r="B838" s="41"/>
    </row>
    <row r="839">
      <c r="A839" s="41"/>
      <c r="B839" s="41"/>
    </row>
    <row r="840">
      <c r="A840" s="41"/>
      <c r="B840" s="41"/>
    </row>
    <row r="841">
      <c r="A841" s="41"/>
      <c r="B841" s="41"/>
    </row>
    <row r="842">
      <c r="A842" s="41"/>
      <c r="B842" s="41"/>
    </row>
    <row r="843">
      <c r="A843" s="41"/>
      <c r="B843" s="41"/>
    </row>
    <row r="844">
      <c r="A844" s="41"/>
      <c r="B844" s="41"/>
    </row>
    <row r="845">
      <c r="A845" s="41"/>
      <c r="B845" s="41"/>
    </row>
    <row r="846">
      <c r="A846" s="41"/>
      <c r="B846" s="41"/>
    </row>
    <row r="847">
      <c r="A847" s="41"/>
      <c r="B847" s="41"/>
    </row>
    <row r="848">
      <c r="A848" s="41"/>
      <c r="B848" s="41"/>
    </row>
    <row r="849">
      <c r="A849" s="41"/>
      <c r="B849" s="41"/>
    </row>
    <row r="850">
      <c r="A850" s="41"/>
      <c r="B850" s="41"/>
    </row>
    <row r="851">
      <c r="A851" s="41"/>
      <c r="B851" s="41"/>
    </row>
    <row r="852">
      <c r="A852" s="41"/>
      <c r="B852" s="41"/>
    </row>
    <row r="853">
      <c r="A853" s="41"/>
      <c r="B853" s="41"/>
    </row>
    <row r="854">
      <c r="A854" s="41"/>
      <c r="B854" s="41"/>
    </row>
    <row r="855">
      <c r="A855" s="41"/>
      <c r="B855" s="41"/>
    </row>
    <row r="856">
      <c r="A856" s="41"/>
      <c r="B856" s="41"/>
    </row>
    <row r="857">
      <c r="A857" s="41"/>
      <c r="B857" s="41"/>
    </row>
    <row r="858">
      <c r="A858" s="41"/>
      <c r="B858" s="41"/>
    </row>
    <row r="859">
      <c r="A859" s="41"/>
      <c r="B859" s="41"/>
    </row>
    <row r="860">
      <c r="A860" s="41"/>
      <c r="B860" s="41"/>
    </row>
    <row r="861">
      <c r="A861" s="41"/>
      <c r="B861" s="41"/>
    </row>
    <row r="862">
      <c r="A862" s="41"/>
      <c r="B862" s="41"/>
    </row>
    <row r="863">
      <c r="A863" s="41"/>
      <c r="B863" s="41"/>
    </row>
    <row r="864">
      <c r="A864" s="41"/>
      <c r="B864" s="41"/>
    </row>
    <row r="865">
      <c r="A865" s="41"/>
      <c r="B865" s="41"/>
    </row>
    <row r="866">
      <c r="A866" s="41"/>
      <c r="B866" s="41"/>
    </row>
    <row r="867">
      <c r="A867" s="41"/>
      <c r="B867" s="41"/>
    </row>
    <row r="868">
      <c r="A868" s="41"/>
      <c r="B868" s="41"/>
    </row>
    <row r="869">
      <c r="A869" s="41"/>
      <c r="B869" s="41"/>
    </row>
    <row r="870">
      <c r="A870" s="41"/>
      <c r="B870" s="41"/>
    </row>
    <row r="871">
      <c r="A871" s="41"/>
      <c r="B871" s="41"/>
    </row>
    <row r="872">
      <c r="A872" s="41"/>
      <c r="B872" s="41"/>
    </row>
    <row r="873">
      <c r="A873" s="41"/>
      <c r="B873" s="41"/>
    </row>
    <row r="874">
      <c r="A874" s="41"/>
      <c r="B874" s="41"/>
    </row>
    <row r="875">
      <c r="A875" s="41"/>
      <c r="B875" s="41"/>
    </row>
    <row r="876">
      <c r="A876" s="41"/>
      <c r="B876" s="41"/>
    </row>
    <row r="877">
      <c r="A877" s="41"/>
      <c r="B877" s="41"/>
    </row>
    <row r="878">
      <c r="A878" s="41"/>
      <c r="B878" s="41"/>
    </row>
    <row r="879">
      <c r="A879" s="41"/>
      <c r="B879" s="41"/>
    </row>
    <row r="880">
      <c r="A880" s="41"/>
      <c r="B880" s="41"/>
    </row>
    <row r="881">
      <c r="A881" s="41"/>
      <c r="B881" s="41"/>
    </row>
    <row r="882">
      <c r="A882" s="41"/>
      <c r="B882" s="41"/>
    </row>
    <row r="883">
      <c r="A883" s="41"/>
      <c r="B883" s="41"/>
    </row>
    <row r="884">
      <c r="A884" s="41"/>
      <c r="B884" s="41"/>
    </row>
    <row r="885">
      <c r="A885" s="41"/>
      <c r="B885" s="41"/>
    </row>
    <row r="886">
      <c r="A886" s="41"/>
      <c r="B886" s="41"/>
    </row>
    <row r="887">
      <c r="A887" s="41"/>
      <c r="B887" s="41"/>
    </row>
    <row r="888">
      <c r="A888" s="41"/>
      <c r="B888" s="41"/>
    </row>
    <row r="889">
      <c r="A889" s="41"/>
      <c r="B889" s="41"/>
    </row>
    <row r="890">
      <c r="A890" s="41"/>
      <c r="B890" s="41"/>
    </row>
    <row r="891">
      <c r="A891" s="41"/>
      <c r="B891" s="41"/>
    </row>
    <row r="892">
      <c r="A892" s="41"/>
      <c r="B892" s="41"/>
    </row>
    <row r="893">
      <c r="A893" s="41"/>
      <c r="B893" s="41"/>
    </row>
    <row r="894">
      <c r="A894" s="41"/>
      <c r="B894" s="41"/>
    </row>
    <row r="895">
      <c r="A895" s="41"/>
      <c r="B895" s="41"/>
    </row>
    <row r="896">
      <c r="A896" s="41"/>
      <c r="B896" s="41"/>
    </row>
    <row r="897">
      <c r="A897" s="41"/>
      <c r="B897" s="41"/>
    </row>
    <row r="898">
      <c r="A898" s="41"/>
      <c r="B898" s="41"/>
    </row>
    <row r="899">
      <c r="A899" s="41"/>
      <c r="B899" s="41"/>
    </row>
    <row r="900">
      <c r="A900" s="41"/>
      <c r="B900" s="41"/>
    </row>
    <row r="901">
      <c r="A901" s="41"/>
      <c r="B901" s="41"/>
    </row>
    <row r="902">
      <c r="A902" s="41"/>
      <c r="B902" s="41"/>
    </row>
    <row r="903">
      <c r="A903" s="41"/>
      <c r="B903" s="41"/>
    </row>
    <row r="904">
      <c r="A904" s="41"/>
      <c r="B904" s="41"/>
    </row>
    <row r="905">
      <c r="A905" s="41"/>
      <c r="B905" s="41"/>
    </row>
    <row r="906">
      <c r="A906" s="41"/>
      <c r="B906" s="41"/>
    </row>
    <row r="907">
      <c r="A907" s="41"/>
      <c r="B907" s="41"/>
    </row>
    <row r="908">
      <c r="A908" s="41"/>
      <c r="B908" s="41"/>
    </row>
    <row r="909">
      <c r="A909" s="41"/>
      <c r="B909" s="41"/>
    </row>
    <row r="910">
      <c r="A910" s="41"/>
      <c r="B910" s="41"/>
    </row>
    <row r="911">
      <c r="A911" s="41"/>
      <c r="B911" s="41"/>
    </row>
    <row r="912">
      <c r="A912" s="41"/>
      <c r="B912" s="41"/>
    </row>
    <row r="913">
      <c r="A913" s="41"/>
      <c r="B913" s="41"/>
    </row>
    <row r="914">
      <c r="A914" s="41"/>
      <c r="B914" s="41"/>
    </row>
    <row r="915">
      <c r="A915" s="41"/>
      <c r="B915" s="41"/>
    </row>
    <row r="916">
      <c r="A916" s="41"/>
      <c r="B916" s="41"/>
    </row>
    <row r="917">
      <c r="A917" s="41"/>
      <c r="B917" s="41"/>
    </row>
    <row r="918">
      <c r="A918" s="41"/>
      <c r="B918" s="41"/>
    </row>
    <row r="919">
      <c r="A919" s="41"/>
      <c r="B919" s="41"/>
    </row>
    <row r="920">
      <c r="A920" s="41"/>
      <c r="B920" s="41"/>
    </row>
    <row r="921">
      <c r="A921" s="41"/>
      <c r="B921" s="41"/>
    </row>
    <row r="922">
      <c r="A922" s="41"/>
      <c r="B922" s="41"/>
    </row>
    <row r="923">
      <c r="A923" s="41"/>
      <c r="B923" s="41"/>
    </row>
    <row r="924">
      <c r="A924" s="41"/>
      <c r="B924" s="41"/>
    </row>
    <row r="925">
      <c r="A925" s="41"/>
      <c r="B925" s="41"/>
    </row>
    <row r="926">
      <c r="A926" s="41"/>
      <c r="B926" s="41"/>
    </row>
    <row r="927">
      <c r="A927" s="41"/>
      <c r="B927" s="41"/>
    </row>
    <row r="928">
      <c r="A928" s="41"/>
      <c r="B928" s="41"/>
    </row>
    <row r="929">
      <c r="A929" s="41"/>
      <c r="B929" s="41"/>
    </row>
    <row r="930">
      <c r="A930" s="41"/>
      <c r="B930" s="41"/>
    </row>
    <row r="931">
      <c r="A931" s="41"/>
      <c r="B931" s="41"/>
    </row>
    <row r="932">
      <c r="A932" s="41"/>
      <c r="B932" s="41"/>
    </row>
    <row r="933">
      <c r="A933" s="41"/>
      <c r="B933" s="41"/>
    </row>
    <row r="934">
      <c r="A934" s="41"/>
      <c r="B934" s="41"/>
    </row>
    <row r="935">
      <c r="A935" s="41"/>
      <c r="B935" s="41"/>
    </row>
    <row r="936">
      <c r="A936" s="41"/>
      <c r="B936" s="41"/>
    </row>
    <row r="937">
      <c r="A937" s="41"/>
      <c r="B937" s="41"/>
    </row>
    <row r="938">
      <c r="A938" s="41"/>
      <c r="B938" s="41"/>
    </row>
    <row r="939">
      <c r="A939" s="41"/>
      <c r="B939" s="41"/>
    </row>
    <row r="940">
      <c r="A940" s="41"/>
      <c r="B940" s="41"/>
    </row>
    <row r="941">
      <c r="A941" s="41"/>
      <c r="B941" s="41"/>
    </row>
    <row r="942">
      <c r="A942" s="41"/>
      <c r="B942" s="41"/>
    </row>
    <row r="943">
      <c r="A943" s="41"/>
      <c r="B943" s="41"/>
    </row>
    <row r="944">
      <c r="A944" s="41"/>
      <c r="B944" s="41"/>
    </row>
    <row r="945">
      <c r="A945" s="41"/>
      <c r="B945" s="41"/>
    </row>
    <row r="946">
      <c r="A946" s="41"/>
      <c r="B946" s="41"/>
    </row>
    <row r="947">
      <c r="A947" s="41"/>
      <c r="B947" s="41"/>
    </row>
    <row r="948">
      <c r="A948" s="41"/>
      <c r="B948" s="41"/>
    </row>
    <row r="949">
      <c r="A949" s="41"/>
      <c r="B949" s="41"/>
    </row>
    <row r="950">
      <c r="A950" s="41"/>
      <c r="B950" s="41"/>
    </row>
    <row r="951">
      <c r="A951" s="41"/>
      <c r="B951" s="41"/>
    </row>
    <row r="952">
      <c r="A952" s="41"/>
      <c r="B952" s="41"/>
    </row>
    <row r="953">
      <c r="A953" s="41"/>
      <c r="B953" s="41"/>
    </row>
    <row r="954">
      <c r="A954" s="41"/>
      <c r="B954" s="41"/>
    </row>
    <row r="955">
      <c r="A955" s="41"/>
      <c r="B955" s="41"/>
    </row>
    <row r="956">
      <c r="A956" s="41"/>
      <c r="B956" s="41"/>
    </row>
    <row r="957">
      <c r="A957" s="41"/>
      <c r="B957" s="41"/>
    </row>
    <row r="958">
      <c r="A958" s="41"/>
      <c r="B958" s="41"/>
    </row>
    <row r="959">
      <c r="A959" s="41"/>
      <c r="B959" s="41"/>
    </row>
    <row r="960">
      <c r="A960" s="41"/>
      <c r="B960" s="41"/>
    </row>
    <row r="961">
      <c r="A961" s="41"/>
      <c r="B961" s="41"/>
    </row>
    <row r="962">
      <c r="A962" s="41"/>
      <c r="B962" s="41"/>
    </row>
    <row r="963">
      <c r="A963" s="41"/>
      <c r="B963" s="41"/>
    </row>
    <row r="964">
      <c r="A964" s="41"/>
      <c r="B964" s="41"/>
    </row>
    <row r="965">
      <c r="A965" s="41"/>
      <c r="B965" s="41"/>
    </row>
    <row r="966">
      <c r="A966" s="41"/>
      <c r="B966" s="41"/>
    </row>
    <row r="967">
      <c r="A967" s="41"/>
      <c r="B967" s="41"/>
    </row>
    <row r="968">
      <c r="A968" s="41"/>
      <c r="B968" s="41"/>
    </row>
    <row r="969">
      <c r="A969" s="41"/>
      <c r="B969" s="41"/>
    </row>
    <row r="970">
      <c r="A970" s="41"/>
      <c r="B970" s="41"/>
    </row>
    <row r="971">
      <c r="A971" s="41"/>
      <c r="B971" s="41"/>
    </row>
    <row r="972">
      <c r="A972" s="41"/>
      <c r="B972" s="41"/>
    </row>
    <row r="973">
      <c r="A973" s="41"/>
      <c r="B973" s="41"/>
    </row>
    <row r="974">
      <c r="A974" s="41"/>
      <c r="B974" s="41"/>
    </row>
    <row r="975">
      <c r="A975" s="41"/>
      <c r="B975" s="41"/>
    </row>
    <row r="976">
      <c r="A976" s="41"/>
      <c r="B976" s="41"/>
    </row>
    <row r="977">
      <c r="A977" s="41"/>
      <c r="B977" s="41"/>
    </row>
    <row r="978">
      <c r="A978" s="41"/>
      <c r="B978" s="41"/>
    </row>
    <row r="979">
      <c r="A979" s="41"/>
      <c r="B979" s="41"/>
    </row>
    <row r="980">
      <c r="A980" s="41"/>
      <c r="B980" s="41"/>
    </row>
    <row r="981">
      <c r="A981" s="41"/>
      <c r="B981" s="41"/>
    </row>
    <row r="982">
      <c r="A982" s="41"/>
      <c r="B982" s="41"/>
    </row>
    <row r="983">
      <c r="A983" s="41"/>
      <c r="B983" s="41"/>
    </row>
    <row r="984">
      <c r="A984" s="41"/>
      <c r="B984" s="41"/>
    </row>
    <row r="985">
      <c r="A985" s="41"/>
      <c r="B985" s="41"/>
    </row>
    <row r="986">
      <c r="A986" s="41"/>
      <c r="B986" s="41"/>
    </row>
    <row r="987">
      <c r="A987" s="41"/>
      <c r="B987" s="41"/>
    </row>
    <row r="988">
      <c r="A988" s="41"/>
      <c r="B988" s="41"/>
    </row>
    <row r="989">
      <c r="A989" s="41"/>
      <c r="B989" s="41"/>
    </row>
    <row r="990">
      <c r="A990" s="41"/>
      <c r="B990" s="41"/>
    </row>
    <row r="991">
      <c r="A991" s="41"/>
      <c r="B991" s="41"/>
    </row>
    <row r="992">
      <c r="A992" s="41"/>
      <c r="B992" s="41"/>
    </row>
    <row r="993">
      <c r="A993" s="41"/>
      <c r="B993" s="41"/>
    </row>
    <row r="994">
      <c r="A994" s="41"/>
      <c r="B994" s="41"/>
    </row>
    <row r="995">
      <c r="A995" s="41"/>
      <c r="B995" s="41"/>
    </row>
    <row r="996">
      <c r="A996" s="41"/>
      <c r="B996" s="41"/>
    </row>
    <row r="997">
      <c r="A997" s="41"/>
      <c r="B997" s="41"/>
    </row>
    <row r="998">
      <c r="A998" s="41"/>
      <c r="B998" s="41"/>
    </row>
    <row r="999">
      <c r="A999" s="41"/>
      <c r="B999" s="41"/>
    </row>
    <row r="1000">
      <c r="A1000" s="41"/>
      <c r="B1000" s="41"/>
    </row>
  </sheetData>
  <drawing r:id="rId1"/>
</worksheet>
</file>